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1\60\08388-00\108774\400-Engineering\Structures\SFN_0701572\EngData\Quantities\"/>
    </mc:Choice>
  </mc:AlternateContent>
  <xr:revisionPtr revIDLastSave="0" documentId="13_ncr:1_{A24251A7-BEA6-4F12-9D91-484F97CD5A17}" xr6:coauthVersionLast="47" xr6:coauthVersionMax="47" xr10:uidLastSave="{00000000-0000-0000-0000-000000000000}"/>
  <bookViews>
    <workbookView xWindow="28680" yWindow="-120" windowWidth="29040" windowHeight="15840" tabRatio="943" xr2:uid="{00000000-000D-0000-FFFF-FFFF00000000}"/>
  </bookViews>
  <sheets>
    <sheet name="STAGE 3 PLAN SHEET QUANT TABLE" sheetId="113" r:id="rId1"/>
    <sheet name="SUMMARY" sheetId="89" r:id="rId2"/>
    <sheet name="STR REMOVED" sheetId="70" r:id="rId3"/>
    <sheet name="EXCAVATION" sheetId="130" r:id="rId4"/>
    <sheet name="EMBANKMENT" sheetId="131" r:id="rId5"/>
    <sheet name="COF" sheetId="119" r:id="rId6"/>
    <sheet name="UNCLASS. EX." sheetId="71" r:id="rId7"/>
    <sheet name="Rock Exc" sheetId="128" r:id="rId8"/>
    <sheet name="STEEL PILES" sheetId="140" r:id="rId9"/>
    <sheet name="REBAR" sheetId="73" r:id="rId10"/>
    <sheet name="DOWEL" sheetId="141" r:id="rId11"/>
    <sheet name="CIP Conc. Wall Closure" sheetId="142" r:id="rId12"/>
    <sheet name="Footing" sheetId="94" r:id="rId13"/>
    <sheet name="Headwall" sheetId="83" r:id="rId14"/>
    <sheet name="Tunnel" sheetId="129" r:id="rId15"/>
    <sheet name="GRAFFITI SEALING" sheetId="138" r:id="rId16"/>
    <sheet name="CONC. SEALING" sheetId="58" r:id="rId17"/>
    <sheet name="TYPE 2 WATERPROOFING" sheetId="139" r:id="rId18"/>
    <sheet name="STR. STEEL" sheetId="34" r:id="rId19"/>
    <sheet name="POROUS BACKFILL" sheetId="59" r:id="rId20"/>
    <sheet name="6&quot; PCPP" sheetId="61" r:id="rId21"/>
    <sheet name="6&quot; NPCPP" sheetId="68" r:id="rId22"/>
    <sheet name="PATCHING" sheetId="143" r:id="rId23"/>
    <sheet name="36&quot; DRILLED SHAFTS" sheetId="116" r:id="rId24"/>
    <sheet name="36&quot; ROCK SOCKETS" sheetId="125" r:id="rId25"/>
    <sheet name="LAGGING" sheetId="81" r:id="rId26"/>
    <sheet name="PAVED GUTTER" sheetId="137" r:id="rId27"/>
    <sheet name="FENCE" sheetId="96" r:id="rId28"/>
    <sheet name="SEEDING" sheetId="132" r:id="rId29"/>
    <sheet name="ASBESTOS" sheetId="144" r:id="rId30"/>
    <sheet name="LUMIN" sheetId="127" r:id="rId31"/>
    <sheet name="POLY ASPHALT JT." sheetId="98" r:id="rId32"/>
    <sheet name="CONC. PVMT." sheetId="134" r:id="rId33"/>
    <sheet name="AGG. BASE" sheetId="135" r:id="rId34"/>
    <sheet name="Sheet1" sheetId="112" r:id="rId35"/>
    <sheet name="MODULAR WALL" sheetId="133" r:id="rId36"/>
    <sheet name="RR TIES" sheetId="136" r:id="rId37"/>
    <sheet name="WEAR REM" sheetId="118" r:id="rId38"/>
    <sheet name="PILE MOB." sheetId="72" r:id="rId39"/>
    <sheet name="HP10X42 FURN." sheetId="62" r:id="rId40"/>
    <sheet name="HP10X42 DRIV." sheetId="63" r:id="rId41"/>
    <sheet name="SLOPE PROT." sheetId="76" r:id="rId42"/>
    <sheet name="RCP" sheetId="114" r:id="rId43"/>
    <sheet name="RCP APP" sheetId="122" r:id="rId44"/>
    <sheet name="PAINTING INT. COAT" sheetId="85" r:id="rId45"/>
    <sheet name="PAINTING FIN. COAT" sheetId="86" r:id="rId46"/>
    <sheet name="PARAPET CONC." sheetId="80" r:id="rId47"/>
    <sheet name="1&quot; PEJF" sheetId="74" r:id="rId48"/>
    <sheet name="APPR SLAB REMOVED" sheetId="75" r:id="rId49"/>
    <sheet name="DECK CONC." sheetId="79" r:id="rId50"/>
    <sheet name="SHEAR STUDS" sheetId="67" r:id="rId51"/>
    <sheet name="PIER BRGS" sheetId="124" r:id="rId52"/>
    <sheet name="ABUT BRGS" sheetId="43" r:id="rId53"/>
    <sheet name="RAIL" sheetId="120" r:id="rId54"/>
    <sheet name="DSTRIP" sheetId="121" r:id="rId55"/>
    <sheet name="30&quot; ROCK SOCKETS" sheetId="110" r:id="rId56"/>
    <sheet name="42&quot; DRILLED SHAFTS" sheetId="126" r:id="rId57"/>
    <sheet name="42&quot; ROCK SOCKETS" sheetId="117" r:id="rId58"/>
    <sheet name="48&quot; DRILLED SHAFTS" sheetId="109" r:id="rId59"/>
    <sheet name="GUIDE" sheetId="123" r:id="rId60"/>
    <sheet name="NEOPRENE SHEETING" sheetId="108" r:id="rId61"/>
    <sheet name="2&quot; PEJF" sheetId="78" r:id="rId62"/>
  </sheets>
  <definedNames>
    <definedName name="_xlnm.Print_Area" localSheetId="47">'1" PEJF'!$A$1:$L$49</definedName>
    <definedName name="_xlnm.Print_Area" localSheetId="61">'2" PEJF'!$A$1:$L$50</definedName>
    <definedName name="_xlnm.Print_Area" localSheetId="55">'30" ROCK SOCKETS'!$A$1:$L$51</definedName>
    <definedName name="_xlnm.Print_Area" localSheetId="23">'36" DRILLED SHAFTS'!$A$1:$L$153</definedName>
    <definedName name="_xlnm.Print_Area" localSheetId="24">'36" ROCK SOCKETS'!$A$1:$L$152</definedName>
    <definedName name="_xlnm.Print_Area" localSheetId="56">'42" DRILLED SHAFTS'!$A$1:$L$51</definedName>
    <definedName name="_xlnm.Print_Area" localSheetId="57">'42" ROCK SOCKETS'!$A$1:$L$51</definedName>
    <definedName name="_xlnm.Print_Area" localSheetId="58">'48" DRILLED SHAFTS'!$A$1:$L$49</definedName>
    <definedName name="_xlnm.Print_Area" localSheetId="21">'6" NPCPP'!$A$1:$L$47</definedName>
    <definedName name="_xlnm.Print_Area" localSheetId="20">'6" PCPP'!$A$1:$L$47</definedName>
    <definedName name="_xlnm.Print_Area" localSheetId="52">'ABUT BRGS'!$A$1:$L$50</definedName>
    <definedName name="_xlnm.Print_Area" localSheetId="33">'AGG. BASE'!$A$1:$L$43</definedName>
    <definedName name="_xlnm.Print_Area" localSheetId="48">'APPR SLAB REMOVED'!$A$1:$L$48</definedName>
    <definedName name="_xlnm.Print_Area" localSheetId="29">ASBESTOS!$A$1:$L$48</definedName>
    <definedName name="_xlnm.Print_Area" localSheetId="11">'CIP Conc. Wall Closure'!$A$1:$L$47</definedName>
    <definedName name="_xlnm.Print_Area" localSheetId="5">COF!$A$1:$L$48</definedName>
    <definedName name="_xlnm.Print_Area" localSheetId="32">'CONC. PVMT.'!$A$1:$L$43</definedName>
    <definedName name="_xlnm.Print_Area" localSheetId="16">'CONC. SEALING'!$A$1:$L$43</definedName>
    <definedName name="_xlnm.Print_Area" localSheetId="49">'DECK CONC.'!$A$1:$L$90</definedName>
    <definedName name="_xlnm.Print_Area" localSheetId="10">DOWEL!$A$1:$L$46</definedName>
    <definedName name="_xlnm.Print_Area" localSheetId="54">DSTRIP!$A$1:$L$49</definedName>
    <definedName name="_xlnm.Print_Area" localSheetId="4">EMBANKMENT!$A$1:$L$48</definedName>
    <definedName name="_xlnm.Print_Area" localSheetId="3">EXCAVATION!$A$1:$L$48</definedName>
    <definedName name="_xlnm.Print_Area" localSheetId="27">FENCE!$A$1:$L$43</definedName>
    <definedName name="_xlnm.Print_Area" localSheetId="12">Footing!$A$1:$L$47</definedName>
    <definedName name="_xlnm.Print_Area" localSheetId="15">'GRAFFITI SEALING'!$A$1:$L$44</definedName>
    <definedName name="_xlnm.Print_Area" localSheetId="59">GUIDE!$A$1:$L$47</definedName>
    <definedName name="_xlnm.Print_Area" localSheetId="13">Headwall!$A$1:$L$39</definedName>
    <definedName name="_xlnm.Print_Area" localSheetId="40">'HP10X42 DRIV.'!$A$1:$L$46</definedName>
    <definedName name="_xlnm.Print_Area" localSheetId="39">'HP10X42 FURN.'!$A$1:$L$46</definedName>
    <definedName name="_xlnm.Print_Area" localSheetId="25">LAGGING!$A$1:$L$48</definedName>
    <definedName name="_xlnm.Print_Area" localSheetId="30">LUMIN!$A$1:$L$48</definedName>
    <definedName name="_xlnm.Print_Area" localSheetId="35">'MODULAR WALL'!$A$1:$L$43</definedName>
    <definedName name="_xlnm.Print_Area" localSheetId="60">'NEOPRENE SHEETING'!$A$1:$L$50</definedName>
    <definedName name="_xlnm.Print_Area" localSheetId="45">'PAINTING FIN. COAT'!$A$1:$L$49</definedName>
    <definedName name="_xlnm.Print_Area" localSheetId="44">'PAINTING INT. COAT'!$A$1:$L$50</definedName>
    <definedName name="_xlnm.Print_Area" localSheetId="46">'PARAPET CONC.'!$A$1:$L$48</definedName>
    <definedName name="_xlnm.Print_Area" localSheetId="22">PATCHING!$A$1:$L$48</definedName>
    <definedName name="_xlnm.Print_Area" localSheetId="26">'PAVED GUTTER'!$A$1:$L$43</definedName>
    <definedName name="_xlnm.Print_Area" localSheetId="51">'PIER BRGS'!$A$1:$L$50</definedName>
    <definedName name="_xlnm.Print_Area" localSheetId="38">'PILE MOB.'!$A$1:$L$48</definedName>
    <definedName name="_xlnm.Print_Area" localSheetId="31">'POLY ASPHALT JT.'!$A$1:$L$43</definedName>
    <definedName name="_xlnm.Print_Area" localSheetId="19">'POROUS BACKFILL'!$A$1:$L$50</definedName>
    <definedName name="_xlnm.Print_Area" localSheetId="53">RAIL!$A$1:$L$50</definedName>
    <definedName name="_xlnm.Print_Area" localSheetId="42">RCP!$A$1:$L$52</definedName>
    <definedName name="_xlnm.Print_Area" localSheetId="43">'RCP APP'!$A$1:$L$52</definedName>
    <definedName name="_xlnm.Print_Area" localSheetId="9">REBAR!$A$1:$L$46</definedName>
    <definedName name="_xlnm.Print_Area" localSheetId="7">'Rock Exc'!$A$1:$L$47</definedName>
    <definedName name="_xlnm.Print_Area" localSheetId="36">'RR TIES'!$A$1:$L$43</definedName>
    <definedName name="_xlnm.Print_Area" localSheetId="28">SEEDING!$A$1:$L$48</definedName>
    <definedName name="_xlnm.Print_Area" localSheetId="50">'SHEAR STUDS'!$A$1:$L$50</definedName>
    <definedName name="_xlnm.Print_Area" localSheetId="41">'SLOPE PROT.'!$A$1:$L$52</definedName>
    <definedName name="_xlnm.Print_Area" localSheetId="8">'STEEL PILES'!$A$1:$L$171</definedName>
    <definedName name="_xlnm.Print_Area" localSheetId="2">'STR REMOVED'!$A$1:$L$48</definedName>
    <definedName name="_xlnm.Print_Area" localSheetId="18">'STR. STEEL'!$A$1:$L$57</definedName>
    <definedName name="_xlnm.Print_Area" localSheetId="14">Tunnel!$A$1:$L$39</definedName>
    <definedName name="_xlnm.Print_Area" localSheetId="17">'TYPE 2 WATERPROOFING'!$A$1:$L$43</definedName>
    <definedName name="_xlnm.Print_Area" localSheetId="6">'UNCLASS. EX.'!$A$1:$L$46</definedName>
    <definedName name="_xlnm.Print_Area" localSheetId="37">'WEAR REM'!$A$1:$L$48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13" l="1"/>
  <c r="E38" i="113"/>
  <c r="A44" i="113"/>
  <c r="A38" i="113"/>
  <c r="B44" i="113"/>
  <c r="B38" i="113"/>
  <c r="C44" i="113"/>
  <c r="K48" i="144"/>
  <c r="L48" i="144" s="1"/>
  <c r="G35" i="34" l="1"/>
  <c r="G33" i="34"/>
  <c r="G31" i="34"/>
  <c r="G116" i="140" l="1"/>
  <c r="E116" i="140"/>
  <c r="G59" i="140"/>
  <c r="G58" i="140"/>
  <c r="G115" i="140" s="1"/>
  <c r="E59" i="140"/>
  <c r="G103" i="125"/>
  <c r="G51" i="125"/>
  <c r="G102" i="125" s="1"/>
  <c r="G52" i="125"/>
  <c r="E52" i="125"/>
  <c r="E103" i="125"/>
  <c r="K35" i="34"/>
  <c r="K33" i="34"/>
  <c r="K31" i="34"/>
  <c r="I2" i="129"/>
  <c r="I2" i="138" s="1"/>
  <c r="I2" i="58" s="1"/>
  <c r="I2" i="139" s="1"/>
  <c r="I2" i="34" s="1"/>
  <c r="I2" i="59" s="1"/>
  <c r="I2" i="130"/>
  <c r="I2" i="131" s="1"/>
  <c r="I2" i="119" s="1"/>
  <c r="I2" i="71" s="1"/>
  <c r="I2" i="128" s="1"/>
  <c r="I2" i="140" s="1"/>
  <c r="I59" i="140" s="1"/>
  <c r="I116" i="140" s="1"/>
  <c r="I2" i="73" s="1"/>
  <c r="I2" i="141" s="1"/>
  <c r="I2" i="61" l="1"/>
  <c r="I2" i="68" s="1"/>
  <c r="I2" i="143" s="1"/>
  <c r="I2" i="116" s="1"/>
  <c r="I53" i="116" s="1"/>
  <c r="I104" i="116" s="1"/>
  <c r="I2" i="125" s="1"/>
  <c r="I52" i="125" s="1"/>
  <c r="I103" i="125" s="1"/>
  <c r="I2" i="81" s="1"/>
  <c r="I2" i="137" s="1"/>
  <c r="I2" i="96" s="1"/>
  <c r="I2" i="132" s="1"/>
  <c r="E34" i="113" l="1"/>
  <c r="D34" i="113"/>
  <c r="B34" i="113"/>
  <c r="A34" i="113"/>
  <c r="K48" i="143"/>
  <c r="L48" i="143" s="1"/>
  <c r="C34" i="113" s="1"/>
  <c r="K10" i="143"/>
  <c r="D30" i="142" l="1"/>
  <c r="K30" i="142" s="1"/>
  <c r="D25" i="142"/>
  <c r="K25" i="142" s="1"/>
  <c r="E18" i="113" l="1"/>
  <c r="D18" i="113"/>
  <c r="B18" i="113"/>
  <c r="A18" i="113"/>
  <c r="D17" i="142"/>
  <c r="D20" i="142" s="1"/>
  <c r="K20" i="142" s="1"/>
  <c r="D13" i="142"/>
  <c r="K13" i="142" s="1"/>
  <c r="K47" i="142" l="1"/>
  <c r="L47" i="142" s="1"/>
  <c r="C18" i="113" s="1"/>
  <c r="K16" i="73"/>
  <c r="K13" i="73"/>
  <c r="E129" i="125" l="1"/>
  <c r="E130" i="125"/>
  <c r="E131" i="125"/>
  <c r="E132" i="125"/>
  <c r="E133" i="125"/>
  <c r="E134" i="125"/>
  <c r="E135" i="125"/>
  <c r="E136" i="125"/>
  <c r="E137" i="125"/>
  <c r="E138" i="125"/>
  <c r="E139" i="125"/>
  <c r="E128" i="125"/>
  <c r="E113" i="125"/>
  <c r="E114" i="125"/>
  <c r="E115" i="125"/>
  <c r="E116" i="125"/>
  <c r="E117" i="125"/>
  <c r="E118" i="125"/>
  <c r="E119" i="125"/>
  <c r="E120" i="125"/>
  <c r="E121" i="125"/>
  <c r="E122" i="125"/>
  <c r="E123" i="125"/>
  <c r="E112" i="125"/>
  <c r="E62" i="125"/>
  <c r="E63" i="125"/>
  <c r="E64" i="125"/>
  <c r="E65" i="125"/>
  <c r="E66" i="125"/>
  <c r="E67" i="125"/>
  <c r="E68" i="125"/>
  <c r="E69" i="125"/>
  <c r="E70" i="125"/>
  <c r="E71" i="125"/>
  <c r="E72" i="125"/>
  <c r="E73" i="125"/>
  <c r="E74" i="125"/>
  <c r="E75" i="125"/>
  <c r="E76" i="125"/>
  <c r="E77" i="125"/>
  <c r="E78" i="125"/>
  <c r="E79" i="125"/>
  <c r="E80" i="125"/>
  <c r="E81" i="125"/>
  <c r="E82" i="125"/>
  <c r="E83" i="125"/>
  <c r="E84" i="125"/>
  <c r="E61" i="125"/>
  <c r="E34" i="125" l="1"/>
  <c r="E33" i="125"/>
  <c r="E32" i="125"/>
  <c r="E31" i="125"/>
  <c r="E30" i="125"/>
  <c r="E29" i="125"/>
  <c r="E28" i="125"/>
  <c r="E27" i="125"/>
  <c r="E26" i="125"/>
  <c r="E25" i="125"/>
  <c r="E24" i="125"/>
  <c r="E23" i="125"/>
  <c r="E22" i="125"/>
  <c r="E21" i="125"/>
  <c r="E20" i="125"/>
  <c r="E19" i="125"/>
  <c r="E18" i="125"/>
  <c r="E17" i="125"/>
  <c r="E16" i="125"/>
  <c r="E15" i="125"/>
  <c r="E14" i="125"/>
  <c r="E13" i="125"/>
  <c r="E12" i="125"/>
  <c r="E11" i="125"/>
  <c r="E34" i="116"/>
  <c r="E17" i="113" l="1"/>
  <c r="D17" i="113"/>
  <c r="B17" i="113"/>
  <c r="A17" i="113"/>
  <c r="K13" i="141"/>
  <c r="D13" i="141"/>
  <c r="K10" i="141"/>
  <c r="K46" i="141" s="1"/>
  <c r="L46" i="141" s="1"/>
  <c r="C17" i="113" s="1"/>
  <c r="E27" i="113"/>
  <c r="D27" i="113"/>
  <c r="B27" i="113"/>
  <c r="A27" i="113"/>
  <c r="E15" i="113"/>
  <c r="D15" i="113"/>
  <c r="B15" i="113"/>
  <c r="A15" i="113"/>
  <c r="H153" i="140"/>
  <c r="E153" i="140"/>
  <c r="H152" i="140"/>
  <c r="E152" i="140"/>
  <c r="H151" i="140"/>
  <c r="E151" i="140"/>
  <c r="H150" i="140"/>
  <c r="E150" i="140"/>
  <c r="H149" i="140"/>
  <c r="E149" i="140"/>
  <c r="H148" i="140"/>
  <c r="E148" i="140"/>
  <c r="H147" i="140"/>
  <c r="E147" i="140"/>
  <c r="H146" i="140"/>
  <c r="E146" i="140"/>
  <c r="H145" i="140"/>
  <c r="E145" i="140"/>
  <c r="H144" i="140"/>
  <c r="H154" i="140" s="1"/>
  <c r="K154" i="140" s="1"/>
  <c r="E144" i="140"/>
  <c r="H143" i="140"/>
  <c r="E143" i="140"/>
  <c r="H142" i="140"/>
  <c r="E142" i="140"/>
  <c r="H136" i="140"/>
  <c r="E136" i="140"/>
  <c r="H135" i="140"/>
  <c r="E135" i="140"/>
  <c r="H134" i="140"/>
  <c r="E134" i="140"/>
  <c r="H133" i="140"/>
  <c r="E133" i="140"/>
  <c r="H132" i="140"/>
  <c r="E132" i="140"/>
  <c r="H131" i="140"/>
  <c r="E131" i="140"/>
  <c r="H130" i="140"/>
  <c r="E130" i="140"/>
  <c r="H129" i="140"/>
  <c r="E129" i="140"/>
  <c r="H128" i="140"/>
  <c r="E128" i="140"/>
  <c r="H127" i="140"/>
  <c r="E127" i="140"/>
  <c r="H126" i="140"/>
  <c r="E126" i="140"/>
  <c r="H125" i="140"/>
  <c r="H137" i="140" s="1"/>
  <c r="K137" i="140" s="1"/>
  <c r="E125" i="140"/>
  <c r="H91" i="140"/>
  <c r="E91" i="140"/>
  <c r="H90" i="140"/>
  <c r="E90" i="140"/>
  <c r="H89" i="140"/>
  <c r="E89" i="140"/>
  <c r="H88" i="140"/>
  <c r="E88" i="140"/>
  <c r="H87" i="140"/>
  <c r="E87" i="140"/>
  <c r="H86" i="140"/>
  <c r="E86" i="140"/>
  <c r="H85" i="140"/>
  <c r="E85" i="140"/>
  <c r="H84" i="140"/>
  <c r="E84" i="140"/>
  <c r="H83" i="140"/>
  <c r="E83" i="140"/>
  <c r="H82" i="140"/>
  <c r="E82" i="140"/>
  <c r="H81" i="140"/>
  <c r="E81" i="140"/>
  <c r="H80" i="140"/>
  <c r="E80" i="140"/>
  <c r="H79" i="140"/>
  <c r="E79" i="140"/>
  <c r="H78" i="140"/>
  <c r="E78" i="140"/>
  <c r="H77" i="140"/>
  <c r="E77" i="140"/>
  <c r="H76" i="140"/>
  <c r="E76" i="140"/>
  <c r="H75" i="140"/>
  <c r="E75" i="140"/>
  <c r="H74" i="140"/>
  <c r="E74" i="140"/>
  <c r="H73" i="140"/>
  <c r="E73" i="140"/>
  <c r="H72" i="140"/>
  <c r="E72" i="140"/>
  <c r="H71" i="140"/>
  <c r="E71" i="140"/>
  <c r="H70" i="140"/>
  <c r="H92" i="140" s="1"/>
  <c r="K92" i="140" s="1"/>
  <c r="E70" i="140"/>
  <c r="H69" i="140"/>
  <c r="E69" i="140"/>
  <c r="H68" i="140"/>
  <c r="E68" i="140"/>
  <c r="H34" i="140"/>
  <c r="E34" i="140"/>
  <c r="H33" i="140"/>
  <c r="E33" i="140"/>
  <c r="H32" i="140"/>
  <c r="E32" i="140"/>
  <c r="H31" i="140"/>
  <c r="E31" i="140"/>
  <c r="H30" i="140"/>
  <c r="E30" i="140"/>
  <c r="H29" i="140"/>
  <c r="E29" i="140"/>
  <c r="H28" i="140"/>
  <c r="E28" i="140"/>
  <c r="H27" i="140"/>
  <c r="E27" i="140"/>
  <c r="H26" i="140"/>
  <c r="E26" i="140"/>
  <c r="H25" i="140"/>
  <c r="E25" i="140"/>
  <c r="H24" i="140"/>
  <c r="E24" i="140"/>
  <c r="H23" i="140"/>
  <c r="E23" i="140"/>
  <c r="H22" i="140"/>
  <c r="E22" i="140"/>
  <c r="H21" i="140"/>
  <c r="E21" i="140"/>
  <c r="H20" i="140"/>
  <c r="E20" i="140"/>
  <c r="H19" i="140"/>
  <c r="H35" i="140" s="1"/>
  <c r="K35" i="140" s="1"/>
  <c r="E19" i="140"/>
  <c r="H18" i="140"/>
  <c r="E18" i="140"/>
  <c r="H17" i="140"/>
  <c r="E17" i="140"/>
  <c r="H16" i="140"/>
  <c r="E16" i="140"/>
  <c r="H15" i="140"/>
  <c r="E15" i="140"/>
  <c r="H14" i="140"/>
  <c r="E14" i="140"/>
  <c r="H13" i="140"/>
  <c r="E13" i="140"/>
  <c r="H12" i="140"/>
  <c r="E12" i="140"/>
  <c r="H11" i="140"/>
  <c r="E11" i="140"/>
  <c r="K114" i="140" l="1"/>
  <c r="K57" i="140"/>
  <c r="K171" i="140" l="1"/>
  <c r="L171" i="140" s="1"/>
  <c r="C15" i="113" s="1"/>
  <c r="C18" i="139" l="1"/>
  <c r="C20" i="139" s="1"/>
  <c r="C22" i="139" s="1"/>
  <c r="K43" i="139" s="1"/>
  <c r="E26" i="113" l="1"/>
  <c r="D26" i="113"/>
  <c r="B26" i="113"/>
  <c r="A26" i="113"/>
  <c r="L43" i="139"/>
  <c r="C26" i="113" s="1"/>
  <c r="D12" i="58" l="1"/>
  <c r="D10" i="58"/>
  <c r="D11" i="58" l="1"/>
  <c r="D16" i="58" s="1"/>
  <c r="D11" i="129"/>
  <c r="D11" i="94"/>
  <c r="D10" i="94"/>
  <c r="D14" i="94" s="1"/>
  <c r="K10" i="73"/>
  <c r="K46" i="73" s="1"/>
  <c r="D21" i="128"/>
  <c r="D21" i="71" s="1"/>
  <c r="C21" i="128"/>
  <c r="D19" i="128"/>
  <c r="C19" i="128"/>
  <c r="C19" i="71" s="1"/>
  <c r="D17" i="128"/>
  <c r="C17" i="128"/>
  <c r="D15" i="128"/>
  <c r="C15" i="128"/>
  <c r="D13" i="128"/>
  <c r="D13" i="71" s="1"/>
  <c r="C13" i="128"/>
  <c r="C13" i="71" s="1"/>
  <c r="C21" i="71"/>
  <c r="D19" i="71"/>
  <c r="D17" i="71"/>
  <c r="C17" i="71"/>
  <c r="D15" i="71"/>
  <c r="C15" i="71"/>
  <c r="E14" i="128" l="1"/>
  <c r="D33" i="59"/>
  <c r="D12" i="135" l="1"/>
  <c r="K9" i="127" l="1"/>
  <c r="K48" i="127" s="1"/>
  <c r="E16" i="81"/>
  <c r="E19" i="81"/>
  <c r="E13" i="81"/>
  <c r="E10" i="81"/>
  <c r="F136" i="125"/>
  <c r="F121" i="125"/>
  <c r="F122" i="125"/>
  <c r="F123" i="125"/>
  <c r="F84" i="125"/>
  <c r="F137" i="125"/>
  <c r="F138" i="125"/>
  <c r="F139" i="125"/>
  <c r="F120" i="125"/>
  <c r="K19" i="68"/>
  <c r="D27" i="59" l="1"/>
  <c r="D22" i="59"/>
  <c r="D17" i="59"/>
  <c r="D12" i="59"/>
  <c r="G24" i="34" l="1"/>
  <c r="G23" i="34"/>
  <c r="G22" i="34"/>
  <c r="F17" i="34"/>
  <c r="G17" i="34" s="1"/>
  <c r="F16" i="34"/>
  <c r="G16" i="34" s="1"/>
  <c r="F15" i="34"/>
  <c r="G15" i="34" s="1"/>
  <c r="F14" i="34"/>
  <c r="G14" i="34" s="1"/>
  <c r="F13" i="34"/>
  <c r="G13" i="34" s="1"/>
  <c r="F12" i="34"/>
  <c r="G12" i="34" s="1"/>
  <c r="F11" i="34"/>
  <c r="G11" i="34" s="1"/>
  <c r="G18" i="34" l="1"/>
  <c r="G25" i="34"/>
  <c r="K25" i="34"/>
  <c r="K18" i="34"/>
  <c r="K57" i="34" l="1"/>
  <c r="L57" i="34" s="1"/>
  <c r="C27" i="113" s="1"/>
  <c r="E23" i="113"/>
  <c r="D23" i="113"/>
  <c r="B23" i="113"/>
  <c r="A23" i="113"/>
  <c r="K19" i="138"/>
  <c r="D22" i="138"/>
  <c r="D23" i="138" s="1"/>
  <c r="K23" i="138" s="1"/>
  <c r="D19" i="138"/>
  <c r="D18" i="138"/>
  <c r="D10" i="138"/>
  <c r="D11" i="138" s="1"/>
  <c r="K11" i="138" s="1"/>
  <c r="D14" i="138"/>
  <c r="D15" i="138" s="1"/>
  <c r="K15" i="138" s="1"/>
  <c r="K44" i="138" l="1"/>
  <c r="L44" i="138" s="1"/>
  <c r="C23" i="113" s="1"/>
  <c r="E19" i="137"/>
  <c r="E16" i="137"/>
  <c r="E13" i="137"/>
  <c r="K13" i="137" s="1"/>
  <c r="E10" i="137"/>
  <c r="K10" i="137" s="1"/>
  <c r="E40" i="113"/>
  <c r="D40" i="113"/>
  <c r="B40" i="113"/>
  <c r="A40" i="113"/>
  <c r="K19" i="137"/>
  <c r="K16" i="137"/>
  <c r="K43" i="137" l="1"/>
  <c r="L43" i="137" s="1"/>
  <c r="C40" i="113" s="1"/>
  <c r="K22" i="96"/>
  <c r="E37" i="113" l="1"/>
  <c r="D37" i="113"/>
  <c r="B37" i="113"/>
  <c r="A37" i="113"/>
  <c r="D12" i="136"/>
  <c r="K12" i="136" s="1"/>
  <c r="K43" i="136" s="1"/>
  <c r="L43" i="136" s="1"/>
  <c r="C37" i="113" s="1"/>
  <c r="D10" i="136"/>
  <c r="D13" i="135" l="1"/>
  <c r="K13" i="135" s="1"/>
  <c r="K43" i="135" s="1"/>
  <c r="L43" i="135" s="1"/>
  <c r="K11" i="134"/>
  <c r="D11" i="134"/>
  <c r="K43" i="134" l="1"/>
  <c r="L43" i="134" s="1"/>
  <c r="K16" i="58"/>
  <c r="K43" i="133" l="1"/>
  <c r="E46" i="113"/>
  <c r="D46" i="113"/>
  <c r="B46" i="113"/>
  <c r="A46" i="113"/>
  <c r="L43" i="133" l="1"/>
  <c r="C46" i="113" s="1"/>
  <c r="K43" i="58" l="1"/>
  <c r="K16" i="96"/>
  <c r="K19" i="96"/>
  <c r="K13" i="96"/>
  <c r="K10" i="96"/>
  <c r="D12" i="83"/>
  <c r="K12" i="83" s="1"/>
  <c r="K39" i="83" s="1"/>
  <c r="K43" i="96" l="1"/>
  <c r="B17" i="128"/>
  <c r="E16" i="128" s="1"/>
  <c r="E14" i="71"/>
  <c r="K14" i="94" l="1"/>
  <c r="K47" i="94" s="1"/>
  <c r="B19" i="128"/>
  <c r="B21" i="128" s="1"/>
  <c r="E20" i="128" s="1"/>
  <c r="E18" i="128" l="1"/>
  <c r="E22" i="128" l="1"/>
  <c r="K22" i="128" s="1"/>
  <c r="K47" i="128" s="1"/>
  <c r="L43" i="58"/>
  <c r="C24" i="113" s="1"/>
  <c r="K19" i="81"/>
  <c r="K16" i="81"/>
  <c r="K13" i="81"/>
  <c r="K10" i="81"/>
  <c r="K48" i="81" s="1"/>
  <c r="F112" i="125" l="1"/>
  <c r="F135" i="125"/>
  <c r="F134" i="125"/>
  <c r="F133" i="125"/>
  <c r="F132" i="125"/>
  <c r="F131" i="125"/>
  <c r="F130" i="125"/>
  <c r="F129" i="125"/>
  <c r="F128" i="125"/>
  <c r="F119" i="125"/>
  <c r="F118" i="125"/>
  <c r="F117" i="125"/>
  <c r="F116" i="125"/>
  <c r="F115" i="125"/>
  <c r="F114" i="125"/>
  <c r="F113" i="125"/>
  <c r="F61" i="125"/>
  <c r="F62" i="125"/>
  <c r="F63" i="125"/>
  <c r="F64" i="125"/>
  <c r="F65" i="125"/>
  <c r="F66" i="125"/>
  <c r="F67" i="125"/>
  <c r="F68" i="125"/>
  <c r="F69" i="125"/>
  <c r="F70" i="125"/>
  <c r="F71" i="125"/>
  <c r="F72" i="125"/>
  <c r="F73" i="125"/>
  <c r="F74" i="125"/>
  <c r="F75" i="125"/>
  <c r="F76" i="125"/>
  <c r="F77" i="125"/>
  <c r="F78" i="125"/>
  <c r="F79" i="125"/>
  <c r="F80" i="125"/>
  <c r="F81" i="125"/>
  <c r="F82" i="125"/>
  <c r="F83" i="125"/>
  <c r="G63" i="116"/>
  <c r="G64" i="116"/>
  <c r="G65" i="116"/>
  <c r="G66" i="116"/>
  <c r="G67" i="116"/>
  <c r="G68" i="116"/>
  <c r="G69" i="116"/>
  <c r="G70" i="116"/>
  <c r="G71" i="116"/>
  <c r="G72" i="116"/>
  <c r="G73" i="116"/>
  <c r="G74" i="116"/>
  <c r="G75" i="116"/>
  <c r="G76" i="116"/>
  <c r="G77" i="116"/>
  <c r="G78" i="116"/>
  <c r="G79" i="116"/>
  <c r="G80" i="116"/>
  <c r="G81" i="116"/>
  <c r="G82" i="116"/>
  <c r="G83" i="116"/>
  <c r="G84" i="116"/>
  <c r="G85" i="116"/>
  <c r="G62" i="116"/>
  <c r="G12" i="116"/>
  <c r="G13" i="116"/>
  <c r="G14" i="116"/>
  <c r="G15" i="116"/>
  <c r="G16" i="116"/>
  <c r="G17" i="116"/>
  <c r="G18" i="116"/>
  <c r="G19" i="116"/>
  <c r="G20" i="116"/>
  <c r="G21" i="116"/>
  <c r="G22" i="116"/>
  <c r="G23" i="116"/>
  <c r="G24" i="116"/>
  <c r="G25" i="116"/>
  <c r="G26" i="116"/>
  <c r="G27" i="116"/>
  <c r="G28" i="116"/>
  <c r="G29" i="116"/>
  <c r="G30" i="116"/>
  <c r="G31" i="116"/>
  <c r="G32" i="116"/>
  <c r="G33" i="116"/>
  <c r="G34" i="116"/>
  <c r="G11" i="116"/>
  <c r="F34" i="125"/>
  <c r="F33" i="125"/>
  <c r="F32" i="125"/>
  <c r="F31" i="125"/>
  <c r="F30" i="125"/>
  <c r="F29" i="125"/>
  <c r="F28" i="125"/>
  <c r="F27" i="125"/>
  <c r="F26" i="125"/>
  <c r="F25" i="125"/>
  <c r="F24" i="125"/>
  <c r="F23" i="125"/>
  <c r="F22" i="125"/>
  <c r="F21" i="125"/>
  <c r="F20" i="125"/>
  <c r="F19" i="125"/>
  <c r="F18" i="125"/>
  <c r="F17" i="125"/>
  <c r="F16" i="125"/>
  <c r="F15" i="125"/>
  <c r="F14" i="125"/>
  <c r="F13" i="125"/>
  <c r="F12" i="125"/>
  <c r="F11" i="125"/>
  <c r="F132" i="116"/>
  <c r="F131" i="116"/>
  <c r="F130" i="116"/>
  <c r="F129" i="116"/>
  <c r="F128" i="116"/>
  <c r="F127" i="116"/>
  <c r="F126" i="116"/>
  <c r="F125" i="116"/>
  <c r="F120" i="116"/>
  <c r="F119" i="116"/>
  <c r="F118" i="116"/>
  <c r="F117" i="116"/>
  <c r="F116" i="116"/>
  <c r="F115" i="116"/>
  <c r="F114" i="116"/>
  <c r="F113" i="116"/>
  <c r="K16" i="68"/>
  <c r="K13" i="68"/>
  <c r="K10" i="68"/>
  <c r="K19" i="61"/>
  <c r="K13" i="61"/>
  <c r="K10" i="61"/>
  <c r="F133" i="116" l="1"/>
  <c r="F140" i="125"/>
  <c r="F121" i="116"/>
  <c r="K121" i="116" s="1"/>
  <c r="G86" i="116"/>
  <c r="K86" i="116" s="1"/>
  <c r="K102" i="116" s="1"/>
  <c r="F124" i="125"/>
  <c r="F85" i="125"/>
  <c r="K85" i="125" s="1"/>
  <c r="K101" i="125" s="1"/>
  <c r="F35" i="125"/>
  <c r="K35" i="125" s="1"/>
  <c r="K50" i="125" s="1"/>
  <c r="G35" i="116"/>
  <c r="K35" i="116" s="1"/>
  <c r="K51" i="116" s="1"/>
  <c r="K124" i="125"/>
  <c r="K133" i="116"/>
  <c r="K153" i="116" s="1"/>
  <c r="K140" i="125"/>
  <c r="L153" i="116" l="1"/>
  <c r="K152" i="125"/>
  <c r="L152" i="125" s="1"/>
  <c r="K33" i="59"/>
  <c r="K27" i="59"/>
  <c r="K17" i="59"/>
  <c r="K12" i="59"/>
  <c r="D12" i="129"/>
  <c r="K12" i="129" s="1"/>
  <c r="K39" i="129" s="1"/>
  <c r="B17" i="71" l="1"/>
  <c r="E43" i="113"/>
  <c r="D43" i="113"/>
  <c r="B43" i="113"/>
  <c r="B10" i="113"/>
  <c r="A43" i="113"/>
  <c r="A10" i="113"/>
  <c r="K11" i="132"/>
  <c r="K48" i="132" s="1"/>
  <c r="L48" i="132" s="1"/>
  <c r="C43" i="113" s="1"/>
  <c r="E10" i="113"/>
  <c r="D10" i="113"/>
  <c r="E9" i="113"/>
  <c r="D9" i="113"/>
  <c r="B9" i="113"/>
  <c r="A9" i="113"/>
  <c r="K11" i="131"/>
  <c r="K48" i="131" s="1"/>
  <c r="L48" i="131" s="1"/>
  <c r="C10" i="113" s="1"/>
  <c r="K11" i="130"/>
  <c r="K48" i="130" s="1"/>
  <c r="L48" i="130" s="1"/>
  <c r="C9" i="113" s="1"/>
  <c r="B19" i="71" l="1"/>
  <c r="E16" i="71"/>
  <c r="E42" i="113"/>
  <c r="D42" i="113"/>
  <c r="B42" i="113"/>
  <c r="A42" i="113"/>
  <c r="E20" i="71" l="1"/>
  <c r="E18" i="71"/>
  <c r="E22" i="113"/>
  <c r="D22" i="113"/>
  <c r="B22" i="113"/>
  <c r="A22" i="113"/>
  <c r="E14" i="113"/>
  <c r="D14" i="113"/>
  <c r="B14" i="113"/>
  <c r="A14" i="113"/>
  <c r="F11" i="89"/>
  <c r="C11" i="89" s="1"/>
  <c r="E11" i="89"/>
  <c r="D11" i="89"/>
  <c r="B11" i="89"/>
  <c r="A11" i="89"/>
  <c r="E22" i="71" l="1"/>
  <c r="K22" i="71" s="1"/>
  <c r="K46" i="71" s="1"/>
  <c r="L46" i="71" s="1"/>
  <c r="C12" i="113" s="1"/>
  <c r="L39" i="129"/>
  <c r="L47" i="128"/>
  <c r="C14" i="113" s="1"/>
  <c r="D16" i="120"/>
  <c r="D13" i="120"/>
  <c r="D12" i="120"/>
  <c r="F25" i="121"/>
  <c r="K25" i="121" s="1"/>
  <c r="F16" i="121"/>
  <c r="K16" i="121" s="1"/>
  <c r="G47" i="79"/>
  <c r="G46" i="79"/>
  <c r="E47" i="79"/>
  <c r="E46" i="79"/>
  <c r="C22" i="113" l="1"/>
  <c r="B28" i="113"/>
  <c r="H20" i="74"/>
  <c r="H13" i="74"/>
  <c r="C15" i="89"/>
  <c r="L48" i="127"/>
  <c r="C42" i="113" s="1"/>
  <c r="H13" i="89" l="1"/>
  <c r="G13" i="89"/>
  <c r="F13" i="89"/>
  <c r="E36" i="113" l="1"/>
  <c r="D36" i="113"/>
  <c r="B36" i="113"/>
  <c r="A36" i="113"/>
  <c r="C19" i="126"/>
  <c r="K19" i="126" s="1"/>
  <c r="C13" i="126"/>
  <c r="K13" i="126" s="1"/>
  <c r="D18" i="124"/>
  <c r="K20" i="124" s="1"/>
  <c r="K50" i="124" s="1"/>
  <c r="L50" i="124" s="1"/>
  <c r="C82" i="79"/>
  <c r="C73" i="79"/>
  <c r="K51" i="126" l="1"/>
  <c r="L51" i="126" s="1"/>
  <c r="C36" i="113"/>
  <c r="D15" i="67" l="1"/>
  <c r="D14" i="67"/>
  <c r="D13" i="67"/>
  <c r="D12" i="67"/>
  <c r="K47" i="123"/>
  <c r="F59" i="79"/>
  <c r="G59" i="79" s="1"/>
  <c r="K59" i="79" s="1"/>
  <c r="F58" i="79"/>
  <c r="G58" i="79" s="1"/>
  <c r="K58" i="79" s="1"/>
  <c r="F19" i="79"/>
  <c r="F18" i="79"/>
  <c r="F17" i="79"/>
  <c r="F16" i="79"/>
  <c r="L47" i="123" l="1"/>
  <c r="G37" i="89" l="1"/>
  <c r="F37" i="89"/>
  <c r="G36" i="89"/>
  <c r="K24" i="121"/>
  <c r="K15" i="121"/>
  <c r="G25" i="89"/>
  <c r="D14" i="43"/>
  <c r="K20" i="43" s="1"/>
  <c r="F25" i="89" l="1"/>
  <c r="C83" i="79"/>
  <c r="C84" i="79" s="1"/>
  <c r="C74" i="79"/>
  <c r="C75" i="79" s="1"/>
  <c r="F27" i="79"/>
  <c r="C15" i="122"/>
  <c r="C17" i="122" s="1"/>
  <c r="C18" i="122" s="1"/>
  <c r="C20" i="122" s="1"/>
  <c r="K20" i="122" s="1"/>
  <c r="K52" i="122" s="1"/>
  <c r="L52" i="122" s="1"/>
  <c r="C37" i="89"/>
  <c r="A30" i="89"/>
  <c r="C8" i="89"/>
  <c r="E30" i="89" l="1"/>
  <c r="D30" i="89"/>
  <c r="B30" i="89"/>
  <c r="E27" i="89" l="1"/>
  <c r="D27" i="89"/>
  <c r="B27" i="89"/>
  <c r="A27" i="89"/>
  <c r="K16" i="120"/>
  <c r="K50" i="120" s="1"/>
  <c r="L50" i="120" s="1"/>
  <c r="H27" i="89" l="1"/>
  <c r="C27" i="89" s="1"/>
  <c r="K49" i="121"/>
  <c r="L49" i="121" s="1"/>
  <c r="E11" i="113"/>
  <c r="E9" i="89" s="1"/>
  <c r="D9" i="89"/>
  <c r="B11" i="113"/>
  <c r="B9" i="89" s="1"/>
  <c r="A11" i="113"/>
  <c r="A9" i="89" s="1"/>
  <c r="K48" i="119"/>
  <c r="K48" i="118"/>
  <c r="E15" i="118"/>
  <c r="E16" i="118" s="1"/>
  <c r="L48" i="118" s="1"/>
  <c r="E36" i="89"/>
  <c r="D36" i="89"/>
  <c r="B36" i="89"/>
  <c r="A36" i="89"/>
  <c r="E35" i="113"/>
  <c r="E35" i="89" s="1"/>
  <c r="D35" i="113"/>
  <c r="D35" i="89" s="1"/>
  <c r="B35" i="113"/>
  <c r="B35" i="89" s="1"/>
  <c r="A35" i="113"/>
  <c r="A35" i="89" s="1"/>
  <c r="C19" i="117"/>
  <c r="K19" i="117" s="1"/>
  <c r="C13" i="117"/>
  <c r="K13" i="117" s="1"/>
  <c r="K51" i="117" s="1"/>
  <c r="C23" i="114"/>
  <c r="C24" i="114" s="1"/>
  <c r="K24" i="114" s="1"/>
  <c r="C14" i="114"/>
  <c r="C15" i="114" s="1"/>
  <c r="K15" i="114" s="1"/>
  <c r="H30" i="89" l="1"/>
  <c r="F36" i="89"/>
  <c r="L51" i="117"/>
  <c r="K52" i="114"/>
  <c r="L52" i="114" s="1"/>
  <c r="C35" i="113"/>
  <c r="E45" i="113"/>
  <c r="E42" i="89" s="1"/>
  <c r="D45" i="113"/>
  <c r="D42" i="89" s="1"/>
  <c r="B45" i="113"/>
  <c r="B42" i="89" s="1"/>
  <c r="A45" i="113"/>
  <c r="A42" i="89" s="1"/>
  <c r="E41" i="113"/>
  <c r="E40" i="89" s="1"/>
  <c r="D41" i="113"/>
  <c r="D40" i="89" s="1"/>
  <c r="B41" i="113"/>
  <c r="B40" i="89" s="1"/>
  <c r="A41" i="113"/>
  <c r="A40" i="89" s="1"/>
  <c r="E39" i="89"/>
  <c r="D38" i="113"/>
  <c r="D39" i="89" s="1"/>
  <c r="B39" i="89"/>
  <c r="A39" i="89"/>
  <c r="E37" i="89"/>
  <c r="D37" i="89"/>
  <c r="B37" i="89"/>
  <c r="A37" i="89"/>
  <c r="E34" i="89"/>
  <c r="D34" i="89"/>
  <c r="B34" i="89"/>
  <c r="A34" i="89"/>
  <c r="E32" i="113"/>
  <c r="E32" i="89" s="1"/>
  <c r="D32" i="113"/>
  <c r="D32" i="89" s="1"/>
  <c r="B32" i="113"/>
  <c r="B32" i="89" s="1"/>
  <c r="A32" i="113"/>
  <c r="A32" i="89" s="1"/>
  <c r="E31" i="113"/>
  <c r="E31" i="89" s="1"/>
  <c r="D31" i="113"/>
  <c r="D31" i="89" s="1"/>
  <c r="B31" i="113"/>
  <c r="B31" i="89" s="1"/>
  <c r="A31" i="113"/>
  <c r="A31" i="89" s="1"/>
  <c r="E30" i="113"/>
  <c r="E29" i="89" s="1"/>
  <c r="D30" i="113"/>
  <c r="D29" i="89" s="1"/>
  <c r="B30" i="113"/>
  <c r="B29" i="89" s="1"/>
  <c r="A30" i="113"/>
  <c r="A29" i="89" s="1"/>
  <c r="E29" i="113"/>
  <c r="E24" i="89" s="1"/>
  <c r="D29" i="113"/>
  <c r="D24" i="89" s="1"/>
  <c r="B29" i="113"/>
  <c r="B24" i="89" s="1"/>
  <c r="A29" i="113"/>
  <c r="A24" i="89" s="1"/>
  <c r="E25" i="89"/>
  <c r="D25" i="89"/>
  <c r="B25" i="89"/>
  <c r="A25" i="89"/>
  <c r="E28" i="113"/>
  <c r="E23" i="89" s="1"/>
  <c r="D28" i="113"/>
  <c r="D23" i="89" s="1"/>
  <c r="B23" i="89"/>
  <c r="A28" i="113"/>
  <c r="A23" i="89" s="1"/>
  <c r="E21" i="89"/>
  <c r="D21" i="89"/>
  <c r="B21" i="89"/>
  <c r="A21" i="89"/>
  <c r="E20" i="89"/>
  <c r="D20" i="89"/>
  <c r="B20" i="89"/>
  <c r="A20" i="89"/>
  <c r="E24" i="113"/>
  <c r="E18" i="89" s="1"/>
  <c r="D24" i="113"/>
  <c r="D18" i="89" s="1"/>
  <c r="B24" i="113"/>
  <c r="B18" i="89" s="1"/>
  <c r="A24" i="113"/>
  <c r="A18" i="89" s="1"/>
  <c r="E21" i="113"/>
  <c r="E17" i="89" s="1"/>
  <c r="D21" i="113"/>
  <c r="D17" i="89" s="1"/>
  <c r="B21" i="113"/>
  <c r="B17" i="89" s="1"/>
  <c r="A21" i="113"/>
  <c r="A17" i="89" s="1"/>
  <c r="E20" i="113"/>
  <c r="E16" i="89" s="1"/>
  <c r="D20" i="113"/>
  <c r="D16" i="89" s="1"/>
  <c r="B20" i="113"/>
  <c r="B16" i="89" s="1"/>
  <c r="A20" i="113"/>
  <c r="A16" i="89" s="1"/>
  <c r="E15" i="89"/>
  <c r="D15" i="89"/>
  <c r="B15" i="89"/>
  <c r="A15" i="89"/>
  <c r="E16" i="113"/>
  <c r="E13" i="89" s="1"/>
  <c r="D16" i="113"/>
  <c r="D13" i="89" s="1"/>
  <c r="B16" i="113"/>
  <c r="B13" i="89" s="1"/>
  <c r="A16" i="113"/>
  <c r="A13" i="89" s="1"/>
  <c r="E12" i="113"/>
  <c r="E10" i="89" s="1"/>
  <c r="D12" i="113"/>
  <c r="D10" i="89" s="1"/>
  <c r="B12" i="113"/>
  <c r="B10" i="89" s="1"/>
  <c r="A12" i="113"/>
  <c r="A10" i="89" s="1"/>
  <c r="E8" i="113"/>
  <c r="B8" i="113"/>
  <c r="B8" i="89" s="1"/>
  <c r="A8" i="113"/>
  <c r="A8" i="89" s="1"/>
  <c r="F35" i="89" l="1"/>
  <c r="F34" i="80"/>
  <c r="G34" i="80" s="1"/>
  <c r="F31" i="80"/>
  <c r="G31" i="80" s="1"/>
  <c r="G36" i="80"/>
  <c r="E35" i="80"/>
  <c r="G35" i="80" s="1"/>
  <c r="G33" i="80"/>
  <c r="E32" i="80"/>
  <c r="G32" i="80" s="1"/>
  <c r="F20" i="80"/>
  <c r="G20" i="80" s="1"/>
  <c r="F23" i="80"/>
  <c r="G23" i="80" s="1"/>
  <c r="G25" i="80"/>
  <c r="E24" i="80"/>
  <c r="G24" i="80" s="1"/>
  <c r="G22" i="80"/>
  <c r="E21" i="80"/>
  <c r="G21" i="80" s="1"/>
  <c r="G38" i="80" l="1"/>
  <c r="H38" i="80" s="1"/>
  <c r="K38" i="80" s="1"/>
  <c r="G27" i="80"/>
  <c r="H27" i="80" s="1"/>
  <c r="K27" i="80" s="1"/>
  <c r="K84" i="79" l="1"/>
  <c r="K75" i="79"/>
  <c r="K90" i="79" l="1"/>
  <c r="C19" i="109"/>
  <c r="K19" i="109" s="1"/>
  <c r="C19" i="110"/>
  <c r="K19" i="110" s="1"/>
  <c r="C13" i="110"/>
  <c r="K13" i="110" s="1"/>
  <c r="C13" i="109"/>
  <c r="K13" i="109" s="1"/>
  <c r="C23" i="76"/>
  <c r="C24" i="76" s="1"/>
  <c r="K49" i="109" l="1"/>
  <c r="K51" i="110"/>
  <c r="L51" i="110" s="1"/>
  <c r="L49" i="109"/>
  <c r="K24" i="76"/>
  <c r="C36" i="89" l="1"/>
  <c r="C35" i="89"/>
  <c r="F34" i="89"/>
  <c r="C34" i="89" s="1"/>
  <c r="D11" i="79"/>
  <c r="K50" i="108" l="1"/>
  <c r="L50" i="108" s="1"/>
  <c r="G11" i="80"/>
  <c r="L50" i="79"/>
  <c r="C50" i="79"/>
  <c r="I49" i="79"/>
  <c r="F49" i="79"/>
  <c r="C49" i="79"/>
  <c r="I46" i="79"/>
  <c r="F26" i="79"/>
  <c r="E26" i="79"/>
  <c r="C24" i="62"/>
  <c r="C15" i="62"/>
  <c r="B28" i="63"/>
  <c r="D28" i="63" s="1"/>
  <c r="K28" i="63" s="1"/>
  <c r="E24" i="63"/>
  <c r="B17" i="63"/>
  <c r="D17" i="63" s="1"/>
  <c r="E13" i="63"/>
  <c r="K43" i="98"/>
  <c r="L43" i="98" s="1"/>
  <c r="C45" i="113" l="1"/>
  <c r="I42" i="89"/>
  <c r="C42" i="89" s="1"/>
  <c r="C30" i="89"/>
  <c r="F24" i="89"/>
  <c r="C24" i="89" s="1"/>
  <c r="H20" i="89"/>
  <c r="F19" i="62"/>
  <c r="F21" i="62" s="1"/>
  <c r="B24" i="62" s="1"/>
  <c r="D24" i="62" s="1"/>
  <c r="K24" i="62" s="1"/>
  <c r="I19" i="85"/>
  <c r="I22" i="85" s="1"/>
  <c r="K22" i="85" s="1"/>
  <c r="E25" i="85" s="1"/>
  <c r="G25" i="85" s="1"/>
  <c r="G29" i="85" s="1"/>
  <c r="F10" i="62"/>
  <c r="F12" i="62" s="1"/>
  <c r="B15" i="62" s="1"/>
  <c r="L43" i="96"/>
  <c r="E8" i="89"/>
  <c r="C41" i="113" l="1"/>
  <c r="I40" i="89"/>
  <c r="L8" i="89"/>
  <c r="L47" i="94" l="1"/>
  <c r="C20" i="113" l="1"/>
  <c r="G16" i="89"/>
  <c r="G12" i="80" l="1"/>
  <c r="G14" i="80" s="1"/>
  <c r="E27" i="79"/>
  <c r="H19" i="79"/>
  <c r="I19" i="79" s="1"/>
  <c r="H18" i="79"/>
  <c r="I18" i="79" s="1"/>
  <c r="H17" i="79"/>
  <c r="I17" i="79" s="1"/>
  <c r="H16" i="79"/>
  <c r="E11" i="79"/>
  <c r="F11" i="79" l="1"/>
  <c r="K11" i="79" s="1"/>
  <c r="I16" i="79"/>
  <c r="I22" i="79" s="1"/>
  <c r="K22" i="79" s="1"/>
  <c r="H22" i="79"/>
  <c r="H14" i="80"/>
  <c r="K14" i="80" s="1"/>
  <c r="K48" i="80" s="1"/>
  <c r="G27" i="79"/>
  <c r="H27" i="79" s="1"/>
  <c r="G26" i="79"/>
  <c r="H26" i="79" s="1"/>
  <c r="L48" i="81"/>
  <c r="C38" i="113" l="1"/>
  <c r="I39" i="89"/>
  <c r="C39" i="89" s="1"/>
  <c r="H28" i="79"/>
  <c r="K28" i="79" s="1"/>
  <c r="K45" i="79" s="1"/>
  <c r="G28" i="79"/>
  <c r="L48" i="80"/>
  <c r="L39" i="83"/>
  <c r="C21" i="113" l="1"/>
  <c r="L46" i="73"/>
  <c r="F17" i="89"/>
  <c r="C20" i="89"/>
  <c r="D18" i="67" l="1"/>
  <c r="K18" i="67" s="1"/>
  <c r="K50" i="67" s="1"/>
  <c r="L50" i="67" s="1"/>
  <c r="C25" i="89" l="1"/>
  <c r="H21" i="89"/>
  <c r="C21" i="89" s="1"/>
  <c r="H22" i="74"/>
  <c r="K22" i="74" s="1"/>
  <c r="H15" i="74"/>
  <c r="K15" i="74" s="1"/>
  <c r="C14" i="76"/>
  <c r="K50" i="43"/>
  <c r="L50" i="43" s="1"/>
  <c r="F12" i="75"/>
  <c r="G12" i="75" s="1"/>
  <c r="F11" i="75"/>
  <c r="G11" i="75" s="1"/>
  <c r="K49" i="74" l="1"/>
  <c r="K50" i="78"/>
  <c r="L50" i="78" s="1"/>
  <c r="C15" i="76"/>
  <c r="K15" i="76" s="1"/>
  <c r="K52" i="76" s="1"/>
  <c r="L52" i="76" s="1"/>
  <c r="C40" i="89" s="1"/>
  <c r="G13" i="75"/>
  <c r="K13" i="75" s="1"/>
  <c r="K48" i="75" s="1"/>
  <c r="L48" i="75" s="1"/>
  <c r="F23" i="89" l="1"/>
  <c r="C23" i="89" s="1"/>
  <c r="H18" i="89" l="1"/>
  <c r="L49" i="74" l="1"/>
  <c r="K48" i="72"/>
  <c r="L48" i="72" s="1"/>
  <c r="K48" i="70"/>
  <c r="L48" i="70" s="1"/>
  <c r="F10" i="89" l="1"/>
  <c r="C10" i="89" s="1"/>
  <c r="G18" i="89" l="1"/>
  <c r="K47" i="68"/>
  <c r="L47" i="68" s="1"/>
  <c r="C32" i="113" s="1"/>
  <c r="F32" i="89" l="1"/>
  <c r="D15" i="62"/>
  <c r="K15" i="62" l="1"/>
  <c r="K17" i="63"/>
  <c r="K46" i="63" s="1"/>
  <c r="K46" i="62" l="1"/>
  <c r="L46" i="62" s="1"/>
  <c r="L46" i="63"/>
  <c r="C16" i="89" s="1"/>
  <c r="C32" i="89" l="1"/>
  <c r="F18" i="89" l="1"/>
  <c r="C18" i="89" s="1"/>
  <c r="L90" i="79"/>
  <c r="H14" i="89" s="1"/>
  <c r="C16" i="113" l="1"/>
  <c r="C17" i="89"/>
  <c r="C13" i="89" l="1"/>
  <c r="K16" i="61"/>
  <c r="K47" i="61" s="1"/>
  <c r="L47" i="61" s="1"/>
  <c r="K22" i="59" l="1"/>
  <c r="F31" i="89"/>
  <c r="C31" i="89" s="1"/>
  <c r="C31" i="113"/>
  <c r="K50" i="59" l="1"/>
  <c r="L50" i="59" s="1"/>
  <c r="C30" i="113" l="1"/>
  <c r="F29" i="89"/>
  <c r="C29" i="89" s="1"/>
</calcChain>
</file>

<file path=xl/sharedStrings.xml><?xml version="1.0" encoding="utf-8"?>
<sst xmlns="http://schemas.openxmlformats.org/spreadsheetml/2006/main" count="2318" uniqueCount="370">
  <si>
    <t>QUANTITY</t>
  </si>
  <si>
    <t>CALCULATIONS</t>
  </si>
  <si>
    <t>MADE BY:</t>
  </si>
  <si>
    <t>CHECKED BY:</t>
  </si>
  <si>
    <t>DATE:</t>
  </si>
  <si>
    <t>ITEM NUMBER:</t>
  </si>
  <si>
    <t>PAGE NUMBER:</t>
  </si>
  <si>
    <t>PID NO.</t>
  </si>
  <si>
    <t>PAY UNIT</t>
  </si>
  <si>
    <t>JOB NO.</t>
  </si>
  <si>
    <t>ITEM NAME</t>
  </si>
  <si>
    <t>STRUCTURE</t>
  </si>
  <si>
    <t>SUB TOTAL</t>
  </si>
  <si>
    <t>TOTAL</t>
  </si>
  <si>
    <t>Length</t>
  </si>
  <si>
    <t>Width</t>
  </si>
  <si>
    <t>Area (SF)</t>
  </si>
  <si>
    <t>ft</t>
  </si>
  <si>
    <t>DESCRIPTION</t>
  </si>
  <si>
    <t>Rear Abutment</t>
  </si>
  <si>
    <t>Forward Abutment</t>
  </si>
  <si>
    <t>Total =</t>
  </si>
  <si>
    <t>Deck</t>
  </si>
  <si>
    <t>Height</t>
  </si>
  <si>
    <t>Area (ft^2)</t>
  </si>
  <si>
    <t>Thickness (ft)</t>
  </si>
  <si>
    <t>Volume (ft^3)</t>
  </si>
  <si>
    <t>Beam #</t>
  </si>
  <si>
    <t>Height (in)</t>
  </si>
  <si>
    <t>Quantity</t>
  </si>
  <si>
    <t>Length (ft)</t>
  </si>
  <si>
    <t>SEALING OF CONCRETE SURFACES (EPOXY-URETHANE)</t>
  </si>
  <si>
    <t>Volume (yd^3)</t>
  </si>
  <si>
    <t>6" PERFORATED CORRUGATED PLASTIC PIPE</t>
  </si>
  <si>
    <t>FT</t>
  </si>
  <si>
    <t>Order Length (ft)</t>
  </si>
  <si>
    <t># of Piles</t>
  </si>
  <si>
    <t>Furnished Length (ft)</t>
  </si>
  <si>
    <t>Driven Length (ft)</t>
  </si>
  <si>
    <t>Estimated Length (ft)</t>
  </si>
  <si>
    <t>Pier 1</t>
  </si>
  <si>
    <t>Pier 2</t>
  </si>
  <si>
    <t>518E21200</t>
  </si>
  <si>
    <t>518E40000</t>
  </si>
  <si>
    <t>6" NON-PERFORATED CORRUGATED PLASTIC PIPE, INCLUDING SPECIALS</t>
  </si>
  <si>
    <t>518E40010</t>
  </si>
  <si>
    <t>512E10100</t>
  </si>
  <si>
    <t>Area (SY)</t>
  </si>
  <si>
    <t>Location</t>
  </si>
  <si>
    <t>Rear Abut</t>
  </si>
  <si>
    <t>Total</t>
  </si>
  <si>
    <t>EACH</t>
  </si>
  <si>
    <t>Volume (CY)</t>
  </si>
  <si>
    <t>513E20000</t>
  </si>
  <si>
    <t>505E11100</t>
  </si>
  <si>
    <t>LUMP</t>
  </si>
  <si>
    <t>PILE DRIVING EQUIPMENT MOBILIZATION</t>
  </si>
  <si>
    <t>509E10000</t>
  </si>
  <si>
    <t>516E13600</t>
  </si>
  <si>
    <t>1" PREFORMED EXPANSION JOINT FILLER</t>
  </si>
  <si>
    <t>Excavation is 1'-0" around Perimeter of Footing x Excavation Depth</t>
  </si>
  <si>
    <t>Sum</t>
  </si>
  <si>
    <t>APPROACH SLAB REMOVED</t>
  </si>
  <si>
    <t>202E22900</t>
  </si>
  <si>
    <t>Fwd Abutment</t>
  </si>
  <si>
    <t>Area</t>
  </si>
  <si>
    <t>SF</t>
  </si>
  <si>
    <t>SY</t>
  </si>
  <si>
    <t>516E13900</t>
  </si>
  <si>
    <t>2" PREFORMED EXPANSION JOINT FILLER</t>
  </si>
  <si>
    <t xml:space="preserve">Area = </t>
  </si>
  <si>
    <t xml:space="preserve">Parapet Area = </t>
  </si>
  <si>
    <t>WELDED STUD SHEAR CONNECTORS</t>
  </si>
  <si>
    <t>Spaces</t>
  </si>
  <si>
    <t>Number</t>
  </si>
  <si>
    <t>(Area Measured from Microstation)</t>
  </si>
  <si>
    <t>Typical Haunch</t>
  </si>
  <si>
    <t>Fillet Width (in)</t>
  </si>
  <si>
    <t>Area (sq in)</t>
  </si>
  <si>
    <t>Parapet On Structure</t>
  </si>
  <si>
    <t>Area       (sq ft)</t>
  </si>
  <si>
    <t>Left Parapet</t>
  </si>
  <si>
    <t>Right Parapet</t>
  </si>
  <si>
    <t>sq ft</t>
  </si>
  <si>
    <t>CY</t>
  </si>
  <si>
    <t>Left</t>
  </si>
  <si>
    <t>ITEM EXT.</t>
  </si>
  <si>
    <t>ITEM</t>
  </si>
  <si>
    <t>UNIT</t>
  </si>
  <si>
    <t>PIERS</t>
  </si>
  <si>
    <t>GENERAL</t>
  </si>
  <si>
    <t>PROJECT</t>
  </si>
  <si>
    <t>LS</t>
  </si>
  <si>
    <t>LUMP SUM ITEM</t>
  </si>
  <si>
    <t xml:space="preserve">AREA = </t>
  </si>
  <si>
    <t>LUMP SUM</t>
  </si>
  <si>
    <t>EST. COST</t>
  </si>
  <si>
    <t xml:space="preserve">LENGTH = </t>
  </si>
  <si>
    <t>WIDTH =</t>
  </si>
  <si>
    <t>LB</t>
  </si>
  <si>
    <t>CLASS QC2 CONCRETE WITH QC/QA, BRIDGE DECK (PARAPET)</t>
  </si>
  <si>
    <t>514E00066</t>
  </si>
  <si>
    <t>FIELD PAINTING STRUCTURAL STEEL, FINISH COAT</t>
  </si>
  <si>
    <t>POROUS BACKFILL WITH GEOTEXTILE FABRIC</t>
  </si>
  <si>
    <t>CRUSHED AGGREGATE SLOPE PROTECTION</t>
  </si>
  <si>
    <t>601E20000</t>
  </si>
  <si>
    <t>ABUTMENTS</t>
  </si>
  <si>
    <t>POLYMER MODIFIED ASPHALT EXPANSION JOINT SYSTEM</t>
  </si>
  <si>
    <t>CF</t>
  </si>
  <si>
    <t>846E00110</t>
  </si>
  <si>
    <t>SUPERSTRUCTURE</t>
  </si>
  <si>
    <t>SHEET REF.</t>
  </si>
  <si>
    <t>Bottom Footing Elev</t>
  </si>
  <si>
    <t>Embedment</t>
  </si>
  <si>
    <t>Estimated Length</t>
  </si>
  <si>
    <t>Rounded Up to 5 feet</t>
  </si>
  <si>
    <t>Additional Length</t>
  </si>
  <si>
    <t>Order Length</t>
  </si>
  <si>
    <t>Additional Haunch Overhang</t>
  </si>
  <si>
    <t>Subtotal</t>
  </si>
  <si>
    <t>By:</t>
  </si>
  <si>
    <t>Checked:</t>
  </si>
  <si>
    <t>STEEL PILES HP10X42, FURNISHED</t>
  </si>
  <si>
    <t>STEEL PILES HP10X42, DRIVEN</t>
  </si>
  <si>
    <t>507E00100</t>
  </si>
  <si>
    <t>507E00150</t>
  </si>
  <si>
    <t>Size</t>
  </si>
  <si>
    <t>Wt/Ft</t>
  </si>
  <si>
    <t>Wt</t>
  </si>
  <si>
    <t>Elastomeric Bearings with Steel Load Plate</t>
  </si>
  <si>
    <t xml:space="preserve">Total Bearings = </t>
  </si>
  <si>
    <t>See Intermediate coat calcs</t>
  </si>
  <si>
    <t>NYLON REINFORCED NEOPRENE SHEETING</t>
  </si>
  <si>
    <t>516E25000</t>
  </si>
  <si>
    <t>Vol</t>
  </si>
  <si>
    <t>Rear Abutment Diaphragm</t>
  </si>
  <si>
    <t>Forward Abutment Diaphragm</t>
  </si>
  <si>
    <t>5.5" X 7/8 dia studs on Beams, 3 per row:</t>
  </si>
  <si>
    <t>Rear Approach Slab Parapet</t>
  </si>
  <si>
    <t>Left Parapet- Section AA*</t>
  </si>
  <si>
    <t>Left Parapet- Transition**</t>
  </si>
  <si>
    <t>Left Parapet- Section BB*</t>
  </si>
  <si>
    <t>Forward Approach Slab Parapet</t>
  </si>
  <si>
    <t>Right Parapet- Section AA*</t>
  </si>
  <si>
    <t>Right Parapet- Transition**</t>
  </si>
  <si>
    <t>Right Parapet- Section BB*</t>
  </si>
  <si>
    <t>CALC. BY:</t>
  </si>
  <si>
    <t>511E34450</t>
  </si>
  <si>
    <t>Tip Elev</t>
  </si>
  <si>
    <t>(from Geotech Report)</t>
  </si>
  <si>
    <t>SJR</t>
  </si>
  <si>
    <t>601E32204</t>
  </si>
  <si>
    <t>ROCK CHANNEL PROTECTION, TYPE C WITH GEOTEXTILE FABRIC</t>
  </si>
  <si>
    <t>DRILLED SHAFTS, 30" DIAMETER, INTO BEDROCK</t>
  </si>
  <si>
    <t>524E94604</t>
  </si>
  <si>
    <t>WEARING COURSE REMOVED</t>
  </si>
  <si>
    <t>202E23500</t>
  </si>
  <si>
    <t>COFFERDAMS AND EXCAVATION BRACING</t>
  </si>
  <si>
    <t>503E11100</t>
  </si>
  <si>
    <t>RAILING (TWIN STEEL TUBE)</t>
  </si>
  <si>
    <t>517E70000</t>
  </si>
  <si>
    <t>STEEL DRIP STRIP</t>
  </si>
  <si>
    <t>518E22300</t>
  </si>
  <si>
    <t>=</t>
  </si>
  <si>
    <t>601E35000</t>
  </si>
  <si>
    <t>ROCK CHANNEL PROTECTION, MISC.: SCOUR REPAIR</t>
  </si>
  <si>
    <t>Depth</t>
  </si>
  <si>
    <t>End Area</t>
  </si>
  <si>
    <t>Volume</t>
  </si>
  <si>
    <t>cu ft</t>
  </si>
  <si>
    <t>Use</t>
  </si>
  <si>
    <t>cu yd</t>
  </si>
  <si>
    <t>Add</t>
  </si>
  <si>
    <t>for area above C.J</t>
  </si>
  <si>
    <t>Fwd. Abut</t>
  </si>
  <si>
    <t>Railing (Twin Steel Tube)</t>
  </si>
  <si>
    <t>Right</t>
  </si>
  <si>
    <t xml:space="preserve">Total Length = </t>
  </si>
  <si>
    <t>Superstructure</t>
  </si>
  <si>
    <t>Left Drip Strip</t>
  </si>
  <si>
    <t>Length =</t>
  </si>
  <si>
    <t>From face of RA to face of FA</t>
  </si>
  <si>
    <t>Fwd. Abutment</t>
  </si>
  <si>
    <t>DRILLED SHAFTS, 42" DIAMETER, INTO BEDROCK</t>
  </si>
  <si>
    <t>524E94804</t>
  </si>
  <si>
    <t>DRILLED SHAFTS, 48" DIAMETER, ABOVE BEDROCK</t>
  </si>
  <si>
    <t>524E94902</t>
  </si>
  <si>
    <t>Along Slope</t>
  </si>
  <si>
    <t>Diaphragm Guide Deduction</t>
  </si>
  <si>
    <t>RA</t>
  </si>
  <si>
    <t>FA</t>
  </si>
  <si>
    <t>SEMI-INTEGRAL DIAPHRAGM GUIDE</t>
  </si>
  <si>
    <t>511E33500</t>
  </si>
  <si>
    <t>Abutment Total</t>
  </si>
  <si>
    <t>Pier Total</t>
  </si>
  <si>
    <t>UNCLASSIFIED EXCAVATION</t>
  </si>
  <si>
    <t>503E21100</t>
  </si>
  <si>
    <t>CLASS QC2 CONCRETE WITH QC/QA, SUPERSTRUCTURE</t>
  </si>
  <si>
    <t>511E21522</t>
  </si>
  <si>
    <t>Width (in)</t>
  </si>
  <si>
    <t>Rear Abutment (at Wingwalls)</t>
  </si>
  <si>
    <t>Fwd. Abutment (at Wingwalls)</t>
  </si>
  <si>
    <t>DRILLED SHAFTS, 42" DIAMETER, ABOVE BEDROCK</t>
  </si>
  <si>
    <t>524E94802</t>
  </si>
  <si>
    <t>VOID</t>
  </si>
  <si>
    <t>(9 X 14 X 2.049)</t>
  </si>
  <si>
    <t xml:space="preserve">(11 X 16 X 2.049) </t>
  </si>
  <si>
    <t>End of Approach Slab at Backwall</t>
  </si>
  <si>
    <t>Right Drip Strip</t>
  </si>
  <si>
    <t>Top Strip at Each post =</t>
  </si>
  <si>
    <t>1.5' x 16 posts =</t>
  </si>
  <si>
    <t>= 2 (2'-5 1/2") +106.25' ( c/c Posts mounted on abutments)</t>
  </si>
  <si>
    <t xml:space="preserve">ELASTOMERIC BEARING WITH INTERNAL LAMINATES AND LOAD PLATE (NEOPRENE) (11"x16"x2.049") </t>
  </si>
  <si>
    <t>ELASTOMERIC BEARING WITH INTERNAL LAMINATES AND LOAD PLATE (NEOPRENE), AS PER PLAN (9"x14"x2.049")</t>
  </si>
  <si>
    <t>516E44201</t>
  </si>
  <si>
    <t>516E44200</t>
  </si>
  <si>
    <t>PORTIONS OF STRUCTURE REMOVED</t>
  </si>
  <si>
    <t>202E11200</t>
  </si>
  <si>
    <t>BEL-National Rd Tunnel</t>
  </si>
  <si>
    <t>ROCK EXCAVATION</t>
  </si>
  <si>
    <t>503E31100</t>
  </si>
  <si>
    <t>BEL-National Rd. Tunnel</t>
  </si>
  <si>
    <t>ESTIMATED QUANTITIES</t>
  </si>
  <si>
    <t>CLASS QC1 CONCRETE WITH QC/QA, FOOTING</t>
  </si>
  <si>
    <t>511E46512</t>
  </si>
  <si>
    <t>511E71100</t>
  </si>
  <si>
    <t>513E90000</t>
  </si>
  <si>
    <t>LUMINAIRE, TUNNEL, SOLID STATE (LED)</t>
  </si>
  <si>
    <t>625E27504</t>
  </si>
  <si>
    <t>JSP</t>
  </si>
  <si>
    <t>EXCAVATION</t>
  </si>
  <si>
    <t>203E10000</t>
  </si>
  <si>
    <t>EMBANKMENT</t>
  </si>
  <si>
    <t>203E20000</t>
  </si>
  <si>
    <t>SEEDING AND MULCHING</t>
  </si>
  <si>
    <t>659E10000</t>
  </si>
  <si>
    <t>South Tunnel Extension</t>
  </si>
  <si>
    <t>LEFT</t>
  </si>
  <si>
    <t>RIGHT</t>
  </si>
  <si>
    <t>STATION</t>
  </si>
  <si>
    <t>CUT (SF)</t>
  </si>
  <si>
    <t>CUT (CY)</t>
  </si>
  <si>
    <t>Thickness</t>
  </si>
  <si>
    <t>North Modular Block Wall (Upper Plaza Overlook)</t>
  </si>
  <si>
    <t>Pile #</t>
  </si>
  <si>
    <t>Top Elevation</t>
  </si>
  <si>
    <t>Bottom Elevation</t>
  </si>
  <si>
    <t>Average Height</t>
  </si>
  <si>
    <t>Soldier Pile Wall No. 1 (North)</t>
  </si>
  <si>
    <t>Soldier Pile Wall No. 2 (North)</t>
  </si>
  <si>
    <t>Soldier Pile Wall No. 3 (South)</t>
  </si>
  <si>
    <t>Soldier Pile Wall No. 4 (South)</t>
  </si>
  <si>
    <t>Top of Rock Elevation</t>
  </si>
  <si>
    <t>Top of Rock/Bottom Elevation</t>
  </si>
  <si>
    <t>Solider Pile Wall No. 4 (South)</t>
  </si>
  <si>
    <t>Front Face Area</t>
  </si>
  <si>
    <t>Headwall Conc.</t>
  </si>
  <si>
    <t>Arch Conc.</t>
  </si>
  <si>
    <t>Arch Perimeter</t>
  </si>
  <si>
    <t>Front Face Headwall Area</t>
  </si>
  <si>
    <t>Back Face Headwall Area</t>
  </si>
  <si>
    <t>Headwall Thickness</t>
  </si>
  <si>
    <t>Arch Length</t>
  </si>
  <si>
    <t>W24X131</t>
  </si>
  <si>
    <t>W24X176</t>
  </si>
  <si>
    <t>Between Piles</t>
  </si>
  <si>
    <t>29 - 30</t>
  </si>
  <si>
    <t>31 - 32</t>
  </si>
  <si>
    <t>33 - 34</t>
  </si>
  <si>
    <t>35 - 36</t>
  </si>
  <si>
    <t>37 - 38</t>
  </si>
  <si>
    <t>39 - 40</t>
  </si>
  <si>
    <t>Walls No. 1 and No. 2 Struts (North)</t>
  </si>
  <si>
    <t>41 - 42</t>
  </si>
  <si>
    <t>Walls No. 3 and No. 4 Struts (South)</t>
  </si>
  <si>
    <t>49 - 50</t>
  </si>
  <si>
    <t>51 - 52</t>
  </si>
  <si>
    <t>870E10001</t>
  </si>
  <si>
    <t>PREFABRICATED MODULAR RETAINING WALL, AS PER PLAN</t>
  </si>
  <si>
    <t>607E23000</t>
  </si>
  <si>
    <t>530E51010</t>
  </si>
  <si>
    <t>FENCE, TYPE CLT</t>
  </si>
  <si>
    <t>452E10010</t>
  </si>
  <si>
    <t>6" NON-REINFORCED CONCRETE PAVEMENT, CLASS QC 1P</t>
  </si>
  <si>
    <t>304E20000</t>
  </si>
  <si>
    <t>IN</t>
  </si>
  <si>
    <t>AGGREGATE BASE</t>
  </si>
  <si>
    <t xml:space="preserve"> </t>
  </si>
  <si>
    <t>530E50020</t>
  </si>
  <si>
    <t>No. of Ties</t>
  </si>
  <si>
    <t>SPECIAL - RETAINING WALL: 10"x10" RAILROAD TIES</t>
  </si>
  <si>
    <t>CONCRETE MISC.: CLASS QC2 CONCRETE WITH QC/QA ARCH AND WALLS</t>
  </si>
  <si>
    <t>Back of Tunnel Headwall</t>
  </si>
  <si>
    <t>No. of Sides</t>
  </si>
  <si>
    <t>CALC. BY: XXX</t>
  </si>
  <si>
    <t>CHECKED BY: YYY</t>
  </si>
  <si>
    <t>601E38400</t>
  </si>
  <si>
    <t>PAVED GUTTER, TYPE 2</t>
  </si>
  <si>
    <t>512E10001</t>
  </si>
  <si>
    <t>Soldier Pie Wall No. 1</t>
  </si>
  <si>
    <t>Soldier Pie Wall No. 2</t>
  </si>
  <si>
    <t>Soldier Pie Wall No. 3</t>
  </si>
  <si>
    <t>Soldier Pie Wall No. 4</t>
  </si>
  <si>
    <t>W24X104</t>
  </si>
  <si>
    <t>W24X117</t>
  </si>
  <si>
    <t>W24X162</t>
  </si>
  <si>
    <t>53 - 54</t>
  </si>
  <si>
    <t>TS 8"x8"x3/8"</t>
  </si>
  <si>
    <t>No. of Footings</t>
  </si>
  <si>
    <t>SEALING OF CONCRETE SURFACES, AS PER PLAN (PERMANENT GRAFFITI PROTECTION)</t>
  </si>
  <si>
    <t>Headwall Perimeter</t>
  </si>
  <si>
    <t>TYPE 2 WATERPROOFING</t>
  </si>
  <si>
    <t>512E33000</t>
  </si>
  <si>
    <t>Perimeter =</t>
  </si>
  <si>
    <t>Left Wall</t>
  </si>
  <si>
    <t>Right Wall</t>
  </si>
  <si>
    <t>Arch</t>
  </si>
  <si>
    <t>Area =</t>
  </si>
  <si>
    <t>Lap each side</t>
  </si>
  <si>
    <t>sq yd</t>
  </si>
  <si>
    <t>Soldier Pile Walls 1 and 2</t>
  </si>
  <si>
    <t>Soldier Pile Walls 3 and 4</t>
  </si>
  <si>
    <t>Struts</t>
  </si>
  <si>
    <t>cost</t>
  </si>
  <si>
    <t>SHOP PAINTING AND FIELD TOUCH-UP OF STRUCTURAL STEEL</t>
  </si>
  <si>
    <t>514E80020</t>
  </si>
  <si>
    <t>Misc.</t>
  </si>
  <si>
    <t>Shop Painting</t>
  </si>
  <si>
    <t>507E00400</t>
  </si>
  <si>
    <t>510E10000</t>
  </si>
  <si>
    <t>DOWEL HOLES WITH NONSHRINK, NONMETALLIC GROUT</t>
  </si>
  <si>
    <t>North Soldier Pile Wall No. 2</t>
  </si>
  <si>
    <t>STRUCTURAL STEEL, MISC.: BRACKETS AND STRUTS</t>
  </si>
  <si>
    <t>STEEL PILES, MISC.: W24 STEEL BEAMS, FURNISHED</t>
  </si>
  <si>
    <t>South Headwall</t>
  </si>
  <si>
    <t>Cast-In-Place Wall Closure</t>
  </si>
  <si>
    <t>7 /36</t>
  </si>
  <si>
    <t>524E94703</t>
  </si>
  <si>
    <t>DRILLED SHAFTS, 36" DIAMETER, ABOVE BEDROCK, AS PER PLAN</t>
  </si>
  <si>
    <t>524E94705</t>
  </si>
  <si>
    <t>DRILLED SHAFTS, 36" DIAMETER, INTO BEDROCK, AS PER PLAN</t>
  </si>
  <si>
    <t>511E46011</t>
  </si>
  <si>
    <t>CLASS QC1 CONCRETE, RETAINING/WINGWALL NOT INCLUDING FOOTING, AS PER PLAN</t>
  </si>
  <si>
    <t>Height 1</t>
  </si>
  <si>
    <t>Height 2</t>
  </si>
  <si>
    <t>Soldier Pile Wall No. 1 Wall Closure</t>
  </si>
  <si>
    <t>Soldier Pile Wall No. 2 Wall Closure</t>
  </si>
  <si>
    <t>Soldier Pile Wall No. 1 Concrete Slope Protection</t>
  </si>
  <si>
    <t>IN.</t>
  </si>
  <si>
    <t>Sub-Total</t>
  </si>
  <si>
    <t>Soldier Pile Wall No. 2 Concrete Slope Protection</t>
  </si>
  <si>
    <t>519E11100</t>
  </si>
  <si>
    <t>PATCHING CONCRETE STRUCTURE</t>
  </si>
  <si>
    <t>Contingency</t>
  </si>
  <si>
    <t>EPOXY COATED STEEL REINFORCEMENT</t>
  </si>
  <si>
    <t>AREA BY COMPUTER</t>
  </si>
  <si>
    <t>WER</t>
  </si>
  <si>
    <t>Steel Angles and Plates (attached to arch)</t>
  </si>
  <si>
    <t>Angles</t>
  </si>
  <si>
    <t>L6x6x1</t>
  </si>
  <si>
    <t>Plates</t>
  </si>
  <si>
    <t>6x6x1</t>
  </si>
  <si>
    <t>11x11x1/2</t>
  </si>
  <si>
    <t>Add 100 lbs for Studs and threaded anchors</t>
  </si>
  <si>
    <t>690E98400</t>
  </si>
  <si>
    <t>511E46611</t>
  </si>
  <si>
    <t>CLASS QC1 CONCRETE, HEADWALL, AS PER PLAN</t>
  </si>
  <si>
    <t>6 /88</t>
  </si>
  <si>
    <t>SPECIAL - RETAINING WALL, PRECAST CONCRETE LAGGING</t>
  </si>
  <si>
    <t>SPECIAL - MISC.: WORK INVOLVING ASBESTOS CONTAINING MATERIALS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</si>
</sst>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m/d/yy;@"/>
    <numFmt numFmtId="165" formatCode="0.0"/>
    <numFmt numFmtId="166" formatCode="_(* #,##0_);_(* \(#,##0\);_(* &quot;-&quot;??_);_(@_)"/>
    <numFmt numFmtId="167" formatCode="0.000"/>
    <numFmt numFmtId="168" formatCode="&quot;$&quot;#,##0"/>
    <numFmt numFmtId="169" formatCode="_(* #,##0.0_);_(* \(#,##0.0\);_(* &quot;-&quot;??_);_(@_)"/>
    <numFmt numFmtId="170" formatCode="0.0\ \f\t"/>
    <numFmt numFmtId="171" formatCode="0.000000000000"/>
    <numFmt numFmtId="172" formatCode="#\+##"/>
    <numFmt numFmtId="173" formatCode="#\+##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Black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84">
    <xf numFmtId="0" fontId="0" fillId="0" borderId="0" xfId="0"/>
    <xf numFmtId="0" fontId="0" fillId="0" borderId="2" xfId="0" applyBorder="1"/>
    <xf numFmtId="0" fontId="2" fillId="0" borderId="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4" xfId="0" applyBorder="1"/>
    <xf numFmtId="0" fontId="0" fillId="0" borderId="15" xfId="0" applyBorder="1"/>
    <xf numFmtId="0" fontId="0" fillId="0" borderId="18" xfId="0" applyBorder="1" applyAlignment="1">
      <alignment horizontal="left"/>
    </xf>
    <xf numFmtId="0" fontId="0" fillId="0" borderId="18" xfId="0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2" fontId="0" fillId="0" borderId="18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23" xfId="0" applyBorder="1" applyAlignment="1">
      <alignment horizontal="left"/>
    </xf>
    <xf numFmtId="165" fontId="4" fillId="0" borderId="18" xfId="0" applyNumberFormat="1" applyFont="1" applyBorder="1" applyAlignment="1">
      <alignment horizontal="center"/>
    </xf>
    <xf numFmtId="12" fontId="4" fillId="0" borderId="18" xfId="0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2" fontId="0" fillId="0" borderId="18" xfId="0" applyNumberFormat="1" applyBorder="1"/>
    <xf numFmtId="0" fontId="4" fillId="0" borderId="14" xfId="0" applyFont="1" applyBorder="1"/>
    <xf numFmtId="2" fontId="0" fillId="0" borderId="18" xfId="0" applyNumberFormat="1" applyBorder="1" applyAlignment="1">
      <alignment horizontal="center"/>
    </xf>
    <xf numFmtId="2" fontId="0" fillId="0" borderId="19" xfId="0" applyNumberFormat="1" applyBorder="1"/>
    <xf numFmtId="165" fontId="0" fillId="0" borderId="19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12" fontId="0" fillId="0" borderId="19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0" fillId="0" borderId="30" xfId="0" applyBorder="1"/>
    <xf numFmtId="165" fontId="0" fillId="0" borderId="20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1" xfId="0" applyBorder="1" applyAlignment="1">
      <alignment horizontal="center"/>
    </xf>
    <xf numFmtId="2" fontId="4" fillId="0" borderId="18" xfId="0" applyNumberFormat="1" applyFont="1" applyBorder="1"/>
    <xf numFmtId="0" fontId="0" fillId="0" borderId="18" xfId="0" applyBorder="1"/>
    <xf numFmtId="2" fontId="4" fillId="0" borderId="18" xfId="0" applyNumberFormat="1" applyFont="1" applyBorder="1" applyAlignment="1">
      <alignment horizontal="center"/>
    </xf>
    <xf numFmtId="12" fontId="0" fillId="0" borderId="21" xfId="0" applyNumberFormat="1" applyBorder="1" applyAlignment="1">
      <alignment horizontal="center"/>
    </xf>
    <xf numFmtId="12" fontId="4" fillId="0" borderId="21" xfId="0" applyNumberFormat="1" applyFont="1" applyBorder="1" applyAlignment="1">
      <alignment horizontal="center"/>
    </xf>
    <xf numFmtId="0" fontId="0" fillId="0" borderId="18" xfId="0" applyBorder="1" applyAlignment="1">
      <alignment horizontal="right"/>
    </xf>
    <xf numFmtId="0" fontId="0" fillId="0" borderId="22" xfId="0" applyBorder="1"/>
    <xf numFmtId="0" fontId="0" fillId="0" borderId="20" xfId="0" applyBorder="1"/>
    <xf numFmtId="0" fontId="0" fillId="0" borderId="21" xfId="0" applyBorder="1"/>
    <xf numFmtId="0" fontId="4" fillId="0" borderId="31" xfId="0" applyFont="1" applyBorder="1" applyAlignment="1">
      <alignment horizontal="center"/>
    </xf>
    <xf numFmtId="0" fontId="0" fillId="0" borderId="31" xfId="0" applyBorder="1"/>
    <xf numFmtId="0" fontId="4" fillId="0" borderId="23" xfId="0" applyFont="1" applyBorder="1" applyAlignment="1">
      <alignment horizontal="left"/>
    </xf>
    <xf numFmtId="0" fontId="4" fillId="0" borderId="18" xfId="0" applyFont="1" applyBorder="1"/>
    <xf numFmtId="165" fontId="0" fillId="0" borderId="11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0" fontId="0" fillId="0" borderId="18" xfId="0" applyBorder="1" applyAlignment="1">
      <alignment horizontal="left" vertical="top"/>
    </xf>
    <xf numFmtId="2" fontId="0" fillId="0" borderId="18" xfId="0" applyNumberFormat="1" applyBorder="1" applyAlignment="1">
      <alignment horizontal="left"/>
    </xf>
    <xf numFmtId="0" fontId="4" fillId="0" borderId="18" xfId="0" applyFont="1" applyBorder="1" applyAlignment="1">
      <alignment horizontal="left" vertical="top"/>
    </xf>
    <xf numFmtId="12" fontId="0" fillId="0" borderId="29" xfId="0" applyNumberFormat="1" applyBorder="1" applyAlignment="1">
      <alignment horizontal="center" vertical="center" wrapText="1"/>
    </xf>
    <xf numFmtId="2" fontId="0" fillId="0" borderId="18" xfId="0" applyNumberFormat="1" applyBorder="1" applyAlignment="1">
      <alignment horizontal="center" vertical="center" wrapText="1"/>
    </xf>
    <xf numFmtId="12" fontId="0" fillId="0" borderId="18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4" fillId="0" borderId="37" xfId="0" applyFont="1" applyBorder="1"/>
    <xf numFmtId="0" fontId="0" fillId="0" borderId="23" xfId="0" applyBorder="1" applyAlignment="1">
      <alignment horizontal="left" vertical="top" wrapText="1"/>
    </xf>
    <xf numFmtId="0" fontId="0" fillId="0" borderId="23" xfId="0" applyBorder="1"/>
    <xf numFmtId="0" fontId="0" fillId="0" borderId="29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Border="1"/>
    <xf numFmtId="0" fontId="0" fillId="0" borderId="40" xfId="0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0" fillId="0" borderId="41" xfId="0" applyBorder="1"/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7" xfId="0" applyBorder="1" applyAlignment="1">
      <alignment horizontal="left"/>
    </xf>
    <xf numFmtId="166" fontId="0" fillId="0" borderId="6" xfId="1" applyNumberFormat="1" applyFont="1" applyBorder="1" applyAlignment="1">
      <alignment horizontal="center"/>
    </xf>
    <xf numFmtId="1" fontId="4" fillId="0" borderId="25" xfId="0" applyNumberFormat="1" applyFont="1" applyBorder="1" applyAlignment="1">
      <alignment horizontal="center"/>
    </xf>
    <xf numFmtId="165" fontId="0" fillId="0" borderId="29" xfId="0" applyNumberFormat="1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65" fontId="0" fillId="0" borderId="24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 vertical="center" wrapText="1"/>
    </xf>
    <xf numFmtId="1" fontId="0" fillId="0" borderId="20" xfId="0" applyNumberFormat="1" applyBorder="1" applyAlignment="1">
      <alignment horizontal="center"/>
    </xf>
    <xf numFmtId="2" fontId="0" fillId="0" borderId="10" xfId="1" applyNumberFormat="1" applyFont="1" applyBorder="1" applyAlignment="1">
      <alignment horizontal="center"/>
    </xf>
    <xf numFmtId="0" fontId="0" fillId="0" borderId="20" xfId="0" applyBorder="1" applyAlignment="1">
      <alignment horizontal="left"/>
    </xf>
    <xf numFmtId="2" fontId="0" fillId="0" borderId="32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45" xfId="0" applyBorder="1"/>
    <xf numFmtId="165" fontId="0" fillId="0" borderId="18" xfId="0" applyNumberFormat="1" applyBorder="1" applyAlignment="1">
      <alignment horizontal="left"/>
    </xf>
    <xf numFmtId="0" fontId="0" fillId="0" borderId="46" xfId="0" applyBorder="1" applyAlignment="1">
      <alignment horizontal="center"/>
    </xf>
    <xf numFmtId="0" fontId="4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left"/>
    </xf>
    <xf numFmtId="0" fontId="0" fillId="0" borderId="29" xfId="0" applyBorder="1" applyAlignment="1">
      <alignment horizontal="left"/>
    </xf>
    <xf numFmtId="1" fontId="0" fillId="0" borderId="29" xfId="0" applyNumberFormat="1" applyBorder="1" applyAlignment="1">
      <alignment horizontal="center"/>
    </xf>
    <xf numFmtId="43" fontId="0" fillId="0" borderId="18" xfId="1" applyFont="1" applyBorder="1" applyAlignment="1">
      <alignment horizontal="center"/>
    </xf>
    <xf numFmtId="43" fontId="0" fillId="0" borderId="29" xfId="1" applyFon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4" fillId="0" borderId="18" xfId="0" applyNumberFormat="1" applyFont="1" applyBorder="1" applyAlignment="1">
      <alignment horizontal="center"/>
    </xf>
    <xf numFmtId="165" fontId="4" fillId="0" borderId="18" xfId="0" applyNumberFormat="1" applyFont="1" applyBorder="1" applyAlignment="1">
      <alignment horizontal="left"/>
    </xf>
    <xf numFmtId="0" fontId="0" fillId="0" borderId="48" xfId="0" applyBorder="1"/>
    <xf numFmtId="0" fontId="1" fillId="0" borderId="0" xfId="0" applyFont="1"/>
    <xf numFmtId="0" fontId="0" fillId="0" borderId="49" xfId="0" applyBorder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51" xfId="0" applyBorder="1" applyAlignment="1">
      <alignment horizontal="left"/>
    </xf>
    <xf numFmtId="0" fontId="4" fillId="0" borderId="27" xfId="0" applyFont="1" applyBorder="1"/>
    <xf numFmtId="0" fontId="0" fillId="0" borderId="26" xfId="0" applyBorder="1"/>
    <xf numFmtId="0" fontId="0" fillId="0" borderId="53" xfId="0" applyBorder="1"/>
    <xf numFmtId="2" fontId="0" fillId="0" borderId="18" xfId="0" applyNumberFormat="1" applyBorder="1" applyAlignment="1">
      <alignment horizontal="right"/>
    </xf>
    <xf numFmtId="0" fontId="5" fillId="0" borderId="47" xfId="0" applyFont="1" applyBorder="1" applyAlignment="1">
      <alignment vertical="center"/>
    </xf>
    <xf numFmtId="0" fontId="1" fillId="0" borderId="44" xfId="0" applyFont="1" applyBorder="1"/>
    <xf numFmtId="0" fontId="0" fillId="0" borderId="44" xfId="0" applyBorder="1"/>
    <xf numFmtId="0" fontId="2" fillId="0" borderId="54" xfId="0" applyFont="1" applyBorder="1" applyAlignment="1">
      <alignment horizontal="left" vertical="top"/>
    </xf>
    <xf numFmtId="164" fontId="0" fillId="0" borderId="56" xfId="0" quotePrefix="1" applyNumberFormat="1" applyBorder="1" applyAlignment="1">
      <alignment horizontal="left" vertical="justify"/>
    </xf>
    <xf numFmtId="0" fontId="0" fillId="0" borderId="57" xfId="0" applyBorder="1"/>
    <xf numFmtId="0" fontId="5" fillId="0" borderId="39" xfId="0" applyFont="1" applyBorder="1" applyAlignment="1">
      <alignment vertical="center"/>
    </xf>
    <xf numFmtId="0" fontId="0" fillId="0" borderId="58" xfId="0" applyBorder="1"/>
    <xf numFmtId="0" fontId="6" fillId="0" borderId="0" xfId="0" applyFont="1"/>
    <xf numFmtId="2" fontId="4" fillId="0" borderId="21" xfId="0" applyNumberFormat="1" applyFon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0" fillId="0" borderId="33" xfId="0" applyBorder="1"/>
    <xf numFmtId="0" fontId="4" fillId="0" borderId="7" xfId="0" applyFont="1" applyBorder="1" applyAlignment="1">
      <alignment horizontal="center"/>
    </xf>
    <xf numFmtId="0" fontId="0" fillId="0" borderId="18" xfId="0" applyBorder="1" applyAlignment="1">
      <alignment horizontal="left" vertical="top" wrapText="1"/>
    </xf>
    <xf numFmtId="1" fontId="0" fillId="0" borderId="10" xfId="1" applyNumberFormat="1" applyFont="1" applyBorder="1" applyAlignment="1">
      <alignment horizontal="center"/>
    </xf>
    <xf numFmtId="166" fontId="0" fillId="0" borderId="14" xfId="1" applyNumberFormat="1" applyFont="1" applyBorder="1"/>
    <xf numFmtId="166" fontId="0" fillId="0" borderId="41" xfId="1" applyNumberFormat="1" applyFont="1" applyBorder="1"/>
    <xf numFmtId="166" fontId="0" fillId="0" borderId="10" xfId="1" applyNumberFormat="1" applyFont="1" applyBorder="1" applyAlignment="1">
      <alignment horizontal="center"/>
    </xf>
    <xf numFmtId="166" fontId="0" fillId="0" borderId="42" xfId="1" applyNumberFormat="1" applyFont="1" applyBorder="1" applyAlignment="1">
      <alignment horizontal="center"/>
    </xf>
    <xf numFmtId="166" fontId="0" fillId="0" borderId="40" xfId="1" applyNumberFormat="1" applyFont="1" applyBorder="1" applyAlignment="1">
      <alignment horizontal="center"/>
    </xf>
    <xf numFmtId="166" fontId="0" fillId="0" borderId="43" xfId="1" applyNumberFormat="1" applyFont="1" applyBorder="1" applyAlignment="1">
      <alignment horizontal="center"/>
    </xf>
    <xf numFmtId="166" fontId="4" fillId="0" borderId="25" xfId="1" applyNumberFormat="1" applyFont="1" applyBorder="1" applyAlignment="1">
      <alignment horizontal="center"/>
    </xf>
    <xf numFmtId="0" fontId="7" fillId="0" borderId="0" xfId="0" applyFont="1"/>
    <xf numFmtId="2" fontId="7" fillId="0" borderId="21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1" xfId="0" applyFont="1" applyBorder="1"/>
    <xf numFmtId="2" fontId="7" fillId="0" borderId="18" xfId="0" applyNumberFormat="1" applyFont="1" applyBorder="1" applyAlignment="1">
      <alignment horizontal="center"/>
    </xf>
    <xf numFmtId="165" fontId="7" fillId="0" borderId="20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31" xfId="0" applyFont="1" applyBorder="1" applyAlignment="1">
      <alignment horizontal="right"/>
    </xf>
    <xf numFmtId="0" fontId="4" fillId="0" borderId="22" xfId="0" applyFont="1" applyBorder="1" applyAlignment="1">
      <alignment horizontal="left"/>
    </xf>
    <xf numFmtId="166" fontId="0" fillId="0" borderId="11" xfId="1" applyNumberFormat="1" applyFont="1" applyBorder="1" applyAlignment="1">
      <alignment horizontal="center"/>
    </xf>
    <xf numFmtId="167" fontId="0" fillId="0" borderId="18" xfId="0" applyNumberFormat="1" applyBorder="1" applyAlignment="1">
      <alignment horizontal="center"/>
    </xf>
    <xf numFmtId="0" fontId="0" fillId="0" borderId="34" xfId="0" applyBorder="1"/>
    <xf numFmtId="167" fontId="0" fillId="0" borderId="20" xfId="0" applyNumberFormat="1" applyBorder="1" applyAlignment="1">
      <alignment horizontal="center"/>
    </xf>
    <xf numFmtId="0" fontId="0" fillId="0" borderId="18" xfId="0" applyBorder="1" applyAlignment="1">
      <alignment horizontal="left" vertical="center"/>
    </xf>
    <xf numFmtId="1" fontId="0" fillId="0" borderId="18" xfId="0" applyNumberFormat="1" applyBorder="1" applyAlignment="1">
      <alignment horizontal="center" vertical="top"/>
    </xf>
    <xf numFmtId="164" fontId="0" fillId="0" borderId="59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18" xfId="0" applyBorder="1" applyAlignment="1">
      <alignment horizontal="left" vertical="center" wrapText="1"/>
    </xf>
    <xf numFmtId="2" fontId="0" fillId="0" borderId="21" xfId="0" applyNumberFormat="1" applyBorder="1" applyAlignment="1">
      <alignment horizontal="left"/>
    </xf>
    <xf numFmtId="2" fontId="0" fillId="0" borderId="18" xfId="0" applyNumberFormat="1" applyBorder="1" applyAlignment="1">
      <alignment horizontal="left" vertical="center" wrapText="1"/>
    </xf>
    <xf numFmtId="12" fontId="0" fillId="0" borderId="18" xfId="0" applyNumberFormat="1" applyBorder="1" applyAlignment="1">
      <alignment horizontal="left"/>
    </xf>
    <xf numFmtId="165" fontId="0" fillId="0" borderId="24" xfId="0" applyNumberFormat="1" applyBorder="1" applyAlignment="1">
      <alignment horizontal="left"/>
    </xf>
    <xf numFmtId="165" fontId="0" fillId="0" borderId="20" xfId="0" applyNumberFormat="1" applyBorder="1" applyAlignment="1">
      <alignment horizontal="left"/>
    </xf>
    <xf numFmtId="0" fontId="0" fillId="0" borderId="55" xfId="0" applyBorder="1"/>
    <xf numFmtId="0" fontId="0" fillId="0" borderId="39" xfId="0" applyBorder="1" applyAlignment="1">
      <alignment horizontal="left"/>
    </xf>
    <xf numFmtId="2" fontId="0" fillId="0" borderId="28" xfId="0" applyNumberFormat="1" applyBorder="1" applyAlignment="1">
      <alignment horizontal="center" vertical="center" wrapText="1"/>
    </xf>
    <xf numFmtId="167" fontId="0" fillId="0" borderId="26" xfId="0" applyNumberFormat="1" applyBorder="1" applyAlignment="1">
      <alignment horizontal="center"/>
    </xf>
    <xf numFmtId="165" fontId="0" fillId="0" borderId="26" xfId="0" applyNumberFormat="1" applyBorder="1" applyAlignment="1">
      <alignment horizontal="center"/>
    </xf>
    <xf numFmtId="165" fontId="0" fillId="0" borderId="20" xfId="1" applyNumberFormat="1" applyFont="1" applyBorder="1" applyAlignment="1">
      <alignment horizontal="center"/>
    </xf>
    <xf numFmtId="1" fontId="0" fillId="0" borderId="20" xfId="1" applyNumberFormat="1" applyFont="1" applyBorder="1" applyAlignment="1">
      <alignment horizontal="center"/>
    </xf>
    <xf numFmtId="0" fontId="4" fillId="0" borderId="21" xfId="0" applyFont="1" applyBorder="1"/>
    <xf numFmtId="165" fontId="0" fillId="0" borderId="40" xfId="0" applyNumberFormat="1" applyBorder="1" applyAlignment="1">
      <alignment horizontal="center"/>
    </xf>
    <xf numFmtId="165" fontId="0" fillId="0" borderId="19" xfId="0" applyNumberFormat="1" applyBorder="1" applyAlignment="1">
      <alignment horizontal="left"/>
    </xf>
    <xf numFmtId="2" fontId="0" fillId="0" borderId="22" xfId="0" applyNumberFormat="1" applyBorder="1" applyAlignment="1">
      <alignment horizontal="center" vertical="center" wrapText="1"/>
    </xf>
    <xf numFmtId="0" fontId="0" fillId="0" borderId="19" xfId="0" applyBorder="1"/>
    <xf numFmtId="165" fontId="0" fillId="0" borderId="28" xfId="0" applyNumberFormat="1" applyBorder="1" applyAlignment="1">
      <alignment horizontal="center" vertical="center" wrapText="1"/>
    </xf>
    <xf numFmtId="0" fontId="0" fillId="0" borderId="29" xfId="0" applyBorder="1" applyAlignment="1">
      <alignment horizontal="center" wrapText="1"/>
    </xf>
    <xf numFmtId="165" fontId="0" fillId="0" borderId="22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0" fontId="0" fillId="0" borderId="52" xfId="0" applyBorder="1"/>
    <xf numFmtId="0" fontId="4" fillId="0" borderId="19" xfId="0" applyFont="1" applyBorder="1" applyAlignment="1">
      <alignment horizontal="left"/>
    </xf>
    <xf numFmtId="0" fontId="4" fillId="0" borderId="18" xfId="0" applyFont="1" applyBorder="1" applyAlignment="1">
      <alignment wrapText="1"/>
    </xf>
    <xf numFmtId="0" fontId="4" fillId="0" borderId="23" xfId="0" applyFont="1" applyBorder="1"/>
    <xf numFmtId="0" fontId="7" fillId="0" borderId="51" xfId="0" applyFont="1" applyBorder="1" applyAlignment="1">
      <alignment horizontal="left"/>
    </xf>
    <xf numFmtId="0" fontId="0" fillId="0" borderId="56" xfId="0" applyBorder="1"/>
    <xf numFmtId="0" fontId="0" fillId="0" borderId="11" xfId="0" applyBorder="1" applyAlignment="1">
      <alignment horizontal="right"/>
    </xf>
    <xf numFmtId="165" fontId="0" fillId="0" borderId="0" xfId="0" applyNumberFormat="1" applyAlignment="1">
      <alignment horizontal="center"/>
    </xf>
    <xf numFmtId="0" fontId="4" fillId="0" borderId="11" xfId="0" applyFont="1" applyBorder="1" applyAlignment="1">
      <alignment horizontal="right"/>
    </xf>
    <xf numFmtId="0" fontId="0" fillId="0" borderId="28" xfId="0" applyBorder="1" applyAlignment="1">
      <alignment horizontal="center" vertical="center" wrapText="1"/>
    </xf>
    <xf numFmtId="0" fontId="0" fillId="0" borderId="20" xfId="0" applyBorder="1" applyAlignment="1">
      <alignment horizontal="right" vertical="center" wrapText="1"/>
    </xf>
    <xf numFmtId="166" fontId="0" fillId="0" borderId="10" xfId="1" applyNumberFormat="1" applyFont="1" applyFill="1" applyBorder="1" applyAlignment="1">
      <alignment horizontal="center"/>
    </xf>
    <xf numFmtId="166" fontId="0" fillId="0" borderId="42" xfId="1" applyNumberFormat="1" applyFont="1" applyFill="1" applyBorder="1" applyAlignment="1">
      <alignment horizontal="center"/>
    </xf>
    <xf numFmtId="166" fontId="0" fillId="0" borderId="18" xfId="1" applyNumberFormat="1" applyFont="1" applyFill="1" applyBorder="1" applyAlignment="1">
      <alignment horizontal="center"/>
    </xf>
    <xf numFmtId="165" fontId="0" fillId="0" borderId="18" xfId="0" applyNumberFormat="1" applyBorder="1" applyAlignment="1">
      <alignment horizontal="right"/>
    </xf>
    <xf numFmtId="0" fontId="0" fillId="0" borderId="18" xfId="0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left"/>
    </xf>
    <xf numFmtId="2" fontId="0" fillId="0" borderId="18" xfId="0" applyNumberFormat="1" applyBorder="1" applyAlignment="1">
      <alignment horizontal="right" vertical="center"/>
    </xf>
    <xf numFmtId="1" fontId="0" fillId="0" borderId="18" xfId="0" applyNumberFormat="1" applyBorder="1" applyAlignment="1">
      <alignment horizontal="right"/>
    </xf>
    <xf numFmtId="167" fontId="0" fillId="0" borderId="18" xfId="0" applyNumberFormat="1" applyBorder="1" applyAlignment="1">
      <alignment horizontal="left"/>
    </xf>
    <xf numFmtId="1" fontId="0" fillId="0" borderId="18" xfId="0" applyNumberFormat="1" applyBorder="1" applyAlignment="1">
      <alignment horizontal="left"/>
    </xf>
    <xf numFmtId="168" fontId="0" fillId="0" borderId="18" xfId="2" applyNumberFormat="1" applyFont="1" applyBorder="1" applyAlignment="1">
      <alignment horizontal="right"/>
    </xf>
    <xf numFmtId="168" fontId="0" fillId="0" borderId="18" xfId="0" applyNumberFormat="1" applyBorder="1" applyAlignment="1">
      <alignment horizontal="right" vertical="center"/>
    </xf>
    <xf numFmtId="1" fontId="0" fillId="0" borderId="16" xfId="0" applyNumberFormat="1" applyBorder="1" applyAlignment="1">
      <alignment horizontal="center"/>
    </xf>
    <xf numFmtId="165" fontId="0" fillId="0" borderId="42" xfId="0" applyNumberFormat="1" applyBorder="1" applyAlignment="1">
      <alignment horizontal="center"/>
    </xf>
    <xf numFmtId="165" fontId="6" fillId="0" borderId="18" xfId="0" applyNumberFormat="1" applyFont="1" applyBorder="1" applyAlignment="1">
      <alignment horizontal="center"/>
    </xf>
    <xf numFmtId="0" fontId="9" fillId="0" borderId="0" xfId="0" applyFont="1"/>
    <xf numFmtId="0" fontId="0" fillId="0" borderId="16" xfId="0" applyBorder="1" applyAlignment="1">
      <alignment horizontal="center" wrapText="1"/>
    </xf>
    <xf numFmtId="0" fontId="6" fillId="0" borderId="16" xfId="0" applyFont="1" applyBorder="1" applyAlignment="1">
      <alignment horizontal="center"/>
    </xf>
    <xf numFmtId="168" fontId="6" fillId="0" borderId="16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0" borderId="18" xfId="0" applyFont="1" applyBorder="1"/>
    <xf numFmtId="12" fontId="6" fillId="0" borderId="18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6" fillId="0" borderId="40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29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1" fontId="6" fillId="0" borderId="18" xfId="0" applyNumberFormat="1" applyFont="1" applyBorder="1" applyAlignment="1">
      <alignment horizontal="center"/>
    </xf>
    <xf numFmtId="1" fontId="6" fillId="0" borderId="29" xfId="0" applyNumberFormat="1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left"/>
    </xf>
    <xf numFmtId="1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 vertical="center" wrapText="1"/>
    </xf>
    <xf numFmtId="1" fontId="6" fillId="0" borderId="18" xfId="0" applyNumberFormat="1" applyFont="1" applyBorder="1" applyAlignment="1">
      <alignment horizontal="left" vertical="center"/>
    </xf>
    <xf numFmtId="2" fontId="6" fillId="0" borderId="10" xfId="1" applyNumberFormat="1" applyFont="1" applyBorder="1" applyAlignment="1">
      <alignment horizontal="center"/>
    </xf>
    <xf numFmtId="12" fontId="6" fillId="0" borderId="18" xfId="0" applyNumberFormat="1" applyFont="1" applyBorder="1" applyAlignment="1">
      <alignment horizontal="center" vertical="center" wrapText="1"/>
    </xf>
    <xf numFmtId="165" fontId="6" fillId="0" borderId="18" xfId="0" applyNumberFormat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/>
    </xf>
    <xf numFmtId="165" fontId="6" fillId="0" borderId="18" xfId="0" applyNumberFormat="1" applyFont="1" applyBorder="1" applyAlignment="1">
      <alignment horizontal="left"/>
    </xf>
    <xf numFmtId="0" fontId="6" fillId="0" borderId="38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" fontId="7" fillId="0" borderId="20" xfId="0" applyNumberFormat="1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7" fillId="0" borderId="9" xfId="0" applyFont="1" applyBorder="1"/>
    <xf numFmtId="0" fontId="8" fillId="0" borderId="20" xfId="0" applyFont="1" applyBorder="1" applyAlignment="1">
      <alignment horizontal="left"/>
    </xf>
    <xf numFmtId="0" fontId="4" fillId="0" borderId="20" xfId="0" applyFont="1" applyBorder="1" applyAlignment="1">
      <alignment horizontal="center"/>
    </xf>
    <xf numFmtId="12" fontId="0" fillId="0" borderId="20" xfId="0" applyNumberFormat="1" applyBorder="1" applyAlignment="1">
      <alignment horizontal="center"/>
    </xf>
    <xf numFmtId="0" fontId="0" fillId="0" borderId="12" xfId="0" applyBorder="1"/>
    <xf numFmtId="1" fontId="4" fillId="0" borderId="19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12" fontId="0" fillId="0" borderId="20" xfId="0" applyNumberFormat="1" applyBorder="1" applyAlignment="1">
      <alignment horizontal="right"/>
    </xf>
    <xf numFmtId="9" fontId="0" fillId="0" borderId="18" xfId="2" applyFon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0" fillId="0" borderId="18" xfId="1" applyNumberFormat="1" applyFont="1" applyFill="1" applyBorder="1" applyAlignment="1">
      <alignment horizontal="center"/>
    </xf>
    <xf numFmtId="0" fontId="0" fillId="0" borderId="18" xfId="1" applyNumberFormat="1" applyFont="1" applyFill="1" applyBorder="1" applyAlignment="1">
      <alignment horizontal="center" vertical="center" wrapText="1"/>
    </xf>
    <xf numFmtId="14" fontId="0" fillId="0" borderId="0" xfId="0" applyNumberFormat="1"/>
    <xf numFmtId="1" fontId="0" fillId="0" borderId="0" xfId="0" applyNumberFormat="1" applyAlignment="1">
      <alignment horizontal="center"/>
    </xf>
    <xf numFmtId="2" fontId="6" fillId="0" borderId="20" xfId="0" applyNumberFormat="1" applyFont="1" applyBorder="1" applyAlignment="1">
      <alignment horizontal="left"/>
    </xf>
    <xf numFmtId="2" fontId="6" fillId="0" borderId="21" xfId="0" applyNumberFormat="1" applyFont="1" applyBorder="1" applyAlignment="1">
      <alignment horizontal="left"/>
    </xf>
    <xf numFmtId="0" fontId="6" fillId="0" borderId="18" xfId="0" applyFont="1" applyBorder="1" applyAlignment="1">
      <alignment horizontal="left" vertical="center" wrapText="1"/>
    </xf>
    <xf numFmtId="2" fontId="6" fillId="0" borderId="18" xfId="0" applyNumberFormat="1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2" fontId="7" fillId="0" borderId="21" xfId="0" applyNumberFormat="1" applyFont="1" applyBorder="1" applyAlignment="1">
      <alignment horizontal="left"/>
    </xf>
    <xf numFmtId="165" fontId="7" fillId="0" borderId="18" xfId="0" applyNumberFormat="1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1" fontId="7" fillId="0" borderId="18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165" fontId="8" fillId="0" borderId="18" xfId="0" applyNumberFormat="1" applyFont="1" applyBorder="1" applyAlignment="1">
      <alignment horizontal="left"/>
    </xf>
    <xf numFmtId="2" fontId="7" fillId="0" borderId="18" xfId="0" applyNumberFormat="1" applyFont="1" applyBorder="1" applyAlignment="1">
      <alignment horizontal="left"/>
    </xf>
    <xf numFmtId="2" fontId="7" fillId="0" borderId="10" xfId="0" applyNumberFormat="1" applyFont="1" applyBorder="1" applyAlignment="1">
      <alignment horizontal="center"/>
    </xf>
    <xf numFmtId="0" fontId="7" fillId="0" borderId="18" xfId="0" applyFont="1" applyBorder="1" applyAlignment="1">
      <alignment horizontal="left" vertical="center"/>
    </xf>
    <xf numFmtId="12" fontId="7" fillId="0" borderId="18" xfId="0" applyNumberFormat="1" applyFont="1" applyBorder="1" applyAlignment="1">
      <alignment horizontal="left"/>
    </xf>
    <xf numFmtId="1" fontId="7" fillId="0" borderId="10" xfId="0" applyNumberFormat="1" applyFont="1" applyBorder="1" applyAlignment="1">
      <alignment horizontal="center"/>
    </xf>
    <xf numFmtId="2" fontId="7" fillId="0" borderId="20" xfId="0" applyNumberFormat="1" applyFont="1" applyBorder="1" applyAlignment="1">
      <alignment horizontal="left"/>
    </xf>
    <xf numFmtId="0" fontId="7" fillId="0" borderId="18" xfId="0" applyFont="1" applyBorder="1" applyAlignment="1">
      <alignment horizontal="left" vertical="center" wrapText="1"/>
    </xf>
    <xf numFmtId="1" fontId="7" fillId="0" borderId="18" xfId="0" applyNumberFormat="1" applyFont="1" applyBorder="1" applyAlignment="1">
      <alignment horizontal="center" vertical="center" wrapText="1"/>
    </xf>
    <xf numFmtId="2" fontId="7" fillId="0" borderId="18" xfId="0" applyNumberFormat="1" applyFont="1" applyBorder="1" applyAlignment="1">
      <alignment horizontal="left" vertical="center" wrapText="1"/>
    </xf>
    <xf numFmtId="2" fontId="7" fillId="0" borderId="10" xfId="1" applyNumberFormat="1" applyFont="1" applyBorder="1" applyAlignment="1">
      <alignment horizontal="center"/>
    </xf>
    <xf numFmtId="165" fontId="7" fillId="0" borderId="10" xfId="0" applyNumberFormat="1" applyFont="1" applyBorder="1" applyAlignment="1">
      <alignment horizontal="center"/>
    </xf>
    <xf numFmtId="165" fontId="7" fillId="0" borderId="18" xfId="0" applyNumberFormat="1" applyFont="1" applyBorder="1" applyAlignment="1">
      <alignment horizontal="left" vertical="center" wrapText="1"/>
    </xf>
    <xf numFmtId="12" fontId="7" fillId="0" borderId="18" xfId="0" applyNumberFormat="1" applyFont="1" applyBorder="1" applyAlignment="1">
      <alignment horizontal="left" vertical="center" wrapText="1"/>
    </xf>
    <xf numFmtId="12" fontId="8" fillId="0" borderId="18" xfId="0" applyNumberFormat="1" applyFont="1" applyBorder="1" applyAlignment="1">
      <alignment horizontal="left"/>
    </xf>
    <xf numFmtId="0" fontId="8" fillId="0" borderId="18" xfId="0" applyFont="1" applyBorder="1" applyAlignment="1">
      <alignment horizontal="right"/>
    </xf>
    <xf numFmtId="0" fontId="8" fillId="0" borderId="18" xfId="0" applyFont="1" applyBorder="1" applyAlignment="1">
      <alignment horizontal="center" vertical="center" wrapText="1"/>
    </xf>
    <xf numFmtId="2" fontId="11" fillId="0" borderId="18" xfId="0" applyNumberFormat="1" applyFont="1" applyBorder="1" applyAlignment="1">
      <alignment horizontal="center"/>
    </xf>
    <xf numFmtId="0" fontId="11" fillId="0" borderId="18" xfId="0" applyFont="1" applyBorder="1" applyAlignment="1">
      <alignment horizontal="right"/>
    </xf>
    <xf numFmtId="0" fontId="11" fillId="0" borderId="18" xfId="0" applyFont="1" applyBorder="1" applyAlignment="1">
      <alignment horizontal="left"/>
    </xf>
    <xf numFmtId="12" fontId="11" fillId="0" borderId="18" xfId="0" applyNumberFormat="1" applyFont="1" applyBorder="1" applyAlignment="1">
      <alignment horizontal="center"/>
    </xf>
    <xf numFmtId="1" fontId="11" fillId="0" borderId="18" xfId="0" applyNumberFormat="1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2" fontId="11" fillId="0" borderId="18" xfId="0" applyNumberFormat="1" applyFont="1" applyBorder="1" applyAlignment="1">
      <alignment horizontal="left"/>
    </xf>
    <xf numFmtId="165" fontId="11" fillId="0" borderId="18" xfId="0" applyNumberFormat="1" applyFont="1" applyBorder="1" applyAlignment="1">
      <alignment horizontal="center"/>
    </xf>
    <xf numFmtId="0" fontId="4" fillId="0" borderId="40" xfId="0" applyFont="1" applyBorder="1" applyAlignment="1">
      <alignment horizontal="left"/>
    </xf>
    <xf numFmtId="0" fontId="7" fillId="0" borderId="16" xfId="0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68" fontId="7" fillId="0" borderId="16" xfId="0" applyNumberFormat="1" applyFont="1" applyBorder="1" applyAlignment="1">
      <alignment horizontal="center"/>
    </xf>
    <xf numFmtId="0" fontId="4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168" fontId="6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1" fontId="0" fillId="0" borderId="0" xfId="0" applyNumberFormat="1"/>
    <xf numFmtId="0" fontId="0" fillId="0" borderId="42" xfId="0" applyBorder="1"/>
    <xf numFmtId="1" fontId="0" fillId="0" borderId="68" xfId="0" applyNumberFormat="1" applyBorder="1" applyAlignment="1">
      <alignment horizontal="center"/>
    </xf>
    <xf numFmtId="0" fontId="0" fillId="0" borderId="36" xfId="0" applyBorder="1"/>
    <xf numFmtId="0" fontId="0" fillId="0" borderId="10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8" xfId="0" applyNumberFormat="1" applyBorder="1" applyAlignment="1">
      <alignment horizontal="center" vertical="top"/>
    </xf>
    <xf numFmtId="2" fontId="0" fillId="0" borderId="11" xfId="0" applyNumberFormat="1" applyBorder="1" applyAlignment="1">
      <alignment horizontal="center"/>
    </xf>
    <xf numFmtId="0" fontId="0" fillId="0" borderId="22" xfId="0" applyBorder="1" applyAlignment="1">
      <alignment horizontal="left"/>
    </xf>
    <xf numFmtId="169" fontId="0" fillId="0" borderId="6" xfId="1" applyNumberFormat="1" applyFont="1" applyBorder="1" applyAlignment="1">
      <alignment horizontal="center"/>
    </xf>
    <xf numFmtId="165" fontId="0" fillId="0" borderId="18" xfId="1" applyNumberFormat="1" applyFont="1" applyBorder="1" applyAlignment="1">
      <alignment horizontal="center"/>
    </xf>
    <xf numFmtId="170" fontId="0" fillId="0" borderId="24" xfId="0" applyNumberFormat="1" applyBorder="1" applyAlignment="1">
      <alignment horizontal="center"/>
    </xf>
    <xf numFmtId="2" fontId="7" fillId="0" borderId="20" xfId="0" applyNumberFormat="1" applyFont="1" applyBorder="1" applyAlignment="1">
      <alignment horizontal="center"/>
    </xf>
    <xf numFmtId="2" fontId="7" fillId="0" borderId="18" xfId="0" applyNumberFormat="1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65" fontId="6" fillId="0" borderId="42" xfId="0" applyNumberFormat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" fontId="7" fillId="0" borderId="19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/>
    <xf numFmtId="12" fontId="7" fillId="0" borderId="18" xfId="0" applyNumberFormat="1" applyFont="1" applyBorder="1" applyAlignment="1">
      <alignment horizontal="center"/>
    </xf>
    <xf numFmtId="166" fontId="7" fillId="0" borderId="6" xfId="1" applyNumberFormat="1" applyFont="1" applyBorder="1" applyAlignment="1">
      <alignment horizontal="center"/>
    </xf>
    <xf numFmtId="1" fontId="7" fillId="0" borderId="20" xfId="0" applyNumberFormat="1" applyFont="1" applyBorder="1" applyAlignment="1">
      <alignment horizontal="right"/>
    </xf>
    <xf numFmtId="43" fontId="6" fillId="0" borderId="29" xfId="1" applyFont="1" applyBorder="1" applyAlignment="1">
      <alignment horizontal="center"/>
    </xf>
    <xf numFmtId="171" fontId="0" fillId="0" borderId="20" xfId="0" applyNumberForma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6" fillId="0" borderId="69" xfId="0" applyFont="1" applyBorder="1" applyAlignment="1">
      <alignment horizontal="center"/>
    </xf>
    <xf numFmtId="43" fontId="6" fillId="0" borderId="18" xfId="1" applyFont="1" applyBorder="1" applyAlignment="1"/>
    <xf numFmtId="0" fontId="7" fillId="0" borderId="3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0" fillId="0" borderId="30" xfId="0" applyBorder="1" applyAlignment="1">
      <alignment vertical="center"/>
    </xf>
    <xf numFmtId="14" fontId="0" fillId="0" borderId="0" xfId="0" applyNumberFormat="1" applyAlignment="1">
      <alignment horizontal="left" vertical="top"/>
    </xf>
    <xf numFmtId="0" fontId="10" fillId="0" borderId="18" xfId="0" applyFont="1" applyBorder="1" applyAlignment="1">
      <alignment horizontal="center"/>
    </xf>
    <xf numFmtId="164" fontId="0" fillId="0" borderId="56" xfId="0" quotePrefix="1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56" xfId="0" quotePrefix="1" applyNumberFormat="1" applyBorder="1" applyAlignment="1">
      <alignment horizontal="center"/>
    </xf>
    <xf numFmtId="1" fontId="0" fillId="3" borderId="18" xfId="0" applyNumberFormat="1" applyFill="1" applyBorder="1" applyAlignment="1">
      <alignment horizontal="center"/>
    </xf>
    <xf numFmtId="2" fontId="0" fillId="0" borderId="18" xfId="0" quotePrefix="1" applyNumberFormat="1" applyBorder="1" applyAlignment="1">
      <alignment horizontal="left"/>
    </xf>
    <xf numFmtId="0" fontId="0" fillId="0" borderId="0" xfId="0" quotePrefix="1"/>
    <xf numFmtId="172" fontId="0" fillId="0" borderId="18" xfId="0" applyNumberFormat="1" applyBorder="1" applyAlignment="1">
      <alignment horizontal="center"/>
    </xf>
    <xf numFmtId="1" fontId="0" fillId="0" borderId="0" xfId="0" applyNumberFormat="1" applyAlignment="1">
      <alignment horizontal="center" vertical="center"/>
    </xf>
    <xf numFmtId="172" fontId="0" fillId="0" borderId="20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1" fontId="0" fillId="0" borderId="70" xfId="0" applyNumberFormat="1" applyBorder="1" applyAlignment="1">
      <alignment horizontal="center"/>
    </xf>
    <xf numFmtId="173" fontId="0" fillId="0" borderId="18" xfId="0" applyNumberFormat="1" applyBorder="1" applyAlignment="1">
      <alignment horizontal="center"/>
    </xf>
    <xf numFmtId="165" fontId="0" fillId="0" borderId="71" xfId="0" applyNumberFormat="1" applyBorder="1" applyAlignment="1">
      <alignment horizontal="center"/>
    </xf>
    <xf numFmtId="0" fontId="4" fillId="0" borderId="20" xfId="0" applyFont="1" applyBorder="1" applyAlignment="1">
      <alignment horizontal="left"/>
    </xf>
    <xf numFmtId="2" fontId="0" fillId="0" borderId="32" xfId="0" applyNumberFormat="1" applyBorder="1" applyAlignment="1">
      <alignment horizontal="right"/>
    </xf>
    <xf numFmtId="2" fontId="0" fillId="0" borderId="21" xfId="0" applyNumberFormat="1" applyBorder="1" applyAlignment="1">
      <alignment horizontal="right"/>
    </xf>
    <xf numFmtId="0" fontId="7" fillId="0" borderId="18" xfId="0" applyFont="1" applyBorder="1" applyAlignment="1">
      <alignment horizontal="right"/>
    </xf>
    <xf numFmtId="173" fontId="0" fillId="0" borderId="20" xfId="0" applyNumberFormat="1" applyBorder="1" applyAlignment="1">
      <alignment horizontal="center"/>
    </xf>
    <xf numFmtId="165" fontId="7" fillId="0" borderId="37" xfId="0" applyNumberFormat="1" applyFont="1" applyBorder="1" applyAlignment="1">
      <alignment horizontal="center"/>
    </xf>
    <xf numFmtId="0" fontId="8" fillId="0" borderId="37" xfId="0" applyFont="1" applyBorder="1" applyAlignment="1">
      <alignment horizontal="left"/>
    </xf>
    <xf numFmtId="166" fontId="8" fillId="0" borderId="25" xfId="1" applyNumberFormat="1" applyFont="1" applyBorder="1" applyAlignment="1">
      <alignment horizontal="center"/>
    </xf>
    <xf numFmtId="0" fontId="4" fillId="0" borderId="52" xfId="0" applyFont="1" applyBorder="1" applyAlignment="1">
      <alignment horizontal="left"/>
    </xf>
    <xf numFmtId="0" fontId="0" fillId="0" borderId="20" xfId="0" applyBorder="1" applyAlignment="1">
      <alignment horizontal="center" vertical="center" wrapText="1"/>
    </xf>
    <xf numFmtId="0" fontId="9" fillId="0" borderId="39" xfId="0" applyFont="1" applyBorder="1" applyAlignment="1">
      <alignment vertical="center"/>
    </xf>
    <xf numFmtId="0" fontId="12" fillId="0" borderId="39" xfId="0" applyFont="1" applyBorder="1" applyAlignment="1">
      <alignment horizontal="center" vertical="center"/>
    </xf>
    <xf numFmtId="0" fontId="7" fillId="0" borderId="39" xfId="0" applyFont="1" applyBorder="1"/>
    <xf numFmtId="0" fontId="0" fillId="0" borderId="39" xfId="0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5" fillId="0" borderId="6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1" fontId="15" fillId="0" borderId="66" xfId="0" applyNumberFormat="1" applyFont="1" applyBorder="1" applyAlignment="1">
      <alignment horizontal="center" vertical="center"/>
    </xf>
    <xf numFmtId="0" fontId="15" fillId="0" borderId="66" xfId="0" applyFont="1" applyBorder="1" applyAlignment="1">
      <alignment horizontal="left" vertical="center"/>
    </xf>
    <xf numFmtId="1" fontId="15" fillId="0" borderId="76" xfId="0" applyNumberFormat="1" applyFont="1" applyBorder="1" applyAlignment="1">
      <alignment horizontal="center" vertical="center"/>
    </xf>
    <xf numFmtId="14" fontId="15" fillId="0" borderId="0" xfId="0" applyNumberFormat="1" applyFont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2" fontId="0" fillId="0" borderId="18" xfId="0" quotePrefix="1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1" fontId="7" fillId="0" borderId="18" xfId="0" applyNumberFormat="1" applyFont="1" applyBorder="1" applyAlignment="1">
      <alignment horizontal="center" vertical="center"/>
    </xf>
    <xf numFmtId="0" fontId="4" fillId="0" borderId="9" xfId="0" applyFont="1" applyBorder="1"/>
    <xf numFmtId="0" fontId="4" fillId="0" borderId="68" xfId="0" applyFont="1" applyBorder="1" applyAlignment="1">
      <alignment horizontal="center"/>
    </xf>
    <xf numFmtId="1" fontId="0" fillId="0" borderId="77" xfId="0" applyNumberFormat="1" applyBorder="1" applyAlignment="1">
      <alignment horizontal="center"/>
    </xf>
    <xf numFmtId="165" fontId="0" fillId="0" borderId="77" xfId="0" applyNumberFormat="1" applyBorder="1" applyAlignment="1">
      <alignment horizontal="center"/>
    </xf>
    <xf numFmtId="2" fontId="0" fillId="0" borderId="77" xfId="0" applyNumberFormat="1" applyBorder="1" applyAlignment="1">
      <alignment horizontal="center"/>
    </xf>
    <xf numFmtId="0" fontId="0" fillId="0" borderId="77" xfId="0" applyBorder="1" applyAlignment="1">
      <alignment horizontal="center"/>
    </xf>
    <xf numFmtId="2" fontId="0" fillId="0" borderId="18" xfId="0" applyNumberFormat="1" applyBorder="1" applyAlignment="1">
      <alignment horizontal="center" vertical="center"/>
    </xf>
    <xf numFmtId="168" fontId="0" fillId="0" borderId="18" xfId="0" applyNumberFormat="1" applyBorder="1" applyAlignment="1">
      <alignment horizontal="center"/>
    </xf>
    <xf numFmtId="165" fontId="0" fillId="0" borderId="20" xfId="0" applyNumberFormat="1" applyBorder="1" applyAlignment="1">
      <alignment horizontal="right"/>
    </xf>
    <xf numFmtId="165" fontId="0" fillId="0" borderId="71" xfId="0" applyNumberForma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0" fontId="0" fillId="0" borderId="55" xfId="0" applyBorder="1" applyAlignment="1">
      <alignment vertical="center"/>
    </xf>
    <xf numFmtId="0" fontId="0" fillId="0" borderId="2" xfId="0" applyBorder="1" applyAlignment="1">
      <alignment vertical="center"/>
    </xf>
    <xf numFmtId="0" fontId="17" fillId="0" borderId="62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 wrapText="1"/>
    </xf>
    <xf numFmtId="0" fontId="17" fillId="0" borderId="74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1" fontId="17" fillId="0" borderId="16" xfId="0" applyNumberFormat="1" applyFont="1" applyBorder="1" applyAlignment="1">
      <alignment horizontal="center" vertical="center"/>
    </xf>
    <xf numFmtId="0" fontId="17" fillId="0" borderId="3" xfId="0" quotePrefix="1" applyFont="1" applyBorder="1" applyAlignment="1">
      <alignment horizontal="center" vertical="center"/>
    </xf>
    <xf numFmtId="0" fontId="18" fillId="0" borderId="64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/>
    </xf>
    <xf numFmtId="1" fontId="18" fillId="0" borderId="16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quotePrefix="1" applyFont="1" applyBorder="1" applyAlignment="1">
      <alignment horizontal="center" vertical="center"/>
    </xf>
    <xf numFmtId="17" fontId="18" fillId="0" borderId="3" xfId="0" quotePrefix="1" applyNumberFormat="1" applyFont="1" applyBorder="1" applyAlignment="1">
      <alignment horizontal="center" vertical="center"/>
    </xf>
    <xf numFmtId="0" fontId="17" fillId="2" borderId="64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left" vertical="center"/>
    </xf>
    <xf numFmtId="1" fontId="17" fillId="2" borderId="16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1" fontId="17" fillId="0" borderId="16" xfId="0" applyNumberFormat="1" applyFont="1" applyBorder="1" applyAlignment="1">
      <alignment horizontal="left" vertical="center"/>
    </xf>
    <xf numFmtId="0" fontId="17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1" fontId="17" fillId="0" borderId="73" xfId="0" applyNumberFormat="1" applyFont="1" applyBorder="1" applyAlignment="1">
      <alignment horizontal="center" vertical="center"/>
    </xf>
    <xf numFmtId="0" fontId="17" fillId="0" borderId="73" xfId="0" applyFont="1" applyBorder="1" applyAlignment="1">
      <alignment horizontal="left" vertical="center"/>
    </xf>
    <xf numFmtId="0" fontId="17" fillId="0" borderId="7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6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11" fontId="0" fillId="0" borderId="55" xfId="0" quotePrefix="1" applyNumberFormat="1" applyBorder="1" applyAlignment="1">
      <alignment horizontal="center" vertical="justify"/>
    </xf>
    <xf numFmtId="11" fontId="0" fillId="0" borderId="56" xfId="0" quotePrefix="1" applyNumberFormat="1" applyBorder="1" applyAlignment="1">
      <alignment horizontal="center" vertical="justify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quotePrefix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2" xfId="0" applyBorder="1" applyAlignment="1">
      <alignment horizontal="left" shrinkToFit="1"/>
    </xf>
    <xf numFmtId="0" fontId="7" fillId="0" borderId="19" xfId="0" applyFont="1" applyBorder="1" applyAlignment="1">
      <alignment horizontal="center" vertical="center" wrapText="1"/>
    </xf>
    <xf numFmtId="0" fontId="7" fillId="0" borderId="70" xfId="0" applyFont="1" applyBorder="1" applyAlignment="1">
      <alignment horizontal="center" vertical="center" wrapText="1"/>
    </xf>
    <xf numFmtId="165" fontId="0" fillId="0" borderId="22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2" fontId="0" fillId="0" borderId="19" xfId="0" applyNumberFormat="1" applyBorder="1" applyAlignment="1">
      <alignment horizontal="center" vertical="center"/>
    </xf>
    <xf numFmtId="2" fontId="0" fillId="0" borderId="70" xfId="0" applyNumberFormat="1" applyBorder="1" applyAlignment="1">
      <alignment horizontal="center" vertical="center"/>
    </xf>
    <xf numFmtId="165" fontId="0" fillId="0" borderId="19" xfId="0" applyNumberFormat="1" applyBorder="1" applyAlignment="1">
      <alignment horizontal="center" vertical="center"/>
    </xf>
    <xf numFmtId="165" fontId="0" fillId="0" borderId="70" xfId="0" applyNumberForma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43" fontId="0" fillId="0" borderId="11" xfId="1" applyFont="1" applyBorder="1" applyAlignment="1">
      <alignment horizontal="center"/>
    </xf>
    <xf numFmtId="43" fontId="0" fillId="0" borderId="17" xfId="1" applyFont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22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0" fillId="0" borderId="2" xfId="0" applyBorder="1" applyAlignment="1">
      <alignment horizontal="left" wrapText="1" shrinkToFit="1"/>
    </xf>
    <xf numFmtId="0" fontId="13" fillId="0" borderId="2" xfId="0" quotePrefix="1" applyFont="1" applyBorder="1" applyAlignment="1">
      <alignment horizontal="center"/>
    </xf>
    <xf numFmtId="0" fontId="4" fillId="0" borderId="34" xfId="0" applyFont="1" applyBorder="1" applyAlignment="1">
      <alignment horizontal="right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59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CxnSpPr/>
      </xdr:nvCxnSpPr>
      <xdr:spPr>
        <a:xfrm>
          <a:off x="7229475" y="10001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CxnSpPr/>
      </xdr:nvCxnSpPr>
      <xdr:spPr>
        <a:xfrm>
          <a:off x="6315075" y="1000125"/>
          <a:ext cx="723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CxnSpPr/>
      </xdr:nvCxnSpPr>
      <xdr:spPr>
        <a:xfrm>
          <a:off x="6315075" y="1000125"/>
          <a:ext cx="7239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L47"/>
  <sheetViews>
    <sheetView tabSelected="1" zoomScale="70" zoomScaleNormal="70" workbookViewId="0">
      <selection activeCell="I47" sqref="A5:I47"/>
    </sheetView>
  </sheetViews>
  <sheetFormatPr defaultRowHeight="15" x14ac:dyDescent="0.25"/>
  <cols>
    <col min="1" max="1" width="10.85546875" bestFit="1" customWidth="1"/>
    <col min="2" max="2" width="13.42578125" bestFit="1" customWidth="1"/>
    <col min="5" max="5" width="100.7109375" customWidth="1"/>
    <col min="6" max="8" width="17.5703125" hidden="1" customWidth="1"/>
    <col min="9" max="10" width="17.5703125" customWidth="1"/>
    <col min="12" max="12" width="14.85546875" style="126" customWidth="1"/>
  </cols>
  <sheetData>
    <row r="1" spans="1:12" ht="18.75" x14ac:dyDescent="0.3">
      <c r="A1" s="212" t="s">
        <v>221</v>
      </c>
    </row>
    <row r="3" spans="1:12" ht="18.75" x14ac:dyDescent="0.25">
      <c r="A3" s="376"/>
      <c r="B3" s="377"/>
      <c r="C3" s="377"/>
      <c r="D3" s="377"/>
      <c r="E3" s="378" t="s">
        <v>294</v>
      </c>
      <c r="F3" s="377"/>
      <c r="G3" s="377"/>
      <c r="H3" s="377" t="s">
        <v>146</v>
      </c>
      <c r="I3" s="384">
        <v>44855</v>
      </c>
    </row>
    <row r="4" spans="1:12" ht="19.5" thickBot="1" x14ac:dyDescent="0.3">
      <c r="A4" s="376"/>
      <c r="B4" s="377"/>
      <c r="C4" s="377"/>
      <c r="D4" s="377"/>
      <c r="E4" s="378" t="s">
        <v>295</v>
      </c>
      <c r="F4" s="377"/>
      <c r="G4" s="377"/>
      <c r="H4" s="377" t="s">
        <v>3</v>
      </c>
      <c r="I4" s="377"/>
      <c r="J4" s="347"/>
    </row>
    <row r="5" spans="1:12" ht="21.95" customHeight="1" thickBot="1" x14ac:dyDescent="0.3">
      <c r="A5" s="437" t="s">
        <v>222</v>
      </c>
      <c r="B5" s="438"/>
      <c r="C5" s="438"/>
      <c r="D5" s="438"/>
      <c r="E5" s="438"/>
      <c r="F5" s="438"/>
      <c r="G5" s="438"/>
      <c r="H5" s="438"/>
      <c r="I5" s="439"/>
      <c r="J5" s="372"/>
      <c r="L5" s="214" t="s">
        <v>95</v>
      </c>
    </row>
    <row r="6" spans="1:12" ht="20.100000000000001" customHeight="1" thickBot="1" x14ac:dyDescent="0.3">
      <c r="A6" s="405" t="s">
        <v>87</v>
      </c>
      <c r="B6" s="406" t="s">
        <v>86</v>
      </c>
      <c r="C6" s="406" t="s">
        <v>13</v>
      </c>
      <c r="D6" s="406" t="s">
        <v>88</v>
      </c>
      <c r="E6" s="406" t="s">
        <v>18</v>
      </c>
      <c r="F6" s="407" t="s">
        <v>106</v>
      </c>
      <c r="G6" s="406" t="s">
        <v>89</v>
      </c>
      <c r="H6" s="406" t="s">
        <v>110</v>
      </c>
      <c r="I6" s="408" t="s">
        <v>111</v>
      </c>
      <c r="J6" s="373"/>
      <c r="L6" s="214" t="s">
        <v>96</v>
      </c>
    </row>
    <row r="7" spans="1:12" ht="20.100000000000001" customHeight="1" x14ac:dyDescent="0.25">
      <c r="A7" s="409"/>
      <c r="B7" s="410"/>
      <c r="C7" s="410"/>
      <c r="D7" s="410"/>
      <c r="E7" s="410"/>
      <c r="F7" s="411"/>
      <c r="G7" s="410"/>
      <c r="H7" s="410"/>
      <c r="I7" s="412"/>
      <c r="J7" s="373"/>
      <c r="L7" s="214"/>
    </row>
    <row r="8" spans="1:12" ht="18" customHeight="1" x14ac:dyDescent="0.25">
      <c r="A8" s="413" t="str">
        <f>LEFT('STR REMOVED'!I1,3)</f>
        <v>202</v>
      </c>
      <c r="B8" s="414" t="str">
        <f>RIGHT('STR REMOVED'!I1,5)</f>
        <v>11200</v>
      </c>
      <c r="C8" s="414" t="s">
        <v>92</v>
      </c>
      <c r="D8" s="414"/>
      <c r="E8" s="415" t="str">
        <f>'STR REMOVED'!C5</f>
        <v>PORTIONS OF STRUCTURE REMOVED</v>
      </c>
      <c r="F8" s="414"/>
      <c r="G8" s="414"/>
      <c r="H8" s="414"/>
      <c r="I8" s="416"/>
      <c r="J8" s="70"/>
      <c r="L8" s="215"/>
    </row>
    <row r="9" spans="1:12" ht="18" customHeight="1" x14ac:dyDescent="0.25">
      <c r="A9" s="413" t="str">
        <f>LEFT(EXCAVATION!I1,3)</f>
        <v>203</v>
      </c>
      <c r="B9" s="414" t="str">
        <f>RIGHT(EXCAVATION!I1,5)</f>
        <v>10000</v>
      </c>
      <c r="C9" s="417">
        <f>EXCAVATION!L48</f>
        <v>2650</v>
      </c>
      <c r="D9" s="414" t="str">
        <f>EXCAVATION!L5</f>
        <v>CY</v>
      </c>
      <c r="E9" s="415" t="str">
        <f>EXCAVATION!C5</f>
        <v>EXCAVATION</v>
      </c>
      <c r="F9" s="414"/>
      <c r="G9" s="414"/>
      <c r="H9" s="414"/>
      <c r="I9" s="416"/>
      <c r="J9" s="70"/>
      <c r="L9" s="215"/>
    </row>
    <row r="10" spans="1:12" ht="18" customHeight="1" x14ac:dyDescent="0.25">
      <c r="A10" s="413" t="str">
        <f>LEFT(EMBANKMENT!I1,3)</f>
        <v>203</v>
      </c>
      <c r="B10" s="414" t="str">
        <f>RIGHT(EMBANKMENT!I1,5)</f>
        <v>20000</v>
      </c>
      <c r="C10" s="417">
        <f>EMBANKMENT!L48</f>
        <v>7404</v>
      </c>
      <c r="D10" s="414" t="str">
        <f>EMBANKMENT!L5</f>
        <v>CY</v>
      </c>
      <c r="E10" s="415" t="str">
        <f>EMBANKMENT!C5</f>
        <v>EMBANKMENT</v>
      </c>
      <c r="F10" s="414"/>
      <c r="G10" s="414"/>
      <c r="H10" s="414"/>
      <c r="I10" s="416"/>
      <c r="J10" s="70"/>
      <c r="L10" s="215"/>
    </row>
    <row r="11" spans="1:12" ht="18" customHeight="1" x14ac:dyDescent="0.25">
      <c r="A11" s="413" t="str">
        <f>LEFT(COF!I1,3)</f>
        <v>503</v>
      </c>
      <c r="B11" s="414" t="str">
        <f>RIGHT(COF!I1,5)</f>
        <v>11100</v>
      </c>
      <c r="C11" s="414" t="s">
        <v>92</v>
      </c>
      <c r="D11" s="414"/>
      <c r="E11" s="415" t="str">
        <f>COF!C5</f>
        <v>COFFERDAMS AND EXCAVATION BRACING</v>
      </c>
      <c r="F11" s="414"/>
      <c r="G11" s="414"/>
      <c r="H11" s="414"/>
      <c r="I11" s="416"/>
      <c r="J11" s="70"/>
      <c r="L11" s="215"/>
    </row>
    <row r="12" spans="1:12" ht="18" customHeight="1" x14ac:dyDescent="0.25">
      <c r="A12" s="413" t="str">
        <f>LEFT('UNCLASS. EX.'!I1,3)</f>
        <v>503</v>
      </c>
      <c r="B12" s="414" t="str">
        <f>RIGHT('UNCLASS. EX.'!I1,5)</f>
        <v>21100</v>
      </c>
      <c r="C12" s="417">
        <f>'UNCLASS. EX.'!L46</f>
        <v>371</v>
      </c>
      <c r="D12" s="414" t="str">
        <f>'UNCLASS. EX.'!L5</f>
        <v>CY</v>
      </c>
      <c r="E12" s="415" t="str">
        <f>'UNCLASS. EX.'!C5</f>
        <v>UNCLASSIFIED EXCAVATION</v>
      </c>
      <c r="F12" s="417"/>
      <c r="G12" s="414"/>
      <c r="H12" s="414"/>
      <c r="I12" s="416"/>
      <c r="J12" s="70"/>
      <c r="L12" s="215"/>
    </row>
    <row r="13" spans="1:12" ht="18" customHeight="1" x14ac:dyDescent="0.25">
      <c r="A13" s="413"/>
      <c r="B13" s="414"/>
      <c r="C13" s="417"/>
      <c r="D13" s="414"/>
      <c r="E13" s="415"/>
      <c r="F13" s="417"/>
      <c r="G13" s="414"/>
      <c r="H13" s="414"/>
      <c r="I13" s="416"/>
      <c r="J13" s="70"/>
      <c r="L13" s="215"/>
    </row>
    <row r="14" spans="1:12" ht="18" customHeight="1" x14ac:dyDescent="0.25">
      <c r="A14" s="413" t="str">
        <f>LEFT('Rock Exc'!I1,3)</f>
        <v>503</v>
      </c>
      <c r="B14" s="414" t="str">
        <f>RIGHT('Rock Exc'!I1,5)</f>
        <v>31100</v>
      </c>
      <c r="C14" s="417">
        <f>'Rock Exc'!L47</f>
        <v>30</v>
      </c>
      <c r="D14" s="414" t="str">
        <f>'Rock Exc'!L5</f>
        <v>CY</v>
      </c>
      <c r="E14" s="415" t="str">
        <f>'Rock Exc'!C5</f>
        <v>ROCK EXCAVATION</v>
      </c>
      <c r="F14" s="417"/>
      <c r="G14" s="414"/>
      <c r="H14" s="414"/>
      <c r="I14" s="416"/>
      <c r="J14" s="70"/>
      <c r="L14" s="215"/>
    </row>
    <row r="15" spans="1:12" ht="18" customHeight="1" x14ac:dyDescent="0.25">
      <c r="A15" s="413" t="str">
        <f>LEFT('STEEL PILES'!I1,3)</f>
        <v>507</v>
      </c>
      <c r="B15" s="414" t="str">
        <f>RIGHT('STEEL PILES'!I1,5)</f>
        <v>00400</v>
      </c>
      <c r="C15" s="417">
        <f>'STEEL PILES'!L171</f>
        <v>2384</v>
      </c>
      <c r="D15" s="414" t="str">
        <f>'STEEL PILES'!L5</f>
        <v>FT</v>
      </c>
      <c r="E15" s="415" t="str">
        <f>'STEEL PILES'!C5</f>
        <v>STEEL PILES, MISC.: W24 STEEL BEAMS, FURNISHED</v>
      </c>
      <c r="F15" s="417"/>
      <c r="G15" s="414"/>
      <c r="H15" s="414"/>
      <c r="I15" s="418" t="s">
        <v>336</v>
      </c>
      <c r="J15" s="70"/>
      <c r="L15" s="215"/>
    </row>
    <row r="16" spans="1:12" s="140" customFormat="1" ht="18" customHeight="1" x14ac:dyDescent="0.25">
      <c r="A16" s="419" t="str">
        <f>LEFT(REBAR!I1,3)</f>
        <v>509</v>
      </c>
      <c r="B16" s="420" t="str">
        <f>RIGHT(REBAR!I1,5)</f>
        <v>10000</v>
      </c>
      <c r="C16" s="420">
        <f>REBAR!L46</f>
        <v>130354</v>
      </c>
      <c r="D16" s="420" t="str">
        <f>REBAR!L5</f>
        <v>LB</v>
      </c>
      <c r="E16" s="421" t="str">
        <f>REBAR!C5</f>
        <v>EPOXY COATED STEEL REINFORCEMENT</v>
      </c>
      <c r="F16" s="422"/>
      <c r="G16" s="422"/>
      <c r="H16" s="422"/>
      <c r="I16" s="423"/>
      <c r="J16" s="374"/>
      <c r="L16" s="304"/>
    </row>
    <row r="17" spans="1:12" s="140" customFormat="1" ht="18" customHeight="1" x14ac:dyDescent="0.25">
      <c r="A17" s="419" t="str">
        <f>LEFT(DOWEL!I1,3)</f>
        <v>510</v>
      </c>
      <c r="B17" s="420" t="str">
        <f>RIGHT(DOWEL!I1,5)</f>
        <v>10000</v>
      </c>
      <c r="C17" s="420">
        <f>DOWEL!L46</f>
        <v>45</v>
      </c>
      <c r="D17" s="420" t="str">
        <f>DOWEL!L5</f>
        <v>EACH</v>
      </c>
      <c r="E17" s="421" t="str">
        <f>DOWEL!C5</f>
        <v>DOWEL HOLES WITH NONSHRINK, NONMETALLIC GROUT</v>
      </c>
      <c r="F17" s="422"/>
      <c r="G17" s="422"/>
      <c r="H17" s="422"/>
      <c r="I17" s="423"/>
      <c r="J17" s="374"/>
      <c r="L17" s="304"/>
    </row>
    <row r="18" spans="1:12" ht="18" customHeight="1" x14ac:dyDescent="0.25">
      <c r="A18" s="413" t="str">
        <f>LEFT('CIP Conc. Wall Closure'!I1,3)</f>
        <v>511</v>
      </c>
      <c r="B18" s="414" t="str">
        <f>RIGHT('CIP Conc. Wall Closure'!I1,5)</f>
        <v>46011</v>
      </c>
      <c r="C18" s="417">
        <f>'CIP Conc. Wall Closure'!L47</f>
        <v>7</v>
      </c>
      <c r="D18" s="414" t="str">
        <f>'CIP Conc. Wall Closure'!L5</f>
        <v>CY</v>
      </c>
      <c r="E18" s="415" t="str">
        <f>'CIP Conc. Wall Closure'!C5</f>
        <v>CLASS QC1 CONCRETE, RETAINING/WINGWALL NOT INCLUDING FOOTING, AS PER PLAN</v>
      </c>
      <c r="F18" s="414"/>
      <c r="G18" s="417"/>
      <c r="H18" s="417"/>
      <c r="I18" s="418" t="s">
        <v>336</v>
      </c>
      <c r="J18" s="70"/>
      <c r="L18" s="215"/>
    </row>
    <row r="19" spans="1:12" ht="18" customHeight="1" x14ac:dyDescent="0.25">
      <c r="A19" s="413"/>
      <c r="B19" s="414"/>
      <c r="C19" s="417"/>
      <c r="D19" s="414"/>
      <c r="E19" s="415"/>
      <c r="F19" s="414"/>
      <c r="G19" s="417"/>
      <c r="H19" s="417"/>
      <c r="I19" s="418"/>
      <c r="J19" s="70"/>
      <c r="L19" s="215"/>
    </row>
    <row r="20" spans="1:12" ht="18" customHeight="1" x14ac:dyDescent="0.25">
      <c r="A20" s="413" t="str">
        <f>LEFT(Footing!I1,3)</f>
        <v>511</v>
      </c>
      <c r="B20" s="414" t="str">
        <f>RIGHT(Footing!I1,5)</f>
        <v>46512</v>
      </c>
      <c r="C20" s="417">
        <f>Footing!L47</f>
        <v>109</v>
      </c>
      <c r="D20" s="414" t="str">
        <f>Footing!L5</f>
        <v>CY</v>
      </c>
      <c r="E20" s="415" t="str">
        <f>Footing!C5</f>
        <v>CLASS QC1 CONCRETE WITH QC/QA, FOOTING</v>
      </c>
      <c r="F20" s="414"/>
      <c r="G20" s="417"/>
      <c r="H20" s="417"/>
      <c r="I20" s="416"/>
      <c r="J20" s="70"/>
      <c r="L20" s="215"/>
    </row>
    <row r="21" spans="1:12" s="140" customFormat="1" ht="18" customHeight="1" x14ac:dyDescent="0.25">
      <c r="A21" s="419" t="str">
        <f>LEFT(Headwall!I1,3)</f>
        <v>511</v>
      </c>
      <c r="B21" s="420" t="str">
        <f>RIGHT(Headwall!I1,5)</f>
        <v>46611</v>
      </c>
      <c r="C21" s="422">
        <f>Headwall!L39</f>
        <v>12</v>
      </c>
      <c r="D21" s="420" t="str">
        <f>Headwall!L5</f>
        <v>CY</v>
      </c>
      <c r="E21" s="421" t="str">
        <f>Headwall!C5</f>
        <v>CLASS QC1 CONCRETE, HEADWALL, AS PER PLAN</v>
      </c>
      <c r="F21" s="422"/>
      <c r="G21" s="420"/>
      <c r="H21" s="420"/>
      <c r="I21" s="424" t="s">
        <v>336</v>
      </c>
      <c r="J21" s="374"/>
      <c r="L21" s="304"/>
    </row>
    <row r="22" spans="1:12" s="140" customFormat="1" ht="18" customHeight="1" x14ac:dyDescent="0.25">
      <c r="A22" s="419" t="str">
        <f>LEFT(Tunnel!I1,3)</f>
        <v>511</v>
      </c>
      <c r="B22" s="420" t="str">
        <f>RIGHT(Tunnel!I1,5)</f>
        <v>71100</v>
      </c>
      <c r="C22" s="422">
        <f>Tunnel!L39</f>
        <v>328</v>
      </c>
      <c r="D22" s="420" t="str">
        <f>Tunnel!L5</f>
        <v>CY</v>
      </c>
      <c r="E22" s="421" t="str">
        <f>Tunnel!C5</f>
        <v>CONCRETE MISC.: CLASS QC2 CONCRETE WITH QC/QA ARCH AND WALLS</v>
      </c>
      <c r="F22" s="422"/>
      <c r="G22" s="420"/>
      <c r="H22" s="420"/>
      <c r="I22" s="424" t="s">
        <v>336</v>
      </c>
      <c r="J22" s="374"/>
      <c r="L22" s="304"/>
    </row>
    <row r="23" spans="1:12" s="140" customFormat="1" ht="18" customHeight="1" x14ac:dyDescent="0.25">
      <c r="A23" s="419" t="str">
        <f>LEFT('GRAFFITI SEALING'!I1,3)</f>
        <v>512</v>
      </c>
      <c r="B23" s="420" t="str">
        <f>RIGHT('GRAFFITI SEALING'!I1,5)</f>
        <v>10001</v>
      </c>
      <c r="C23" s="420">
        <f>'GRAFFITI SEALING'!L44</f>
        <v>580</v>
      </c>
      <c r="D23" s="420" t="str">
        <f>'GRAFFITI SEALING'!L5</f>
        <v>SY</v>
      </c>
      <c r="E23" s="421" t="str">
        <f>'GRAFFITI SEALING'!C5</f>
        <v>SEALING OF CONCRETE SURFACES, AS PER PLAN (PERMANENT GRAFFITI PROTECTION)</v>
      </c>
      <c r="F23" s="422"/>
      <c r="G23" s="420"/>
      <c r="H23" s="420"/>
      <c r="I23" s="425" t="s">
        <v>336</v>
      </c>
      <c r="J23" s="374"/>
      <c r="L23" s="304"/>
    </row>
    <row r="24" spans="1:12" ht="18" customHeight="1" x14ac:dyDescent="0.25">
      <c r="A24" s="413" t="str">
        <f>LEFT('CONC. SEALING'!I1,3)</f>
        <v>512</v>
      </c>
      <c r="B24" s="414" t="str">
        <f>RIGHT('CONC. SEALING'!I1,5)</f>
        <v>10100</v>
      </c>
      <c r="C24" s="414">
        <f>'CONC. SEALING'!L43</f>
        <v>674</v>
      </c>
      <c r="D24" s="414" t="str">
        <f>'CONC. SEALING'!L5</f>
        <v>SY</v>
      </c>
      <c r="E24" s="415" t="str">
        <f>'CONC. SEALING'!C5</f>
        <v>SEALING OF CONCRETE SURFACES (EPOXY-URETHANE)</v>
      </c>
      <c r="F24" s="417"/>
      <c r="G24" s="417"/>
      <c r="H24" s="417"/>
      <c r="I24" s="416"/>
      <c r="J24" s="70"/>
      <c r="L24" s="215"/>
    </row>
    <row r="25" spans="1:12" ht="18" customHeight="1" x14ac:dyDescent="0.25">
      <c r="A25" s="413"/>
      <c r="B25" s="414"/>
      <c r="C25" s="414"/>
      <c r="D25" s="414"/>
      <c r="E25" s="415"/>
      <c r="F25" s="417"/>
      <c r="G25" s="417"/>
      <c r="H25" s="417"/>
      <c r="I25" s="416"/>
      <c r="J25" s="70"/>
      <c r="L25" s="215"/>
    </row>
    <row r="26" spans="1:12" ht="18" customHeight="1" x14ac:dyDescent="0.25">
      <c r="A26" s="413" t="str">
        <f>LEFT('TYPE 2 WATERPROOFING'!I1,3)</f>
        <v>512</v>
      </c>
      <c r="B26" s="414" t="str">
        <f>RIGHT('TYPE 2 WATERPROOFING'!I1,5)</f>
        <v>33000</v>
      </c>
      <c r="C26" s="417">
        <f>'TYPE 2 WATERPROOFING'!L43</f>
        <v>686.77777777777783</v>
      </c>
      <c r="D26" s="414" t="str">
        <f>'TYPE 2 WATERPROOFING'!L5</f>
        <v>SY</v>
      </c>
      <c r="E26" s="415" t="str">
        <f>'TYPE 2 WATERPROOFING'!C5</f>
        <v>TYPE 2 WATERPROOFING</v>
      </c>
      <c r="F26" s="417"/>
      <c r="G26" s="417"/>
      <c r="H26" s="417"/>
      <c r="I26" s="416"/>
      <c r="J26" s="70"/>
      <c r="L26" s="215"/>
    </row>
    <row r="27" spans="1:12" ht="18" customHeight="1" x14ac:dyDescent="0.25">
      <c r="A27" s="413" t="str">
        <f>LEFT('STR. STEEL'!I1,3)</f>
        <v>513</v>
      </c>
      <c r="B27" s="414" t="str">
        <f>RIGHT('STR. STEEL'!I1,5)</f>
        <v>90000</v>
      </c>
      <c r="C27" s="417">
        <f>'STR. STEEL'!L57</f>
        <v>10414</v>
      </c>
      <c r="D27" s="414" t="str">
        <f>'STR. STEEL'!L5</f>
        <v>LB</v>
      </c>
      <c r="E27" s="415" t="str">
        <f>'STR. STEEL'!C5</f>
        <v>STRUCTURAL STEEL, MISC.: BRACKETS AND STRUTS</v>
      </c>
      <c r="F27" s="414"/>
      <c r="G27" s="414"/>
      <c r="H27" s="417"/>
      <c r="I27" s="418" t="s">
        <v>336</v>
      </c>
      <c r="J27" s="70"/>
      <c r="L27" s="215"/>
    </row>
    <row r="28" spans="1:12" ht="18" hidden="1" customHeight="1" x14ac:dyDescent="0.25">
      <c r="A28" s="426" t="str">
        <f>LEFT('2" PEJF'!I1,3)</f>
        <v>516</v>
      </c>
      <c r="B28" s="427" t="str">
        <f>RIGHT('2" PEJF'!I1,5)</f>
        <v>13900</v>
      </c>
      <c r="C28" s="427"/>
      <c r="D28" s="427" t="str">
        <f>'2" PEJF'!L5</f>
        <v>SF</v>
      </c>
      <c r="E28" s="428" t="str">
        <f>'2" PEJF'!C5</f>
        <v>2" PREFORMED EXPANSION JOINT FILLER</v>
      </c>
      <c r="F28" s="427"/>
      <c r="G28" s="427"/>
      <c r="H28" s="429"/>
      <c r="I28" s="430"/>
      <c r="J28" s="70"/>
      <c r="L28" s="215"/>
    </row>
    <row r="29" spans="1:12" ht="18" hidden="1" customHeight="1" x14ac:dyDescent="0.25">
      <c r="A29" s="426" t="str">
        <f>LEFT('NEOPRENE SHEETING'!I1,3)</f>
        <v>516</v>
      </c>
      <c r="B29" s="427" t="str">
        <f>RIGHT('NEOPRENE SHEETING'!I1,5)</f>
        <v>25000</v>
      </c>
      <c r="C29" s="427"/>
      <c r="D29" s="427" t="str">
        <f>'NEOPRENE SHEETING'!L5</f>
        <v>SF</v>
      </c>
      <c r="E29" s="428" t="str">
        <f>'NEOPRENE SHEETING'!C5</f>
        <v>NYLON REINFORCED NEOPRENE SHEETING</v>
      </c>
      <c r="F29" s="427"/>
      <c r="G29" s="429"/>
      <c r="H29" s="429"/>
      <c r="I29" s="430"/>
      <c r="J29" s="70"/>
      <c r="L29" s="215"/>
    </row>
    <row r="30" spans="1:12" ht="18" customHeight="1" x14ac:dyDescent="0.25">
      <c r="A30" s="413" t="str">
        <f>LEFT('POROUS BACKFILL'!I1,3)</f>
        <v>518</v>
      </c>
      <c r="B30" s="414" t="str">
        <f>RIGHT('POROUS BACKFILL'!I1,5)</f>
        <v>21200</v>
      </c>
      <c r="C30" s="417">
        <f>'POROUS BACKFILL'!L50</f>
        <v>758</v>
      </c>
      <c r="D30" s="414" t="str">
        <f>'POROUS BACKFILL'!L5</f>
        <v>CY</v>
      </c>
      <c r="E30" s="415" t="str">
        <f>'POROUS BACKFILL'!C5</f>
        <v>POROUS BACKFILL WITH GEOTEXTILE FABRIC</v>
      </c>
      <c r="F30" s="417"/>
      <c r="G30" s="414"/>
      <c r="H30" s="414"/>
      <c r="I30" s="416"/>
      <c r="J30" s="70"/>
      <c r="L30" s="215"/>
    </row>
    <row r="31" spans="1:12" ht="18" customHeight="1" x14ac:dyDescent="0.25">
      <c r="A31" s="413" t="str">
        <f>LEFT('6" PCPP'!I1,3)</f>
        <v>518</v>
      </c>
      <c r="B31" s="414" t="str">
        <f>RIGHT('6" PCPP'!I1,5)</f>
        <v>40000</v>
      </c>
      <c r="C31" s="417">
        <f>'6" PCPP'!L47</f>
        <v>424.73699999999997</v>
      </c>
      <c r="D31" s="414" t="str">
        <f>'6" PCPP'!L5</f>
        <v>FT</v>
      </c>
      <c r="E31" s="415" t="str">
        <f>'6" PCPP'!C5</f>
        <v>6" PERFORATED CORRUGATED PLASTIC PIPE</v>
      </c>
      <c r="F31" s="417"/>
      <c r="G31" s="414"/>
      <c r="H31" s="414"/>
      <c r="I31" s="416"/>
      <c r="J31" s="70"/>
      <c r="L31" s="215"/>
    </row>
    <row r="32" spans="1:12" ht="18" customHeight="1" x14ac:dyDescent="0.25">
      <c r="A32" s="413" t="str">
        <f>LEFT('6" NPCPP'!I1,3)</f>
        <v>518</v>
      </c>
      <c r="B32" s="414" t="str">
        <f>RIGHT('6" NPCPP'!I1,5)</f>
        <v>40010</v>
      </c>
      <c r="C32" s="417">
        <f>'6" NPCPP'!L47</f>
        <v>40</v>
      </c>
      <c r="D32" s="414" t="str">
        <f>'6" NPCPP'!L5</f>
        <v>FT</v>
      </c>
      <c r="E32" s="415" t="str">
        <f>'6" NPCPP'!C5</f>
        <v>6" NON-PERFORATED CORRUGATED PLASTIC PIPE, INCLUDING SPECIALS</v>
      </c>
      <c r="F32" s="417"/>
      <c r="G32" s="414"/>
      <c r="H32" s="414"/>
      <c r="I32" s="416"/>
      <c r="J32" s="70"/>
      <c r="L32" s="215"/>
    </row>
    <row r="33" spans="1:12" ht="18" customHeight="1" x14ac:dyDescent="0.25">
      <c r="A33" s="413"/>
      <c r="B33" s="414"/>
      <c r="C33" s="417"/>
      <c r="D33" s="414"/>
      <c r="E33" s="415"/>
      <c r="F33" s="417"/>
      <c r="G33" s="414"/>
      <c r="H33" s="414"/>
      <c r="I33" s="416"/>
      <c r="J33" s="70"/>
      <c r="L33" s="215"/>
    </row>
    <row r="34" spans="1:12" ht="18" customHeight="1" x14ac:dyDescent="0.25">
      <c r="A34" s="413" t="str">
        <f>LEFT(PATCHING!I1,3)</f>
        <v>519</v>
      </c>
      <c r="B34" s="414" t="str">
        <f>RIGHT(PATCHING!I1,5)</f>
        <v>11100</v>
      </c>
      <c r="C34" s="417">
        <f>PATCHING!L48</f>
        <v>250</v>
      </c>
      <c r="D34" s="414" t="str">
        <f>PATCHING!L5</f>
        <v>SF</v>
      </c>
      <c r="E34" s="415" t="str">
        <f>PATCHING!C5</f>
        <v>PATCHING CONCRETE STRUCTURE</v>
      </c>
      <c r="F34" s="417"/>
      <c r="G34" s="414"/>
      <c r="H34" s="414"/>
      <c r="I34" s="418" t="s">
        <v>336</v>
      </c>
      <c r="J34" s="70"/>
      <c r="L34" s="215"/>
    </row>
    <row r="35" spans="1:12" ht="18" customHeight="1" x14ac:dyDescent="0.25">
      <c r="A35" s="413" t="str">
        <f>LEFT('36" DRILLED SHAFTS'!I1,3)</f>
        <v>524</v>
      </c>
      <c r="B35" s="414" t="str">
        <f>RIGHT('36" DRILLED SHAFTS'!I1,5)</f>
        <v>94703</v>
      </c>
      <c r="C35" s="417">
        <f>'36" DRILLED SHAFTS'!L153</f>
        <v>252.59999999999718</v>
      </c>
      <c r="D35" s="414" t="str">
        <f>'36" DRILLED SHAFTS'!L5</f>
        <v>FT</v>
      </c>
      <c r="E35" s="415" t="str">
        <f>'36" DRILLED SHAFTS'!C5</f>
        <v>DRILLED SHAFTS, 36" DIAMETER, ABOVE BEDROCK, AS PER PLAN</v>
      </c>
      <c r="F35" s="417"/>
      <c r="G35" s="417"/>
      <c r="H35" s="414"/>
      <c r="I35" s="418" t="s">
        <v>336</v>
      </c>
      <c r="J35" s="70"/>
      <c r="L35" s="215"/>
    </row>
    <row r="36" spans="1:12" ht="18" customHeight="1" x14ac:dyDescent="0.25">
      <c r="A36" s="413" t="str">
        <f>LEFT('36" ROCK SOCKETS'!I1,3)</f>
        <v>524</v>
      </c>
      <c r="B36" s="414" t="str">
        <f>RIGHT('36" ROCK SOCKETS'!I1,5)</f>
        <v>94705</v>
      </c>
      <c r="C36" s="417">
        <f>'36" ROCK SOCKETS'!L152</f>
        <v>871.20000000000209</v>
      </c>
      <c r="D36" s="414" t="str">
        <f>'36" ROCK SOCKETS'!L5</f>
        <v>FT</v>
      </c>
      <c r="E36" s="415" t="str">
        <f>'36" ROCK SOCKETS'!C5</f>
        <v>DRILLED SHAFTS, 36" DIAMETER, INTO BEDROCK, AS PER PLAN</v>
      </c>
      <c r="F36" s="417"/>
      <c r="G36" s="417"/>
      <c r="H36" s="414"/>
      <c r="I36" s="418" t="s">
        <v>336</v>
      </c>
      <c r="J36" s="70"/>
      <c r="L36" s="215"/>
    </row>
    <row r="37" spans="1:12" ht="18" hidden="1" customHeight="1" x14ac:dyDescent="0.25">
      <c r="A37" s="413" t="str">
        <f>LEFT('RR TIES'!I1,3)</f>
        <v>530</v>
      </c>
      <c r="B37" s="414" t="str">
        <f>RIGHT('RR TIES'!I1,5)</f>
        <v>50020</v>
      </c>
      <c r="C37" s="417">
        <f>'RR TIES'!L43</f>
        <v>84</v>
      </c>
      <c r="D37" s="414" t="str">
        <f>'RR TIES'!L5</f>
        <v>FT</v>
      </c>
      <c r="E37" s="431" t="str">
        <f>'RR TIES'!C5</f>
        <v>SPECIAL - RETAINING WALL: 10"x10" RAILROAD TIES</v>
      </c>
      <c r="F37" s="417"/>
      <c r="G37" s="417"/>
      <c r="H37" s="414"/>
      <c r="I37" s="416"/>
      <c r="J37" s="70"/>
      <c r="L37" s="215"/>
    </row>
    <row r="38" spans="1:12" ht="18" customHeight="1" x14ac:dyDescent="0.25">
      <c r="A38" s="413" t="str">
        <f>LEFT(LAGGING!C5,7)</f>
        <v>SPECIAL</v>
      </c>
      <c r="B38" s="414" t="str">
        <f>""&amp;LEFT(LAGGING!I1,3)&amp;""&amp;RIGHT(LAGGING!I1,5)&amp;""</f>
        <v>53051010</v>
      </c>
      <c r="C38" s="417">
        <f>LAGGING!L48</f>
        <v>7036</v>
      </c>
      <c r="D38" s="414" t="str">
        <f>LAGGING!L5</f>
        <v>SF</v>
      </c>
      <c r="E38" s="415" t="str">
        <f>RIGHT(LAGGING!C5,40)</f>
        <v>RETAINING WALL, PRECAST CONCRETE LAGGING</v>
      </c>
      <c r="F38" s="417"/>
      <c r="G38" s="414"/>
      <c r="H38" s="414"/>
      <c r="I38" s="418" t="s">
        <v>336</v>
      </c>
      <c r="J38" s="70"/>
      <c r="L38" s="215"/>
    </row>
    <row r="39" spans="1:12" ht="18" customHeight="1" x14ac:dyDescent="0.25">
      <c r="A39" s="413"/>
      <c r="B39" s="414"/>
      <c r="C39" s="417"/>
      <c r="D39" s="414"/>
      <c r="E39" s="415"/>
      <c r="F39" s="417"/>
      <c r="G39" s="414"/>
      <c r="H39" s="414"/>
      <c r="I39" s="416"/>
      <c r="J39" s="70"/>
      <c r="L39" s="215"/>
    </row>
    <row r="40" spans="1:12" ht="18" customHeight="1" x14ac:dyDescent="0.25">
      <c r="A40" s="413" t="str">
        <f>LEFT('PAVED GUTTER'!I1,3)</f>
        <v>601</v>
      </c>
      <c r="B40" s="414" t="str">
        <f>RIGHT('PAVED GUTTER'!I1,5)</f>
        <v>38400</v>
      </c>
      <c r="C40" s="417">
        <f>'PAVED GUTTER'!L43</f>
        <v>335</v>
      </c>
      <c r="D40" s="414" t="str">
        <f>'PAVED GUTTER'!L5</f>
        <v>FT</v>
      </c>
      <c r="E40" s="415" t="str">
        <f>'PAVED GUTTER'!C5</f>
        <v>PAVED GUTTER, TYPE 2</v>
      </c>
      <c r="F40" s="417"/>
      <c r="G40" s="414"/>
      <c r="H40" s="414"/>
      <c r="I40" s="416"/>
      <c r="J40" s="70"/>
      <c r="L40" s="215"/>
    </row>
    <row r="41" spans="1:12" ht="18" customHeight="1" x14ac:dyDescent="0.25">
      <c r="A41" s="413" t="str">
        <f>LEFT(FENCE!I1,3)</f>
        <v>607</v>
      </c>
      <c r="B41" s="414" t="str">
        <f>RIGHT(FENCE!I1,5)</f>
        <v>23000</v>
      </c>
      <c r="C41" s="417">
        <f>FENCE!L43</f>
        <v>434</v>
      </c>
      <c r="D41" s="414" t="str">
        <f>FENCE!L5</f>
        <v>FT</v>
      </c>
      <c r="E41" s="415" t="str">
        <f>FENCE!C5</f>
        <v>FENCE, TYPE CLT</v>
      </c>
      <c r="F41" s="414"/>
      <c r="G41" s="414"/>
      <c r="H41" s="414"/>
      <c r="I41" s="416"/>
      <c r="J41" s="70"/>
      <c r="L41" s="215"/>
    </row>
    <row r="42" spans="1:12" ht="18" hidden="1" customHeight="1" x14ac:dyDescent="0.25">
      <c r="A42" s="413" t="str">
        <f>LEFT(LUMIN!I1,3)</f>
        <v>625</v>
      </c>
      <c r="B42" s="414" t="str">
        <f>RIGHT(LUMIN!I1,5)</f>
        <v>27504</v>
      </c>
      <c r="C42" s="417">
        <f>LUMIN!L48</f>
        <v>33</v>
      </c>
      <c r="D42" s="414" t="str">
        <f>LUMIN!L5</f>
        <v>EACH</v>
      </c>
      <c r="E42" s="415" t="str">
        <f>LUMIN!C5</f>
        <v>LUMINAIRE, TUNNEL, SOLID STATE (LED)</v>
      </c>
      <c r="F42" s="414"/>
      <c r="G42" s="414"/>
      <c r="H42" s="414"/>
      <c r="I42" s="416"/>
      <c r="J42" s="70"/>
      <c r="L42" s="215"/>
    </row>
    <row r="43" spans="1:12" ht="18" customHeight="1" x14ac:dyDescent="0.25">
      <c r="A43" s="413" t="str">
        <f>LEFT(SEEDING!I1,3)</f>
        <v>659</v>
      </c>
      <c r="B43" s="414" t="str">
        <f>RIGHT(SEEDING!I1,5)</f>
        <v>10000</v>
      </c>
      <c r="C43" s="417">
        <f>SEEDING!L48</f>
        <v>4045</v>
      </c>
      <c r="D43" s="414" t="str">
        <f>SEEDING!L5</f>
        <v>SY</v>
      </c>
      <c r="E43" s="415" t="str">
        <f>SEEDING!C5</f>
        <v>SEEDING AND MULCHING</v>
      </c>
      <c r="F43" s="414"/>
      <c r="G43" s="414"/>
      <c r="H43" s="414"/>
      <c r="I43" s="416"/>
      <c r="J43" s="70"/>
      <c r="L43" s="215"/>
    </row>
    <row r="44" spans="1:12" ht="18" customHeight="1" x14ac:dyDescent="0.25">
      <c r="A44" s="413" t="str">
        <f>LEFT(ASBESTOS!C5,7)</f>
        <v>SPECIAL</v>
      </c>
      <c r="B44" s="414" t="str">
        <f>""&amp;LEFT(ASBESTOS!I1,3)&amp;""&amp;RIGHT(ASBESTOS!I1,5)&amp;""</f>
        <v>69098400</v>
      </c>
      <c r="C44" s="417" t="str">
        <f>ASBESTOS!L5</f>
        <v>LS</v>
      </c>
      <c r="D44" s="414"/>
      <c r="E44" s="415" t="str">
        <f>RIGHT(ASBESTOS!C5,51)</f>
        <v>MISC.: WORK INVOLVING ASBESTOS CONTAINING MATERIALS</v>
      </c>
      <c r="F44" s="414"/>
      <c r="G44" s="414"/>
      <c r="H44" s="414"/>
      <c r="I44" s="418" t="s">
        <v>367</v>
      </c>
      <c r="J44" s="70"/>
      <c r="L44" s="215"/>
    </row>
    <row r="45" spans="1:12" ht="18" hidden="1" customHeight="1" x14ac:dyDescent="0.25">
      <c r="A45" s="426" t="str">
        <f>LEFT('POLY ASPHALT JT.'!I1,3)</f>
        <v>846</v>
      </c>
      <c r="B45" s="427" t="str">
        <f>RIGHT('POLY ASPHALT JT.'!I1,5)</f>
        <v>00110</v>
      </c>
      <c r="C45" s="429">
        <f>'POLY ASPHALT JT.'!L43</f>
        <v>0</v>
      </c>
      <c r="D45" s="427" t="str">
        <f>'POLY ASPHALT JT.'!L5</f>
        <v>CF</v>
      </c>
      <c r="E45" s="428" t="str">
        <f>'POLY ASPHALT JT.'!C5</f>
        <v>POLYMER MODIFIED ASPHALT EXPANSION JOINT SYSTEM</v>
      </c>
      <c r="F45" s="427"/>
      <c r="G45" s="427"/>
      <c r="H45" s="427"/>
      <c r="I45" s="430"/>
      <c r="J45" s="70"/>
      <c r="L45" s="215"/>
    </row>
    <row r="46" spans="1:12" ht="18" hidden="1" customHeight="1" x14ac:dyDescent="0.25">
      <c r="A46" s="432" t="str">
        <f>LEFT('MODULAR WALL'!I1,3)</f>
        <v>870</v>
      </c>
      <c r="B46" s="433" t="str">
        <f>RIGHT('MODULAR WALL'!I1,5)</f>
        <v>10001</v>
      </c>
      <c r="C46" s="434">
        <f>'MODULAR WALL'!L43</f>
        <v>0</v>
      </c>
      <c r="D46" s="433" t="str">
        <f>'MODULAR WALL'!L5</f>
        <v>SF</v>
      </c>
      <c r="E46" s="435" t="str">
        <f>'MODULAR WALL'!C5</f>
        <v>PREFABRICATED MODULAR RETAINING WALL, AS PER PLAN</v>
      </c>
      <c r="F46" s="433"/>
      <c r="G46" s="433"/>
      <c r="H46" s="433"/>
      <c r="I46" s="436"/>
      <c r="J46" s="70"/>
      <c r="L46" s="307"/>
    </row>
    <row r="47" spans="1:12" ht="18" customHeight="1" thickBot="1" x14ac:dyDescent="0.3">
      <c r="A47" s="379"/>
      <c r="B47" s="380"/>
      <c r="C47" s="381"/>
      <c r="D47" s="380"/>
      <c r="E47" s="382"/>
      <c r="F47" s="380"/>
      <c r="G47" s="380"/>
      <c r="H47" s="380"/>
      <c r="I47" s="383"/>
      <c r="J47" s="375"/>
      <c r="L47" s="307"/>
    </row>
  </sheetData>
  <mergeCells count="1">
    <mergeCell ref="A5:I5"/>
  </mergeCells>
  <pageMargins left="0.7" right="0.7" top="0.75" bottom="0.75" header="0.3" footer="0.3"/>
  <pageSetup paperSize="1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L46"/>
  <sheetViews>
    <sheetView showWhiteSpace="0" view="pageBreakPreview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57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'STEEL PILES'!I116:J116+1</f>
        <v>10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354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99</v>
      </c>
    </row>
    <row r="6" spans="1:12" ht="20.100000000000001" customHeight="1" thickBot="1" x14ac:dyDescent="0.3">
      <c r="A6" s="129"/>
      <c r="B6" s="29"/>
      <c r="C6" s="29"/>
      <c r="D6" s="29"/>
      <c r="E6" s="29"/>
      <c r="F6" s="2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133"/>
      <c r="L8" s="134"/>
    </row>
    <row r="9" spans="1:12" ht="15.95" customHeight="1" x14ac:dyDescent="0.25">
      <c r="A9" s="13"/>
      <c r="B9" s="362" t="s">
        <v>236</v>
      </c>
      <c r="C9" s="104"/>
      <c r="D9" s="11"/>
      <c r="E9" s="10"/>
      <c r="F9" s="10"/>
      <c r="G9" s="10"/>
      <c r="H9" s="10"/>
      <c r="I9" s="63"/>
      <c r="J9" s="58"/>
      <c r="K9" s="6"/>
      <c r="L9" s="136"/>
    </row>
    <row r="10" spans="1:12" ht="15.95" customHeight="1" x14ac:dyDescent="0.25">
      <c r="A10" s="13"/>
      <c r="B10" s="73"/>
      <c r="C10" s="364" t="s">
        <v>13</v>
      </c>
      <c r="D10" s="361">
        <v>127117</v>
      </c>
      <c r="E10" s="10" t="s">
        <v>99</v>
      </c>
      <c r="F10" s="10"/>
      <c r="G10" s="10"/>
      <c r="H10" s="10"/>
      <c r="I10" s="63"/>
      <c r="J10" s="58"/>
      <c r="K10" s="59">
        <f>D10</f>
        <v>127117</v>
      </c>
      <c r="L10" s="136"/>
    </row>
    <row r="11" spans="1:12" ht="15.95" customHeight="1" x14ac:dyDescent="0.25">
      <c r="A11" s="13"/>
      <c r="B11" s="184"/>
      <c r="C11" s="363"/>
      <c r="D11" s="11"/>
      <c r="E11" s="25"/>
      <c r="F11" s="25"/>
      <c r="G11" s="25"/>
      <c r="H11" s="25"/>
      <c r="I11" s="92"/>
      <c r="J11" s="58"/>
      <c r="K11" s="60"/>
      <c r="L11" s="136"/>
    </row>
    <row r="12" spans="1:12" ht="15.95" customHeight="1" x14ac:dyDescent="0.25">
      <c r="A12" s="13"/>
      <c r="B12" s="362" t="s">
        <v>334</v>
      </c>
      <c r="C12" s="104"/>
      <c r="D12" s="11"/>
      <c r="E12" s="10"/>
      <c r="F12" s="10"/>
      <c r="G12" s="10"/>
      <c r="H12" s="10"/>
      <c r="I12" s="63"/>
      <c r="J12" s="58"/>
      <c r="K12" s="6"/>
      <c r="L12" s="195"/>
    </row>
    <row r="13" spans="1:12" ht="16.5" customHeight="1" x14ac:dyDescent="0.25">
      <c r="A13" s="13"/>
      <c r="B13" s="73"/>
      <c r="C13" s="364" t="s">
        <v>13</v>
      </c>
      <c r="D13" s="361">
        <v>2906</v>
      </c>
      <c r="E13" s="10" t="s">
        <v>99</v>
      </c>
      <c r="F13" s="10"/>
      <c r="G13" s="10"/>
      <c r="H13" s="10"/>
      <c r="I13" s="63"/>
      <c r="J13" s="58"/>
      <c r="K13" s="59">
        <f>D13</f>
        <v>2906</v>
      </c>
      <c r="L13" s="195"/>
    </row>
    <row r="14" spans="1:12" ht="15.95" customHeight="1" x14ac:dyDescent="0.25">
      <c r="A14" s="13"/>
      <c r="B14" s="184"/>
      <c r="C14" s="363"/>
      <c r="D14" s="11"/>
      <c r="E14" s="390"/>
      <c r="F14" s="97"/>
      <c r="G14" s="25"/>
      <c r="H14" s="25"/>
      <c r="I14" s="25"/>
      <c r="J14" s="58"/>
      <c r="K14" s="59"/>
      <c r="L14" s="195"/>
    </row>
    <row r="15" spans="1:12" ht="15.95" customHeight="1" x14ac:dyDescent="0.25">
      <c r="A15" s="13"/>
      <c r="B15" s="362" t="s">
        <v>335</v>
      </c>
      <c r="C15" s="104"/>
      <c r="D15" s="11"/>
      <c r="E15" s="10"/>
      <c r="F15" s="10"/>
      <c r="G15" s="10"/>
      <c r="H15" s="10"/>
      <c r="I15" s="63"/>
      <c r="J15" s="58"/>
      <c r="K15" s="6"/>
      <c r="L15" s="195"/>
    </row>
    <row r="16" spans="1:12" ht="15.75" customHeight="1" x14ac:dyDescent="0.25">
      <c r="A16" s="13"/>
      <c r="B16" s="73"/>
      <c r="C16" s="364" t="s">
        <v>13</v>
      </c>
      <c r="D16" s="361">
        <v>331</v>
      </c>
      <c r="E16" s="10" t="s">
        <v>99</v>
      </c>
      <c r="F16" s="10"/>
      <c r="G16" s="10"/>
      <c r="H16" s="10"/>
      <c r="I16" s="63"/>
      <c r="J16" s="58"/>
      <c r="K16" s="59">
        <f>D16</f>
        <v>331</v>
      </c>
      <c r="L16" s="195"/>
    </row>
    <row r="17" spans="1:12" ht="15.95" customHeight="1" x14ac:dyDescent="0.25">
      <c r="A17" s="13"/>
      <c r="B17" s="11"/>
      <c r="C17" s="363"/>
      <c r="D17" s="11"/>
      <c r="E17" s="260"/>
      <c r="F17" s="63"/>
      <c r="G17" s="143"/>
      <c r="H17" s="11"/>
      <c r="I17" s="63"/>
      <c r="J17" s="58"/>
      <c r="K17" s="194"/>
      <c r="L17" s="195"/>
    </row>
    <row r="18" spans="1:12" ht="15.95" customHeight="1" x14ac:dyDescent="0.25">
      <c r="A18" s="13"/>
      <c r="B18" s="84"/>
      <c r="C18" s="10"/>
      <c r="D18" s="198"/>
      <c r="E18" s="260"/>
      <c r="F18" s="63"/>
      <c r="G18" s="143"/>
      <c r="H18" s="11"/>
      <c r="I18" s="63"/>
      <c r="J18" s="58"/>
      <c r="K18" s="194"/>
      <c r="L18" s="195"/>
    </row>
    <row r="19" spans="1:12" ht="15.95" customHeight="1" x14ac:dyDescent="0.25">
      <c r="A19" s="13"/>
      <c r="B19" s="34"/>
      <c r="C19" s="34"/>
      <c r="D19" s="34"/>
      <c r="E19" s="196"/>
      <c r="F19" s="10"/>
      <c r="G19" s="12"/>
      <c r="H19" s="12"/>
      <c r="I19" s="63"/>
      <c r="J19" s="58"/>
      <c r="K19" s="194"/>
      <c r="L19" s="195"/>
    </row>
    <row r="20" spans="1:12" ht="15.95" customHeight="1" x14ac:dyDescent="0.25">
      <c r="A20" s="13"/>
      <c r="B20" s="73"/>
      <c r="C20" s="22"/>
      <c r="D20" s="11"/>
      <c r="E20" s="196"/>
      <c r="F20" s="49"/>
      <c r="G20" s="63"/>
      <c r="H20" s="10"/>
      <c r="I20" s="63"/>
      <c r="J20" s="58"/>
      <c r="K20" s="194"/>
      <c r="L20" s="195"/>
    </row>
    <row r="21" spans="1:12" ht="15.95" customHeight="1" x14ac:dyDescent="0.25">
      <c r="A21" s="13"/>
      <c r="B21" s="10"/>
      <c r="C21" s="22"/>
      <c r="D21" s="11"/>
      <c r="E21" s="10"/>
      <c r="F21" s="10"/>
      <c r="G21" s="12"/>
      <c r="H21" s="12"/>
      <c r="I21" s="63"/>
      <c r="J21" s="58"/>
      <c r="K21" s="194"/>
      <c r="L21" s="195"/>
    </row>
    <row r="22" spans="1:12" ht="18.75" customHeight="1" x14ac:dyDescent="0.25">
      <c r="A22" s="13"/>
      <c r="B22" s="54"/>
      <c r="C22" s="52"/>
      <c r="D22" s="87"/>
      <c r="E22" s="54"/>
      <c r="F22" s="54"/>
      <c r="G22" s="53"/>
      <c r="H22" s="53"/>
      <c r="I22" s="63"/>
      <c r="J22" s="58"/>
      <c r="K22" s="194"/>
      <c r="L22" s="195"/>
    </row>
    <row r="23" spans="1:12" ht="15.95" customHeight="1" x14ac:dyDescent="0.25">
      <c r="A23" s="13"/>
      <c r="B23" s="10"/>
      <c r="C23" s="11"/>
      <c r="D23" s="11"/>
      <c r="E23" s="10"/>
      <c r="F23" s="11"/>
      <c r="G23" s="11"/>
      <c r="H23" s="11"/>
      <c r="I23" s="63"/>
      <c r="J23" s="58"/>
      <c r="K23" s="194"/>
      <c r="L23" s="195"/>
    </row>
    <row r="24" spans="1:12" ht="15.95" customHeight="1" x14ac:dyDescent="0.25">
      <c r="A24" s="13"/>
      <c r="B24" s="10"/>
      <c r="C24" s="11"/>
      <c r="D24" s="11"/>
      <c r="E24" s="10"/>
      <c r="F24" s="11"/>
      <c r="G24" s="11"/>
      <c r="H24" s="11"/>
      <c r="I24" s="63"/>
      <c r="J24" s="58"/>
      <c r="K24" s="194"/>
      <c r="L24" s="195"/>
    </row>
    <row r="25" spans="1:12" ht="15.95" customHeight="1" x14ac:dyDescent="0.25">
      <c r="A25" s="13"/>
      <c r="B25" s="15"/>
      <c r="C25" s="11"/>
      <c r="D25" s="11"/>
      <c r="E25" s="10"/>
      <c r="F25" s="11"/>
      <c r="G25" s="11"/>
      <c r="H25" s="11"/>
      <c r="I25" s="63"/>
      <c r="J25" s="58"/>
      <c r="K25" s="194"/>
      <c r="L25" s="195"/>
    </row>
    <row r="26" spans="1:12" ht="15.95" customHeight="1" x14ac:dyDescent="0.25">
      <c r="A26" s="13"/>
      <c r="B26" s="10"/>
      <c r="C26" s="86"/>
      <c r="D26" s="30"/>
      <c r="E26" s="19"/>
      <c r="F26" s="11"/>
      <c r="G26" s="11"/>
      <c r="H26" s="30"/>
      <c r="I26" s="63"/>
      <c r="J26" s="58"/>
      <c r="K26" s="194"/>
      <c r="L26" s="195"/>
    </row>
    <row r="27" spans="1:12" ht="15.95" customHeight="1" x14ac:dyDescent="0.25">
      <c r="A27" s="13"/>
      <c r="B27" s="15"/>
      <c r="C27" s="86"/>
      <c r="D27" s="30"/>
      <c r="E27" s="19"/>
      <c r="F27" s="30"/>
      <c r="G27" s="11"/>
      <c r="H27" s="30"/>
      <c r="I27" s="63"/>
      <c r="J27" s="58"/>
      <c r="K27" s="194"/>
      <c r="L27" s="195"/>
    </row>
    <row r="28" spans="1:12" ht="15.95" customHeight="1" x14ac:dyDescent="0.25">
      <c r="A28" s="13"/>
      <c r="B28" s="10"/>
      <c r="C28" s="104"/>
      <c r="D28" s="11"/>
      <c r="E28" s="10"/>
      <c r="F28" s="10"/>
      <c r="G28" s="10"/>
      <c r="H28" s="10"/>
      <c r="I28" s="63"/>
      <c r="J28" s="58"/>
      <c r="K28" s="194"/>
      <c r="L28" s="195"/>
    </row>
    <row r="29" spans="1:12" ht="15.95" customHeight="1" x14ac:dyDescent="0.25">
      <c r="A29" s="13"/>
      <c r="B29" s="10"/>
      <c r="C29" s="104"/>
      <c r="D29" s="11"/>
      <c r="E29" s="10"/>
      <c r="F29" s="10"/>
      <c r="G29" s="10"/>
      <c r="H29" s="11"/>
      <c r="I29" s="63"/>
      <c r="J29" s="58"/>
      <c r="K29" s="135"/>
      <c r="L29" s="136"/>
    </row>
    <row r="30" spans="1:12" ht="15.95" customHeight="1" x14ac:dyDescent="0.25">
      <c r="A30" s="13"/>
      <c r="B30" s="10"/>
      <c r="C30" s="104"/>
      <c r="D30" s="11"/>
      <c r="E30" s="10"/>
      <c r="F30" s="10"/>
      <c r="G30" s="12"/>
      <c r="H30" s="10"/>
      <c r="I30" s="63"/>
      <c r="J30" s="58"/>
      <c r="K30" s="135"/>
      <c r="L30" s="136"/>
    </row>
    <row r="31" spans="1:12" ht="15.95" customHeight="1" x14ac:dyDescent="0.25">
      <c r="A31" s="60"/>
      <c r="B31" s="10"/>
      <c r="C31" s="104"/>
      <c r="D31" s="11"/>
      <c r="E31" s="10"/>
      <c r="F31" s="10"/>
      <c r="G31" s="10"/>
      <c r="H31" s="10"/>
      <c r="I31" s="63"/>
      <c r="J31" s="58"/>
      <c r="K31" s="135"/>
      <c r="L31" s="136"/>
    </row>
    <row r="32" spans="1:12" ht="15.95" customHeight="1" x14ac:dyDescent="0.25">
      <c r="A32" s="60"/>
      <c r="B32" s="10"/>
      <c r="C32" s="104"/>
      <c r="D32" s="11"/>
      <c r="E32" s="10"/>
      <c r="F32" s="10"/>
      <c r="G32" s="10"/>
      <c r="H32" s="10"/>
      <c r="I32" s="63"/>
      <c r="J32" s="58"/>
      <c r="K32" s="135"/>
      <c r="L32" s="13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135"/>
      <c r="L33" s="136"/>
    </row>
    <row r="34" spans="1:12" ht="15.95" customHeight="1" x14ac:dyDescent="0.25">
      <c r="A34" s="60"/>
      <c r="B34" s="10"/>
      <c r="C34" s="104"/>
      <c r="D34" s="11"/>
      <c r="E34" s="10"/>
      <c r="F34" s="10"/>
      <c r="G34" s="12"/>
      <c r="H34" s="10"/>
      <c r="I34" s="63"/>
      <c r="J34" s="58"/>
      <c r="K34" s="135"/>
      <c r="L34" s="136"/>
    </row>
    <row r="35" spans="1:12" ht="15.95" customHeight="1" x14ac:dyDescent="0.25">
      <c r="A35" s="60"/>
      <c r="B35" s="10"/>
      <c r="C35" s="104"/>
      <c r="D35" s="11"/>
      <c r="E35" s="10"/>
      <c r="F35" s="10"/>
      <c r="G35" s="12"/>
      <c r="H35" s="10"/>
      <c r="I35" s="63"/>
      <c r="J35" s="58"/>
      <c r="K35" s="135"/>
      <c r="L35" s="136"/>
    </row>
    <row r="36" spans="1:12" ht="15.95" customHeight="1" x14ac:dyDescent="0.25">
      <c r="A36" s="60"/>
      <c r="B36" s="10"/>
      <c r="C36" s="104"/>
      <c r="D36" s="11"/>
      <c r="E36" s="10"/>
      <c r="F36" s="10"/>
      <c r="G36" s="12"/>
      <c r="H36" s="10"/>
      <c r="I36" s="63"/>
      <c r="J36" s="58"/>
      <c r="K36" s="135"/>
      <c r="L36" s="13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135"/>
      <c r="L37" s="13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135"/>
      <c r="L38" s="13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135"/>
      <c r="L39" s="136"/>
    </row>
    <row r="40" spans="1:12" ht="15.95" customHeight="1" x14ac:dyDescent="0.25">
      <c r="A40" s="60"/>
      <c r="B40" s="10"/>
      <c r="C40" s="104"/>
      <c r="D40" s="11"/>
      <c r="E40" s="10"/>
      <c r="F40" s="10"/>
      <c r="G40" s="12"/>
      <c r="H40" s="10"/>
      <c r="I40" s="63"/>
      <c r="J40" s="58"/>
      <c r="K40" s="135"/>
      <c r="L40" s="136"/>
    </row>
    <row r="41" spans="1:12" ht="15.95" customHeight="1" x14ac:dyDescent="0.25">
      <c r="A41" s="60"/>
      <c r="B41" s="10"/>
      <c r="C41" s="104"/>
      <c r="D41" s="11"/>
      <c r="E41" s="10"/>
      <c r="F41" s="10"/>
      <c r="G41" s="12"/>
      <c r="H41" s="10"/>
      <c r="I41" s="63"/>
      <c r="J41" s="58"/>
      <c r="K41" s="135"/>
      <c r="L41" s="13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135"/>
      <c r="L42" s="136"/>
    </row>
    <row r="43" spans="1:12" ht="15.95" customHeight="1" x14ac:dyDescent="0.25">
      <c r="A43" s="60"/>
      <c r="B43" s="10"/>
      <c r="C43" s="104"/>
      <c r="D43" s="11"/>
      <c r="E43" s="10"/>
      <c r="F43" s="10"/>
      <c r="G43" s="10"/>
      <c r="H43" s="10"/>
      <c r="I43" s="63"/>
      <c r="J43" s="58"/>
      <c r="K43" s="135"/>
      <c r="L43" s="136"/>
    </row>
    <row r="44" spans="1:12" ht="15.95" customHeight="1" x14ac:dyDescent="0.25">
      <c r="A44" s="71"/>
      <c r="B44" s="10"/>
      <c r="C44" s="25"/>
      <c r="D44" s="25"/>
      <c r="E44" s="100"/>
      <c r="F44" s="100"/>
      <c r="G44" s="97"/>
      <c r="H44" s="25"/>
      <c r="I44" s="92"/>
      <c r="J44" s="32"/>
      <c r="K44" s="137"/>
      <c r="L44" s="138"/>
    </row>
    <row r="45" spans="1:12" ht="15.95" customHeight="1" thickBot="1" x14ac:dyDescent="0.3">
      <c r="A45" s="71"/>
      <c r="B45" s="67"/>
      <c r="C45" s="67"/>
      <c r="D45" s="67"/>
      <c r="E45" s="101"/>
      <c r="F45" s="101"/>
      <c r="G45" s="98"/>
      <c r="H45" s="67"/>
      <c r="I45" s="99"/>
      <c r="J45" s="68"/>
      <c r="K45" s="137"/>
      <c r="L45" s="138"/>
    </row>
    <row r="46" spans="1:12" ht="15.95" customHeight="1" thickBot="1" x14ac:dyDescent="0.3">
      <c r="A46" s="445" t="s">
        <v>13</v>
      </c>
      <c r="B46" s="446"/>
      <c r="C46" s="447"/>
      <c r="D46" s="447"/>
      <c r="E46" s="447"/>
      <c r="F46" s="447"/>
      <c r="G46" s="447"/>
      <c r="H46" s="447"/>
      <c r="I46" s="447"/>
      <c r="J46" s="448"/>
      <c r="K46" s="79">
        <f>SUM(K8:K45)</f>
        <v>130354</v>
      </c>
      <c r="L46" s="139">
        <f>K46</f>
        <v>130354</v>
      </c>
    </row>
  </sheetData>
  <mergeCells count="8">
    <mergeCell ref="A7:J7"/>
    <mergeCell ref="A46:J46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L46"/>
  <sheetViews>
    <sheetView showWhiteSpace="0" view="pageBreakPreview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329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1+REBAR!I2</f>
        <v>11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330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51</v>
      </c>
    </row>
    <row r="6" spans="1:12" ht="20.100000000000001" customHeight="1" thickBot="1" x14ac:dyDescent="0.3">
      <c r="A6" s="129"/>
      <c r="B6" s="29"/>
      <c r="C6" s="29"/>
      <c r="D6" s="29"/>
      <c r="E6" s="29"/>
      <c r="F6" s="2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133"/>
      <c r="L8" s="134"/>
    </row>
    <row r="9" spans="1:12" ht="15.95" customHeight="1" x14ac:dyDescent="0.25">
      <c r="A9" s="13"/>
      <c r="B9" s="362" t="s">
        <v>331</v>
      </c>
      <c r="C9" s="104"/>
      <c r="D9" s="11"/>
      <c r="E9" s="10"/>
      <c r="F9" s="10"/>
      <c r="G9" s="10"/>
      <c r="H9" s="10"/>
      <c r="I9" s="63"/>
      <c r="J9" s="58"/>
      <c r="K9" s="6"/>
      <c r="L9" s="136"/>
    </row>
    <row r="10" spans="1:12" ht="15.95" customHeight="1" x14ac:dyDescent="0.25">
      <c r="A10" s="13"/>
      <c r="B10" s="73"/>
      <c r="C10" s="364" t="s">
        <v>13</v>
      </c>
      <c r="D10" s="361">
        <v>2</v>
      </c>
      <c r="E10" s="10" t="s">
        <v>51</v>
      </c>
      <c r="F10" s="10"/>
      <c r="G10" s="10"/>
      <c r="H10" s="10"/>
      <c r="I10" s="63"/>
      <c r="J10" s="58"/>
      <c r="K10" s="59">
        <f>D10</f>
        <v>2</v>
      </c>
      <c r="L10" s="136"/>
    </row>
    <row r="11" spans="1:12" ht="15.95" customHeight="1" x14ac:dyDescent="0.25">
      <c r="A11" s="13"/>
      <c r="B11" s="184"/>
      <c r="C11" s="363"/>
      <c r="D11" s="11"/>
      <c r="E11" s="25"/>
      <c r="F11" s="25"/>
      <c r="G11" s="25"/>
      <c r="H11" s="25"/>
      <c r="I11" s="92"/>
      <c r="J11" s="58"/>
      <c r="K11" s="60"/>
      <c r="L11" s="136"/>
    </row>
    <row r="12" spans="1:12" ht="15.95" customHeight="1" x14ac:dyDescent="0.25">
      <c r="A12" s="13"/>
      <c r="B12" s="184" t="s">
        <v>236</v>
      </c>
      <c r="C12" s="363"/>
      <c r="D12" s="11"/>
      <c r="E12" s="25"/>
      <c r="F12" s="25"/>
      <c r="G12" s="25"/>
      <c r="H12" s="25"/>
      <c r="I12" s="92"/>
      <c r="J12" s="58"/>
      <c r="K12" s="60"/>
      <c r="L12" s="195"/>
    </row>
    <row r="13" spans="1:12" ht="16.5" customHeight="1" x14ac:dyDescent="0.25">
      <c r="A13" s="13"/>
      <c r="B13" s="184"/>
      <c r="C13" s="364" t="s">
        <v>13</v>
      </c>
      <c r="D13" s="361">
        <f>19+2*12</f>
        <v>43</v>
      </c>
      <c r="E13" s="10" t="s">
        <v>51</v>
      </c>
      <c r="F13" s="97"/>
      <c r="G13" s="25"/>
      <c r="H13" s="25"/>
      <c r="I13" s="92"/>
      <c r="J13" s="58"/>
      <c r="K13" s="59">
        <f>D13</f>
        <v>43</v>
      </c>
      <c r="L13" s="195"/>
    </row>
    <row r="14" spans="1:12" ht="15.95" customHeight="1" x14ac:dyDescent="0.25">
      <c r="A14" s="13"/>
      <c r="B14" s="184"/>
      <c r="C14" s="389"/>
      <c r="D14" s="38"/>
      <c r="E14" s="390"/>
      <c r="F14" s="97"/>
      <c r="G14" s="25"/>
      <c r="H14" s="25"/>
      <c r="I14" s="25"/>
      <c r="J14" s="58"/>
      <c r="K14" s="59"/>
      <c r="L14" s="195"/>
    </row>
    <row r="15" spans="1:12" ht="15.95" customHeight="1" x14ac:dyDescent="0.25">
      <c r="A15" s="13"/>
      <c r="B15" s="54"/>
      <c r="C15" s="11"/>
      <c r="D15" s="38"/>
      <c r="E15" s="260"/>
      <c r="F15" s="63"/>
      <c r="G15" s="143"/>
      <c r="H15" s="25"/>
      <c r="I15" s="25"/>
      <c r="J15" s="58"/>
      <c r="K15" s="194"/>
      <c r="L15" s="195"/>
    </row>
    <row r="16" spans="1:12" ht="15.75" customHeight="1" x14ac:dyDescent="0.25">
      <c r="A16" s="13"/>
      <c r="B16" s="73"/>
      <c r="C16" s="52"/>
      <c r="D16" s="38"/>
      <c r="E16" s="261"/>
      <c r="F16" s="63"/>
      <c r="G16" s="143"/>
      <c r="H16" s="52"/>
      <c r="I16" s="63"/>
      <c r="J16" s="58"/>
      <c r="K16" s="194"/>
      <c r="L16" s="195"/>
    </row>
    <row r="17" spans="1:12" ht="15.95" customHeight="1" x14ac:dyDescent="0.25">
      <c r="A17" s="13"/>
      <c r="B17" s="11"/>
      <c r="C17" s="11"/>
      <c r="D17" s="197"/>
      <c r="E17" s="260"/>
      <c r="F17" s="63"/>
      <c r="G17" s="143"/>
      <c r="H17" s="11"/>
      <c r="I17" s="63"/>
      <c r="J17" s="58"/>
      <c r="K17" s="194"/>
      <c r="L17" s="195"/>
    </row>
    <row r="18" spans="1:12" ht="15.95" customHeight="1" x14ac:dyDescent="0.25">
      <c r="A18" s="13"/>
      <c r="B18" s="84"/>
      <c r="C18" s="10"/>
      <c r="D18" s="198"/>
      <c r="E18" s="260"/>
      <c r="F18" s="63"/>
      <c r="G18" s="143"/>
      <c r="H18" s="11"/>
      <c r="I18" s="63"/>
      <c r="J18" s="58"/>
      <c r="K18" s="194"/>
      <c r="L18" s="195"/>
    </row>
    <row r="19" spans="1:12" ht="15.95" customHeight="1" x14ac:dyDescent="0.25">
      <c r="A19" s="13"/>
      <c r="B19" s="34"/>
      <c r="C19" s="34"/>
      <c r="D19" s="34"/>
      <c r="E19" s="196"/>
      <c r="F19" s="10"/>
      <c r="G19" s="12"/>
      <c r="H19" s="12"/>
      <c r="I19" s="63"/>
      <c r="J19" s="58"/>
      <c r="K19" s="194"/>
      <c r="L19" s="195"/>
    </row>
    <row r="20" spans="1:12" ht="15.95" customHeight="1" x14ac:dyDescent="0.25">
      <c r="A20" s="13"/>
      <c r="B20" s="73"/>
      <c r="C20" s="22"/>
      <c r="D20" s="11"/>
      <c r="E20" s="196"/>
      <c r="F20" s="49"/>
      <c r="G20" s="63"/>
      <c r="H20" s="10"/>
      <c r="I20" s="63"/>
      <c r="J20" s="58"/>
      <c r="K20" s="194"/>
      <c r="L20" s="195"/>
    </row>
    <row r="21" spans="1:12" ht="15.95" customHeight="1" x14ac:dyDescent="0.25">
      <c r="A21" s="13"/>
      <c r="B21" s="10"/>
      <c r="C21" s="22"/>
      <c r="D21" s="11"/>
      <c r="E21" s="10"/>
      <c r="F21" s="10"/>
      <c r="G21" s="12"/>
      <c r="H21" s="12"/>
      <c r="I21" s="63"/>
      <c r="J21" s="58"/>
      <c r="K21" s="194"/>
      <c r="L21" s="195"/>
    </row>
    <row r="22" spans="1:12" ht="18.75" customHeight="1" x14ac:dyDescent="0.25">
      <c r="A22" s="13"/>
      <c r="B22" s="54"/>
      <c r="C22" s="52"/>
      <c r="D22" s="87"/>
      <c r="E22" s="54"/>
      <c r="F22" s="54"/>
      <c r="G22" s="53"/>
      <c r="H22" s="53"/>
      <c r="I22" s="63"/>
      <c r="J22" s="58"/>
      <c r="K22" s="194"/>
      <c r="L22" s="195"/>
    </row>
    <row r="23" spans="1:12" ht="15.95" customHeight="1" x14ac:dyDescent="0.25">
      <c r="A23" s="13"/>
      <c r="B23" s="10"/>
      <c r="C23" s="11"/>
      <c r="D23" s="11"/>
      <c r="E23" s="10"/>
      <c r="F23" s="11"/>
      <c r="G23" s="11"/>
      <c r="H23" s="11"/>
      <c r="I23" s="63"/>
      <c r="J23" s="58"/>
      <c r="K23" s="194"/>
      <c r="L23" s="195"/>
    </row>
    <row r="24" spans="1:12" ht="15.95" customHeight="1" x14ac:dyDescent="0.25">
      <c r="A24" s="13"/>
      <c r="B24" s="10"/>
      <c r="C24" s="11"/>
      <c r="D24" s="11"/>
      <c r="E24" s="10"/>
      <c r="F24" s="11"/>
      <c r="G24" s="11"/>
      <c r="H24" s="11"/>
      <c r="I24" s="63"/>
      <c r="J24" s="58"/>
      <c r="K24" s="194"/>
      <c r="L24" s="195"/>
    </row>
    <row r="25" spans="1:12" ht="15.95" customHeight="1" x14ac:dyDescent="0.25">
      <c r="A25" s="13"/>
      <c r="B25" s="15"/>
      <c r="C25" s="11"/>
      <c r="D25" s="11"/>
      <c r="E25" s="10"/>
      <c r="F25" s="11"/>
      <c r="G25" s="11"/>
      <c r="H25" s="11"/>
      <c r="I25" s="63"/>
      <c r="J25" s="58"/>
      <c r="K25" s="194"/>
      <c r="L25" s="195"/>
    </row>
    <row r="26" spans="1:12" ht="15.95" customHeight="1" x14ac:dyDescent="0.25">
      <c r="A26" s="13"/>
      <c r="B26" s="10"/>
      <c r="C26" s="86"/>
      <c r="D26" s="30"/>
      <c r="E26" s="19"/>
      <c r="F26" s="11"/>
      <c r="G26" s="11"/>
      <c r="H26" s="30"/>
      <c r="I26" s="63"/>
      <c r="J26" s="58"/>
      <c r="K26" s="194"/>
      <c r="L26" s="195"/>
    </row>
    <row r="27" spans="1:12" ht="15.95" customHeight="1" x14ac:dyDescent="0.25">
      <c r="A27" s="13"/>
      <c r="B27" s="15"/>
      <c r="C27" s="86"/>
      <c r="D27" s="30"/>
      <c r="E27" s="19"/>
      <c r="F27" s="30"/>
      <c r="G27" s="11"/>
      <c r="H27" s="30"/>
      <c r="I27" s="63"/>
      <c r="J27" s="58"/>
      <c r="K27" s="194"/>
      <c r="L27" s="195"/>
    </row>
    <row r="28" spans="1:12" ht="15.95" customHeight="1" x14ac:dyDescent="0.25">
      <c r="A28" s="13"/>
      <c r="B28" s="10"/>
      <c r="C28" s="104"/>
      <c r="D28" s="11"/>
      <c r="E28" s="10"/>
      <c r="F28" s="10"/>
      <c r="G28" s="10"/>
      <c r="H28" s="10"/>
      <c r="I28" s="63"/>
      <c r="J28" s="58"/>
      <c r="K28" s="194"/>
      <c r="L28" s="195"/>
    </row>
    <row r="29" spans="1:12" ht="15.95" customHeight="1" x14ac:dyDescent="0.25">
      <c r="A29" s="13"/>
      <c r="B29" s="10"/>
      <c r="C29" s="104"/>
      <c r="D29" s="11"/>
      <c r="E29" s="10"/>
      <c r="F29" s="10"/>
      <c r="G29" s="10"/>
      <c r="H29" s="11"/>
      <c r="I29" s="63"/>
      <c r="J29" s="58"/>
      <c r="K29" s="135"/>
      <c r="L29" s="136"/>
    </row>
    <row r="30" spans="1:12" ht="15.95" customHeight="1" x14ac:dyDescent="0.25">
      <c r="A30" s="13"/>
      <c r="B30" s="10"/>
      <c r="C30" s="104"/>
      <c r="D30" s="11"/>
      <c r="E30" s="10"/>
      <c r="F30" s="10"/>
      <c r="G30" s="12"/>
      <c r="H30" s="10"/>
      <c r="I30" s="63"/>
      <c r="J30" s="58"/>
      <c r="K30" s="135"/>
      <c r="L30" s="136"/>
    </row>
    <row r="31" spans="1:12" ht="15.95" customHeight="1" x14ac:dyDescent="0.25">
      <c r="A31" s="60"/>
      <c r="B31" s="10"/>
      <c r="C31" s="104"/>
      <c r="D31" s="11"/>
      <c r="E31" s="10"/>
      <c r="F31" s="10"/>
      <c r="G31" s="10"/>
      <c r="H31" s="10"/>
      <c r="I31" s="63"/>
      <c r="J31" s="58"/>
      <c r="K31" s="135"/>
      <c r="L31" s="136"/>
    </row>
    <row r="32" spans="1:12" ht="15.95" customHeight="1" x14ac:dyDescent="0.25">
      <c r="A32" s="60"/>
      <c r="B32" s="10"/>
      <c r="C32" s="104"/>
      <c r="D32" s="11"/>
      <c r="E32" s="10"/>
      <c r="F32" s="10"/>
      <c r="G32" s="10"/>
      <c r="H32" s="10"/>
      <c r="I32" s="63"/>
      <c r="J32" s="58"/>
      <c r="K32" s="135"/>
      <c r="L32" s="13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135"/>
      <c r="L33" s="136"/>
    </row>
    <row r="34" spans="1:12" ht="15.95" customHeight="1" x14ac:dyDescent="0.25">
      <c r="A34" s="60"/>
      <c r="B34" s="10"/>
      <c r="C34" s="104"/>
      <c r="D34" s="11"/>
      <c r="E34" s="10"/>
      <c r="F34" s="10"/>
      <c r="G34" s="12"/>
      <c r="H34" s="10"/>
      <c r="I34" s="63"/>
      <c r="J34" s="58"/>
      <c r="K34" s="135"/>
      <c r="L34" s="136"/>
    </row>
    <row r="35" spans="1:12" ht="15.95" customHeight="1" x14ac:dyDescent="0.25">
      <c r="A35" s="60"/>
      <c r="B35" s="10"/>
      <c r="C35" s="104"/>
      <c r="D35" s="11"/>
      <c r="E35" s="10"/>
      <c r="F35" s="10"/>
      <c r="G35" s="12"/>
      <c r="H35" s="10"/>
      <c r="I35" s="63"/>
      <c r="J35" s="58"/>
      <c r="K35" s="135"/>
      <c r="L35" s="136"/>
    </row>
    <row r="36" spans="1:12" ht="15.95" customHeight="1" x14ac:dyDescent="0.25">
      <c r="A36" s="60"/>
      <c r="B36" s="10"/>
      <c r="C36" s="104"/>
      <c r="D36" s="11"/>
      <c r="E36" s="10"/>
      <c r="F36" s="10"/>
      <c r="G36" s="12"/>
      <c r="H36" s="10"/>
      <c r="I36" s="63"/>
      <c r="J36" s="58"/>
      <c r="K36" s="135"/>
      <c r="L36" s="13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135"/>
      <c r="L37" s="13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135"/>
      <c r="L38" s="13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135"/>
      <c r="L39" s="136"/>
    </row>
    <row r="40" spans="1:12" ht="15.95" customHeight="1" x14ac:dyDescent="0.25">
      <c r="A40" s="60"/>
      <c r="B40" s="10"/>
      <c r="C40" s="104"/>
      <c r="D40" s="11"/>
      <c r="E40" s="10"/>
      <c r="F40" s="10"/>
      <c r="G40" s="12"/>
      <c r="H40" s="10"/>
      <c r="I40" s="63"/>
      <c r="J40" s="58"/>
      <c r="K40" s="135"/>
      <c r="L40" s="136"/>
    </row>
    <row r="41" spans="1:12" ht="15.95" customHeight="1" x14ac:dyDescent="0.25">
      <c r="A41" s="60"/>
      <c r="B41" s="10"/>
      <c r="C41" s="104"/>
      <c r="D41" s="11"/>
      <c r="E41" s="10"/>
      <c r="F41" s="10"/>
      <c r="G41" s="12"/>
      <c r="H41" s="10"/>
      <c r="I41" s="63"/>
      <c r="J41" s="58"/>
      <c r="K41" s="135"/>
      <c r="L41" s="13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135"/>
      <c r="L42" s="136"/>
    </row>
    <row r="43" spans="1:12" ht="15.95" customHeight="1" x14ac:dyDescent="0.25">
      <c r="A43" s="60"/>
      <c r="B43" s="10"/>
      <c r="C43" s="104"/>
      <c r="D43" s="11"/>
      <c r="E43" s="10"/>
      <c r="F43" s="10"/>
      <c r="G43" s="10"/>
      <c r="H43" s="10"/>
      <c r="I43" s="63"/>
      <c r="J43" s="58"/>
      <c r="K43" s="135"/>
      <c r="L43" s="136"/>
    </row>
    <row r="44" spans="1:12" ht="15.95" customHeight="1" x14ac:dyDescent="0.25">
      <c r="A44" s="71"/>
      <c r="B44" s="10"/>
      <c r="C44" s="25"/>
      <c r="D44" s="25"/>
      <c r="E44" s="100"/>
      <c r="F44" s="100"/>
      <c r="G44" s="97"/>
      <c r="H44" s="25"/>
      <c r="I44" s="92"/>
      <c r="J44" s="32"/>
      <c r="K44" s="137"/>
      <c r="L44" s="138"/>
    </row>
    <row r="45" spans="1:12" ht="15.95" customHeight="1" thickBot="1" x14ac:dyDescent="0.3">
      <c r="A45" s="71"/>
      <c r="B45" s="67"/>
      <c r="C45" s="67"/>
      <c r="D45" s="67"/>
      <c r="E45" s="101"/>
      <c r="F45" s="101"/>
      <c r="G45" s="98"/>
      <c r="H45" s="67"/>
      <c r="I45" s="99"/>
      <c r="J45" s="68"/>
      <c r="K45" s="137"/>
      <c r="L45" s="138"/>
    </row>
    <row r="46" spans="1:12" ht="15.95" customHeight="1" thickBot="1" x14ac:dyDescent="0.3">
      <c r="A46" s="445" t="s">
        <v>13</v>
      </c>
      <c r="B46" s="446"/>
      <c r="C46" s="447"/>
      <c r="D46" s="447"/>
      <c r="E46" s="447"/>
      <c r="F46" s="447"/>
      <c r="G46" s="447"/>
      <c r="H46" s="447"/>
      <c r="I46" s="447"/>
      <c r="J46" s="448"/>
      <c r="K46" s="79">
        <f>SUM(K8:K45)</f>
        <v>45</v>
      </c>
      <c r="L46" s="139">
        <f>K46</f>
        <v>45</v>
      </c>
    </row>
  </sheetData>
  <mergeCells count="8">
    <mergeCell ref="A7:J7"/>
    <mergeCell ref="A46:J46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L47"/>
  <sheetViews>
    <sheetView showWhiteSpace="0" view="pageBreakPreview" zoomScale="85" zoomScaleNormal="100" zoomScaleSheetLayoutView="85" workbookViewId="0">
      <selection activeCell="I3" sqref="I3"/>
    </sheetView>
  </sheetViews>
  <sheetFormatPr defaultColWidth="2.85546875" defaultRowHeight="15" customHeight="1" x14ac:dyDescent="0.25"/>
  <cols>
    <col min="2" max="2" width="8.7109375" customWidth="1"/>
    <col min="3" max="3" width="7.7109375" customWidth="1"/>
    <col min="4" max="4" width="9.855468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341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v>12</v>
      </c>
      <c r="J2" s="452"/>
      <c r="L2" s="110"/>
    </row>
    <row r="3" spans="1:12" ht="15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342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84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25"/>
      <c r="B9" s="362" t="s">
        <v>345</v>
      </c>
      <c r="C9" s="104"/>
      <c r="D9" s="11"/>
      <c r="E9" s="10"/>
      <c r="F9" s="10"/>
      <c r="G9" s="10"/>
      <c r="H9" s="10"/>
      <c r="I9" s="63"/>
      <c r="J9" s="58"/>
      <c r="K9" s="6"/>
      <c r="L9" s="75"/>
    </row>
    <row r="10" spans="1:12" ht="15.95" customHeight="1" x14ac:dyDescent="0.25">
      <c r="A10" s="125"/>
      <c r="B10" s="370"/>
      <c r="C10" s="363" t="s">
        <v>14</v>
      </c>
      <c r="D10" s="11">
        <v>6</v>
      </c>
      <c r="E10" s="25" t="s">
        <v>34</v>
      </c>
      <c r="F10" s="25"/>
      <c r="G10" s="25"/>
      <c r="H10" s="25"/>
      <c r="I10" s="92"/>
      <c r="J10" s="58"/>
      <c r="K10" s="6"/>
      <c r="L10" s="75"/>
    </row>
    <row r="11" spans="1:12" ht="15.95" customHeight="1" x14ac:dyDescent="0.25">
      <c r="A11" s="125"/>
      <c r="B11" s="370"/>
      <c r="C11" s="363" t="s">
        <v>23</v>
      </c>
      <c r="D11" s="22">
        <v>3.75</v>
      </c>
      <c r="E11" s="25" t="s">
        <v>34</v>
      </c>
      <c r="F11" s="25"/>
      <c r="G11" s="25"/>
      <c r="H11" s="25"/>
      <c r="I11" s="92"/>
      <c r="J11" s="58"/>
      <c r="K11" s="6"/>
      <c r="L11" s="75"/>
    </row>
    <row r="12" spans="1:12" ht="15.95" customHeight="1" x14ac:dyDescent="0.25">
      <c r="A12" s="13"/>
      <c r="B12" s="184"/>
      <c r="C12" s="363" t="s">
        <v>242</v>
      </c>
      <c r="D12" s="11">
        <v>1</v>
      </c>
      <c r="E12" s="25" t="s">
        <v>34</v>
      </c>
      <c r="F12" s="25"/>
      <c r="G12" s="25"/>
      <c r="H12" s="25"/>
      <c r="I12" s="92"/>
      <c r="J12" s="58"/>
      <c r="K12" s="60"/>
      <c r="L12" s="76"/>
    </row>
    <row r="13" spans="1:12" ht="15.95" customHeight="1" x14ac:dyDescent="0.25">
      <c r="A13" s="13"/>
      <c r="B13" s="184"/>
      <c r="C13" s="91" t="s">
        <v>349</v>
      </c>
      <c r="D13" s="361">
        <f>D10*D11*D12/27</f>
        <v>0.83333333333333337</v>
      </c>
      <c r="E13" s="24" t="s">
        <v>84</v>
      </c>
      <c r="F13" s="97"/>
      <c r="G13" s="25"/>
      <c r="H13" s="25"/>
      <c r="I13" s="92"/>
      <c r="J13" s="58"/>
      <c r="K13" s="59">
        <f>D13</f>
        <v>0.83333333333333337</v>
      </c>
      <c r="L13" s="76"/>
    </row>
    <row r="14" spans="1:12" ht="15.95" customHeight="1" x14ac:dyDescent="0.25">
      <c r="A14" s="13"/>
      <c r="B14" s="184"/>
      <c r="C14" s="184"/>
      <c r="D14" s="184"/>
      <c r="E14" s="184"/>
      <c r="F14" s="184"/>
      <c r="G14" s="184"/>
      <c r="H14" s="184"/>
      <c r="I14" s="184"/>
      <c r="J14" s="58"/>
      <c r="K14" s="60"/>
      <c r="L14" s="76"/>
    </row>
    <row r="15" spans="1:12" ht="15.95" customHeight="1" x14ac:dyDescent="0.25">
      <c r="A15" s="13"/>
      <c r="B15" s="362" t="s">
        <v>346</v>
      </c>
      <c r="C15" s="104"/>
      <c r="D15" s="11"/>
      <c r="E15" s="10"/>
      <c r="F15" s="10"/>
      <c r="G15" s="10"/>
      <c r="H15" s="10"/>
      <c r="I15" s="63"/>
      <c r="J15" s="58"/>
      <c r="K15" s="6"/>
      <c r="L15" s="76"/>
    </row>
    <row r="16" spans="1:12" ht="15.95" customHeight="1" x14ac:dyDescent="0.25">
      <c r="A16" s="13"/>
      <c r="B16" s="370"/>
      <c r="C16" s="363" t="s">
        <v>14</v>
      </c>
      <c r="D16" s="11">
        <v>10</v>
      </c>
      <c r="E16" s="25" t="s">
        <v>34</v>
      </c>
      <c r="F16" s="25"/>
      <c r="G16" s="25"/>
      <c r="H16" s="25"/>
      <c r="I16" s="92"/>
      <c r="J16" s="58"/>
      <c r="K16" s="6"/>
      <c r="L16" s="76"/>
    </row>
    <row r="17" spans="1:12" ht="15.95" customHeight="1" x14ac:dyDescent="0.25">
      <c r="A17" s="13"/>
      <c r="B17" s="370"/>
      <c r="C17" s="363" t="s">
        <v>343</v>
      </c>
      <c r="D17" s="22">
        <f>8+8/12</f>
        <v>8.6666666666666661</v>
      </c>
      <c r="E17" s="25" t="s">
        <v>34</v>
      </c>
      <c r="F17" s="25"/>
      <c r="G17" s="25"/>
      <c r="H17" s="25"/>
      <c r="I17" s="92"/>
      <c r="J17" s="58"/>
      <c r="K17" s="6"/>
      <c r="L17" s="76"/>
    </row>
    <row r="18" spans="1:12" ht="18" customHeight="1" x14ac:dyDescent="0.25">
      <c r="A18" s="13"/>
      <c r="B18" s="370"/>
      <c r="C18" s="363" t="s">
        <v>344</v>
      </c>
      <c r="D18" s="22">
        <v>1.5</v>
      </c>
      <c r="E18" s="25" t="s">
        <v>34</v>
      </c>
      <c r="F18" s="25"/>
      <c r="G18" s="25"/>
      <c r="H18" s="25"/>
      <c r="I18" s="92"/>
      <c r="J18" s="58"/>
      <c r="K18" s="6"/>
      <c r="L18" s="76"/>
    </row>
    <row r="19" spans="1:12" ht="15.95" customHeight="1" x14ac:dyDescent="0.25">
      <c r="A19" s="13"/>
      <c r="B19" s="184"/>
      <c r="C19" s="363" t="s">
        <v>242</v>
      </c>
      <c r="D19" s="11">
        <v>1</v>
      </c>
      <c r="E19" s="25" t="s">
        <v>34</v>
      </c>
      <c r="F19" s="25"/>
      <c r="G19" s="25"/>
      <c r="H19" s="25"/>
      <c r="I19" s="92"/>
      <c r="J19" s="58"/>
      <c r="K19" s="60"/>
      <c r="L19" s="76"/>
    </row>
    <row r="20" spans="1:12" ht="15.95" customHeight="1" x14ac:dyDescent="0.25">
      <c r="A20" s="13"/>
      <c r="B20" s="184"/>
      <c r="C20" s="91" t="s">
        <v>349</v>
      </c>
      <c r="D20" s="361">
        <f>D16*(D17+D18)/2*D19/27</f>
        <v>1.882716049382716</v>
      </c>
      <c r="E20" s="24" t="s">
        <v>84</v>
      </c>
      <c r="F20" s="97"/>
      <c r="G20" s="25"/>
      <c r="H20" s="25"/>
      <c r="I20" s="92"/>
      <c r="J20" s="58"/>
      <c r="K20" s="59">
        <f>D20</f>
        <v>1.882716049382716</v>
      </c>
      <c r="L20" s="76"/>
    </row>
    <row r="21" spans="1:12" ht="15.95" customHeight="1" x14ac:dyDescent="0.25">
      <c r="A21" s="13"/>
      <c r="B21" s="34"/>
      <c r="C21" s="34"/>
      <c r="D21" s="34"/>
      <c r="E21" s="34"/>
      <c r="F21" s="34"/>
      <c r="G21" s="12"/>
      <c r="H21" s="12"/>
      <c r="I21" s="106"/>
      <c r="J21" s="200"/>
      <c r="K21" s="103"/>
      <c r="L21" s="76"/>
    </row>
    <row r="22" spans="1:12" ht="15.95" customHeight="1" x14ac:dyDescent="0.25">
      <c r="A22" s="13"/>
      <c r="B22" s="362" t="s">
        <v>347</v>
      </c>
      <c r="C22" s="34"/>
      <c r="D22" s="34"/>
      <c r="E22" s="34"/>
      <c r="F22" s="34"/>
      <c r="G22" s="12"/>
      <c r="H22" s="12"/>
      <c r="I22" s="106"/>
      <c r="J22" s="200"/>
      <c r="K22" s="103"/>
      <c r="L22" s="76"/>
    </row>
    <row r="23" spans="1:12" ht="15.95" customHeight="1" x14ac:dyDescent="0.25">
      <c r="A23" s="13"/>
      <c r="B23" s="34"/>
      <c r="C23" s="363" t="s">
        <v>65</v>
      </c>
      <c r="D23" s="11">
        <v>56.1</v>
      </c>
      <c r="E23" s="25" t="s">
        <v>66</v>
      </c>
      <c r="F23" s="34"/>
      <c r="G23" s="12"/>
      <c r="H23" s="12"/>
      <c r="I23" s="63"/>
      <c r="J23" s="58"/>
      <c r="K23" s="60"/>
      <c r="L23" s="76"/>
    </row>
    <row r="24" spans="1:12" ht="15.95" customHeight="1" x14ac:dyDescent="0.25">
      <c r="A24" s="13"/>
      <c r="B24" s="34"/>
      <c r="C24" s="363" t="s">
        <v>242</v>
      </c>
      <c r="D24" s="11">
        <v>10</v>
      </c>
      <c r="E24" s="25" t="s">
        <v>348</v>
      </c>
      <c r="F24" s="34"/>
      <c r="G24" s="12"/>
      <c r="H24" s="12"/>
      <c r="I24" s="63"/>
      <c r="J24" s="58"/>
      <c r="K24" s="60"/>
      <c r="L24" s="76"/>
    </row>
    <row r="25" spans="1:12" ht="15.95" customHeight="1" x14ac:dyDescent="0.25">
      <c r="A25" s="13"/>
      <c r="B25" s="73"/>
      <c r="C25" s="91" t="s">
        <v>349</v>
      </c>
      <c r="D25" s="361">
        <f>D23*D24/12/27</f>
        <v>1.7314814814814814</v>
      </c>
      <c r="E25" s="24" t="s">
        <v>84</v>
      </c>
      <c r="F25" s="10"/>
      <c r="G25" s="10"/>
      <c r="H25" s="10"/>
      <c r="I25" s="63"/>
      <c r="J25" s="58"/>
      <c r="K25" s="57">
        <f>D25</f>
        <v>1.7314814814814814</v>
      </c>
      <c r="L25" s="76"/>
    </row>
    <row r="26" spans="1:12" ht="15.95" customHeight="1" x14ac:dyDescent="0.25">
      <c r="A26" s="13"/>
      <c r="B26" s="15"/>
      <c r="C26" s="86"/>
      <c r="D26" s="30"/>
      <c r="E26" s="19"/>
      <c r="F26" s="30"/>
      <c r="G26" s="11"/>
      <c r="H26" s="30"/>
      <c r="I26" s="63"/>
      <c r="J26" s="58"/>
      <c r="K26" s="60"/>
      <c r="L26" s="76"/>
    </row>
    <row r="27" spans="1:12" ht="15.95" customHeight="1" x14ac:dyDescent="0.25">
      <c r="A27" s="13"/>
      <c r="B27" s="362" t="s">
        <v>350</v>
      </c>
      <c r="C27" s="34"/>
      <c r="D27" s="34"/>
      <c r="E27" s="34"/>
      <c r="F27" s="34"/>
      <c r="G27" s="12"/>
      <c r="H27" s="12"/>
      <c r="I27" s="106"/>
      <c r="J27" s="200"/>
      <c r="K27" s="103"/>
      <c r="L27" s="76"/>
    </row>
    <row r="28" spans="1:12" ht="15.95" customHeight="1" x14ac:dyDescent="0.25">
      <c r="A28" s="13"/>
      <c r="B28" s="34"/>
      <c r="C28" s="363" t="s">
        <v>65</v>
      </c>
      <c r="D28" s="11">
        <v>77.599999999999994</v>
      </c>
      <c r="E28" s="25" t="s">
        <v>66</v>
      </c>
      <c r="F28" s="34"/>
      <c r="G28" s="12"/>
      <c r="H28" s="12"/>
      <c r="I28" s="63"/>
      <c r="J28" s="58"/>
      <c r="K28" s="60"/>
      <c r="L28" s="76"/>
    </row>
    <row r="29" spans="1:12" ht="15.95" customHeight="1" x14ac:dyDescent="0.25">
      <c r="A29" s="13"/>
      <c r="B29" s="34"/>
      <c r="C29" s="363" t="s">
        <v>242</v>
      </c>
      <c r="D29" s="11">
        <v>10</v>
      </c>
      <c r="E29" s="25" t="s">
        <v>348</v>
      </c>
      <c r="F29" s="34"/>
      <c r="G29" s="12"/>
      <c r="H29" s="12"/>
      <c r="I29" s="63"/>
      <c r="J29" s="58"/>
      <c r="K29" s="60"/>
      <c r="L29" s="76"/>
    </row>
    <row r="30" spans="1:12" ht="15.95" customHeight="1" x14ac:dyDescent="0.25">
      <c r="A30" s="13"/>
      <c r="B30" s="73"/>
      <c r="C30" s="91" t="s">
        <v>349</v>
      </c>
      <c r="D30" s="361">
        <f>D28*D29/12/27</f>
        <v>2.3950617283950617</v>
      </c>
      <c r="E30" s="24" t="s">
        <v>84</v>
      </c>
      <c r="F30" s="10"/>
      <c r="G30" s="10"/>
      <c r="H30" s="10"/>
      <c r="I30" s="63"/>
      <c r="J30" s="58"/>
      <c r="K30" s="57">
        <f>D30</f>
        <v>2.3950617283950617</v>
      </c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0"/>
      <c r="H32" s="10"/>
      <c r="I32" s="63"/>
      <c r="J32" s="58"/>
      <c r="K32" s="60"/>
      <c r="L32" s="76"/>
    </row>
    <row r="33" spans="1:12" ht="15.95" customHeight="1" x14ac:dyDescent="0.25">
      <c r="A33" s="13"/>
      <c r="B33" s="10"/>
      <c r="C33" s="104"/>
      <c r="D33" s="11"/>
      <c r="E33" s="10"/>
      <c r="F33" s="10"/>
      <c r="G33" s="12"/>
      <c r="H33" s="10"/>
      <c r="I33" s="63"/>
      <c r="J33" s="58"/>
      <c r="K33" s="60"/>
      <c r="L33" s="76"/>
    </row>
    <row r="34" spans="1:12" ht="15.95" customHeight="1" x14ac:dyDescent="0.25">
      <c r="A34" s="13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13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13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13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2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0"/>
      <c r="H44" s="10"/>
      <c r="I44" s="63"/>
      <c r="J44" s="58"/>
      <c r="K44" s="60"/>
      <c r="L44" s="76"/>
    </row>
    <row r="45" spans="1:12" ht="15.95" customHeight="1" x14ac:dyDescent="0.25">
      <c r="A45" s="71"/>
      <c r="B45" s="10"/>
      <c r="C45" s="25"/>
      <c r="D45" s="25"/>
      <c r="E45" s="100"/>
      <c r="F45" s="100"/>
      <c r="G45" s="97"/>
      <c r="H45" s="25"/>
      <c r="I45" s="92"/>
      <c r="J45" s="32"/>
      <c r="K45" s="71"/>
      <c r="L45" s="77"/>
    </row>
    <row r="46" spans="1:12" ht="15.95" customHeight="1" thickBot="1" x14ac:dyDescent="0.3">
      <c r="A46" s="71"/>
      <c r="B46" s="67"/>
      <c r="C46" s="67"/>
      <c r="D46" s="67"/>
      <c r="E46" s="101"/>
      <c r="F46" s="101"/>
      <c r="G46" s="98"/>
      <c r="H46" s="67"/>
      <c r="I46" s="99"/>
      <c r="J46" s="68"/>
      <c r="K46" s="71"/>
      <c r="L46" s="77"/>
    </row>
    <row r="47" spans="1:12" ht="15.95" customHeight="1" thickBot="1" x14ac:dyDescent="0.3">
      <c r="A47" s="445" t="s">
        <v>13</v>
      </c>
      <c r="B47" s="446"/>
      <c r="C47" s="447"/>
      <c r="D47" s="447"/>
      <c r="E47" s="447"/>
      <c r="F47" s="447"/>
      <c r="G47" s="447"/>
      <c r="H47" s="447"/>
      <c r="I47" s="447"/>
      <c r="J47" s="448"/>
      <c r="K47" s="79">
        <f>ROUND(SUM(K8:K46),0)</f>
        <v>7</v>
      </c>
      <c r="L47" s="80">
        <f>K47</f>
        <v>7</v>
      </c>
    </row>
  </sheetData>
  <mergeCells count="8">
    <mergeCell ref="A7:J7"/>
    <mergeCell ref="A47:J47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L47"/>
  <sheetViews>
    <sheetView showWhiteSpace="0" view="pageBreakPreview" zoomScale="85" zoomScaleNormal="100" zoomScaleSheetLayoutView="85" workbookViewId="0">
      <selection activeCell="I3" sqref="I3"/>
    </sheetView>
  </sheetViews>
  <sheetFormatPr defaultColWidth="2.85546875" defaultRowHeight="15" customHeight="1" x14ac:dyDescent="0.25"/>
  <cols>
    <col min="2" max="2" width="8.7109375" customWidth="1"/>
    <col min="3" max="3" width="7.7109375" customWidth="1"/>
    <col min="4" max="4" width="9.855468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224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v>13</v>
      </c>
      <c r="J2" s="452"/>
      <c r="L2" s="110"/>
    </row>
    <row r="3" spans="1:12" ht="15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223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84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25"/>
      <c r="B9" s="362" t="s">
        <v>236</v>
      </c>
      <c r="C9" s="104"/>
      <c r="D9" s="11"/>
      <c r="E9" s="10"/>
      <c r="F9" s="10"/>
      <c r="G9" s="10"/>
      <c r="H9" s="10"/>
      <c r="I9" s="63"/>
      <c r="J9" s="58"/>
      <c r="K9" s="6"/>
      <c r="L9" s="75"/>
    </row>
    <row r="10" spans="1:12" ht="15.95" customHeight="1" x14ac:dyDescent="0.25">
      <c r="A10" s="125"/>
      <c r="B10" s="370"/>
      <c r="C10" s="363" t="s">
        <v>14</v>
      </c>
      <c r="D10" s="11">
        <f>(71302-71210.2)</f>
        <v>91.80000000000291</v>
      </c>
      <c r="E10" s="25" t="s">
        <v>34</v>
      </c>
      <c r="F10" s="25"/>
      <c r="G10" s="25"/>
      <c r="H10" s="25"/>
      <c r="I10" s="92"/>
      <c r="J10" s="58"/>
      <c r="K10" s="6"/>
      <c r="L10" s="75"/>
    </row>
    <row r="11" spans="1:12" ht="15.95" customHeight="1" x14ac:dyDescent="0.25">
      <c r="A11" s="125"/>
      <c r="B11" s="370"/>
      <c r="C11" s="363" t="s">
        <v>15</v>
      </c>
      <c r="D11" s="11">
        <f>8</f>
        <v>8</v>
      </c>
      <c r="E11" s="25" t="s">
        <v>34</v>
      </c>
      <c r="F11" s="25"/>
      <c r="G11" s="25"/>
      <c r="H11" s="25"/>
      <c r="I11" s="92"/>
      <c r="J11" s="58"/>
      <c r="K11" s="6"/>
      <c r="L11" s="75"/>
    </row>
    <row r="12" spans="1:12" ht="15.95" customHeight="1" x14ac:dyDescent="0.25">
      <c r="A12" s="13"/>
      <c r="B12" s="184"/>
      <c r="C12" s="363" t="s">
        <v>242</v>
      </c>
      <c r="D12" s="11">
        <v>2</v>
      </c>
      <c r="E12" s="25" t="s">
        <v>34</v>
      </c>
      <c r="F12" s="25"/>
      <c r="G12" s="25"/>
      <c r="H12" s="25"/>
      <c r="I12" s="92"/>
      <c r="J12" s="58"/>
      <c r="K12" s="60"/>
      <c r="L12" s="76"/>
    </row>
    <row r="13" spans="1:12" ht="15.95" customHeight="1" x14ac:dyDescent="0.25">
      <c r="A13" s="13"/>
      <c r="B13" s="184"/>
      <c r="C13" s="363" t="s">
        <v>308</v>
      </c>
      <c r="D13" s="63">
        <v>2</v>
      </c>
      <c r="E13" s="25" t="s">
        <v>51</v>
      </c>
      <c r="F13" s="25"/>
      <c r="G13" s="25"/>
      <c r="H13" s="25"/>
      <c r="I13" s="92"/>
      <c r="J13" s="58"/>
      <c r="K13" s="60"/>
      <c r="L13" s="76"/>
    </row>
    <row r="14" spans="1:12" ht="15.95" customHeight="1" x14ac:dyDescent="0.25">
      <c r="A14" s="13"/>
      <c r="B14" s="184"/>
      <c r="C14" s="91" t="s">
        <v>50</v>
      </c>
      <c r="D14" s="361">
        <f>D10*D11*D12*D13/27</f>
        <v>108.80000000000345</v>
      </c>
      <c r="E14" s="24" t="s">
        <v>84</v>
      </c>
      <c r="F14" s="97"/>
      <c r="G14" s="25"/>
      <c r="H14" s="25"/>
      <c r="I14" s="92"/>
      <c r="J14" s="58"/>
      <c r="K14" s="59">
        <f>D14</f>
        <v>108.80000000000345</v>
      </c>
      <c r="L14" s="76"/>
    </row>
    <row r="15" spans="1:12" ht="15.95" customHeight="1" x14ac:dyDescent="0.25">
      <c r="A15" s="13"/>
      <c r="B15" s="184"/>
      <c r="C15" s="184"/>
      <c r="D15" s="184"/>
      <c r="E15" s="184"/>
      <c r="F15" s="184"/>
      <c r="G15" s="184"/>
      <c r="H15" s="184"/>
      <c r="I15" s="184"/>
      <c r="J15" s="58"/>
      <c r="K15" s="60"/>
      <c r="L15" s="76"/>
    </row>
    <row r="16" spans="1:12" ht="15.95" customHeight="1" x14ac:dyDescent="0.25">
      <c r="A16" s="13"/>
      <c r="B16" s="184"/>
      <c r="C16" s="184"/>
      <c r="D16" s="184"/>
      <c r="E16" s="184"/>
      <c r="F16" s="184"/>
      <c r="G16" s="184"/>
      <c r="H16" s="184"/>
      <c r="I16" s="184"/>
      <c r="J16" s="58"/>
      <c r="K16" s="59"/>
      <c r="L16" s="76"/>
    </row>
    <row r="17" spans="1:12" ht="18" customHeight="1" x14ac:dyDescent="0.25">
      <c r="A17" s="13"/>
      <c r="B17" s="84"/>
      <c r="C17" s="10"/>
      <c r="D17" s="11"/>
      <c r="E17" s="11"/>
      <c r="F17" s="11"/>
      <c r="G17" s="11"/>
      <c r="H17" s="11"/>
      <c r="I17" s="63"/>
      <c r="J17" s="58"/>
      <c r="K17" s="60"/>
      <c r="L17" s="76"/>
    </row>
    <row r="18" spans="1:12" ht="15.95" customHeight="1" x14ac:dyDescent="0.25">
      <c r="A18" s="13"/>
      <c r="B18" s="34"/>
      <c r="C18" s="34"/>
      <c r="D18" s="34"/>
      <c r="E18" s="34"/>
      <c r="F18" s="34"/>
      <c r="G18" s="12"/>
      <c r="H18" s="12"/>
      <c r="I18" s="106"/>
      <c r="J18" s="200"/>
      <c r="K18" s="103"/>
      <c r="L18" s="76"/>
    </row>
    <row r="19" spans="1:12" ht="15.95" customHeight="1" x14ac:dyDescent="0.25">
      <c r="A19" s="13"/>
      <c r="B19" s="34"/>
      <c r="C19" s="34"/>
      <c r="D19" s="34"/>
      <c r="E19" s="34"/>
      <c r="F19" s="34"/>
      <c r="G19" s="12"/>
      <c r="H19" s="12"/>
      <c r="I19" s="106"/>
      <c r="J19" s="200"/>
      <c r="K19" s="103"/>
      <c r="L19" s="76"/>
    </row>
    <row r="20" spans="1:12" ht="15.95" customHeight="1" x14ac:dyDescent="0.25">
      <c r="A20" s="13"/>
      <c r="B20" s="34"/>
      <c r="C20" s="34"/>
      <c r="D20" s="34"/>
      <c r="E20" s="34"/>
      <c r="F20" s="34"/>
      <c r="G20" s="12"/>
      <c r="H20" s="12"/>
      <c r="I20" s="106"/>
      <c r="J20" s="200"/>
      <c r="K20" s="103"/>
      <c r="L20" s="76"/>
    </row>
    <row r="21" spans="1:12" ht="15.95" customHeight="1" x14ac:dyDescent="0.25">
      <c r="A21" s="13"/>
      <c r="B21" s="34"/>
      <c r="C21" s="34"/>
      <c r="D21" s="34"/>
      <c r="E21" s="34"/>
      <c r="F21" s="34"/>
      <c r="G21" s="12"/>
      <c r="H21" s="12"/>
      <c r="I21" s="106"/>
      <c r="J21" s="200"/>
      <c r="K21" s="103"/>
      <c r="L21" s="76"/>
    </row>
    <row r="22" spans="1:12" ht="15.95" customHeight="1" x14ac:dyDescent="0.25">
      <c r="A22" s="13"/>
      <c r="B22" s="34"/>
      <c r="C22" s="34"/>
      <c r="D22" s="34"/>
      <c r="E22" s="34"/>
      <c r="F22" s="34"/>
      <c r="G22" s="12"/>
      <c r="H22" s="12"/>
      <c r="I22" s="106"/>
      <c r="J22" s="200"/>
      <c r="K22" s="103"/>
      <c r="L22" s="76"/>
    </row>
    <row r="23" spans="1:12" ht="15.95" customHeight="1" x14ac:dyDescent="0.25">
      <c r="A23" s="13"/>
      <c r="B23" s="34"/>
      <c r="C23" s="34"/>
      <c r="D23" s="34"/>
      <c r="E23" s="34"/>
      <c r="F23" s="34"/>
      <c r="G23" s="12"/>
      <c r="H23" s="12"/>
      <c r="I23" s="63"/>
      <c r="J23" s="58"/>
      <c r="K23" s="60"/>
      <c r="L23" s="76"/>
    </row>
    <row r="24" spans="1:12" ht="15.95" customHeight="1" x14ac:dyDescent="0.25">
      <c r="A24" s="13"/>
      <c r="B24" s="34"/>
      <c r="C24" s="34"/>
      <c r="D24" s="34"/>
      <c r="E24" s="34"/>
      <c r="F24" s="34"/>
      <c r="G24" s="12"/>
      <c r="H24" s="12"/>
      <c r="I24" s="63"/>
      <c r="J24" s="58"/>
      <c r="K24" s="60"/>
      <c r="L24" s="76"/>
    </row>
    <row r="25" spans="1:12" ht="15.95" customHeight="1" x14ac:dyDescent="0.25">
      <c r="A25" s="13"/>
      <c r="B25" s="73"/>
      <c r="C25" s="22"/>
      <c r="D25" s="11"/>
      <c r="E25" s="10"/>
      <c r="F25" s="10"/>
      <c r="G25" s="10"/>
      <c r="H25" s="10"/>
      <c r="I25" s="63"/>
      <c r="J25" s="58"/>
      <c r="K25" s="57"/>
      <c r="L25" s="76"/>
    </row>
    <row r="26" spans="1:12" ht="15.95" customHeight="1" x14ac:dyDescent="0.25">
      <c r="A26" s="13"/>
      <c r="B26" s="15"/>
      <c r="C26" s="86"/>
      <c r="D26" s="30"/>
      <c r="E26" s="19"/>
      <c r="F26" s="30"/>
      <c r="G26" s="11"/>
      <c r="H26" s="30"/>
      <c r="I26" s="63"/>
      <c r="J26" s="58"/>
      <c r="K26" s="60"/>
      <c r="L26" s="76"/>
    </row>
    <row r="27" spans="1:12" ht="15.95" customHeight="1" x14ac:dyDescent="0.25">
      <c r="A27" s="13"/>
      <c r="B27" s="10"/>
      <c r="C27" s="104"/>
      <c r="D27" s="11"/>
      <c r="E27" s="10"/>
      <c r="F27" s="10"/>
      <c r="G27" s="10"/>
      <c r="H27" s="10"/>
      <c r="I27" s="63"/>
      <c r="J27" s="58"/>
      <c r="K27" s="60"/>
      <c r="L27" s="76"/>
    </row>
    <row r="28" spans="1:12" ht="15.95" customHeight="1" x14ac:dyDescent="0.25">
      <c r="A28" s="13"/>
      <c r="B28" s="10"/>
      <c r="C28" s="104"/>
      <c r="D28" s="11"/>
      <c r="E28" s="10"/>
      <c r="F28" s="10"/>
      <c r="G28" s="10"/>
      <c r="H28" s="10"/>
      <c r="I28" s="63"/>
      <c r="J28" s="58"/>
      <c r="K28" s="59"/>
      <c r="L28" s="76"/>
    </row>
    <row r="29" spans="1:12" ht="15.95" customHeight="1" x14ac:dyDescent="0.25">
      <c r="A29" s="13"/>
      <c r="B29" s="10"/>
      <c r="C29" s="104"/>
      <c r="D29" s="11"/>
      <c r="E29" s="10"/>
      <c r="F29" s="10"/>
      <c r="G29" s="10"/>
      <c r="H29" s="10"/>
      <c r="I29" s="63"/>
      <c r="J29" s="58"/>
      <c r="K29" s="60"/>
      <c r="L29" s="76"/>
    </row>
    <row r="30" spans="1:12" ht="15.95" customHeight="1" x14ac:dyDescent="0.25">
      <c r="A30" s="13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0"/>
      <c r="H32" s="10"/>
      <c r="I32" s="63"/>
      <c r="J32" s="58"/>
      <c r="K32" s="60"/>
      <c r="L32" s="76"/>
    </row>
    <row r="33" spans="1:12" ht="15.95" customHeight="1" x14ac:dyDescent="0.25">
      <c r="A33" s="13"/>
      <c r="B33" s="10"/>
      <c r="C33" s="104"/>
      <c r="D33" s="11"/>
      <c r="E33" s="10"/>
      <c r="F33" s="10"/>
      <c r="G33" s="12"/>
      <c r="H33" s="10"/>
      <c r="I33" s="63"/>
      <c r="J33" s="58"/>
      <c r="K33" s="60"/>
      <c r="L33" s="76"/>
    </row>
    <row r="34" spans="1:12" ht="15.95" customHeight="1" x14ac:dyDescent="0.25">
      <c r="A34" s="13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13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13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13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2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0"/>
      <c r="H44" s="10"/>
      <c r="I44" s="63"/>
      <c r="J44" s="58"/>
      <c r="K44" s="60"/>
      <c r="L44" s="76"/>
    </row>
    <row r="45" spans="1:12" ht="15.95" customHeight="1" x14ac:dyDescent="0.25">
      <c r="A45" s="71"/>
      <c r="B45" s="10"/>
      <c r="C45" s="25"/>
      <c r="D45" s="25"/>
      <c r="E45" s="100"/>
      <c r="F45" s="100"/>
      <c r="G45" s="97"/>
      <c r="H45" s="25"/>
      <c r="I45" s="92"/>
      <c r="J45" s="32"/>
      <c r="K45" s="71"/>
      <c r="L45" s="77"/>
    </row>
    <row r="46" spans="1:12" ht="15.95" customHeight="1" thickBot="1" x14ac:dyDescent="0.3">
      <c r="A46" s="71"/>
      <c r="B46" s="67"/>
      <c r="C46" s="67"/>
      <c r="D46" s="67"/>
      <c r="E46" s="101"/>
      <c r="F46" s="101"/>
      <c r="G46" s="98"/>
      <c r="H46" s="67"/>
      <c r="I46" s="99"/>
      <c r="J46" s="68"/>
      <c r="K46" s="71"/>
      <c r="L46" s="77"/>
    </row>
    <row r="47" spans="1:12" ht="15.95" customHeight="1" thickBot="1" x14ac:dyDescent="0.3">
      <c r="A47" s="445" t="s">
        <v>13</v>
      </c>
      <c r="B47" s="446"/>
      <c r="C47" s="447"/>
      <c r="D47" s="447"/>
      <c r="E47" s="447"/>
      <c r="F47" s="447"/>
      <c r="G47" s="447"/>
      <c r="H47" s="447"/>
      <c r="I47" s="447"/>
      <c r="J47" s="448"/>
      <c r="K47" s="79">
        <f>ROUND(SUM(K8:K46),0)</f>
        <v>109</v>
      </c>
      <c r="L47" s="80">
        <f>K47</f>
        <v>109</v>
      </c>
    </row>
  </sheetData>
  <mergeCells count="8">
    <mergeCell ref="A7:J7"/>
    <mergeCell ref="A47:J47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L39"/>
  <sheetViews>
    <sheetView showWhiteSpace="0" view="pageBreakPreview" zoomScaleNormal="100" zoomScaleSheetLayoutView="100" workbookViewId="0">
      <selection activeCell="C6" sqref="C6"/>
    </sheetView>
  </sheetViews>
  <sheetFormatPr defaultColWidth="2.85546875" defaultRowHeight="15" customHeight="1" x14ac:dyDescent="0.25"/>
  <cols>
    <col min="1" max="1" width="2.85546875" customWidth="1"/>
    <col min="2" max="2" width="9" customWidth="1"/>
    <col min="3" max="3" width="7.7109375" customWidth="1"/>
    <col min="4" max="4" width="9.85546875" customWidth="1"/>
    <col min="5" max="5" width="10.28515625" customWidth="1"/>
    <col min="6" max="6" width="9.8554687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365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v>14</v>
      </c>
      <c r="J2" s="452"/>
      <c r="L2" s="110"/>
    </row>
    <row r="3" spans="1:12" ht="15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366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84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44"/>
      <c r="B9" s="362" t="s">
        <v>236</v>
      </c>
      <c r="C9" s="104"/>
      <c r="D9" s="11"/>
      <c r="E9" s="10"/>
      <c r="F9" s="10"/>
      <c r="G9" s="10"/>
      <c r="H9" s="10"/>
      <c r="I9" s="63"/>
      <c r="J9" s="58"/>
      <c r="K9" s="6"/>
      <c r="L9" s="76"/>
    </row>
    <row r="10" spans="1:12" ht="15.95" customHeight="1" x14ac:dyDescent="0.25">
      <c r="A10" s="13"/>
      <c r="B10" s="184"/>
      <c r="C10" s="363" t="s">
        <v>256</v>
      </c>
      <c r="D10" s="11">
        <v>198.22</v>
      </c>
      <c r="E10" s="25" t="s">
        <v>66</v>
      </c>
      <c r="F10" s="25"/>
      <c r="G10" s="25"/>
      <c r="H10" s="25"/>
      <c r="I10" s="92"/>
      <c r="J10" s="58"/>
      <c r="K10" s="60"/>
      <c r="L10" s="76"/>
    </row>
    <row r="11" spans="1:12" ht="15.75" customHeight="1" x14ac:dyDescent="0.25">
      <c r="A11" s="13"/>
      <c r="B11" s="184"/>
      <c r="C11" s="91" t="s">
        <v>242</v>
      </c>
      <c r="D11" s="11">
        <v>1.5</v>
      </c>
      <c r="E11" s="24" t="s">
        <v>34</v>
      </c>
      <c r="F11" s="97"/>
      <c r="G11" s="25"/>
      <c r="H11" s="25"/>
      <c r="I11" s="92"/>
      <c r="J11" s="58"/>
      <c r="K11" s="60"/>
      <c r="L11" s="76"/>
    </row>
    <row r="12" spans="1:12" ht="15.75" customHeight="1" x14ac:dyDescent="0.25">
      <c r="A12" s="13"/>
      <c r="B12" s="184"/>
      <c r="C12" s="10" t="s">
        <v>50</v>
      </c>
      <c r="D12" s="361">
        <f>D10*D11/27</f>
        <v>11.012222222222222</v>
      </c>
      <c r="E12" s="24" t="s">
        <v>84</v>
      </c>
      <c r="F12" s="97"/>
      <c r="G12" s="25"/>
      <c r="H12" s="25"/>
      <c r="I12" s="92"/>
      <c r="J12" s="58"/>
      <c r="K12" s="59">
        <f>D12</f>
        <v>11.012222222222222</v>
      </c>
      <c r="L12" s="76"/>
    </row>
    <row r="13" spans="1:12" ht="15.75" customHeight="1" x14ac:dyDescent="0.25">
      <c r="A13" s="13"/>
      <c r="B13" s="38"/>
      <c r="C13" s="30"/>
      <c r="D13" s="30"/>
      <c r="E13" s="38"/>
      <c r="F13" s="38"/>
      <c r="G13" s="38"/>
      <c r="H13" s="38"/>
      <c r="I13" s="38"/>
      <c r="J13" s="58"/>
      <c r="K13" s="59"/>
      <c r="L13" s="76"/>
    </row>
    <row r="14" spans="1:12" ht="15.75" customHeight="1" x14ac:dyDescent="0.25">
      <c r="A14" s="13"/>
      <c r="B14" s="38"/>
      <c r="C14" s="30"/>
      <c r="D14" s="30"/>
      <c r="E14" s="156"/>
      <c r="F14" s="28"/>
      <c r="G14" s="28"/>
      <c r="H14" s="30"/>
      <c r="I14" s="88"/>
      <c r="J14" s="58"/>
      <c r="K14" s="59"/>
      <c r="L14" s="76"/>
    </row>
    <row r="15" spans="1:12" ht="15.95" customHeight="1" x14ac:dyDescent="0.25">
      <c r="A15" s="13"/>
      <c r="B15" s="10"/>
      <c r="C15" s="30"/>
      <c r="D15" s="30"/>
      <c r="E15" s="30"/>
      <c r="F15" s="28"/>
      <c r="G15" s="22"/>
      <c r="H15" s="22"/>
      <c r="I15" s="63"/>
      <c r="J15" s="39"/>
      <c r="K15" s="310"/>
      <c r="L15" s="76"/>
    </row>
    <row r="16" spans="1:12" ht="15.95" customHeight="1" x14ac:dyDescent="0.25">
      <c r="A16" s="13"/>
      <c r="B16" s="10"/>
      <c r="C16" s="30"/>
      <c r="D16" s="30"/>
      <c r="E16" s="28"/>
      <c r="F16" s="22"/>
      <c r="G16" s="22"/>
      <c r="H16" s="28"/>
      <c r="I16" s="88"/>
      <c r="J16" s="191"/>
      <c r="K16" s="103"/>
      <c r="L16" s="76"/>
    </row>
    <row r="17" spans="1:12" ht="15.95" customHeight="1" x14ac:dyDescent="0.25">
      <c r="A17" s="13"/>
      <c r="B17" s="10"/>
      <c r="C17" s="30"/>
      <c r="D17" s="30"/>
      <c r="E17" s="28"/>
      <c r="F17" s="22"/>
      <c r="G17" s="22"/>
      <c r="H17" s="28"/>
      <c r="I17" s="88"/>
      <c r="J17" s="191"/>
      <c r="K17" s="103"/>
      <c r="L17" s="76"/>
    </row>
    <row r="18" spans="1:12" ht="15.75" customHeight="1" x14ac:dyDescent="0.25">
      <c r="A18" s="13"/>
      <c r="B18" s="45"/>
      <c r="C18" s="45"/>
      <c r="D18" s="45"/>
      <c r="E18" s="34"/>
      <c r="F18" s="34"/>
      <c r="G18" s="54"/>
      <c r="H18" s="54"/>
      <c r="I18" s="82"/>
      <c r="J18" s="58"/>
      <c r="K18" s="57"/>
      <c r="L18" s="76"/>
    </row>
    <row r="19" spans="1:12" ht="15.75" customHeight="1" x14ac:dyDescent="0.25">
      <c r="A19" s="44"/>
      <c r="B19" s="45"/>
      <c r="C19" s="45"/>
      <c r="D19" s="45"/>
      <c r="E19" s="34"/>
      <c r="F19" s="34"/>
      <c r="G19" s="54"/>
      <c r="H19" s="54"/>
      <c r="I19" s="82"/>
      <c r="J19" s="58"/>
      <c r="K19" s="57"/>
      <c r="L19" s="76"/>
    </row>
    <row r="20" spans="1:12" ht="15.75" customHeight="1" x14ac:dyDescent="0.25">
      <c r="A20" s="13"/>
      <c r="B20" s="45"/>
      <c r="C20" s="45"/>
      <c r="D20" s="45"/>
      <c r="E20" s="34"/>
      <c r="F20" s="34"/>
      <c r="G20" s="54"/>
      <c r="H20" s="54"/>
      <c r="I20" s="82"/>
      <c r="J20" s="58"/>
      <c r="K20" s="57"/>
      <c r="L20" s="76"/>
    </row>
    <row r="21" spans="1:12" ht="16.5" customHeight="1" x14ac:dyDescent="0.25">
      <c r="A21" s="13"/>
      <c r="B21" s="54"/>
      <c r="C21" s="54"/>
      <c r="D21" s="54"/>
      <c r="E21" s="54"/>
      <c r="F21" s="54"/>
      <c r="G21" s="54"/>
      <c r="H21" s="52"/>
      <c r="I21" s="63"/>
      <c r="J21" s="58"/>
      <c r="K21" s="89"/>
      <c r="L21" s="76"/>
    </row>
    <row r="22" spans="1:12" ht="15.95" customHeight="1" x14ac:dyDescent="0.25">
      <c r="A22" s="13"/>
      <c r="B22" s="54"/>
      <c r="C22" s="54"/>
      <c r="D22" s="54"/>
      <c r="E22" s="54"/>
      <c r="F22" s="54"/>
      <c r="G22" s="54"/>
      <c r="H22" s="52"/>
      <c r="I22" s="63"/>
      <c r="J22" s="58"/>
      <c r="K22" s="60"/>
      <c r="L22" s="76"/>
    </row>
    <row r="23" spans="1:12" ht="15" customHeight="1" x14ac:dyDescent="0.25">
      <c r="A23" s="13"/>
      <c r="B23" s="193"/>
      <c r="C23" s="30"/>
      <c r="D23" s="30"/>
      <c r="E23" s="28"/>
      <c r="F23" s="28"/>
      <c r="G23" s="28"/>
      <c r="H23" s="30"/>
      <c r="I23" s="88"/>
      <c r="J23" s="58"/>
      <c r="K23" s="60"/>
      <c r="L23" s="76"/>
    </row>
    <row r="24" spans="1:12" ht="15.95" customHeight="1" x14ac:dyDescent="0.25">
      <c r="A24" s="13"/>
      <c r="B24" s="38"/>
      <c r="C24" s="30"/>
      <c r="D24" s="30"/>
      <c r="E24" s="156"/>
      <c r="F24" s="28"/>
      <c r="G24" s="28"/>
      <c r="H24" s="30"/>
      <c r="I24" s="88"/>
      <c r="J24" s="58"/>
      <c r="K24" s="60"/>
      <c r="L24" s="76"/>
    </row>
    <row r="25" spans="1:12" ht="15.95" customHeight="1" x14ac:dyDescent="0.25">
      <c r="A25" s="13"/>
      <c r="B25" s="38"/>
      <c r="C25" s="30"/>
      <c r="D25" s="30"/>
      <c r="E25" s="156"/>
      <c r="F25" s="28"/>
      <c r="G25" s="28"/>
      <c r="H25" s="30"/>
      <c r="I25" s="88"/>
      <c r="J25" s="58"/>
      <c r="K25" s="59"/>
      <c r="L25" s="76"/>
    </row>
    <row r="26" spans="1:12" ht="15.95" customHeight="1" x14ac:dyDescent="0.25">
      <c r="A26" s="13"/>
      <c r="B26" s="38"/>
      <c r="C26" s="30"/>
      <c r="D26" s="30"/>
      <c r="E26" s="156"/>
      <c r="F26" s="28"/>
      <c r="G26" s="28"/>
      <c r="H26" s="30"/>
      <c r="I26" s="88"/>
      <c r="J26" s="58"/>
      <c r="K26" s="59"/>
      <c r="L26" s="76"/>
    </row>
    <row r="27" spans="1:12" ht="15.95" customHeight="1" x14ac:dyDescent="0.25">
      <c r="A27" s="13"/>
      <c r="B27" s="10"/>
      <c r="C27" s="30"/>
      <c r="D27" s="30"/>
      <c r="E27" s="30"/>
      <c r="F27" s="28"/>
      <c r="G27" s="22"/>
      <c r="H27" s="22"/>
      <c r="I27" s="311"/>
      <c r="J27" s="43"/>
      <c r="K27" s="253"/>
      <c r="L27" s="76"/>
    </row>
    <row r="28" spans="1:12" ht="15.95" customHeight="1" x14ac:dyDescent="0.25">
      <c r="A28" s="13"/>
      <c r="B28" s="10"/>
      <c r="C28" s="30"/>
      <c r="D28" s="30"/>
      <c r="E28" s="22"/>
      <c r="F28" s="19"/>
      <c r="G28" s="10"/>
      <c r="H28" s="10"/>
      <c r="I28" s="63"/>
      <c r="J28" s="191"/>
      <c r="K28" s="103"/>
      <c r="L28" s="76"/>
    </row>
    <row r="29" spans="1:12" ht="15.95" customHeight="1" x14ac:dyDescent="0.25">
      <c r="A29" s="71"/>
      <c r="B29" s="10"/>
      <c r="C29" s="62"/>
      <c r="D29" s="24"/>
      <c r="E29" s="10"/>
      <c r="F29" s="10"/>
      <c r="G29" s="26"/>
      <c r="H29" s="26"/>
      <c r="I29" s="92"/>
      <c r="J29" s="58"/>
      <c r="K29" s="175"/>
      <c r="L29" s="77"/>
    </row>
    <row r="30" spans="1:12" ht="15.95" customHeight="1" x14ac:dyDescent="0.25">
      <c r="A30" s="71"/>
      <c r="B30" s="10"/>
      <c r="C30" s="62"/>
      <c r="D30" s="24"/>
      <c r="E30" s="10"/>
      <c r="F30" s="10"/>
      <c r="G30" s="26"/>
      <c r="H30" s="26"/>
      <c r="I30" s="92"/>
      <c r="J30" s="58"/>
      <c r="K30" s="175"/>
      <c r="L30" s="77"/>
    </row>
    <row r="31" spans="1:12" ht="15.95" customHeight="1" x14ac:dyDescent="0.25">
      <c r="A31" s="71"/>
      <c r="B31" s="10"/>
      <c r="C31" s="62"/>
      <c r="D31" s="24"/>
      <c r="E31" s="10"/>
      <c r="F31" s="10"/>
      <c r="G31" s="26"/>
      <c r="H31" s="26"/>
      <c r="I31" s="92"/>
      <c r="J31" s="58"/>
      <c r="K31" s="175"/>
      <c r="L31" s="77"/>
    </row>
    <row r="32" spans="1:12" ht="15.95" customHeight="1" x14ac:dyDescent="0.25">
      <c r="A32" s="71"/>
      <c r="B32" s="10"/>
      <c r="C32" s="62"/>
      <c r="D32" s="24"/>
      <c r="E32" s="10"/>
      <c r="F32" s="10"/>
      <c r="G32" s="26"/>
      <c r="H32" s="26"/>
      <c r="I32" s="92"/>
      <c r="J32" s="58"/>
      <c r="K32" s="175"/>
      <c r="L32" s="77"/>
    </row>
    <row r="33" spans="1:12" ht="15.95" customHeight="1" x14ac:dyDescent="0.25">
      <c r="A33" s="71"/>
      <c r="B33" s="10"/>
      <c r="C33" s="62"/>
      <c r="D33" s="24"/>
      <c r="E33" s="10"/>
      <c r="F33" s="10"/>
      <c r="G33" s="26"/>
      <c r="H33" s="26"/>
      <c r="I33" s="92"/>
      <c r="J33" s="58"/>
      <c r="K33" s="175"/>
      <c r="L33" s="77"/>
    </row>
    <row r="34" spans="1:12" ht="15.95" customHeight="1" x14ac:dyDescent="0.25">
      <c r="A34" s="71"/>
      <c r="B34" s="10"/>
      <c r="C34" s="62"/>
      <c r="D34" s="24"/>
      <c r="E34" s="10"/>
      <c r="F34" s="10"/>
      <c r="G34" s="26"/>
      <c r="H34" s="26"/>
      <c r="I34" s="92"/>
      <c r="J34" s="58"/>
      <c r="K34" s="175"/>
      <c r="L34" s="77"/>
    </row>
    <row r="35" spans="1:12" ht="15.95" customHeight="1" x14ac:dyDescent="0.25">
      <c r="A35" s="71"/>
      <c r="B35" s="10"/>
      <c r="C35" s="62"/>
      <c r="D35" s="24"/>
      <c r="E35" s="10"/>
      <c r="F35" s="10"/>
      <c r="G35" s="26"/>
      <c r="H35" s="26"/>
      <c r="I35" s="92"/>
      <c r="J35" s="58"/>
      <c r="K35" s="175"/>
      <c r="L35" s="77"/>
    </row>
    <row r="36" spans="1:12" ht="15.95" customHeight="1" x14ac:dyDescent="0.25">
      <c r="A36" s="71"/>
      <c r="B36" s="10"/>
      <c r="C36" s="62"/>
      <c r="D36" s="24"/>
      <c r="E36" s="10"/>
      <c r="F36" s="10"/>
      <c r="G36" s="26"/>
      <c r="H36" s="26"/>
      <c r="I36" s="92"/>
      <c r="J36" s="58"/>
      <c r="K36" s="175"/>
      <c r="L36" s="77"/>
    </row>
    <row r="37" spans="1:12" ht="15.95" customHeight="1" x14ac:dyDescent="0.25">
      <c r="A37" s="71"/>
      <c r="B37" s="10"/>
      <c r="C37" s="25"/>
      <c r="D37" s="25"/>
      <c r="E37" s="100"/>
      <c r="F37" s="100"/>
      <c r="G37" s="97"/>
      <c r="H37" s="25"/>
      <c r="I37" s="92"/>
      <c r="J37" s="32"/>
      <c r="K37" s="71"/>
      <c r="L37" s="77"/>
    </row>
    <row r="38" spans="1:12" ht="15.95" customHeight="1" thickBot="1" x14ac:dyDescent="0.3">
      <c r="A38" s="71"/>
      <c r="B38" s="67"/>
      <c r="C38" s="67"/>
      <c r="D38" s="67"/>
      <c r="E38" s="101"/>
      <c r="F38" s="101"/>
      <c r="G38" s="98"/>
      <c r="H38" s="67"/>
      <c r="I38" s="99"/>
      <c r="J38" s="68"/>
      <c r="K38" s="71"/>
      <c r="L38" s="77"/>
    </row>
    <row r="39" spans="1:12" ht="15.95" customHeight="1" thickBot="1" x14ac:dyDescent="0.3">
      <c r="A39" s="445" t="s">
        <v>13</v>
      </c>
      <c r="B39" s="446"/>
      <c r="C39" s="447"/>
      <c r="D39" s="447"/>
      <c r="E39" s="447"/>
      <c r="F39" s="447"/>
      <c r="G39" s="447"/>
      <c r="H39" s="447"/>
      <c r="I39" s="447"/>
      <c r="J39" s="448"/>
      <c r="K39" s="79">
        <f>ROUNDUP(SUM(K8:K38),0)</f>
        <v>12</v>
      </c>
      <c r="L39" s="80">
        <f>K39</f>
        <v>12</v>
      </c>
    </row>
  </sheetData>
  <mergeCells count="8">
    <mergeCell ref="A7:J7"/>
    <mergeCell ref="A39:J39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L39"/>
  <sheetViews>
    <sheetView showWhiteSpace="0" view="pageBreakPreview" zoomScaleNormal="100" zoomScaleSheetLayoutView="100" workbookViewId="0">
      <selection activeCell="AD16" sqref="AD16"/>
    </sheetView>
  </sheetViews>
  <sheetFormatPr defaultColWidth="2.85546875" defaultRowHeight="15" customHeight="1" x14ac:dyDescent="0.25"/>
  <cols>
    <col min="1" max="1" width="2.85546875" customWidth="1"/>
    <col min="2" max="2" width="9" customWidth="1"/>
    <col min="3" max="3" width="7.7109375" customWidth="1"/>
    <col min="4" max="4" width="9.85546875" customWidth="1"/>
    <col min="5" max="5" width="10.28515625" customWidth="1"/>
    <col min="6" max="6" width="9.8554687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225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1+Headwall!I2</f>
        <v>15</v>
      </c>
      <c r="J2" s="452"/>
      <c r="L2" s="110"/>
    </row>
    <row r="3" spans="1:12" ht="15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291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84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44"/>
      <c r="B9" s="362" t="s">
        <v>236</v>
      </c>
      <c r="C9" s="104"/>
      <c r="D9" s="11"/>
      <c r="E9" s="10"/>
      <c r="F9" s="10"/>
      <c r="G9" s="10"/>
      <c r="H9" s="10"/>
      <c r="I9" s="63"/>
      <c r="J9" s="58"/>
      <c r="K9" s="6"/>
      <c r="L9" s="76"/>
    </row>
    <row r="10" spans="1:12" ht="15.95" customHeight="1" x14ac:dyDescent="0.25">
      <c r="A10" s="13"/>
      <c r="B10" s="184"/>
      <c r="C10" s="363" t="s">
        <v>257</v>
      </c>
      <c r="D10" s="11">
        <v>98.56</v>
      </c>
      <c r="E10" s="25" t="s">
        <v>66</v>
      </c>
      <c r="F10" s="25"/>
      <c r="G10" s="25"/>
      <c r="H10" s="25"/>
      <c r="I10" s="92"/>
      <c r="J10" s="58"/>
      <c r="K10" s="60"/>
      <c r="L10" s="76"/>
    </row>
    <row r="11" spans="1:12" ht="15.95" customHeight="1" x14ac:dyDescent="0.25">
      <c r="A11" s="13"/>
      <c r="B11" s="184"/>
      <c r="C11" s="91" t="s">
        <v>14</v>
      </c>
      <c r="D11" s="11">
        <f>(71300-71210.2)</f>
        <v>89.80000000000291</v>
      </c>
      <c r="E11" s="24" t="s">
        <v>34</v>
      </c>
      <c r="F11" s="97"/>
      <c r="G11" s="25"/>
      <c r="H11" s="25"/>
      <c r="I11" s="92"/>
      <c r="J11" s="58"/>
      <c r="K11" s="60"/>
      <c r="L11" s="76"/>
    </row>
    <row r="12" spans="1:12" ht="15.75" customHeight="1" x14ac:dyDescent="0.25">
      <c r="A12" s="13"/>
      <c r="B12" s="184"/>
      <c r="C12" s="10" t="s">
        <v>50</v>
      </c>
      <c r="D12" s="361">
        <f>D10*D11/27</f>
        <v>327.80325925926991</v>
      </c>
      <c r="E12" s="24" t="s">
        <v>84</v>
      </c>
      <c r="F12" s="97"/>
      <c r="G12" s="25"/>
      <c r="H12" s="25"/>
      <c r="I12" s="92"/>
      <c r="J12" s="58"/>
      <c r="K12" s="59">
        <f>D12</f>
        <v>327.80325925926991</v>
      </c>
      <c r="L12" s="76"/>
    </row>
    <row r="13" spans="1:12" ht="15.75" customHeight="1" x14ac:dyDescent="0.25">
      <c r="A13" s="13"/>
      <c r="B13" s="38"/>
      <c r="C13" s="30"/>
      <c r="D13" s="30"/>
      <c r="E13" s="156"/>
      <c r="F13" s="28"/>
      <c r="G13" s="28"/>
      <c r="H13" s="30"/>
      <c r="I13" s="88"/>
      <c r="J13" s="58"/>
      <c r="K13" s="59"/>
      <c r="L13" s="76"/>
    </row>
    <row r="14" spans="1:12" ht="15.75" customHeight="1" x14ac:dyDescent="0.25">
      <c r="A14" s="13"/>
      <c r="B14" s="38"/>
      <c r="C14" s="30"/>
      <c r="D14" s="30"/>
      <c r="E14" s="156"/>
      <c r="F14" s="28"/>
      <c r="G14" s="28"/>
      <c r="H14" s="30"/>
      <c r="I14" s="88"/>
      <c r="J14" s="58"/>
      <c r="K14" s="59"/>
      <c r="L14" s="76"/>
    </row>
    <row r="15" spans="1:12" ht="15.75" customHeight="1" x14ac:dyDescent="0.25">
      <c r="A15" s="13"/>
      <c r="B15" s="38"/>
      <c r="C15" s="30"/>
      <c r="D15" s="30"/>
      <c r="E15" s="156"/>
      <c r="F15" s="28"/>
      <c r="G15" s="28"/>
      <c r="H15" s="30"/>
      <c r="I15" s="88"/>
      <c r="J15" s="58"/>
      <c r="K15" s="59"/>
      <c r="L15" s="76"/>
    </row>
    <row r="16" spans="1:12" ht="15.95" customHeight="1" x14ac:dyDescent="0.25">
      <c r="A16" s="13"/>
      <c r="B16" s="10"/>
      <c r="C16" s="30"/>
      <c r="E16" s="30"/>
      <c r="F16" s="28"/>
      <c r="G16" s="22"/>
      <c r="H16" s="22"/>
      <c r="I16" s="63"/>
      <c r="J16" s="39"/>
      <c r="K16" s="310"/>
      <c r="L16" s="76"/>
    </row>
    <row r="17" spans="1:12" ht="15.95" customHeight="1" x14ac:dyDescent="0.25">
      <c r="A17" s="13"/>
      <c r="B17" s="10"/>
      <c r="C17" s="10"/>
      <c r="D17" s="10"/>
      <c r="E17" s="10"/>
      <c r="F17" s="10"/>
      <c r="G17" s="10"/>
      <c r="H17" s="10"/>
      <c r="I17" s="10"/>
      <c r="J17" s="191"/>
      <c r="K17" s="103"/>
      <c r="L17" s="76"/>
    </row>
    <row r="18" spans="1:12" ht="15.75" customHeight="1" x14ac:dyDescent="0.25">
      <c r="A18" s="13"/>
      <c r="B18" s="10"/>
      <c r="C18" s="10"/>
      <c r="D18" s="10"/>
      <c r="E18" s="10"/>
      <c r="F18" s="10"/>
      <c r="G18" s="10"/>
      <c r="H18" s="10"/>
      <c r="I18" s="10"/>
      <c r="J18" s="58"/>
      <c r="K18" s="57"/>
      <c r="L18" s="76"/>
    </row>
    <row r="19" spans="1:12" ht="15.75" customHeight="1" x14ac:dyDescent="0.25">
      <c r="A19" s="44"/>
      <c r="B19" s="10"/>
      <c r="C19" s="10"/>
      <c r="D19" s="10"/>
      <c r="E19" s="10"/>
      <c r="F19" s="10"/>
      <c r="G19" s="10"/>
      <c r="H19" s="10"/>
      <c r="I19" s="10"/>
      <c r="J19" s="58"/>
      <c r="K19" s="57"/>
      <c r="L19" s="76"/>
    </row>
    <row r="20" spans="1:12" ht="15.75" customHeight="1" x14ac:dyDescent="0.25">
      <c r="A20" s="13"/>
      <c r="B20" s="10"/>
      <c r="C20" s="10"/>
      <c r="D20" s="10"/>
      <c r="E20" s="10"/>
      <c r="F20" s="10"/>
      <c r="G20" s="10"/>
      <c r="H20" s="10"/>
      <c r="I20" s="10"/>
      <c r="J20" s="58"/>
      <c r="K20" s="57"/>
      <c r="L20" s="76"/>
    </row>
    <row r="21" spans="1:12" ht="16.5" customHeight="1" x14ac:dyDescent="0.25">
      <c r="A21" s="13"/>
      <c r="B21" s="10"/>
      <c r="C21" s="10"/>
      <c r="D21" s="10"/>
      <c r="E21" s="10"/>
      <c r="F21" s="10"/>
      <c r="G21" s="10"/>
      <c r="H21" s="10"/>
      <c r="I21" s="10"/>
      <c r="J21" s="58"/>
      <c r="K21" s="89"/>
      <c r="L21" s="76"/>
    </row>
    <row r="22" spans="1:12" ht="15.95" customHeight="1" x14ac:dyDescent="0.25">
      <c r="A22" s="13"/>
      <c r="B22" s="10"/>
      <c r="C22" s="10"/>
      <c r="D22" s="10"/>
      <c r="E22" s="10"/>
      <c r="F22" s="10"/>
      <c r="G22" s="10"/>
      <c r="H22" s="10"/>
      <c r="I22" s="10"/>
      <c r="J22" s="58"/>
      <c r="K22" s="60"/>
      <c r="L22" s="76"/>
    </row>
    <row r="23" spans="1:12" ht="15" customHeight="1" x14ac:dyDescent="0.25">
      <c r="A23" s="13"/>
      <c r="B23" s="10"/>
      <c r="C23" s="10"/>
      <c r="D23" s="10"/>
      <c r="E23" s="10"/>
      <c r="F23" s="10"/>
      <c r="G23" s="10"/>
      <c r="H23" s="10"/>
      <c r="I23" s="10"/>
      <c r="J23" s="58"/>
      <c r="K23" s="60"/>
      <c r="L23" s="76"/>
    </row>
    <row r="24" spans="1:12" ht="15.95" customHeight="1" x14ac:dyDescent="0.25">
      <c r="A24" s="13"/>
      <c r="B24" s="10"/>
      <c r="C24" s="10"/>
      <c r="D24" s="10"/>
      <c r="E24" s="10"/>
      <c r="F24" s="10"/>
      <c r="G24" s="10"/>
      <c r="H24" s="10"/>
      <c r="I24" s="10"/>
      <c r="J24" s="58"/>
      <c r="K24" s="60"/>
      <c r="L24" s="76"/>
    </row>
    <row r="25" spans="1:12" ht="15.95" customHeight="1" x14ac:dyDescent="0.25">
      <c r="A25" s="13"/>
      <c r="B25" s="10"/>
      <c r="C25" s="10"/>
      <c r="D25" s="10"/>
      <c r="E25" s="10"/>
      <c r="F25" s="10"/>
      <c r="G25" s="10"/>
      <c r="H25" s="10"/>
      <c r="I25" s="10"/>
      <c r="J25" s="58"/>
      <c r="K25" s="59"/>
      <c r="L25" s="76"/>
    </row>
    <row r="26" spans="1:12" ht="15.95" customHeight="1" x14ac:dyDescent="0.25">
      <c r="A26" s="13"/>
      <c r="B26" s="10"/>
      <c r="C26" s="10"/>
      <c r="D26" s="10"/>
      <c r="E26" s="10"/>
      <c r="F26" s="10"/>
      <c r="G26" s="10"/>
      <c r="H26" s="10"/>
      <c r="I26" s="10"/>
      <c r="J26" s="58"/>
      <c r="K26" s="59"/>
      <c r="L26" s="76"/>
    </row>
    <row r="27" spans="1:12" ht="15.95" customHeight="1" x14ac:dyDescent="0.25">
      <c r="A27" s="13"/>
      <c r="B27" s="10"/>
      <c r="C27" s="30"/>
      <c r="E27" s="30"/>
      <c r="F27" s="28"/>
      <c r="G27" s="22"/>
      <c r="H27" s="22"/>
      <c r="I27" s="311"/>
      <c r="J27" s="43"/>
      <c r="K27" s="253"/>
      <c r="L27" s="76"/>
    </row>
    <row r="28" spans="1:12" ht="15.95" customHeight="1" x14ac:dyDescent="0.25">
      <c r="A28" s="13"/>
      <c r="B28" s="10"/>
      <c r="C28" s="30"/>
      <c r="D28" s="28"/>
      <c r="E28" s="22"/>
      <c r="F28" s="19"/>
      <c r="G28" s="10"/>
      <c r="H28" s="10"/>
      <c r="I28" s="63"/>
      <c r="J28" s="191"/>
      <c r="K28" s="103"/>
      <c r="L28" s="76"/>
    </row>
    <row r="29" spans="1:12" ht="15.95" customHeight="1" x14ac:dyDescent="0.25">
      <c r="A29" s="71"/>
      <c r="B29" s="10"/>
      <c r="C29" s="62"/>
      <c r="D29" s="24"/>
      <c r="E29" s="10"/>
      <c r="F29" s="10"/>
      <c r="G29" s="26"/>
      <c r="H29" s="26"/>
      <c r="I29" s="92"/>
      <c r="J29" s="58"/>
      <c r="K29" s="175"/>
      <c r="L29" s="77"/>
    </row>
    <row r="30" spans="1:12" ht="15.95" customHeight="1" x14ac:dyDescent="0.25">
      <c r="A30" s="71"/>
      <c r="B30" s="10"/>
      <c r="C30" s="62"/>
      <c r="D30" s="24"/>
      <c r="E30" s="10"/>
      <c r="F30" s="10"/>
      <c r="G30" s="26"/>
      <c r="H30" s="26"/>
      <c r="I30" s="92"/>
      <c r="J30" s="58"/>
      <c r="K30" s="175"/>
      <c r="L30" s="77"/>
    </row>
    <row r="31" spans="1:12" ht="15.95" customHeight="1" x14ac:dyDescent="0.25">
      <c r="A31" s="71"/>
      <c r="B31" s="10"/>
      <c r="C31" s="62"/>
      <c r="D31" s="24"/>
      <c r="E31" s="10"/>
      <c r="F31" s="10"/>
      <c r="G31" s="26"/>
      <c r="H31" s="26"/>
      <c r="I31" s="92"/>
      <c r="J31" s="58"/>
      <c r="K31" s="175"/>
      <c r="L31" s="77"/>
    </row>
    <row r="32" spans="1:12" ht="15.95" customHeight="1" x14ac:dyDescent="0.25">
      <c r="A32" s="71"/>
      <c r="B32" s="10"/>
      <c r="C32" s="62"/>
      <c r="D32" s="24"/>
      <c r="E32" s="10"/>
      <c r="F32" s="10"/>
      <c r="G32" s="26"/>
      <c r="H32" s="26"/>
      <c r="I32" s="92"/>
      <c r="J32" s="58"/>
      <c r="K32" s="175"/>
      <c r="L32" s="77"/>
    </row>
    <row r="33" spans="1:12" ht="15.95" customHeight="1" x14ac:dyDescent="0.25">
      <c r="A33" s="71"/>
      <c r="B33" s="10"/>
      <c r="C33" s="62"/>
      <c r="D33" s="24"/>
      <c r="E33" s="10"/>
      <c r="F33" s="10"/>
      <c r="G33" s="26"/>
      <c r="H33" s="26"/>
      <c r="I33" s="92"/>
      <c r="J33" s="58"/>
      <c r="K33" s="175"/>
      <c r="L33" s="77"/>
    </row>
    <row r="34" spans="1:12" ht="15.95" customHeight="1" x14ac:dyDescent="0.25">
      <c r="A34" s="71"/>
      <c r="B34" s="10"/>
      <c r="C34" s="62"/>
      <c r="D34" s="24"/>
      <c r="E34" s="10"/>
      <c r="F34" s="10"/>
      <c r="G34" s="26"/>
      <c r="H34" s="26"/>
      <c r="I34" s="92"/>
      <c r="J34" s="58"/>
      <c r="K34" s="175"/>
      <c r="L34" s="77"/>
    </row>
    <row r="35" spans="1:12" ht="15.95" customHeight="1" x14ac:dyDescent="0.25">
      <c r="A35" s="71"/>
      <c r="B35" s="10"/>
      <c r="C35" s="62"/>
      <c r="D35" s="24"/>
      <c r="E35" s="10"/>
      <c r="F35" s="10"/>
      <c r="G35" s="26"/>
      <c r="H35" s="26"/>
      <c r="I35" s="92"/>
      <c r="J35" s="58"/>
      <c r="K35" s="175"/>
      <c r="L35" s="77"/>
    </row>
    <row r="36" spans="1:12" ht="15.95" customHeight="1" x14ac:dyDescent="0.25">
      <c r="A36" s="71"/>
      <c r="B36" s="10"/>
      <c r="C36" s="62"/>
      <c r="D36" s="24"/>
      <c r="E36" s="10"/>
      <c r="F36" s="10"/>
      <c r="G36" s="26"/>
      <c r="H36" s="26"/>
      <c r="I36" s="92"/>
      <c r="J36" s="58"/>
      <c r="K36" s="175"/>
      <c r="L36" s="77"/>
    </row>
    <row r="37" spans="1:12" ht="15.95" customHeight="1" x14ac:dyDescent="0.25">
      <c r="A37" s="71"/>
      <c r="B37" s="10"/>
      <c r="C37" s="25"/>
      <c r="D37" s="25"/>
      <c r="E37" s="100"/>
      <c r="F37" s="100"/>
      <c r="G37" s="97"/>
      <c r="H37" s="25"/>
      <c r="I37" s="92"/>
      <c r="J37" s="32"/>
      <c r="K37" s="71"/>
      <c r="L37" s="77"/>
    </row>
    <row r="38" spans="1:12" ht="15.95" customHeight="1" thickBot="1" x14ac:dyDescent="0.3">
      <c r="A38" s="71"/>
      <c r="B38" s="67"/>
      <c r="C38" s="67"/>
      <c r="D38" s="67"/>
      <c r="E38" s="101"/>
      <c r="F38" s="101"/>
      <c r="G38" s="98"/>
      <c r="H38" s="67"/>
      <c r="I38" s="99"/>
      <c r="J38" s="68"/>
      <c r="K38" s="71"/>
      <c r="L38" s="77"/>
    </row>
    <row r="39" spans="1:12" ht="15.95" customHeight="1" thickBot="1" x14ac:dyDescent="0.3">
      <c r="A39" s="445" t="s">
        <v>13</v>
      </c>
      <c r="B39" s="446"/>
      <c r="C39" s="447"/>
      <c r="D39" s="447"/>
      <c r="E39" s="447"/>
      <c r="F39" s="447"/>
      <c r="G39" s="447"/>
      <c r="H39" s="447"/>
      <c r="I39" s="447"/>
      <c r="J39" s="448"/>
      <c r="K39" s="79">
        <f>ROUND(SUM(K8:K38),0)</f>
        <v>328</v>
      </c>
      <c r="L39" s="80">
        <f>K39</f>
        <v>328</v>
      </c>
    </row>
  </sheetData>
  <mergeCells count="8">
    <mergeCell ref="A7:J7"/>
    <mergeCell ref="A39:J39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  <pageSetUpPr fitToPage="1"/>
  </sheetPr>
  <dimension ref="A1:L260"/>
  <sheetViews>
    <sheetView showWhiteSpace="0" view="pageBreakPreview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1" max="1" width="8.28515625" customWidth="1"/>
    <col min="2" max="2" width="9.85546875" customWidth="1"/>
    <col min="3" max="3" width="10" customWidth="1"/>
    <col min="4" max="4" width="10.28515625" customWidth="1"/>
    <col min="5" max="5" width="9" customWidth="1"/>
    <col min="6" max="6" width="11.57031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298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1+Tunnel!I2</f>
        <v>16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309</v>
      </c>
      <c r="D5" s="456"/>
      <c r="E5" s="456"/>
      <c r="F5" s="456"/>
      <c r="G5" s="456"/>
      <c r="H5" s="456"/>
      <c r="I5" s="456"/>
      <c r="J5" s="456"/>
      <c r="K5" s="111" t="s">
        <v>8</v>
      </c>
      <c r="L5" s="187" t="s">
        <v>67</v>
      </c>
    </row>
    <row r="6" spans="1:12" ht="20.100000000000001" customHeight="1" thickBot="1" x14ac:dyDescent="0.3">
      <c r="A6" s="129"/>
      <c r="B6" s="29"/>
      <c r="C6" s="29"/>
      <c r="D6" s="29"/>
      <c r="E6" s="29"/>
      <c r="F6" s="2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3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s="140" customFormat="1" ht="15" customHeight="1" x14ac:dyDescent="0.25">
      <c r="A8" s="367"/>
      <c r="B8" s="147"/>
      <c r="C8" s="147"/>
      <c r="D8" s="147"/>
      <c r="E8" s="246"/>
      <c r="F8" s="246"/>
      <c r="G8" s="246"/>
      <c r="H8" s="246"/>
      <c r="I8" s="247"/>
      <c r="J8" s="248"/>
      <c r="K8" s="249"/>
      <c r="L8" s="145"/>
    </row>
    <row r="9" spans="1:12" s="140" customFormat="1" ht="15" customHeight="1" x14ac:dyDescent="0.25">
      <c r="A9" s="368"/>
      <c r="B9" s="362" t="s">
        <v>299</v>
      </c>
      <c r="C9" s="269"/>
      <c r="D9" s="269"/>
      <c r="E9" s="269"/>
      <c r="F9" s="269"/>
      <c r="G9" s="269"/>
      <c r="H9" s="269"/>
      <c r="I9" s="247"/>
      <c r="J9" s="144"/>
      <c r="K9" s="287"/>
      <c r="L9" s="145"/>
    </row>
    <row r="10" spans="1:12" s="140" customFormat="1" ht="15" customHeight="1" x14ac:dyDescent="0.25">
      <c r="A10" s="368"/>
      <c r="B10" s="269"/>
      <c r="C10" s="365" t="s">
        <v>65</v>
      </c>
      <c r="D10" s="147">
        <f>17.419+26.943+36.351+45.834+55.423+64.706+74.027+83.357+82.618+92.024+91.439+90.855+88.629+95.446+106.049+94.01+93.207+84.931+86.672+71.167+61.547+53.992+31.723</f>
        <v>1628.3689999999999</v>
      </c>
      <c r="E10" s="325" t="s">
        <v>66</v>
      </c>
      <c r="F10" s="269"/>
      <c r="G10" s="269"/>
      <c r="H10" s="269"/>
      <c r="I10" s="234"/>
      <c r="J10" s="221"/>
      <c r="K10" s="217"/>
      <c r="L10" s="145"/>
    </row>
    <row r="11" spans="1:12" s="140" customFormat="1" ht="15.95" customHeight="1" x14ac:dyDescent="0.25">
      <c r="A11" s="368"/>
      <c r="B11" s="269"/>
      <c r="C11" s="365" t="s">
        <v>65</v>
      </c>
      <c r="D11" s="147">
        <f>D10/9</f>
        <v>180.92988888888888</v>
      </c>
      <c r="E11" s="325" t="s">
        <v>67</v>
      </c>
      <c r="F11" s="269"/>
      <c r="G11" s="269"/>
      <c r="H11" s="269"/>
      <c r="I11" s="234"/>
      <c r="J11" s="221"/>
      <c r="K11" s="287">
        <f>D11</f>
        <v>180.92988888888888</v>
      </c>
      <c r="L11" s="145"/>
    </row>
    <row r="12" spans="1:12" s="140" customFormat="1" ht="15" customHeight="1" x14ac:dyDescent="0.25">
      <c r="A12" s="368"/>
      <c r="B12" s="269"/>
      <c r="C12" s="365"/>
      <c r="D12" s="147"/>
      <c r="E12" s="143"/>
      <c r="F12" s="269"/>
      <c r="G12" s="269"/>
      <c r="H12" s="269"/>
      <c r="I12" s="334"/>
      <c r="J12" s="144"/>
      <c r="K12" s="274"/>
      <c r="L12" s="145"/>
    </row>
    <row r="13" spans="1:12" s="140" customFormat="1" ht="15" customHeight="1" x14ac:dyDescent="0.25">
      <c r="A13" s="368"/>
      <c r="B13" s="362" t="s">
        <v>300</v>
      </c>
      <c r="C13" s="269"/>
      <c r="D13" s="269"/>
      <c r="E13" s="269"/>
      <c r="F13" s="269"/>
      <c r="G13" s="269"/>
      <c r="H13" s="269"/>
      <c r="I13" s="247"/>
      <c r="J13" s="144"/>
      <c r="K13" s="274"/>
      <c r="L13" s="145"/>
    </row>
    <row r="14" spans="1:12" s="140" customFormat="1" ht="15" customHeight="1" x14ac:dyDescent="0.25">
      <c r="A14" s="368"/>
      <c r="B14" s="269"/>
      <c r="C14" s="365" t="s">
        <v>65</v>
      </c>
      <c r="D14" s="147">
        <f>15.825+25.303+34.797+44.269+53.778+63.317+73.015+82.82+82.783+92.787+92.791+92.789+92.774+92.759+102.743+102.728+102.503+101.68+113.208+115.501+106.224+74.11+51.021</f>
        <v>1809.5249999999999</v>
      </c>
      <c r="E14" s="325" t="s">
        <v>66</v>
      </c>
      <c r="F14" s="269"/>
      <c r="G14" s="269"/>
      <c r="H14" s="269"/>
      <c r="I14" s="247"/>
      <c r="J14" s="144"/>
      <c r="K14" s="287"/>
      <c r="L14" s="145"/>
    </row>
    <row r="15" spans="1:12" s="140" customFormat="1" ht="15.95" customHeight="1" x14ac:dyDescent="0.25">
      <c r="A15" s="368"/>
      <c r="B15" s="269"/>
      <c r="C15" s="365" t="s">
        <v>65</v>
      </c>
      <c r="D15" s="147">
        <f>D14/9</f>
        <v>201.05833333333331</v>
      </c>
      <c r="E15" s="325" t="s">
        <v>67</v>
      </c>
      <c r="F15" s="269"/>
      <c r="G15" s="269"/>
      <c r="H15" s="269"/>
      <c r="I15" s="247"/>
      <c r="J15" s="144"/>
      <c r="K15" s="287">
        <f>D15</f>
        <v>201.05833333333331</v>
      </c>
      <c r="L15" s="145"/>
    </row>
    <row r="16" spans="1:12" s="140" customFormat="1" ht="15.95" customHeight="1" x14ac:dyDescent="0.25">
      <c r="A16" s="368"/>
      <c r="B16" s="269"/>
      <c r="C16" s="365"/>
      <c r="D16" s="147"/>
      <c r="E16" s="325"/>
      <c r="F16" s="269"/>
      <c r="G16" s="269"/>
      <c r="H16" s="269"/>
      <c r="I16" s="239"/>
      <c r="J16" s="221"/>
      <c r="K16" s="287"/>
      <c r="L16" s="145"/>
    </row>
    <row r="17" spans="1:12" s="140" customFormat="1" ht="15.95" customHeight="1" x14ac:dyDescent="0.25">
      <c r="A17" s="368"/>
      <c r="B17" s="362" t="s">
        <v>301</v>
      </c>
      <c r="C17" s="269"/>
      <c r="D17" s="269"/>
      <c r="E17" s="269"/>
      <c r="F17" s="325"/>
      <c r="G17" s="325"/>
      <c r="H17" s="325"/>
      <c r="I17" s="247"/>
      <c r="J17" s="144"/>
      <c r="K17" s="287"/>
      <c r="L17" s="145"/>
    </row>
    <row r="18" spans="1:12" s="140" customFormat="1" ht="15.95" customHeight="1" x14ac:dyDescent="0.25">
      <c r="A18" s="368"/>
      <c r="B18" s="269"/>
      <c r="C18" s="365" t="s">
        <v>65</v>
      </c>
      <c r="D18" s="147">
        <f>128.674+119.729+109.603+99.477+89.351+79.225+69.099+58.973+48.848+38.722+28.596+18.47</f>
        <v>888.76700000000005</v>
      </c>
      <c r="E18" s="325" t="s">
        <v>66</v>
      </c>
      <c r="F18" s="269"/>
      <c r="G18" s="269"/>
      <c r="H18" s="326"/>
      <c r="I18" s="334"/>
      <c r="J18" s="344"/>
      <c r="K18" s="274"/>
      <c r="L18" s="145"/>
    </row>
    <row r="19" spans="1:12" s="140" customFormat="1" ht="15.95" customHeight="1" x14ac:dyDescent="0.25">
      <c r="A19" s="368"/>
      <c r="B19" s="269"/>
      <c r="C19" s="365" t="s">
        <v>65</v>
      </c>
      <c r="D19" s="147">
        <f>D18/9</f>
        <v>98.751888888888899</v>
      </c>
      <c r="E19" s="325" t="s">
        <v>67</v>
      </c>
      <c r="F19" s="269"/>
      <c r="G19" s="269"/>
      <c r="H19" s="146"/>
      <c r="I19" s="334"/>
      <c r="J19" s="344"/>
      <c r="K19" s="287">
        <f>D19</f>
        <v>98.751888888888899</v>
      </c>
      <c r="L19" s="145"/>
    </row>
    <row r="20" spans="1:12" s="140" customFormat="1" ht="15.95" customHeight="1" x14ac:dyDescent="0.25">
      <c r="A20" s="368"/>
      <c r="B20" s="269"/>
      <c r="C20" s="365"/>
      <c r="D20" s="147"/>
      <c r="E20" s="143"/>
      <c r="F20" s="269"/>
      <c r="G20" s="269"/>
      <c r="H20" s="229"/>
      <c r="I20" s="334"/>
      <c r="J20" s="327"/>
      <c r="K20" s="217"/>
      <c r="L20" s="145"/>
    </row>
    <row r="21" spans="1:12" ht="15.95" customHeight="1" x14ac:dyDescent="0.25">
      <c r="A21" s="224"/>
      <c r="B21" s="362" t="s">
        <v>302</v>
      </c>
      <c r="C21" s="269"/>
      <c r="D21" s="269"/>
      <c r="E21" s="269"/>
      <c r="F21" s="269"/>
      <c r="G21" s="269"/>
      <c r="H21" s="325"/>
      <c r="I21" s="334"/>
      <c r="J21" s="344"/>
      <c r="K21" s="287"/>
      <c r="L21" s="218"/>
    </row>
    <row r="22" spans="1:12" ht="15.95" customHeight="1" x14ac:dyDescent="0.25">
      <c r="A22" s="224"/>
      <c r="B22" s="269"/>
      <c r="C22" s="365" t="s">
        <v>65</v>
      </c>
      <c r="D22" s="147">
        <f>128.674+119.729+109.603+99.477+89.351+79.225+69.099+58.973+48.848+38.722+28.596+18.47</f>
        <v>888.76700000000005</v>
      </c>
      <c r="E22" s="325" t="s">
        <v>66</v>
      </c>
      <c r="F22" s="269"/>
      <c r="G22" s="269"/>
      <c r="H22" s="269"/>
      <c r="I22" s="247"/>
      <c r="J22" s="144"/>
      <c r="K22" s="274"/>
      <c r="L22" s="218"/>
    </row>
    <row r="23" spans="1:12" ht="15.95" customHeight="1" x14ac:dyDescent="0.25">
      <c r="A23" s="224"/>
      <c r="B23" s="269"/>
      <c r="C23" s="365" t="s">
        <v>65</v>
      </c>
      <c r="D23" s="147">
        <f>D22/9</f>
        <v>98.751888888888899</v>
      </c>
      <c r="E23" s="325" t="s">
        <v>67</v>
      </c>
      <c r="F23" s="269"/>
      <c r="G23" s="269"/>
      <c r="H23" s="269"/>
      <c r="I23" s="247"/>
      <c r="J23" s="144"/>
      <c r="K23" s="287">
        <f>D23</f>
        <v>98.751888888888899</v>
      </c>
      <c r="L23" s="218"/>
    </row>
    <row r="24" spans="1:12" ht="15.95" customHeight="1" x14ac:dyDescent="0.25">
      <c r="A24" s="224"/>
      <c r="B24" s="269"/>
      <c r="C24" s="365"/>
      <c r="D24" s="147"/>
      <c r="E24" s="325"/>
      <c r="F24" s="269"/>
      <c r="G24" s="269"/>
      <c r="H24" s="269"/>
      <c r="I24" s="234"/>
      <c r="J24" s="221"/>
      <c r="K24" s="217"/>
      <c r="L24" s="218"/>
    </row>
    <row r="25" spans="1:12" ht="15.95" customHeight="1" x14ac:dyDescent="0.25">
      <c r="A25" s="224"/>
      <c r="B25" s="269"/>
      <c r="C25" s="365"/>
      <c r="D25" s="147"/>
      <c r="E25" s="325"/>
      <c r="F25" s="269"/>
      <c r="G25" s="269"/>
      <c r="H25" s="269"/>
      <c r="I25" s="234"/>
      <c r="J25" s="221"/>
      <c r="K25" s="217"/>
      <c r="L25" s="218"/>
    </row>
    <row r="26" spans="1:12" ht="15.95" customHeight="1" x14ac:dyDescent="0.25">
      <c r="A26" s="224"/>
      <c r="B26" s="269"/>
      <c r="C26" s="365"/>
      <c r="D26" s="147"/>
      <c r="E26" s="143"/>
      <c r="F26" s="269"/>
      <c r="G26" s="269"/>
      <c r="H26" s="269"/>
      <c r="I26" s="334"/>
      <c r="J26" s="144"/>
      <c r="K26" s="274"/>
      <c r="L26" s="218"/>
    </row>
    <row r="27" spans="1:12" ht="15.95" customHeight="1" x14ac:dyDescent="0.25">
      <c r="A27" s="224"/>
      <c r="B27" s="269"/>
      <c r="C27" s="365"/>
      <c r="D27" s="147"/>
      <c r="E27" s="143"/>
      <c r="F27" s="269"/>
      <c r="G27" s="269"/>
      <c r="H27" s="269"/>
      <c r="I27" s="247"/>
      <c r="J27" s="144"/>
      <c r="K27" s="274"/>
      <c r="L27" s="218"/>
    </row>
    <row r="28" spans="1:12" ht="15.95" customHeight="1" x14ac:dyDescent="0.25">
      <c r="A28" s="224"/>
      <c r="B28" s="269"/>
      <c r="C28" s="365"/>
      <c r="D28" s="147"/>
      <c r="E28" s="325"/>
      <c r="F28" s="269"/>
      <c r="G28" s="269"/>
      <c r="H28" s="269"/>
      <c r="I28" s="247"/>
      <c r="J28" s="144"/>
      <c r="K28" s="287"/>
      <c r="L28" s="218"/>
    </row>
    <row r="29" spans="1:12" ht="15.95" customHeight="1" x14ac:dyDescent="0.25">
      <c r="A29" s="224"/>
      <c r="B29" s="269"/>
      <c r="C29" s="365"/>
      <c r="D29" s="147"/>
      <c r="E29" s="325"/>
      <c r="F29" s="269"/>
      <c r="G29" s="269"/>
      <c r="H29" s="269"/>
      <c r="I29" s="247"/>
      <c r="J29" s="144"/>
      <c r="K29" s="287"/>
      <c r="L29" s="218"/>
    </row>
    <row r="30" spans="1:12" ht="15.75" customHeight="1" x14ac:dyDescent="0.25">
      <c r="A30" s="224"/>
      <c r="B30" s="269"/>
      <c r="C30" s="365"/>
      <c r="D30" s="147"/>
      <c r="E30" s="325"/>
      <c r="F30" s="269"/>
      <c r="G30" s="269"/>
      <c r="H30" s="269"/>
      <c r="I30" s="239"/>
      <c r="J30" s="221"/>
      <c r="K30" s="287"/>
      <c r="L30" s="218"/>
    </row>
    <row r="31" spans="1:12" ht="15.95" customHeight="1" x14ac:dyDescent="0.25">
      <c r="A31" s="224"/>
      <c r="B31" s="269"/>
      <c r="C31" s="269"/>
      <c r="D31" s="269"/>
      <c r="E31" s="269"/>
      <c r="F31" s="269"/>
      <c r="G31" s="269"/>
      <c r="H31" s="269"/>
      <c r="I31" s="239"/>
      <c r="J31" s="144"/>
      <c r="K31" s="274"/>
      <c r="L31" s="218"/>
    </row>
    <row r="32" spans="1:12" ht="15.95" customHeight="1" x14ac:dyDescent="0.25">
      <c r="A32" s="224"/>
      <c r="B32" s="269"/>
      <c r="C32" s="269"/>
      <c r="D32" s="269"/>
      <c r="E32" s="269"/>
      <c r="F32" s="269"/>
      <c r="G32" s="269"/>
      <c r="H32" s="269"/>
      <c r="I32" s="239"/>
      <c r="J32" s="144"/>
      <c r="K32" s="274"/>
      <c r="L32" s="218"/>
    </row>
    <row r="33" spans="1:12" ht="15.95" customHeight="1" x14ac:dyDescent="0.25">
      <c r="A33" s="224"/>
      <c r="B33" s="269"/>
      <c r="C33" s="269"/>
      <c r="D33" s="269"/>
      <c r="E33" s="269"/>
      <c r="F33" s="269"/>
      <c r="G33" s="269"/>
      <c r="H33" s="269"/>
      <c r="I33" s="234"/>
      <c r="J33" s="221"/>
      <c r="K33" s="217"/>
      <c r="L33" s="218"/>
    </row>
    <row r="34" spans="1:12" ht="18.75" customHeight="1" x14ac:dyDescent="0.25">
      <c r="A34" s="224"/>
      <c r="B34" s="269"/>
      <c r="C34" s="269"/>
      <c r="D34" s="269"/>
      <c r="E34" s="269"/>
      <c r="F34" s="269"/>
      <c r="G34" s="269"/>
      <c r="H34" s="269"/>
      <c r="I34" s="334"/>
      <c r="J34" s="144"/>
      <c r="K34" s="274"/>
      <c r="L34" s="218"/>
    </row>
    <row r="35" spans="1:12" ht="15.95" customHeight="1" x14ac:dyDescent="0.25">
      <c r="A35" s="224"/>
      <c r="B35" s="269"/>
      <c r="C35" s="269"/>
      <c r="D35" s="269"/>
      <c r="E35" s="269"/>
      <c r="F35" s="269"/>
      <c r="G35" s="269"/>
      <c r="H35" s="269"/>
      <c r="I35" s="247"/>
      <c r="J35" s="144"/>
      <c r="K35" s="274"/>
      <c r="L35" s="218"/>
    </row>
    <row r="36" spans="1:12" ht="18.75" customHeight="1" x14ac:dyDescent="0.25">
      <c r="A36" s="224"/>
      <c r="B36" s="246"/>
      <c r="C36" s="325"/>
      <c r="D36" s="247"/>
      <c r="E36" s="147"/>
      <c r="F36" s="147"/>
      <c r="G36" s="146"/>
      <c r="H36" s="325"/>
      <c r="I36" s="247"/>
      <c r="J36" s="144"/>
      <c r="K36" s="287"/>
      <c r="L36" s="218"/>
    </row>
    <row r="37" spans="1:12" ht="15.75" customHeight="1" x14ac:dyDescent="0.25">
      <c r="A37" s="224"/>
      <c r="B37" s="223"/>
      <c r="C37" s="223"/>
      <c r="D37" s="223"/>
      <c r="E37" s="223"/>
      <c r="F37" s="223"/>
      <c r="G37" s="235"/>
      <c r="H37" s="211"/>
      <c r="I37" s="232"/>
      <c r="J37" s="328"/>
      <c r="K37" s="329"/>
      <c r="L37" s="218"/>
    </row>
    <row r="38" spans="1:12" ht="15" customHeight="1" x14ac:dyDescent="0.25">
      <c r="A38" s="224"/>
      <c r="B38" s="219"/>
      <c r="C38" s="219"/>
      <c r="D38" s="211"/>
      <c r="E38" s="222"/>
      <c r="F38" s="211"/>
      <c r="G38" s="242"/>
      <c r="H38" s="211"/>
      <c r="I38" s="232"/>
      <c r="J38" s="328"/>
      <c r="K38" s="227"/>
      <c r="L38" s="218"/>
    </row>
    <row r="39" spans="1:12" ht="15.95" customHeight="1" x14ac:dyDescent="0.25">
      <c r="A39" s="217"/>
      <c r="B39" s="222"/>
      <c r="C39" s="228"/>
      <c r="D39" s="211"/>
      <c r="E39" s="222"/>
      <c r="F39" s="222"/>
      <c r="G39" s="220"/>
      <c r="H39" s="222"/>
      <c r="I39" s="232"/>
      <c r="J39" s="337"/>
      <c r="K39" s="274"/>
      <c r="L39" s="218"/>
    </row>
    <row r="40" spans="1:12" ht="15.95" customHeight="1" x14ac:dyDescent="0.25">
      <c r="A40" s="217"/>
      <c r="B40" s="222"/>
      <c r="C40" s="228"/>
      <c r="D40" s="211"/>
      <c r="E40" s="222"/>
      <c r="F40" s="222"/>
      <c r="G40" s="222"/>
      <c r="H40" s="222"/>
      <c r="I40" s="232"/>
      <c r="J40" s="221"/>
      <c r="K40" s="345"/>
      <c r="L40" s="218"/>
    </row>
    <row r="41" spans="1:12" ht="15.95" customHeight="1" x14ac:dyDescent="0.25">
      <c r="A41" s="224"/>
      <c r="B41" s="222"/>
      <c r="C41" s="222"/>
      <c r="D41" s="222"/>
      <c r="E41" s="343"/>
      <c r="F41" s="343"/>
      <c r="G41" s="225"/>
      <c r="H41" s="222"/>
      <c r="I41" s="232"/>
      <c r="J41" s="327"/>
      <c r="K41" s="226"/>
      <c r="L41" s="227"/>
    </row>
    <row r="42" spans="1:12" ht="15.95" customHeight="1" x14ac:dyDescent="0.25">
      <c r="A42" s="224"/>
      <c r="B42" s="222"/>
      <c r="C42" s="222"/>
      <c r="D42" s="222"/>
      <c r="E42" s="343"/>
      <c r="F42" s="343"/>
      <c r="G42" s="225"/>
      <c r="H42" s="222"/>
      <c r="I42" s="232"/>
      <c r="J42" s="327"/>
      <c r="K42" s="226"/>
      <c r="L42" s="227"/>
    </row>
    <row r="43" spans="1:12" ht="15.95" customHeight="1" thickBot="1" x14ac:dyDescent="0.3">
      <c r="A43" s="245"/>
      <c r="B43" s="243"/>
      <c r="C43" s="243"/>
      <c r="D43" s="243"/>
      <c r="E43" s="338"/>
      <c r="F43" s="338"/>
      <c r="G43" s="230"/>
      <c r="H43" s="243"/>
      <c r="I43" s="233"/>
      <c r="J43" s="330"/>
      <c r="K43" s="341"/>
      <c r="L43" s="342"/>
    </row>
    <row r="44" spans="1:12" ht="15.95" customHeight="1" thickBot="1" x14ac:dyDescent="0.3">
      <c r="A44" s="466"/>
      <c r="B44" s="467"/>
      <c r="C44" s="467"/>
      <c r="D44" s="467"/>
      <c r="E44" s="467"/>
      <c r="F44" s="467"/>
      <c r="G44" s="467"/>
      <c r="H44" s="467"/>
      <c r="I44" s="467"/>
      <c r="J44" s="468"/>
      <c r="K44" s="336">
        <f>ROUNDUP(SUM(K8:K43),0)</f>
        <v>580</v>
      </c>
      <c r="L44" s="369">
        <f>K44</f>
        <v>580</v>
      </c>
    </row>
    <row r="45" spans="1:12" ht="15.95" customHeight="1" x14ac:dyDescent="0.25"/>
    <row r="46" spans="1:12" ht="15.95" customHeight="1" x14ac:dyDescent="0.25"/>
    <row r="47" spans="1:12" ht="15.95" customHeight="1" x14ac:dyDescent="0.25"/>
    <row r="48" spans="1:12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15.95" customHeight="1" x14ac:dyDescent="0.25"/>
    <row r="56" ht="48.75" customHeight="1" x14ac:dyDescent="0.25"/>
    <row r="57" ht="15.95" customHeight="1" x14ac:dyDescent="0.25"/>
    <row r="58" ht="15.95" customHeight="1" x14ac:dyDescent="0.25"/>
    <row r="59" ht="15.95" customHeight="1" x14ac:dyDescent="0.25"/>
    <row r="60" ht="48.7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15.95" customHeight="1" x14ac:dyDescent="0.25"/>
    <row r="67" ht="48.75" customHeight="1" x14ac:dyDescent="0.25"/>
    <row r="68" ht="15.95" customHeight="1" x14ac:dyDescent="0.25"/>
    <row r="69" ht="15.95" customHeight="1" x14ac:dyDescent="0.25"/>
    <row r="70" ht="15.95" customHeight="1" x14ac:dyDescent="0.25"/>
    <row r="71" ht="48.7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88" ht="15.95" customHeight="1" x14ac:dyDescent="0.25"/>
    <row r="98" ht="15.75" customHeight="1" x14ac:dyDescent="0.25"/>
    <row r="100" ht="48.75" customHeight="1" x14ac:dyDescent="0.25"/>
    <row r="104" ht="30" customHeight="1" x14ac:dyDescent="0.25"/>
    <row r="108" ht="33" customHeight="1" x14ac:dyDescent="0.25"/>
    <row r="112" ht="48.75" customHeight="1" x14ac:dyDescent="0.25"/>
    <row r="116" ht="30" customHeight="1" x14ac:dyDescent="0.25"/>
    <row r="120" ht="33" customHeight="1" x14ac:dyDescent="0.25"/>
    <row r="136" spans="1:12" s="126" customFormat="1" ht="15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s="126" customFormat="1" ht="15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s="126" customFormat="1" ht="15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s="126" customFormat="1" ht="15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s="126" customFormat="1" ht="1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s="126" customFormat="1" ht="15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s="126" customFormat="1" ht="15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s="126" customFormat="1" ht="15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s="126" customFormat="1" ht="15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s="126" customFormat="1" ht="15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s="126" customFormat="1" ht="15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s="126" customFormat="1" ht="45.75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s="126" customFormat="1" ht="15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s="126" customFormat="1" ht="15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s="126" customFormat="1" ht="15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s="126" customFormat="1" ht="47.25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s="126" customFormat="1" ht="15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s="126" customFormat="1" ht="15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s="126" customFormat="1" ht="15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s="126" customFormat="1" ht="40.5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s="126" customFormat="1" ht="15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s="126" customFormat="1" ht="15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s="126" customFormat="1" ht="15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s="126" customFormat="1" ht="43.5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s="126" customFormat="1" ht="15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s="126" customFormat="1" ht="15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s="126" customFormat="1" ht="15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s="126" customFormat="1" ht="31.5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s="126" customFormat="1" ht="15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s="126" customFormat="1" ht="15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s="126" customFormat="1" ht="15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s="126" customFormat="1" ht="15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s="126" customFormat="1" ht="15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s="126" customFormat="1" ht="15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s="126" customFormat="1" ht="15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s="126" customFormat="1" ht="15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s="126" customFormat="1" ht="15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s="126" customFormat="1" ht="15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s="126" customFormat="1" ht="15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s="126" customFormat="1" ht="15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s="126" customFormat="1" ht="15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s="126" customFormat="1" ht="15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s="126" customFormat="1" ht="15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s="126" customFormat="1" ht="15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s="126" customFormat="1" ht="15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s="126" customFormat="1" ht="15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s="126" customFormat="1" ht="15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s="126" customFormat="1" ht="15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s="126" customFormat="1" ht="15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s="126" customFormat="1" ht="15" customHeight="1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s="126" customFormat="1" ht="15" customHeight="1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s="126" customFormat="1" ht="15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s="126" customFormat="1" ht="15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s="126" customFormat="1" ht="15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s="126" customFormat="1" ht="15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s="126" customFormat="1" ht="15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s="126" customFormat="1" ht="48.75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s="126" customFormat="1" ht="15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s="126" customFormat="1" ht="15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s="126" customFormat="1" ht="15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s="126" customFormat="1" ht="15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s="126" customFormat="1" ht="15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s="126" customFormat="1" ht="15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s="126" customFormat="1" ht="48.75" customHeight="1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s="126" customFormat="1" ht="15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s="126" customFormat="1" ht="15" customHeight="1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s="126" customFormat="1" ht="15" customHeight="1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s="126" customFormat="1" ht="15" customHeight="1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s="126" customFormat="1" ht="15" customHeight="1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s="126" customFormat="1" ht="15" customHeight="1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s="126" customFormat="1" ht="15" customHeight="1" x14ac:dyDescent="0.25">
      <c r="A206"/>
      <c r="B206"/>
      <c r="C206"/>
      <c r="D206"/>
      <c r="E206"/>
      <c r="F206"/>
      <c r="G206"/>
      <c r="H206"/>
      <c r="I206"/>
      <c r="J206"/>
      <c r="K206"/>
      <c r="L206"/>
    </row>
    <row r="207" spans="1:12" ht="48.75" customHeight="1" x14ac:dyDescent="0.25"/>
    <row r="211" ht="48.75" customHeight="1" x14ac:dyDescent="0.25"/>
    <row r="218" ht="48.75" customHeight="1" x14ac:dyDescent="0.25"/>
    <row r="222" ht="48.75" customHeight="1" x14ac:dyDescent="0.25"/>
    <row r="235" spans="1:12" ht="15" customHeight="1" x14ac:dyDescent="0.25">
      <c r="A235" s="126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</row>
    <row r="236" spans="1:12" ht="15" customHeight="1" x14ac:dyDescent="0.25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</row>
    <row r="237" spans="1:12" ht="15" customHeight="1" x14ac:dyDescent="0.25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</row>
    <row r="238" spans="1:12" ht="15" customHeight="1" x14ac:dyDescent="0.25">
      <c r="A238" s="126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</row>
    <row r="239" spans="1:12" ht="15" customHeight="1" x14ac:dyDescent="0.25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</row>
    <row r="240" spans="1:12" ht="15" customHeight="1" x14ac:dyDescent="0.25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</row>
    <row r="241" spans="1:12" ht="15" customHeight="1" x14ac:dyDescent="0.25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</row>
    <row r="242" spans="1:12" ht="15" customHeight="1" x14ac:dyDescent="0.25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</row>
    <row r="243" spans="1:12" ht="15" customHeight="1" x14ac:dyDescent="0.25">
      <c r="A243" s="126"/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</row>
    <row r="244" spans="1:12" ht="15" customHeight="1" x14ac:dyDescent="0.25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</row>
    <row r="245" spans="1:12" ht="15" customHeight="1" x14ac:dyDescent="0.25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</row>
    <row r="246" spans="1:12" ht="15" customHeight="1" x14ac:dyDescent="0.25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</row>
    <row r="247" spans="1:12" ht="15" customHeight="1" x14ac:dyDescent="0.25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</row>
    <row r="248" spans="1:12" ht="15" customHeight="1" x14ac:dyDescent="0.25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</row>
    <row r="249" spans="1:12" ht="15" customHeight="1" x14ac:dyDescent="0.25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</row>
    <row r="250" spans="1:12" ht="15" customHeight="1" x14ac:dyDescent="0.25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</row>
    <row r="251" spans="1:12" ht="15" customHeight="1" x14ac:dyDescent="0.25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26"/>
    </row>
    <row r="252" spans="1:12" ht="15" customHeight="1" x14ac:dyDescent="0.25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</row>
    <row r="253" spans="1:12" ht="15" customHeight="1" x14ac:dyDescent="0.25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26"/>
    </row>
    <row r="254" spans="1:12" ht="15" customHeight="1" x14ac:dyDescent="0.25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26"/>
    </row>
    <row r="255" spans="1:12" ht="15" customHeight="1" x14ac:dyDescent="0.25">
      <c r="A255" s="126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</row>
    <row r="256" spans="1:12" ht="15" customHeight="1" x14ac:dyDescent="0.25">
      <c r="A256" s="126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26"/>
    </row>
    <row r="257" spans="1:12" ht="15" customHeight="1" x14ac:dyDescent="0.25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</row>
    <row r="258" spans="1:12" ht="15" customHeight="1" x14ac:dyDescent="0.25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</row>
    <row r="259" spans="1:12" ht="15" customHeight="1" x14ac:dyDescent="0.25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</row>
    <row r="260" spans="1:12" ht="15" customHeight="1" x14ac:dyDescent="0.25">
      <c r="A260" s="126"/>
      <c r="B260" s="126"/>
      <c r="C260" s="126"/>
      <c r="D260" s="126"/>
      <c r="E260" s="126"/>
      <c r="F260" s="126"/>
      <c r="G260" s="126"/>
      <c r="H260" s="126"/>
      <c r="I260" s="126"/>
      <c r="J260" s="126"/>
      <c r="K260" s="126"/>
      <c r="L260" s="126"/>
    </row>
  </sheetData>
  <mergeCells count="8">
    <mergeCell ref="A7:J7"/>
    <mergeCell ref="A44:J44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82" orientation="portrait" horizontalDpi="1200" verticalDpi="1200" r:id="rId1"/>
  <headerFooter>
    <oddFooter>&amp;R&amp;9Printed &amp;D &amp;T</oddFooter>
  </headerFooter>
  <rowBreaks count="3" manualBreakCount="3">
    <brk id="43" max="11" man="1"/>
    <brk id="45" max="11" man="1"/>
    <brk id="179" max="1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  <pageSetUpPr fitToPage="1"/>
  </sheetPr>
  <dimension ref="A1:L259"/>
  <sheetViews>
    <sheetView showWhiteSpace="0" view="pageBreakPreview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1" max="1" width="8.28515625" customWidth="1"/>
    <col min="2" max="2" width="9.85546875" customWidth="1"/>
    <col min="3" max="3" width="10" customWidth="1"/>
    <col min="4" max="4" width="10.28515625" customWidth="1"/>
    <col min="5" max="5" width="9" customWidth="1"/>
    <col min="6" max="6" width="11.57031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46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1+'GRAFFITI SEALING'!I2:J2</f>
        <v>17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31</v>
      </c>
      <c r="D5" s="456"/>
      <c r="E5" s="456"/>
      <c r="F5" s="456"/>
      <c r="G5" s="456"/>
      <c r="H5" s="456"/>
      <c r="I5" s="456"/>
      <c r="J5" s="456"/>
      <c r="K5" s="111" t="s">
        <v>8</v>
      </c>
      <c r="L5" s="187" t="s">
        <v>67</v>
      </c>
    </row>
    <row r="6" spans="1:12" ht="20.100000000000001" customHeight="1" thickBot="1" x14ac:dyDescent="0.3">
      <c r="A6" s="129"/>
      <c r="B6" s="29"/>
      <c r="C6" s="29"/>
      <c r="D6" s="29"/>
      <c r="E6" s="29"/>
      <c r="F6" s="2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3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s="140" customFormat="1" ht="15" customHeight="1" x14ac:dyDescent="0.25">
      <c r="A8" s="367"/>
      <c r="B8" s="147"/>
      <c r="C8" s="147"/>
      <c r="D8" s="147"/>
      <c r="E8" s="246"/>
      <c r="F8" s="246"/>
      <c r="G8" s="246"/>
      <c r="H8" s="246"/>
      <c r="I8" s="247"/>
      <c r="J8" s="248"/>
      <c r="K8" s="249"/>
      <c r="L8" s="145"/>
    </row>
    <row r="9" spans="1:12" s="140" customFormat="1" ht="15" customHeight="1" x14ac:dyDescent="0.25">
      <c r="A9" s="368"/>
      <c r="B9" s="362" t="s">
        <v>236</v>
      </c>
      <c r="C9" s="269"/>
      <c r="D9" s="269"/>
      <c r="E9" s="269"/>
      <c r="F9" s="269"/>
      <c r="G9" s="269"/>
      <c r="H9" s="269"/>
      <c r="I9" s="247"/>
      <c r="J9" s="144"/>
      <c r="K9" s="287"/>
      <c r="L9" s="145"/>
    </row>
    <row r="10" spans="1:12" s="140" customFormat="1" ht="15" customHeight="1" x14ac:dyDescent="0.25">
      <c r="A10" s="368"/>
      <c r="B10" s="269"/>
      <c r="C10" s="365" t="s">
        <v>258</v>
      </c>
      <c r="D10" s="147">
        <f>AVERAGE(14.824+15.758,16.91+16.657,16.857+17.165,16.527+17.078)+29.06</f>
        <v>62.004000000000005</v>
      </c>
      <c r="E10" s="325" t="s">
        <v>34</v>
      </c>
      <c r="F10" s="269"/>
      <c r="G10" s="269"/>
      <c r="H10" s="269"/>
      <c r="I10" s="234"/>
      <c r="J10" s="221"/>
      <c r="K10" s="217"/>
      <c r="L10" s="145"/>
    </row>
    <row r="11" spans="1:12" s="140" customFormat="1" ht="15.95" customHeight="1" x14ac:dyDescent="0.25">
      <c r="A11" s="368"/>
      <c r="B11" s="269"/>
      <c r="C11" s="365" t="s">
        <v>262</v>
      </c>
      <c r="D11" s="147">
        <f>71300-71210.2-D15</f>
        <v>88.30000000000291</v>
      </c>
      <c r="E11" s="325" t="s">
        <v>34</v>
      </c>
      <c r="F11" s="269"/>
      <c r="G11" s="269"/>
      <c r="H11" s="269"/>
      <c r="I11" s="234"/>
      <c r="J11" s="221"/>
      <c r="K11" s="217"/>
      <c r="L11" s="145"/>
    </row>
    <row r="12" spans="1:12" s="140" customFormat="1" ht="15" customHeight="1" x14ac:dyDescent="0.25">
      <c r="A12" s="368"/>
      <c r="B12" s="269"/>
      <c r="C12" s="365" t="s">
        <v>259</v>
      </c>
      <c r="D12" s="147">
        <f>188.424+91.203</f>
        <v>279.62700000000001</v>
      </c>
      <c r="E12" s="143" t="s">
        <v>66</v>
      </c>
      <c r="F12" s="269"/>
      <c r="G12" s="269"/>
      <c r="H12" s="269"/>
      <c r="I12" s="334"/>
      <c r="J12" s="144"/>
      <c r="K12" s="274"/>
      <c r="L12" s="145"/>
    </row>
    <row r="13" spans="1:12" s="140" customFormat="1" ht="15" customHeight="1" x14ac:dyDescent="0.25">
      <c r="A13" s="368"/>
      <c r="B13" s="269"/>
      <c r="C13" s="365" t="s">
        <v>260</v>
      </c>
      <c r="D13" s="147">
        <v>188.42400000000001</v>
      </c>
      <c r="E13" s="143" t="s">
        <v>66</v>
      </c>
      <c r="F13" s="269"/>
      <c r="G13" s="269"/>
      <c r="H13" s="269"/>
      <c r="I13" s="247"/>
      <c r="J13" s="144"/>
      <c r="K13" s="274"/>
      <c r="L13" s="145"/>
    </row>
    <row r="14" spans="1:12" s="140" customFormat="1" ht="15" customHeight="1" x14ac:dyDescent="0.25">
      <c r="A14" s="368"/>
      <c r="B14" s="269"/>
      <c r="C14" s="365" t="s">
        <v>310</v>
      </c>
      <c r="D14" s="147">
        <v>77.528999999999996</v>
      </c>
      <c r="E14" s="325" t="s">
        <v>34</v>
      </c>
      <c r="F14" s="269"/>
      <c r="G14" s="269"/>
      <c r="H14" s="269"/>
      <c r="I14" s="247"/>
      <c r="J14" s="144"/>
      <c r="K14" s="287"/>
      <c r="L14" s="145"/>
    </row>
    <row r="15" spans="1:12" s="140" customFormat="1" ht="15.95" customHeight="1" x14ac:dyDescent="0.25">
      <c r="A15" s="368"/>
      <c r="B15" s="269"/>
      <c r="C15" s="365" t="s">
        <v>261</v>
      </c>
      <c r="D15" s="147">
        <v>1.5</v>
      </c>
      <c r="E15" s="325" t="s">
        <v>34</v>
      </c>
      <c r="F15" s="269"/>
      <c r="G15" s="269"/>
      <c r="H15" s="269"/>
      <c r="I15" s="247"/>
      <c r="J15" s="144"/>
      <c r="K15" s="287"/>
      <c r="L15" s="145"/>
    </row>
    <row r="16" spans="1:12" s="140" customFormat="1" ht="15.95" customHeight="1" x14ac:dyDescent="0.25">
      <c r="A16" s="368"/>
      <c r="B16" s="269"/>
      <c r="C16" s="365" t="s">
        <v>50</v>
      </c>
      <c r="D16" s="147">
        <f>(D10*D11+D12+D13+D14*D15)/9</f>
        <v>673.25530000002016</v>
      </c>
      <c r="E16" s="325" t="s">
        <v>67</v>
      </c>
      <c r="F16" s="269"/>
      <c r="G16" s="269"/>
      <c r="H16" s="269"/>
      <c r="I16" s="239"/>
      <c r="J16" s="221"/>
      <c r="K16" s="287">
        <f>D16</f>
        <v>673.25530000002016</v>
      </c>
      <c r="L16" s="145"/>
    </row>
    <row r="17" spans="1:12" s="140" customFormat="1" ht="15.95" customHeight="1" x14ac:dyDescent="0.25">
      <c r="A17" s="368"/>
      <c r="B17" s="269"/>
      <c r="C17" s="365"/>
      <c r="D17" s="147"/>
      <c r="E17" s="325"/>
      <c r="F17" s="325"/>
      <c r="G17" s="325"/>
      <c r="H17" s="325"/>
      <c r="I17" s="247"/>
      <c r="J17" s="144"/>
      <c r="K17" s="287"/>
      <c r="L17" s="145"/>
    </row>
    <row r="18" spans="1:12" s="140" customFormat="1" ht="15.95" customHeight="1" x14ac:dyDescent="0.25">
      <c r="A18" s="368"/>
      <c r="B18" s="250"/>
      <c r="C18" s="365"/>
      <c r="D18" s="147"/>
      <c r="E18" s="143"/>
      <c r="F18" s="269"/>
      <c r="G18" s="269"/>
      <c r="H18" s="326"/>
      <c r="I18" s="334"/>
      <c r="J18" s="344"/>
      <c r="K18" s="274"/>
      <c r="L18" s="145"/>
    </row>
    <row r="19" spans="1:12" s="140" customFormat="1" ht="15.95" customHeight="1" x14ac:dyDescent="0.25">
      <c r="A19" s="368"/>
      <c r="B19" s="269"/>
      <c r="C19" s="365"/>
      <c r="D19" s="147"/>
      <c r="E19" s="143"/>
      <c r="F19" s="269"/>
      <c r="G19" s="269"/>
      <c r="H19" s="146"/>
      <c r="I19" s="334"/>
      <c r="J19" s="344"/>
      <c r="K19" s="287"/>
      <c r="L19" s="145"/>
    </row>
    <row r="20" spans="1:12" ht="15.95" customHeight="1" x14ac:dyDescent="0.25">
      <c r="A20" s="224"/>
      <c r="B20" s="269"/>
      <c r="C20" s="365"/>
      <c r="D20" s="147"/>
      <c r="E20" s="143"/>
      <c r="F20" s="269"/>
      <c r="G20" s="269"/>
      <c r="H20" s="325"/>
      <c r="I20" s="334"/>
      <c r="J20" s="344"/>
      <c r="K20" s="287"/>
      <c r="L20" s="218"/>
    </row>
    <row r="21" spans="1:12" ht="15.95" customHeight="1" x14ac:dyDescent="0.25">
      <c r="A21" s="224"/>
      <c r="B21" s="269"/>
      <c r="C21" s="269"/>
      <c r="D21" s="269"/>
      <c r="E21" s="269"/>
      <c r="F21" s="269"/>
      <c r="G21" s="269"/>
      <c r="H21" s="269"/>
      <c r="I21" s="247"/>
      <c r="J21" s="144"/>
      <c r="K21" s="274"/>
      <c r="L21" s="218"/>
    </row>
    <row r="22" spans="1:12" ht="15.95" customHeight="1" x14ac:dyDescent="0.25">
      <c r="A22" s="224"/>
      <c r="B22" s="362"/>
      <c r="C22" s="269"/>
      <c r="D22" s="269"/>
      <c r="E22" s="269"/>
      <c r="F22" s="269"/>
      <c r="G22" s="269"/>
      <c r="H22" s="269"/>
      <c r="I22" s="247"/>
      <c r="J22" s="144"/>
      <c r="K22" s="287"/>
      <c r="L22" s="218"/>
    </row>
    <row r="23" spans="1:12" ht="15.95" customHeight="1" x14ac:dyDescent="0.25">
      <c r="A23" s="224"/>
      <c r="B23" s="269"/>
      <c r="C23" s="365"/>
      <c r="D23" s="147"/>
      <c r="E23" s="325"/>
      <c r="F23" s="269"/>
      <c r="G23" s="269"/>
      <c r="H23" s="269"/>
      <c r="I23" s="234"/>
      <c r="J23" s="221"/>
      <c r="K23" s="217"/>
      <c r="L23" s="218"/>
    </row>
    <row r="24" spans="1:12" ht="15.95" customHeight="1" x14ac:dyDescent="0.25">
      <c r="A24" s="224"/>
      <c r="B24" s="269"/>
      <c r="C24" s="365"/>
      <c r="D24" s="147"/>
      <c r="E24" s="325"/>
      <c r="F24" s="269"/>
      <c r="G24" s="269"/>
      <c r="H24" s="269"/>
      <c r="I24" s="234"/>
      <c r="J24" s="221"/>
      <c r="K24" s="217"/>
      <c r="L24" s="218"/>
    </row>
    <row r="25" spans="1:12" ht="15.95" customHeight="1" x14ac:dyDescent="0.25">
      <c r="A25" s="224"/>
      <c r="B25" s="269"/>
      <c r="C25" s="365"/>
      <c r="D25" s="147"/>
      <c r="E25" s="143"/>
      <c r="F25" s="269"/>
      <c r="G25" s="269"/>
      <c r="H25" s="269"/>
      <c r="I25" s="334"/>
      <c r="J25" s="144"/>
      <c r="K25" s="274"/>
      <c r="L25" s="218"/>
    </row>
    <row r="26" spans="1:12" ht="15.95" customHeight="1" x14ac:dyDescent="0.25">
      <c r="A26" s="224"/>
      <c r="B26" s="269"/>
      <c r="C26" s="365"/>
      <c r="D26" s="147"/>
      <c r="E26" s="143"/>
      <c r="F26" s="269"/>
      <c r="G26" s="269"/>
      <c r="H26" s="269"/>
      <c r="I26" s="247"/>
      <c r="J26" s="144"/>
      <c r="K26" s="274"/>
      <c r="L26" s="218"/>
    </row>
    <row r="27" spans="1:12" ht="15.95" customHeight="1" x14ac:dyDescent="0.25">
      <c r="A27" s="224"/>
      <c r="B27" s="269"/>
      <c r="C27" s="365"/>
      <c r="D27" s="147"/>
      <c r="E27" s="325"/>
      <c r="F27" s="269"/>
      <c r="G27" s="269"/>
      <c r="H27" s="269"/>
      <c r="I27" s="247"/>
      <c r="J27" s="144"/>
      <c r="K27" s="287"/>
      <c r="L27" s="218"/>
    </row>
    <row r="28" spans="1:12" ht="15.95" customHeight="1" x14ac:dyDescent="0.25">
      <c r="A28" s="224"/>
      <c r="B28" s="269"/>
      <c r="C28" s="365"/>
      <c r="D28" s="147"/>
      <c r="E28" s="325"/>
      <c r="F28" s="269"/>
      <c r="G28" s="269"/>
      <c r="H28" s="269"/>
      <c r="I28" s="247"/>
      <c r="J28" s="144"/>
      <c r="K28" s="287"/>
      <c r="L28" s="218"/>
    </row>
    <row r="29" spans="1:12" ht="15.75" customHeight="1" x14ac:dyDescent="0.25">
      <c r="A29" s="224"/>
      <c r="B29" s="269"/>
      <c r="C29" s="365"/>
      <c r="D29" s="147"/>
      <c r="E29" s="325"/>
      <c r="F29" s="269"/>
      <c r="G29" s="269"/>
      <c r="H29" s="269"/>
      <c r="I29" s="239"/>
      <c r="J29" s="221"/>
      <c r="K29" s="287"/>
      <c r="L29" s="218"/>
    </row>
    <row r="30" spans="1:12" ht="15.95" customHeight="1" x14ac:dyDescent="0.25">
      <c r="A30" s="224"/>
      <c r="B30" s="269"/>
      <c r="C30" s="269"/>
      <c r="D30" s="269"/>
      <c r="E30" s="269"/>
      <c r="F30" s="269"/>
      <c r="G30" s="269"/>
      <c r="H30" s="269"/>
      <c r="I30" s="239"/>
      <c r="J30" s="144"/>
      <c r="K30" s="274"/>
      <c r="L30" s="218"/>
    </row>
    <row r="31" spans="1:12" ht="15.95" customHeight="1" x14ac:dyDescent="0.25">
      <c r="A31" s="224"/>
      <c r="B31" s="269"/>
      <c r="C31" s="269"/>
      <c r="D31" s="269"/>
      <c r="E31" s="269"/>
      <c r="F31" s="269"/>
      <c r="G31" s="269"/>
      <c r="H31" s="269"/>
      <c r="I31" s="239"/>
      <c r="J31" s="144"/>
      <c r="K31" s="274"/>
      <c r="L31" s="218"/>
    </row>
    <row r="32" spans="1:12" ht="15.95" customHeight="1" x14ac:dyDescent="0.25">
      <c r="A32" s="224"/>
      <c r="B32" s="269"/>
      <c r="C32" s="269"/>
      <c r="D32" s="269"/>
      <c r="E32" s="269"/>
      <c r="F32" s="269"/>
      <c r="G32" s="269"/>
      <c r="H32" s="269"/>
      <c r="I32" s="234"/>
      <c r="J32" s="221"/>
      <c r="K32" s="217"/>
      <c r="L32" s="218"/>
    </row>
    <row r="33" spans="1:12" ht="18.75" customHeight="1" x14ac:dyDescent="0.25">
      <c r="A33" s="224"/>
      <c r="B33" s="269"/>
      <c r="C33" s="269"/>
      <c r="D33" s="269"/>
      <c r="E33" s="269"/>
      <c r="F33" s="269"/>
      <c r="G33" s="269"/>
      <c r="H33" s="269"/>
      <c r="I33" s="334"/>
      <c r="J33" s="144"/>
      <c r="K33" s="274"/>
      <c r="L33" s="218"/>
    </row>
    <row r="34" spans="1:12" ht="15.95" customHeight="1" x14ac:dyDescent="0.25">
      <c r="A34" s="224"/>
      <c r="B34" s="269"/>
      <c r="C34" s="269"/>
      <c r="D34" s="269"/>
      <c r="E34" s="269"/>
      <c r="F34" s="269"/>
      <c r="G34" s="269"/>
      <c r="H34" s="269"/>
      <c r="I34" s="247"/>
      <c r="J34" s="144"/>
      <c r="K34" s="274"/>
      <c r="L34" s="218"/>
    </row>
    <row r="35" spans="1:12" ht="18.75" customHeight="1" x14ac:dyDescent="0.25">
      <c r="A35" s="224"/>
      <c r="B35" s="246"/>
      <c r="C35" s="325"/>
      <c r="D35" s="247"/>
      <c r="E35" s="147"/>
      <c r="F35" s="147"/>
      <c r="G35" s="146"/>
      <c r="H35" s="325"/>
      <c r="I35" s="247"/>
      <c r="J35" s="144"/>
      <c r="K35" s="287"/>
      <c r="L35" s="218"/>
    </row>
    <row r="36" spans="1:12" ht="15.75" customHeight="1" x14ac:dyDescent="0.25">
      <c r="A36" s="224"/>
      <c r="B36" s="223"/>
      <c r="C36" s="223"/>
      <c r="D36" s="223"/>
      <c r="E36" s="223"/>
      <c r="F36" s="223"/>
      <c r="G36" s="235"/>
      <c r="H36" s="211"/>
      <c r="I36" s="232"/>
      <c r="J36" s="328"/>
      <c r="K36" s="329"/>
      <c r="L36" s="218"/>
    </row>
    <row r="37" spans="1:12" ht="15" customHeight="1" x14ac:dyDescent="0.25">
      <c r="A37" s="224"/>
      <c r="B37" s="219"/>
      <c r="C37" s="219"/>
      <c r="D37" s="211"/>
      <c r="E37" s="222"/>
      <c r="F37" s="211"/>
      <c r="G37" s="242"/>
      <c r="H37" s="211"/>
      <c r="I37" s="232"/>
      <c r="J37" s="328"/>
      <c r="K37" s="227"/>
      <c r="L37" s="218"/>
    </row>
    <row r="38" spans="1:12" ht="15.95" customHeight="1" x14ac:dyDescent="0.25">
      <c r="A38" s="217"/>
      <c r="B38" s="222"/>
      <c r="C38" s="228"/>
      <c r="D38" s="211"/>
      <c r="E38" s="222"/>
      <c r="F38" s="222"/>
      <c r="G38" s="220"/>
      <c r="H38" s="222"/>
      <c r="I38" s="232"/>
      <c r="J38" s="337"/>
      <c r="K38" s="274"/>
      <c r="L38" s="218"/>
    </row>
    <row r="39" spans="1:12" ht="15.95" customHeight="1" x14ac:dyDescent="0.25">
      <c r="A39" s="217"/>
      <c r="B39" s="222"/>
      <c r="C39" s="228"/>
      <c r="D39" s="211"/>
      <c r="E39" s="222"/>
      <c r="F39" s="222"/>
      <c r="G39" s="222"/>
      <c r="H39" s="222"/>
      <c r="I39" s="232"/>
      <c r="J39" s="221"/>
      <c r="K39" s="345"/>
      <c r="L39" s="218"/>
    </row>
    <row r="40" spans="1:12" ht="15.95" customHeight="1" x14ac:dyDescent="0.25">
      <c r="A40" s="224"/>
      <c r="B40" s="222"/>
      <c r="C40" s="222"/>
      <c r="D40" s="222"/>
      <c r="E40" s="343"/>
      <c r="F40" s="343"/>
      <c r="G40" s="225"/>
      <c r="H40" s="222"/>
      <c r="I40" s="232"/>
      <c r="J40" s="327"/>
      <c r="K40" s="226"/>
      <c r="L40" s="227"/>
    </row>
    <row r="41" spans="1:12" ht="15.95" customHeight="1" x14ac:dyDescent="0.25">
      <c r="A41" s="224"/>
      <c r="B41" s="222"/>
      <c r="C41" s="222"/>
      <c r="D41" s="222"/>
      <c r="E41" s="343"/>
      <c r="F41" s="343"/>
      <c r="G41" s="225"/>
      <c r="H41" s="222"/>
      <c r="I41" s="232"/>
      <c r="J41" s="327"/>
      <c r="K41" s="226"/>
      <c r="L41" s="227"/>
    </row>
    <row r="42" spans="1:12" ht="15.95" customHeight="1" thickBot="1" x14ac:dyDescent="0.3">
      <c r="A42" s="245"/>
      <c r="B42" s="243"/>
      <c r="C42" s="243"/>
      <c r="D42" s="243"/>
      <c r="E42" s="338"/>
      <c r="F42" s="338"/>
      <c r="G42" s="230"/>
      <c r="H42" s="243"/>
      <c r="I42" s="233"/>
      <c r="J42" s="330"/>
      <c r="K42" s="341"/>
      <c r="L42" s="342"/>
    </row>
    <row r="43" spans="1:12" ht="15.95" customHeight="1" thickBot="1" x14ac:dyDescent="0.3">
      <c r="A43" s="466"/>
      <c r="B43" s="467"/>
      <c r="C43" s="467"/>
      <c r="D43" s="467"/>
      <c r="E43" s="467"/>
      <c r="F43" s="467"/>
      <c r="G43" s="467"/>
      <c r="H43" s="467"/>
      <c r="I43" s="467"/>
      <c r="J43" s="468"/>
      <c r="K43" s="336">
        <f>ROUNDUP(SUM(K8:K42),0)</f>
        <v>674</v>
      </c>
      <c r="L43" s="369">
        <f>K43</f>
        <v>674</v>
      </c>
    </row>
    <row r="44" spans="1:12" ht="15.95" customHeight="1" x14ac:dyDescent="0.25"/>
    <row r="45" spans="1:12" ht="15.95" customHeight="1" x14ac:dyDescent="0.25"/>
    <row r="46" spans="1:12" ht="15.95" customHeight="1" x14ac:dyDescent="0.25"/>
    <row r="47" spans="1:12" ht="15.95" customHeight="1" x14ac:dyDescent="0.25"/>
    <row r="48" spans="1:12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48.75" customHeight="1" x14ac:dyDescent="0.25"/>
    <row r="56" ht="15.95" customHeight="1" x14ac:dyDescent="0.25"/>
    <row r="57" ht="15.95" customHeight="1" x14ac:dyDescent="0.25"/>
    <row r="58" ht="15.95" customHeight="1" x14ac:dyDescent="0.25"/>
    <row r="59" ht="48.7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48.75" customHeight="1" x14ac:dyDescent="0.25"/>
    <row r="67" ht="15.95" customHeight="1" x14ac:dyDescent="0.25"/>
    <row r="68" ht="15.95" customHeight="1" x14ac:dyDescent="0.25"/>
    <row r="69" ht="15.95" customHeight="1" x14ac:dyDescent="0.25"/>
    <row r="70" ht="48.7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97" ht="15.75" customHeight="1" x14ac:dyDescent="0.25"/>
    <row r="99" ht="48.75" customHeight="1" x14ac:dyDescent="0.25"/>
    <row r="103" ht="30" customHeight="1" x14ac:dyDescent="0.25"/>
    <row r="107" ht="33" customHeight="1" x14ac:dyDescent="0.25"/>
    <row r="111" ht="48.75" customHeight="1" x14ac:dyDescent="0.25"/>
    <row r="115" ht="30" customHeight="1" x14ac:dyDescent="0.25"/>
    <row r="119" ht="33" customHeight="1" x14ac:dyDescent="0.25"/>
    <row r="135" spans="1:12" s="126" customFormat="1" ht="15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s="126" customFormat="1" ht="15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s="126" customFormat="1" ht="15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s="126" customFormat="1" ht="15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s="126" customFormat="1" ht="15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s="126" customFormat="1" ht="1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s="126" customFormat="1" ht="15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s="126" customFormat="1" ht="15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s="126" customFormat="1" ht="15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s="126" customFormat="1" ht="15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s="126" customFormat="1" ht="15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s="126" customFormat="1" ht="45.75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s="126" customFormat="1" ht="15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s="126" customFormat="1" ht="15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s="126" customFormat="1" ht="15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s="126" customFormat="1" ht="47.25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s="126" customFormat="1" ht="15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s="126" customFormat="1" ht="15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s="126" customFormat="1" ht="15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s="126" customFormat="1" ht="40.5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s="126" customFormat="1" ht="15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s="126" customFormat="1" ht="15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s="126" customFormat="1" ht="15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s="126" customFormat="1" ht="43.5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s="126" customFormat="1" ht="15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s="126" customFormat="1" ht="15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s="126" customFormat="1" ht="15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s="126" customFormat="1" ht="31.5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s="126" customFormat="1" ht="15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s="126" customFormat="1" ht="15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s="126" customFormat="1" ht="15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s="126" customFormat="1" ht="15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s="126" customFormat="1" ht="15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s="126" customFormat="1" ht="15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s="126" customFormat="1" ht="15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s="126" customFormat="1" ht="15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s="126" customFormat="1" ht="15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s="126" customFormat="1" ht="15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s="126" customFormat="1" ht="15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s="126" customFormat="1" ht="15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s="126" customFormat="1" ht="15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s="126" customFormat="1" ht="15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s="126" customFormat="1" ht="15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s="126" customFormat="1" ht="15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s="126" customFormat="1" ht="15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s="126" customFormat="1" ht="15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s="126" customFormat="1" ht="15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s="126" customFormat="1" ht="15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s="126" customFormat="1" ht="15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s="126" customFormat="1" ht="15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s="126" customFormat="1" ht="15" customHeight="1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s="126" customFormat="1" ht="15" customHeight="1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s="126" customFormat="1" ht="15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s="126" customFormat="1" ht="15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s="126" customFormat="1" ht="15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s="126" customFormat="1" ht="15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s="126" customFormat="1" ht="48.75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s="126" customFormat="1" ht="15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s="126" customFormat="1" ht="15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s="126" customFormat="1" ht="15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s="126" customFormat="1" ht="15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s="126" customFormat="1" ht="15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s="126" customFormat="1" ht="15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s="126" customFormat="1" ht="48.75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s="126" customFormat="1" ht="15" customHeight="1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s="126" customFormat="1" ht="15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s="126" customFormat="1" ht="15" customHeight="1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s="126" customFormat="1" ht="15" customHeight="1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s="126" customFormat="1" ht="15" customHeight="1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s="126" customFormat="1" ht="15" customHeight="1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s="126" customFormat="1" ht="15" customHeight="1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ht="48.75" customHeight="1" x14ac:dyDescent="0.25"/>
    <row r="210" ht="48.75" customHeight="1" x14ac:dyDescent="0.25"/>
    <row r="217" ht="48.75" customHeight="1" x14ac:dyDescent="0.25"/>
    <row r="221" ht="48.75" customHeight="1" x14ac:dyDescent="0.25"/>
    <row r="234" spans="1:12" ht="15" customHeight="1" x14ac:dyDescent="0.25">
      <c r="A234" s="126"/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</row>
    <row r="235" spans="1:12" ht="15" customHeight="1" x14ac:dyDescent="0.25">
      <c r="A235" s="126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</row>
    <row r="236" spans="1:12" ht="15" customHeight="1" x14ac:dyDescent="0.25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</row>
    <row r="237" spans="1:12" ht="15" customHeight="1" x14ac:dyDescent="0.25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</row>
    <row r="238" spans="1:12" ht="15" customHeight="1" x14ac:dyDescent="0.25">
      <c r="A238" s="126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</row>
    <row r="239" spans="1:12" ht="15" customHeight="1" x14ac:dyDescent="0.25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</row>
    <row r="240" spans="1:12" ht="15" customHeight="1" x14ac:dyDescent="0.25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</row>
    <row r="241" spans="1:12" ht="15" customHeight="1" x14ac:dyDescent="0.25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</row>
    <row r="242" spans="1:12" ht="15" customHeight="1" x14ac:dyDescent="0.25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</row>
    <row r="243" spans="1:12" ht="15" customHeight="1" x14ac:dyDescent="0.25">
      <c r="A243" s="126"/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</row>
    <row r="244" spans="1:12" ht="15" customHeight="1" x14ac:dyDescent="0.25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</row>
    <row r="245" spans="1:12" ht="15" customHeight="1" x14ac:dyDescent="0.25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</row>
    <row r="246" spans="1:12" ht="15" customHeight="1" x14ac:dyDescent="0.25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</row>
    <row r="247" spans="1:12" ht="15" customHeight="1" x14ac:dyDescent="0.25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</row>
    <row r="248" spans="1:12" ht="15" customHeight="1" x14ac:dyDescent="0.25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</row>
    <row r="249" spans="1:12" ht="15" customHeight="1" x14ac:dyDescent="0.25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</row>
    <row r="250" spans="1:12" ht="15" customHeight="1" x14ac:dyDescent="0.25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</row>
    <row r="251" spans="1:12" ht="15" customHeight="1" x14ac:dyDescent="0.25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26"/>
    </row>
    <row r="252" spans="1:12" ht="15" customHeight="1" x14ac:dyDescent="0.25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</row>
    <row r="253" spans="1:12" ht="15" customHeight="1" x14ac:dyDescent="0.25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26"/>
    </row>
    <row r="254" spans="1:12" ht="15" customHeight="1" x14ac:dyDescent="0.25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26"/>
    </row>
    <row r="255" spans="1:12" ht="15" customHeight="1" x14ac:dyDescent="0.25">
      <c r="A255" s="126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</row>
    <row r="256" spans="1:12" ht="15" customHeight="1" x14ac:dyDescent="0.25">
      <c r="A256" s="126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26"/>
    </row>
    <row r="257" spans="1:12" ht="15" customHeight="1" x14ac:dyDescent="0.25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</row>
    <row r="258" spans="1:12" ht="15" customHeight="1" x14ac:dyDescent="0.25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</row>
    <row r="259" spans="1:12" ht="15" customHeight="1" x14ac:dyDescent="0.25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</row>
  </sheetData>
  <mergeCells count="8">
    <mergeCell ref="C5:J5"/>
    <mergeCell ref="A7:J7"/>
    <mergeCell ref="A43:J43"/>
    <mergeCell ref="I1:J1"/>
    <mergeCell ref="I2:J2"/>
    <mergeCell ref="C4:D4"/>
    <mergeCell ref="F4:G4"/>
    <mergeCell ref="I4:L4"/>
  </mergeCells>
  <printOptions horizontalCentered="1"/>
  <pageMargins left="0.5" right="0.5" top="0.5" bottom="0.5" header="0.5" footer="0.25"/>
  <pageSetup scale="82" orientation="portrait" horizontalDpi="1200" verticalDpi="1200" r:id="rId1"/>
  <headerFooter>
    <oddFooter>&amp;R&amp;9Printed &amp;D &amp;T</oddFooter>
  </headerFooter>
  <rowBreaks count="3" manualBreakCount="3">
    <brk id="42" max="11" man="1"/>
    <brk id="44" max="11" man="1"/>
    <brk id="178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  <pageSetUpPr fitToPage="1"/>
  </sheetPr>
  <dimension ref="A1:L259"/>
  <sheetViews>
    <sheetView showWhiteSpace="0" view="pageBreakPreview" zoomScale="115" zoomScaleNormal="100" zoomScaleSheetLayoutView="115" workbookViewId="0">
      <selection activeCell="AD16" sqref="AD16"/>
    </sheetView>
  </sheetViews>
  <sheetFormatPr defaultColWidth="2.85546875" defaultRowHeight="15" customHeight="1" x14ac:dyDescent="0.25"/>
  <cols>
    <col min="1" max="1" width="8.28515625" customWidth="1"/>
    <col min="2" max="2" width="9.85546875" customWidth="1"/>
    <col min="3" max="3" width="10" customWidth="1"/>
    <col min="4" max="4" width="10.28515625" customWidth="1"/>
    <col min="5" max="5" width="9" customWidth="1"/>
    <col min="6" max="6" width="11.57031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312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1+'CONC. SEALING'!I2:J2</f>
        <v>18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311</v>
      </c>
      <c r="D5" s="456"/>
      <c r="E5" s="456"/>
      <c r="F5" s="456"/>
      <c r="G5" s="456"/>
      <c r="H5" s="456"/>
      <c r="I5" s="456"/>
      <c r="J5" s="456"/>
      <c r="K5" s="111" t="s">
        <v>8</v>
      </c>
      <c r="L5" s="187" t="s">
        <v>67</v>
      </c>
    </row>
    <row r="6" spans="1:12" ht="20.100000000000001" customHeight="1" thickBot="1" x14ac:dyDescent="0.3">
      <c r="A6" s="129"/>
      <c r="B6" s="29"/>
      <c r="C6" s="29"/>
      <c r="D6" s="29"/>
      <c r="E6" s="29"/>
      <c r="F6" s="2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3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s="140" customFormat="1" ht="15" customHeight="1" x14ac:dyDescent="0.25">
      <c r="A8" s="367"/>
      <c r="B8" s="147"/>
      <c r="C8" s="147"/>
      <c r="D8" s="147"/>
      <c r="E8" s="246"/>
      <c r="F8" s="246"/>
      <c r="G8" s="246"/>
      <c r="H8" s="246"/>
      <c r="I8" s="247"/>
      <c r="J8" s="248"/>
      <c r="K8" s="249"/>
      <c r="L8" s="145"/>
    </row>
    <row r="9" spans="1:12" s="140" customFormat="1" ht="15" customHeight="1" x14ac:dyDescent="0.25">
      <c r="A9" s="368"/>
      <c r="B9" s="362" t="s">
        <v>236</v>
      </c>
      <c r="C9" s="269"/>
      <c r="D9" s="269"/>
      <c r="E9" s="269"/>
      <c r="F9" s="269"/>
      <c r="G9" s="269"/>
      <c r="H9" s="269"/>
      <c r="I9" s="247"/>
      <c r="J9" s="144"/>
      <c r="K9" s="287"/>
      <c r="L9" s="145"/>
    </row>
    <row r="10" spans="1:12" s="140" customFormat="1" ht="15" customHeight="1" x14ac:dyDescent="0.25">
      <c r="A10" s="368"/>
      <c r="B10" s="269"/>
      <c r="C10" s="365"/>
      <c r="D10" s="147"/>
      <c r="E10" s="325"/>
      <c r="F10" s="269"/>
      <c r="G10" s="269"/>
      <c r="H10" s="269"/>
      <c r="I10" s="234"/>
      <c r="J10" s="221"/>
      <c r="K10" s="217"/>
      <c r="L10" s="145"/>
    </row>
    <row r="11" spans="1:12" s="140" customFormat="1" ht="15.95" customHeight="1" x14ac:dyDescent="0.25">
      <c r="A11" s="368"/>
      <c r="B11" s="365" t="s">
        <v>180</v>
      </c>
      <c r="C11" s="340">
        <v>88.3</v>
      </c>
      <c r="D11" s="147" t="s">
        <v>17</v>
      </c>
      <c r="E11" s="325"/>
      <c r="F11" s="269"/>
      <c r="G11" s="269"/>
      <c r="H11" s="269"/>
      <c r="I11" s="234"/>
      <c r="J11" s="221"/>
      <c r="K11" s="217"/>
      <c r="L11" s="145"/>
    </row>
    <row r="12" spans="1:12" s="140" customFormat="1" ht="15" customHeight="1" x14ac:dyDescent="0.25">
      <c r="A12" s="368"/>
      <c r="B12" s="269"/>
      <c r="C12" s="365"/>
      <c r="D12" s="147"/>
      <c r="E12" s="143"/>
      <c r="F12" s="269"/>
      <c r="G12" s="269"/>
      <c r="H12" s="269"/>
      <c r="I12" s="334"/>
      <c r="J12" s="144"/>
      <c r="K12" s="274"/>
      <c r="L12" s="145"/>
    </row>
    <row r="13" spans="1:12" s="140" customFormat="1" ht="15" customHeight="1" x14ac:dyDescent="0.25">
      <c r="A13" s="368"/>
      <c r="B13" s="365" t="s">
        <v>313</v>
      </c>
      <c r="C13" s="340">
        <v>19.5</v>
      </c>
      <c r="D13" s="147" t="s">
        <v>17</v>
      </c>
      <c r="E13" s="272" t="s">
        <v>314</v>
      </c>
      <c r="F13" s="269"/>
      <c r="G13" s="269"/>
      <c r="H13" s="269"/>
      <c r="I13" s="247"/>
      <c r="J13" s="144"/>
      <c r="K13" s="274"/>
      <c r="L13" s="145"/>
    </row>
    <row r="14" spans="1:12" s="140" customFormat="1" ht="15" customHeight="1" x14ac:dyDescent="0.25">
      <c r="A14" s="368"/>
      <c r="B14" s="269"/>
      <c r="C14" s="340">
        <v>19.5</v>
      </c>
      <c r="D14" s="147" t="s">
        <v>17</v>
      </c>
      <c r="E14" s="272" t="s">
        <v>315</v>
      </c>
      <c r="F14" s="269"/>
      <c r="G14" s="269"/>
      <c r="H14" s="269"/>
      <c r="I14" s="247"/>
      <c r="J14" s="144"/>
      <c r="K14" s="287"/>
      <c r="L14" s="145"/>
    </row>
    <row r="15" spans="1:12" s="140" customFormat="1" ht="15.95" customHeight="1" x14ac:dyDescent="0.25">
      <c r="A15" s="368"/>
      <c r="B15" s="269"/>
      <c r="C15" s="340">
        <v>29</v>
      </c>
      <c r="D15" s="147" t="s">
        <v>17</v>
      </c>
      <c r="E15" s="272" t="s">
        <v>316</v>
      </c>
      <c r="F15" s="269"/>
      <c r="G15" s="269"/>
      <c r="H15" s="269"/>
      <c r="I15" s="247"/>
      <c r="J15" s="144"/>
      <c r="K15" s="287"/>
      <c r="L15" s="145"/>
    </row>
    <row r="16" spans="1:12" s="140" customFormat="1" ht="15.95" customHeight="1" x14ac:dyDescent="0.25">
      <c r="A16" s="368"/>
      <c r="B16" s="269"/>
      <c r="C16" s="340">
        <v>1</v>
      </c>
      <c r="D16" s="147" t="s">
        <v>17</v>
      </c>
      <c r="E16" s="272" t="s">
        <v>318</v>
      </c>
      <c r="F16" s="269"/>
      <c r="G16" s="269"/>
      <c r="H16" s="269"/>
      <c r="I16" s="239"/>
      <c r="J16" s="221"/>
      <c r="K16" s="287"/>
      <c r="L16" s="145"/>
    </row>
    <row r="17" spans="1:12" s="140" customFormat="1" ht="15.95" customHeight="1" x14ac:dyDescent="0.25">
      <c r="A17" s="368"/>
      <c r="F17" s="325"/>
      <c r="G17" s="325"/>
      <c r="H17" s="325"/>
      <c r="I17" s="247"/>
      <c r="J17" s="144"/>
      <c r="K17" s="287"/>
      <c r="L17" s="145"/>
    </row>
    <row r="18" spans="1:12" s="140" customFormat="1" ht="15.95" customHeight="1" x14ac:dyDescent="0.25">
      <c r="A18" s="368"/>
      <c r="B18" s="269"/>
      <c r="C18" s="340">
        <f>SUM(C13:C15)+C16+C16</f>
        <v>70</v>
      </c>
      <c r="D18" s="147" t="s">
        <v>17</v>
      </c>
      <c r="E18" s="325" t="s">
        <v>50</v>
      </c>
      <c r="F18" s="269"/>
      <c r="G18" s="269"/>
      <c r="H18" s="326"/>
      <c r="I18" s="334"/>
      <c r="J18" s="344"/>
      <c r="K18" s="274"/>
      <c r="L18" s="145"/>
    </row>
    <row r="19" spans="1:12" s="140" customFormat="1" ht="15.95" customHeight="1" x14ac:dyDescent="0.25">
      <c r="A19" s="368"/>
      <c r="B19" s="250"/>
      <c r="C19" s="365"/>
      <c r="D19" s="147"/>
      <c r="E19" s="143"/>
      <c r="F19" s="269"/>
      <c r="G19" s="269"/>
      <c r="H19" s="146"/>
      <c r="I19" s="334"/>
      <c r="J19" s="344"/>
      <c r="K19" s="287"/>
      <c r="L19" s="145"/>
    </row>
    <row r="20" spans="1:12" ht="15.95" customHeight="1" x14ac:dyDescent="0.25">
      <c r="A20" s="224"/>
      <c r="B20" s="365" t="s">
        <v>317</v>
      </c>
      <c r="C20" s="340">
        <f>C11*C18</f>
        <v>6181</v>
      </c>
      <c r="D20" s="147" t="s">
        <v>83</v>
      </c>
      <c r="E20" s="143"/>
      <c r="F20" s="269"/>
      <c r="G20" s="269"/>
      <c r="H20" s="325"/>
      <c r="I20" s="334"/>
      <c r="J20" s="344"/>
      <c r="K20" s="287"/>
      <c r="L20" s="218"/>
    </row>
    <row r="21" spans="1:12" ht="15.95" customHeight="1" x14ac:dyDescent="0.25">
      <c r="A21" s="224"/>
      <c r="B21" s="269"/>
      <c r="C21" s="269"/>
      <c r="D21" s="269"/>
      <c r="E21" s="269"/>
      <c r="F21" s="269"/>
      <c r="G21" s="269"/>
      <c r="H21" s="269"/>
      <c r="I21" s="247"/>
      <c r="J21" s="144"/>
      <c r="K21" s="274"/>
      <c r="L21" s="218"/>
    </row>
    <row r="22" spans="1:12" ht="15.95" customHeight="1" x14ac:dyDescent="0.25">
      <c r="A22" s="224"/>
      <c r="B22" s="365" t="s">
        <v>317</v>
      </c>
      <c r="C22" s="391">
        <f>C20/9</f>
        <v>686.77777777777783</v>
      </c>
      <c r="D22" s="147" t="s">
        <v>319</v>
      </c>
      <c r="E22" s="269"/>
      <c r="F22" s="269"/>
      <c r="G22" s="269"/>
      <c r="H22" s="269"/>
      <c r="I22" s="247"/>
      <c r="J22" s="144"/>
      <c r="K22" s="287"/>
      <c r="L22" s="218"/>
    </row>
    <row r="23" spans="1:12" ht="15.95" customHeight="1" x14ac:dyDescent="0.25">
      <c r="A23" s="224"/>
      <c r="B23" s="269"/>
      <c r="C23" s="365"/>
      <c r="D23" s="147"/>
      <c r="E23" s="325"/>
      <c r="F23" s="269"/>
      <c r="G23" s="269"/>
      <c r="H23" s="269"/>
      <c r="I23" s="234"/>
      <c r="J23" s="221"/>
      <c r="K23" s="217"/>
      <c r="L23" s="218"/>
    </row>
    <row r="24" spans="1:12" ht="15.95" customHeight="1" x14ac:dyDescent="0.25">
      <c r="A24" s="224"/>
      <c r="B24" s="269"/>
      <c r="C24" s="365"/>
      <c r="D24" s="147"/>
      <c r="E24" s="325"/>
      <c r="F24" s="269"/>
      <c r="G24" s="269"/>
      <c r="H24" s="269"/>
      <c r="I24" s="234"/>
      <c r="J24" s="221"/>
      <c r="K24" s="217"/>
      <c r="L24" s="218"/>
    </row>
    <row r="25" spans="1:12" ht="15.95" customHeight="1" x14ac:dyDescent="0.25">
      <c r="A25" s="224"/>
      <c r="B25" s="269"/>
      <c r="C25" s="365"/>
      <c r="D25" s="147"/>
      <c r="E25" s="143"/>
      <c r="F25" s="269"/>
      <c r="G25" s="269"/>
      <c r="H25" s="269"/>
      <c r="I25" s="334"/>
      <c r="J25" s="144"/>
      <c r="K25" s="274"/>
      <c r="L25" s="218"/>
    </row>
    <row r="26" spans="1:12" ht="15.95" customHeight="1" x14ac:dyDescent="0.25">
      <c r="A26" s="224"/>
      <c r="B26" s="269"/>
      <c r="C26" s="365"/>
      <c r="D26" s="147"/>
      <c r="E26" s="143"/>
      <c r="F26" s="269"/>
      <c r="G26" s="269"/>
      <c r="H26" s="269"/>
      <c r="I26" s="247"/>
      <c r="J26" s="144"/>
      <c r="K26" s="274"/>
      <c r="L26" s="218"/>
    </row>
    <row r="27" spans="1:12" ht="15.95" customHeight="1" x14ac:dyDescent="0.25">
      <c r="A27" s="224"/>
      <c r="B27" s="269"/>
      <c r="C27" s="365"/>
      <c r="D27" s="147"/>
      <c r="E27" s="325"/>
      <c r="F27" s="269"/>
      <c r="G27" s="269"/>
      <c r="H27" s="269"/>
      <c r="I27" s="247"/>
      <c r="J27" s="144"/>
      <c r="K27" s="287"/>
      <c r="L27" s="218"/>
    </row>
    <row r="28" spans="1:12" ht="15.95" customHeight="1" x14ac:dyDescent="0.25">
      <c r="A28" s="224"/>
      <c r="B28" s="269"/>
      <c r="C28" s="365"/>
      <c r="D28" s="147"/>
      <c r="E28" s="325"/>
      <c r="F28" s="269"/>
      <c r="G28" s="269"/>
      <c r="H28" s="269"/>
      <c r="I28" s="247"/>
      <c r="J28" s="144"/>
      <c r="K28" s="287"/>
      <c r="L28" s="218"/>
    </row>
    <row r="29" spans="1:12" ht="15.75" customHeight="1" x14ac:dyDescent="0.25">
      <c r="A29" s="224"/>
      <c r="B29" s="269"/>
      <c r="C29" s="365"/>
      <c r="D29" s="147"/>
      <c r="E29" s="325"/>
      <c r="F29" s="269"/>
      <c r="G29" s="269"/>
      <c r="H29" s="269"/>
      <c r="I29" s="239"/>
      <c r="J29" s="221"/>
      <c r="K29" s="287"/>
      <c r="L29" s="218"/>
    </row>
    <row r="30" spans="1:12" ht="15.95" customHeight="1" x14ac:dyDescent="0.25">
      <c r="A30" s="224"/>
      <c r="B30" s="269"/>
      <c r="C30" s="269"/>
      <c r="D30" s="269"/>
      <c r="E30" s="269"/>
      <c r="F30" s="269"/>
      <c r="G30" s="269"/>
      <c r="H30" s="269"/>
      <c r="I30" s="239"/>
      <c r="J30" s="144"/>
      <c r="K30" s="274"/>
      <c r="L30" s="218"/>
    </row>
    <row r="31" spans="1:12" ht="15.95" customHeight="1" x14ac:dyDescent="0.25">
      <c r="A31" s="224"/>
      <c r="B31" s="269"/>
      <c r="C31" s="269"/>
      <c r="D31" s="269"/>
      <c r="E31" s="269"/>
      <c r="F31" s="269"/>
      <c r="G31" s="269"/>
      <c r="H31" s="269"/>
      <c r="I31" s="239"/>
      <c r="J31" s="144"/>
      <c r="K31" s="274"/>
      <c r="L31" s="218"/>
    </row>
    <row r="32" spans="1:12" ht="15.95" customHeight="1" x14ac:dyDescent="0.25">
      <c r="A32" s="224"/>
      <c r="B32" s="269"/>
      <c r="C32" s="269"/>
      <c r="D32" s="269"/>
      <c r="E32" s="269"/>
      <c r="F32" s="269"/>
      <c r="G32" s="269"/>
      <c r="H32" s="269"/>
      <c r="I32" s="234"/>
      <c r="J32" s="221"/>
      <c r="K32" s="217"/>
      <c r="L32" s="218"/>
    </row>
    <row r="33" spans="1:12" ht="18.75" customHeight="1" x14ac:dyDescent="0.25">
      <c r="A33" s="224"/>
      <c r="B33" s="269"/>
      <c r="C33" s="269"/>
      <c r="D33" s="269"/>
      <c r="E33" s="269"/>
      <c r="F33" s="269"/>
      <c r="G33" s="269"/>
      <c r="H33" s="269"/>
      <c r="I33" s="334"/>
      <c r="J33" s="144"/>
      <c r="K33" s="274"/>
      <c r="L33" s="218"/>
    </row>
    <row r="34" spans="1:12" ht="15.95" customHeight="1" x14ac:dyDescent="0.25">
      <c r="A34" s="224"/>
      <c r="B34" s="269"/>
      <c r="C34" s="269"/>
      <c r="D34" s="269"/>
      <c r="E34" s="269"/>
      <c r="F34" s="269"/>
      <c r="G34" s="269"/>
      <c r="H34" s="269"/>
      <c r="I34" s="247"/>
      <c r="J34" s="144"/>
      <c r="K34" s="274"/>
      <c r="L34" s="218"/>
    </row>
    <row r="35" spans="1:12" ht="18.75" customHeight="1" x14ac:dyDescent="0.25">
      <c r="A35" s="224"/>
      <c r="B35" s="246"/>
      <c r="C35" s="325"/>
      <c r="D35" s="247"/>
      <c r="E35" s="147"/>
      <c r="F35" s="147"/>
      <c r="G35" s="146"/>
      <c r="H35" s="325"/>
      <c r="I35" s="247"/>
      <c r="J35" s="144"/>
      <c r="K35" s="287"/>
      <c r="L35" s="218"/>
    </row>
    <row r="36" spans="1:12" ht="15.75" customHeight="1" x14ac:dyDescent="0.25">
      <c r="A36" s="224"/>
      <c r="B36" s="223"/>
      <c r="C36" s="223"/>
      <c r="D36" s="223"/>
      <c r="E36" s="223"/>
      <c r="F36" s="223"/>
      <c r="G36" s="235"/>
      <c r="H36" s="211"/>
      <c r="I36" s="232"/>
      <c r="J36" s="328"/>
      <c r="K36" s="329"/>
      <c r="L36" s="218"/>
    </row>
    <row r="37" spans="1:12" ht="15" customHeight="1" x14ac:dyDescent="0.25">
      <c r="A37" s="224"/>
      <c r="B37" s="219"/>
      <c r="C37" s="219"/>
      <c r="D37" s="211"/>
      <c r="E37" s="222"/>
      <c r="F37" s="211"/>
      <c r="G37" s="242"/>
      <c r="H37" s="211"/>
      <c r="I37" s="232"/>
      <c r="J37" s="328"/>
      <c r="K37" s="227"/>
      <c r="L37" s="218"/>
    </row>
    <row r="38" spans="1:12" ht="15.95" customHeight="1" x14ac:dyDescent="0.25">
      <c r="A38" s="217"/>
      <c r="B38" s="222"/>
      <c r="C38" s="228"/>
      <c r="D38" s="211"/>
      <c r="E38" s="222"/>
      <c r="F38" s="222"/>
      <c r="G38" s="220"/>
      <c r="H38" s="222"/>
      <c r="I38" s="232"/>
      <c r="J38" s="337"/>
      <c r="K38" s="274"/>
      <c r="L38" s="218"/>
    </row>
    <row r="39" spans="1:12" ht="15.95" customHeight="1" x14ac:dyDescent="0.25">
      <c r="A39" s="217"/>
      <c r="B39" s="222"/>
      <c r="C39" s="228"/>
      <c r="D39" s="211"/>
      <c r="E39" s="222"/>
      <c r="F39" s="222"/>
      <c r="G39" s="222"/>
      <c r="H39" s="222"/>
      <c r="I39" s="232"/>
      <c r="J39" s="221"/>
      <c r="K39" s="345"/>
      <c r="L39" s="218"/>
    </row>
    <row r="40" spans="1:12" ht="15.95" customHeight="1" x14ac:dyDescent="0.25">
      <c r="A40" s="224"/>
      <c r="B40" s="222"/>
      <c r="C40" s="222"/>
      <c r="D40" s="222"/>
      <c r="E40" s="343"/>
      <c r="F40" s="343"/>
      <c r="G40" s="225"/>
      <c r="H40" s="222"/>
      <c r="I40" s="232"/>
      <c r="J40" s="327"/>
      <c r="K40" s="226"/>
      <c r="L40" s="227"/>
    </row>
    <row r="41" spans="1:12" ht="15.95" customHeight="1" x14ac:dyDescent="0.25">
      <c r="A41" s="224"/>
      <c r="B41" s="222"/>
      <c r="C41" s="222"/>
      <c r="D41" s="222"/>
      <c r="E41" s="343"/>
      <c r="F41" s="343"/>
      <c r="G41" s="225"/>
      <c r="H41" s="222"/>
      <c r="I41" s="232"/>
      <c r="J41" s="327"/>
      <c r="K41" s="226"/>
      <c r="L41" s="227"/>
    </row>
    <row r="42" spans="1:12" ht="15.95" customHeight="1" thickBot="1" x14ac:dyDescent="0.3">
      <c r="A42" s="245"/>
      <c r="B42" s="243"/>
      <c r="C42" s="243"/>
      <c r="D42" s="243"/>
      <c r="E42" s="338"/>
      <c r="F42" s="338"/>
      <c r="G42" s="230"/>
      <c r="H42" s="243"/>
      <c r="I42" s="233"/>
      <c r="J42" s="330"/>
      <c r="K42" s="341"/>
      <c r="L42" s="342"/>
    </row>
    <row r="43" spans="1:12" ht="15.95" customHeight="1" thickBot="1" x14ac:dyDescent="0.3">
      <c r="A43" s="466"/>
      <c r="B43" s="467"/>
      <c r="C43" s="467"/>
      <c r="D43" s="467"/>
      <c r="E43" s="467"/>
      <c r="F43" s="467"/>
      <c r="G43" s="467"/>
      <c r="H43" s="467"/>
      <c r="I43" s="467"/>
      <c r="J43" s="468"/>
      <c r="K43" s="336">
        <f>C22</f>
        <v>686.77777777777783</v>
      </c>
      <c r="L43" s="369">
        <f>K43</f>
        <v>686.77777777777783</v>
      </c>
    </row>
    <row r="44" spans="1:12" ht="15.95" customHeight="1" x14ac:dyDescent="0.25"/>
    <row r="45" spans="1:12" ht="15.95" customHeight="1" x14ac:dyDescent="0.25"/>
    <row r="46" spans="1:12" ht="15.95" customHeight="1" x14ac:dyDescent="0.25"/>
    <row r="47" spans="1:12" ht="15.95" customHeight="1" x14ac:dyDescent="0.25"/>
    <row r="48" spans="1:12" ht="15.95" customHeight="1" x14ac:dyDescent="0.25"/>
    <row r="49" ht="15.95" customHeight="1" x14ac:dyDescent="0.25"/>
    <row r="50" ht="15.95" customHeight="1" x14ac:dyDescent="0.25"/>
    <row r="51" ht="15.95" customHeight="1" x14ac:dyDescent="0.25"/>
    <row r="52" ht="15.95" customHeight="1" x14ac:dyDescent="0.25"/>
    <row r="53" ht="15.95" customHeight="1" x14ac:dyDescent="0.25"/>
    <row r="54" ht="15.95" customHeight="1" x14ac:dyDescent="0.25"/>
    <row r="55" ht="48.75" customHeight="1" x14ac:dyDescent="0.25"/>
    <row r="56" ht="15.95" customHeight="1" x14ac:dyDescent="0.25"/>
    <row r="57" ht="15.95" customHeight="1" x14ac:dyDescent="0.25"/>
    <row r="58" ht="15.95" customHeight="1" x14ac:dyDescent="0.25"/>
    <row r="59" ht="48.75" customHeight="1" x14ac:dyDescent="0.25"/>
    <row r="60" ht="15.95" customHeight="1" x14ac:dyDescent="0.25"/>
    <row r="61" ht="15.95" customHeight="1" x14ac:dyDescent="0.25"/>
    <row r="62" ht="15.95" customHeight="1" x14ac:dyDescent="0.25"/>
    <row r="63" ht="15.95" customHeight="1" x14ac:dyDescent="0.25"/>
    <row r="64" ht="15.95" customHeight="1" x14ac:dyDescent="0.25"/>
    <row r="65" ht="15.95" customHeight="1" x14ac:dyDescent="0.25"/>
    <row r="66" ht="48.75" customHeight="1" x14ac:dyDescent="0.25"/>
    <row r="67" ht="15.95" customHeight="1" x14ac:dyDescent="0.25"/>
    <row r="68" ht="15.95" customHeight="1" x14ac:dyDescent="0.25"/>
    <row r="69" ht="15.95" customHeight="1" x14ac:dyDescent="0.25"/>
    <row r="70" ht="48.75" customHeight="1" x14ac:dyDescent="0.25"/>
    <row r="71" ht="15.95" customHeight="1" x14ac:dyDescent="0.25"/>
    <row r="72" ht="15.95" customHeight="1" x14ac:dyDescent="0.25"/>
    <row r="73" ht="15.95" customHeight="1" x14ac:dyDescent="0.25"/>
    <row r="74" ht="15.95" customHeight="1" x14ac:dyDescent="0.25"/>
    <row r="75" ht="15.95" customHeight="1" x14ac:dyDescent="0.25"/>
    <row r="76" ht="15.95" customHeight="1" x14ac:dyDescent="0.25"/>
    <row r="77" ht="15.95" customHeight="1" x14ac:dyDescent="0.25"/>
    <row r="78" ht="15.95" customHeight="1" x14ac:dyDescent="0.25"/>
    <row r="79" ht="15.95" customHeight="1" x14ac:dyDescent="0.25"/>
    <row r="80" ht="15.95" customHeight="1" x14ac:dyDescent="0.25"/>
    <row r="81" ht="15.95" customHeight="1" x14ac:dyDescent="0.25"/>
    <row r="82" ht="15.95" customHeight="1" x14ac:dyDescent="0.25"/>
    <row r="83" ht="15.95" customHeight="1" x14ac:dyDescent="0.25"/>
    <row r="84" ht="15.95" customHeight="1" x14ac:dyDescent="0.25"/>
    <row r="85" ht="15.95" customHeight="1" x14ac:dyDescent="0.25"/>
    <row r="86" ht="15.95" customHeight="1" x14ac:dyDescent="0.25"/>
    <row r="87" ht="15.95" customHeight="1" x14ac:dyDescent="0.25"/>
    <row r="97" ht="15.75" customHeight="1" x14ac:dyDescent="0.25"/>
    <row r="99" ht="48.75" customHeight="1" x14ac:dyDescent="0.25"/>
    <row r="103" ht="30" customHeight="1" x14ac:dyDescent="0.25"/>
    <row r="107" ht="33" customHeight="1" x14ac:dyDescent="0.25"/>
    <row r="111" ht="48.75" customHeight="1" x14ac:dyDescent="0.25"/>
    <row r="115" ht="30" customHeight="1" x14ac:dyDescent="0.25"/>
    <row r="119" ht="33" customHeight="1" x14ac:dyDescent="0.25"/>
    <row r="135" spans="1:12" s="126" customFormat="1" ht="15" customHeight="1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s="126" customFormat="1" ht="15" customHeight="1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s="126" customFormat="1" ht="15" customHeight="1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s="126" customFormat="1" ht="15" customHeight="1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s="126" customFormat="1" ht="15" customHeight="1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s="126" customFormat="1" ht="15" customHeight="1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s="126" customFormat="1" ht="15" customHeight="1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s="126" customFormat="1" ht="15" customHeight="1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s="126" customFormat="1" ht="15" customHeight="1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s="126" customFormat="1" ht="15" customHeight="1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s="126" customFormat="1" ht="15" customHeight="1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s="126" customFormat="1" ht="45.75" customHeight="1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s="126" customFormat="1" ht="15" customHeight="1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s="126" customFormat="1" ht="15" customHeight="1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s="126" customFormat="1" ht="15" customHeight="1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s="126" customFormat="1" ht="47.25" customHeight="1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s="126" customFormat="1" ht="15" customHeight="1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s="126" customFormat="1" ht="15" customHeight="1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s="126" customFormat="1" ht="15" customHeight="1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s="126" customFormat="1" ht="40.5" customHeight="1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s="126" customFormat="1" ht="15" customHeight="1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s="126" customFormat="1" ht="15" customHeight="1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s="126" customFormat="1" ht="15" customHeight="1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s="126" customFormat="1" ht="43.5" customHeight="1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s="126" customFormat="1" ht="15" customHeight="1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s="126" customFormat="1" ht="15" customHeight="1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s="126" customFormat="1" ht="15" customHeight="1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s="126" customFormat="1" ht="31.5" customHeight="1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s="126" customFormat="1" ht="15" customHeight="1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s="126" customFormat="1" ht="15" customHeight="1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s="126" customFormat="1" ht="15" customHeight="1" x14ac:dyDescent="0.25">
      <c r="A165"/>
      <c r="B165"/>
      <c r="C165"/>
      <c r="D165"/>
      <c r="E165"/>
      <c r="F165"/>
      <c r="G165"/>
      <c r="H165"/>
      <c r="I165"/>
      <c r="J165"/>
      <c r="K165"/>
      <c r="L165"/>
    </row>
    <row r="166" spans="1:12" s="126" customFormat="1" ht="15" customHeight="1" x14ac:dyDescent="0.25">
      <c r="A166"/>
      <c r="B166"/>
      <c r="C166"/>
      <c r="D166"/>
      <c r="E166"/>
      <c r="F166"/>
      <c r="G166"/>
      <c r="H166"/>
      <c r="I166"/>
      <c r="J166"/>
      <c r="K166"/>
      <c r="L166"/>
    </row>
    <row r="167" spans="1:12" s="126" customFormat="1" ht="15" customHeight="1" x14ac:dyDescent="0.25">
      <c r="A167"/>
      <c r="B167"/>
      <c r="C167"/>
      <c r="D167"/>
      <c r="E167"/>
      <c r="F167"/>
      <c r="G167"/>
      <c r="H167"/>
      <c r="I167"/>
      <c r="J167"/>
      <c r="K167"/>
      <c r="L167"/>
    </row>
    <row r="168" spans="1:12" s="126" customFormat="1" ht="15" customHeight="1" x14ac:dyDescent="0.25">
      <c r="A168"/>
      <c r="B168"/>
      <c r="C168"/>
      <c r="D168"/>
      <c r="E168"/>
      <c r="F168"/>
      <c r="G168"/>
      <c r="H168"/>
      <c r="I168"/>
      <c r="J168"/>
      <c r="K168"/>
      <c r="L168"/>
    </row>
    <row r="169" spans="1:12" s="126" customFormat="1" ht="15" customHeight="1" x14ac:dyDescent="0.25">
      <c r="A169"/>
      <c r="B169"/>
      <c r="C169"/>
      <c r="D169"/>
      <c r="E169"/>
      <c r="F169"/>
      <c r="G169"/>
      <c r="H169"/>
      <c r="I169"/>
      <c r="J169"/>
      <c r="K169"/>
      <c r="L169"/>
    </row>
    <row r="170" spans="1:12" s="126" customFormat="1" ht="15" customHeight="1" x14ac:dyDescent="0.25">
      <c r="A170"/>
      <c r="B170"/>
      <c r="C170"/>
      <c r="D170"/>
      <c r="E170"/>
      <c r="F170"/>
      <c r="G170"/>
      <c r="H170"/>
      <c r="I170"/>
      <c r="J170"/>
      <c r="K170"/>
      <c r="L170"/>
    </row>
    <row r="171" spans="1:12" s="126" customFormat="1" ht="15" customHeight="1" x14ac:dyDescent="0.25">
      <c r="A171"/>
      <c r="B171"/>
      <c r="C171"/>
      <c r="D171"/>
      <c r="E171"/>
      <c r="F171"/>
      <c r="G171"/>
      <c r="H171"/>
      <c r="I171"/>
      <c r="J171"/>
      <c r="K171"/>
      <c r="L171"/>
    </row>
    <row r="172" spans="1:12" s="126" customFormat="1" ht="15" customHeight="1" x14ac:dyDescent="0.25">
      <c r="A172"/>
      <c r="B172"/>
      <c r="C172"/>
      <c r="D172"/>
      <c r="E172"/>
      <c r="F172"/>
      <c r="G172"/>
      <c r="H172"/>
      <c r="I172"/>
      <c r="J172"/>
      <c r="K172"/>
      <c r="L172"/>
    </row>
    <row r="173" spans="1:12" s="126" customFormat="1" ht="15" customHeight="1" x14ac:dyDescent="0.25">
      <c r="A173"/>
      <c r="B173"/>
      <c r="C173"/>
      <c r="D173"/>
      <c r="E173"/>
      <c r="F173"/>
      <c r="G173"/>
      <c r="H173"/>
      <c r="I173"/>
      <c r="J173"/>
      <c r="K173"/>
      <c r="L173"/>
    </row>
    <row r="174" spans="1:12" s="126" customFormat="1" ht="15" customHeight="1" x14ac:dyDescent="0.25">
      <c r="A174"/>
      <c r="B174"/>
      <c r="C174"/>
      <c r="D174"/>
      <c r="E174"/>
      <c r="F174"/>
      <c r="G174"/>
      <c r="H174"/>
      <c r="I174"/>
      <c r="J174"/>
      <c r="K174"/>
      <c r="L174"/>
    </row>
    <row r="175" spans="1:12" s="126" customFormat="1" ht="15" customHeight="1" x14ac:dyDescent="0.25">
      <c r="A175"/>
      <c r="B175"/>
      <c r="C175"/>
      <c r="D175"/>
      <c r="E175"/>
      <c r="F175"/>
      <c r="G175"/>
      <c r="H175"/>
      <c r="I175"/>
      <c r="J175"/>
      <c r="K175"/>
      <c r="L175"/>
    </row>
    <row r="176" spans="1:12" s="126" customFormat="1" ht="15" customHeight="1" x14ac:dyDescent="0.25">
      <c r="A176"/>
      <c r="B176"/>
      <c r="C176"/>
      <c r="D176"/>
      <c r="E176"/>
      <c r="F176"/>
      <c r="G176"/>
      <c r="H176"/>
      <c r="I176"/>
      <c r="J176"/>
      <c r="K176"/>
      <c r="L176"/>
    </row>
    <row r="177" spans="1:12" s="126" customFormat="1" ht="15" customHeight="1" x14ac:dyDescent="0.25">
      <c r="A177"/>
      <c r="B177"/>
      <c r="C177"/>
      <c r="D177"/>
      <c r="E177"/>
      <c r="F177"/>
      <c r="G177"/>
      <c r="H177"/>
      <c r="I177"/>
      <c r="J177"/>
      <c r="K177"/>
      <c r="L177"/>
    </row>
    <row r="178" spans="1:12" s="126" customFormat="1" ht="15" customHeight="1" x14ac:dyDescent="0.25">
      <c r="A178"/>
      <c r="B178"/>
      <c r="C178"/>
      <c r="D178"/>
      <c r="E178"/>
      <c r="F178"/>
      <c r="G178"/>
      <c r="H178"/>
      <c r="I178"/>
      <c r="J178"/>
      <c r="K178"/>
      <c r="L178"/>
    </row>
    <row r="179" spans="1:12" s="126" customFormat="1" ht="15" customHeight="1" x14ac:dyDescent="0.25">
      <c r="A179"/>
      <c r="B179"/>
      <c r="C179"/>
      <c r="D179"/>
      <c r="E179"/>
      <c r="F179"/>
      <c r="G179"/>
      <c r="H179"/>
      <c r="I179"/>
      <c r="J179"/>
      <c r="K179"/>
      <c r="L179"/>
    </row>
    <row r="180" spans="1:12" s="126" customFormat="1" ht="15" customHeight="1" x14ac:dyDescent="0.25">
      <c r="A180"/>
      <c r="B180"/>
      <c r="C180"/>
      <c r="D180"/>
      <c r="E180"/>
      <c r="F180"/>
      <c r="G180"/>
      <c r="H180"/>
      <c r="I180"/>
      <c r="J180"/>
      <c r="K180"/>
      <c r="L180"/>
    </row>
    <row r="181" spans="1:12" s="126" customFormat="1" ht="15" customHeight="1" x14ac:dyDescent="0.25">
      <c r="A181"/>
      <c r="B181"/>
      <c r="C181"/>
      <c r="D181"/>
      <c r="E181"/>
      <c r="F181"/>
      <c r="G181"/>
      <c r="H181"/>
      <c r="I181"/>
      <c r="J181"/>
      <c r="K181"/>
      <c r="L181"/>
    </row>
    <row r="182" spans="1:12" s="126" customFormat="1" ht="15" customHeight="1" x14ac:dyDescent="0.25">
      <c r="A182"/>
      <c r="B182"/>
      <c r="C182"/>
      <c r="D182"/>
      <c r="E182"/>
      <c r="F182"/>
      <c r="G182"/>
      <c r="H182"/>
      <c r="I182"/>
      <c r="J182"/>
      <c r="K182"/>
      <c r="L182"/>
    </row>
    <row r="183" spans="1:12" s="126" customFormat="1" ht="15" customHeight="1" x14ac:dyDescent="0.25">
      <c r="A183"/>
      <c r="B183"/>
      <c r="C183"/>
      <c r="D183"/>
      <c r="E183"/>
      <c r="F183"/>
      <c r="G183"/>
      <c r="H183"/>
      <c r="I183"/>
      <c r="J183"/>
      <c r="K183"/>
      <c r="L183"/>
    </row>
    <row r="184" spans="1:12" s="126" customFormat="1" ht="15" customHeight="1" x14ac:dyDescent="0.25">
      <c r="A184"/>
      <c r="B184"/>
      <c r="C184"/>
      <c r="D184"/>
      <c r="E184"/>
      <c r="F184"/>
      <c r="G184"/>
      <c r="H184"/>
      <c r="I184"/>
      <c r="J184"/>
      <c r="K184"/>
      <c r="L184"/>
    </row>
    <row r="185" spans="1:12" s="126" customFormat="1" ht="15" customHeight="1" x14ac:dyDescent="0.25">
      <c r="A185"/>
      <c r="B185"/>
      <c r="C185"/>
      <c r="D185"/>
      <c r="E185"/>
      <c r="F185"/>
      <c r="G185"/>
      <c r="H185"/>
      <c r="I185"/>
      <c r="J185"/>
      <c r="K185"/>
      <c r="L185"/>
    </row>
    <row r="186" spans="1:12" s="126" customFormat="1" ht="15" customHeight="1" x14ac:dyDescent="0.25">
      <c r="A186"/>
      <c r="B186"/>
      <c r="C186"/>
      <c r="D186"/>
      <c r="E186"/>
      <c r="F186"/>
      <c r="G186"/>
      <c r="H186"/>
      <c r="I186"/>
      <c r="J186"/>
      <c r="K186"/>
      <c r="L186"/>
    </row>
    <row r="187" spans="1:12" s="126" customFormat="1" ht="15" customHeight="1" x14ac:dyDescent="0.25">
      <c r="A187"/>
      <c r="B187"/>
      <c r="C187"/>
      <c r="D187"/>
      <c r="E187"/>
      <c r="F187"/>
      <c r="G187"/>
      <c r="H187"/>
      <c r="I187"/>
      <c r="J187"/>
      <c r="K187"/>
      <c r="L187"/>
    </row>
    <row r="188" spans="1:12" s="126" customFormat="1" ht="15" customHeight="1" x14ac:dyDescent="0.25">
      <c r="A188"/>
      <c r="B188"/>
      <c r="C188"/>
      <c r="D188"/>
      <c r="E188"/>
      <c r="F188"/>
      <c r="G188"/>
      <c r="H188"/>
      <c r="I188"/>
      <c r="J188"/>
      <c r="K188"/>
      <c r="L188"/>
    </row>
    <row r="189" spans="1:12" s="126" customFormat="1" ht="15" customHeight="1" x14ac:dyDescent="0.25">
      <c r="A189"/>
      <c r="B189"/>
      <c r="C189"/>
      <c r="D189"/>
      <c r="E189"/>
      <c r="F189"/>
      <c r="G189"/>
      <c r="H189"/>
      <c r="I189"/>
      <c r="J189"/>
      <c r="K189"/>
      <c r="L189"/>
    </row>
    <row r="190" spans="1:12" s="126" customFormat="1" ht="15" customHeight="1" x14ac:dyDescent="0.25">
      <c r="A190"/>
      <c r="B190"/>
      <c r="C190"/>
      <c r="D190"/>
      <c r="E190"/>
      <c r="F190"/>
      <c r="G190"/>
      <c r="H190"/>
      <c r="I190"/>
      <c r="J190"/>
      <c r="K190"/>
      <c r="L190"/>
    </row>
    <row r="191" spans="1:12" s="126" customFormat="1" ht="48.75" customHeight="1" x14ac:dyDescent="0.25">
      <c r="A191"/>
      <c r="B191"/>
      <c r="C191"/>
      <c r="D191"/>
      <c r="E191"/>
      <c r="F191"/>
      <c r="G191"/>
      <c r="H191"/>
      <c r="I191"/>
      <c r="J191"/>
      <c r="K191"/>
      <c r="L191"/>
    </row>
    <row r="192" spans="1:12" s="126" customFormat="1" ht="15" customHeight="1" x14ac:dyDescent="0.25">
      <c r="A192"/>
      <c r="B192"/>
      <c r="C192"/>
      <c r="D192"/>
      <c r="E192"/>
      <c r="F192"/>
      <c r="G192"/>
      <c r="H192"/>
      <c r="I192"/>
      <c r="J192"/>
      <c r="K192"/>
      <c r="L192"/>
    </row>
    <row r="193" spans="1:12" s="126" customFormat="1" ht="15" customHeight="1" x14ac:dyDescent="0.25">
      <c r="A193"/>
      <c r="B193"/>
      <c r="C193"/>
      <c r="D193"/>
      <c r="E193"/>
      <c r="F193"/>
      <c r="G193"/>
      <c r="H193"/>
      <c r="I193"/>
      <c r="J193"/>
      <c r="K193"/>
      <c r="L193"/>
    </row>
    <row r="194" spans="1:12" s="126" customFormat="1" ht="15" customHeight="1" x14ac:dyDescent="0.25">
      <c r="A194"/>
      <c r="B194"/>
      <c r="C194"/>
      <c r="D194"/>
      <c r="E194"/>
      <c r="F194"/>
      <c r="G194"/>
      <c r="H194"/>
      <c r="I194"/>
      <c r="J194"/>
      <c r="K194"/>
      <c r="L194"/>
    </row>
    <row r="195" spans="1:12" s="126" customFormat="1" ht="15" customHeight="1" x14ac:dyDescent="0.25">
      <c r="A195"/>
      <c r="B195"/>
      <c r="C195"/>
      <c r="D195"/>
      <c r="E195"/>
      <c r="F195"/>
      <c r="G195"/>
      <c r="H195"/>
      <c r="I195"/>
      <c r="J195"/>
      <c r="K195"/>
      <c r="L195"/>
    </row>
    <row r="196" spans="1:12" s="126" customFormat="1" ht="15" customHeight="1" x14ac:dyDescent="0.25">
      <c r="A196"/>
      <c r="B196"/>
      <c r="C196"/>
      <c r="D196"/>
      <c r="E196"/>
      <c r="F196"/>
      <c r="G196"/>
      <c r="H196"/>
      <c r="I196"/>
      <c r="J196"/>
      <c r="K196"/>
      <c r="L196"/>
    </row>
    <row r="197" spans="1:12" s="126" customFormat="1" ht="15" customHeight="1" x14ac:dyDescent="0.25">
      <c r="A197"/>
      <c r="B197"/>
      <c r="C197"/>
      <c r="D197"/>
      <c r="E197"/>
      <c r="F197"/>
      <c r="G197"/>
      <c r="H197"/>
      <c r="I197"/>
      <c r="J197"/>
      <c r="K197"/>
      <c r="L197"/>
    </row>
    <row r="198" spans="1:12" s="126" customFormat="1" ht="48.75" customHeight="1" x14ac:dyDescent="0.25">
      <c r="A198"/>
      <c r="B198"/>
      <c r="C198"/>
      <c r="D198"/>
      <c r="E198"/>
      <c r="F198"/>
      <c r="G198"/>
      <c r="H198"/>
      <c r="I198"/>
      <c r="J198"/>
      <c r="K198"/>
      <c r="L198"/>
    </row>
    <row r="199" spans="1:12" s="126" customFormat="1" ht="15" customHeight="1" x14ac:dyDescent="0.25">
      <c r="A199"/>
      <c r="B199"/>
      <c r="C199"/>
      <c r="D199"/>
      <c r="E199"/>
      <c r="F199"/>
      <c r="G199"/>
      <c r="H199"/>
      <c r="I199"/>
      <c r="J199"/>
      <c r="K199"/>
      <c r="L199"/>
    </row>
    <row r="200" spans="1:12" s="126" customFormat="1" ht="15" customHeight="1" x14ac:dyDescent="0.25">
      <c r="A200"/>
      <c r="B200"/>
      <c r="C200"/>
      <c r="D200"/>
      <c r="E200"/>
      <c r="F200"/>
      <c r="G200"/>
      <c r="H200"/>
      <c r="I200"/>
      <c r="J200"/>
      <c r="K200"/>
      <c r="L200"/>
    </row>
    <row r="201" spans="1:12" s="126" customFormat="1" ht="15" customHeight="1" x14ac:dyDescent="0.25">
      <c r="A201"/>
      <c r="B201"/>
      <c r="C201"/>
      <c r="D201"/>
      <c r="E201"/>
      <c r="F201"/>
      <c r="G201"/>
      <c r="H201"/>
      <c r="I201"/>
      <c r="J201"/>
      <c r="K201"/>
      <c r="L201"/>
    </row>
    <row r="202" spans="1:12" s="126" customFormat="1" ht="15" customHeight="1" x14ac:dyDescent="0.25">
      <c r="A202"/>
      <c r="B202"/>
      <c r="C202"/>
      <c r="D202"/>
      <c r="E202"/>
      <c r="F202"/>
      <c r="G202"/>
      <c r="H202"/>
      <c r="I202"/>
      <c r="J202"/>
      <c r="K202"/>
      <c r="L202"/>
    </row>
    <row r="203" spans="1:12" s="126" customFormat="1" ht="15" customHeight="1" x14ac:dyDescent="0.25">
      <c r="A203"/>
      <c r="B203"/>
      <c r="C203"/>
      <c r="D203"/>
      <c r="E203"/>
      <c r="F203"/>
      <c r="G203"/>
      <c r="H203"/>
      <c r="I203"/>
      <c r="J203"/>
      <c r="K203"/>
      <c r="L203"/>
    </row>
    <row r="204" spans="1:12" s="126" customFormat="1" ht="15" customHeight="1" x14ac:dyDescent="0.25">
      <c r="A204"/>
      <c r="B204"/>
      <c r="C204"/>
      <c r="D204"/>
      <c r="E204"/>
      <c r="F204"/>
      <c r="G204"/>
      <c r="H204"/>
      <c r="I204"/>
      <c r="J204"/>
      <c r="K204"/>
      <c r="L204"/>
    </row>
    <row r="205" spans="1:12" s="126" customFormat="1" ht="15" customHeight="1" x14ac:dyDescent="0.25">
      <c r="A205"/>
      <c r="B205"/>
      <c r="C205"/>
      <c r="D205"/>
      <c r="E205"/>
      <c r="F205"/>
      <c r="G205"/>
      <c r="H205"/>
      <c r="I205"/>
      <c r="J205"/>
      <c r="K205"/>
      <c r="L205"/>
    </row>
    <row r="206" spans="1:12" ht="48.75" customHeight="1" x14ac:dyDescent="0.25"/>
    <row r="210" ht="48.75" customHeight="1" x14ac:dyDescent="0.25"/>
    <row r="217" ht="48.75" customHeight="1" x14ac:dyDescent="0.25"/>
    <row r="221" ht="48.75" customHeight="1" x14ac:dyDescent="0.25"/>
    <row r="234" spans="1:12" ht="15" customHeight="1" x14ac:dyDescent="0.25">
      <c r="A234" s="126"/>
      <c r="B234" s="126"/>
      <c r="C234" s="126"/>
      <c r="D234" s="126"/>
      <c r="E234" s="126"/>
      <c r="F234" s="126"/>
      <c r="G234" s="126"/>
      <c r="H234" s="126"/>
      <c r="I234" s="126"/>
      <c r="J234" s="126"/>
      <c r="K234" s="126"/>
      <c r="L234" s="126"/>
    </row>
    <row r="235" spans="1:12" ht="15" customHeight="1" x14ac:dyDescent="0.25">
      <c r="A235" s="126"/>
      <c r="B235" s="126"/>
      <c r="C235" s="126"/>
      <c r="D235" s="126"/>
      <c r="E235" s="126"/>
      <c r="F235" s="126"/>
      <c r="G235" s="126"/>
      <c r="H235" s="126"/>
      <c r="I235" s="126"/>
      <c r="J235" s="126"/>
      <c r="K235" s="126"/>
      <c r="L235" s="126"/>
    </row>
    <row r="236" spans="1:12" ht="15" customHeight="1" x14ac:dyDescent="0.25">
      <c r="A236" s="126"/>
      <c r="B236" s="126"/>
      <c r="C236" s="126"/>
      <c r="D236" s="126"/>
      <c r="E236" s="126"/>
      <c r="F236" s="126"/>
      <c r="G236" s="126"/>
      <c r="H236" s="126"/>
      <c r="I236" s="126"/>
      <c r="J236" s="126"/>
      <c r="K236" s="126"/>
      <c r="L236" s="126"/>
    </row>
    <row r="237" spans="1:12" ht="15" customHeight="1" x14ac:dyDescent="0.25">
      <c r="A237" s="126"/>
      <c r="B237" s="126"/>
      <c r="C237" s="126"/>
      <c r="D237" s="126"/>
      <c r="E237" s="126"/>
      <c r="F237" s="126"/>
      <c r="G237" s="126"/>
      <c r="H237" s="126"/>
      <c r="I237" s="126"/>
      <c r="J237" s="126"/>
      <c r="K237" s="126"/>
      <c r="L237" s="126"/>
    </row>
    <row r="238" spans="1:12" ht="15" customHeight="1" x14ac:dyDescent="0.25">
      <c r="A238" s="126"/>
      <c r="B238" s="126"/>
      <c r="C238" s="126"/>
      <c r="D238" s="126"/>
      <c r="E238" s="126"/>
      <c r="F238" s="126"/>
      <c r="G238" s="126"/>
      <c r="H238" s="126"/>
      <c r="I238" s="126"/>
      <c r="J238" s="126"/>
      <c r="K238" s="126"/>
      <c r="L238" s="126"/>
    </row>
    <row r="239" spans="1:12" ht="15" customHeight="1" x14ac:dyDescent="0.25">
      <c r="A239" s="126"/>
      <c r="B239" s="126"/>
      <c r="C239" s="126"/>
      <c r="D239" s="126"/>
      <c r="E239" s="126"/>
      <c r="F239" s="126"/>
      <c r="G239" s="126"/>
      <c r="H239" s="126"/>
      <c r="I239" s="126"/>
      <c r="J239" s="126"/>
      <c r="K239" s="126"/>
      <c r="L239" s="126"/>
    </row>
    <row r="240" spans="1:12" ht="15" customHeight="1" x14ac:dyDescent="0.25">
      <c r="A240" s="126"/>
      <c r="B240" s="126"/>
      <c r="C240" s="126"/>
      <c r="D240" s="126"/>
      <c r="E240" s="126"/>
      <c r="F240" s="126"/>
      <c r="G240" s="126"/>
      <c r="H240" s="126"/>
      <c r="I240" s="126"/>
      <c r="J240" s="126"/>
      <c r="K240" s="126"/>
      <c r="L240" s="126"/>
    </row>
    <row r="241" spans="1:12" ht="15" customHeight="1" x14ac:dyDescent="0.25">
      <c r="A241" s="126"/>
      <c r="B241" s="126"/>
      <c r="C241" s="126"/>
      <c r="D241" s="126"/>
      <c r="E241" s="126"/>
      <c r="F241" s="126"/>
      <c r="G241" s="126"/>
      <c r="H241" s="126"/>
      <c r="I241" s="126"/>
      <c r="J241" s="126"/>
      <c r="K241" s="126"/>
      <c r="L241" s="126"/>
    </row>
    <row r="242" spans="1:12" ht="15" customHeight="1" x14ac:dyDescent="0.25">
      <c r="A242" s="126"/>
      <c r="B242" s="126"/>
      <c r="C242" s="126"/>
      <c r="D242" s="126"/>
      <c r="E242" s="126"/>
      <c r="F242" s="126"/>
      <c r="G242" s="126"/>
      <c r="H242" s="126"/>
      <c r="I242" s="126"/>
      <c r="J242" s="126"/>
      <c r="K242" s="126"/>
      <c r="L242" s="126"/>
    </row>
    <row r="243" spans="1:12" ht="15" customHeight="1" x14ac:dyDescent="0.25">
      <c r="A243" s="126"/>
      <c r="B243" s="126"/>
      <c r="C243" s="126"/>
      <c r="D243" s="126"/>
      <c r="E243" s="126"/>
      <c r="F243" s="126"/>
      <c r="G243" s="126"/>
      <c r="H243" s="126"/>
      <c r="I243" s="126"/>
      <c r="J243" s="126"/>
      <c r="K243" s="126"/>
      <c r="L243" s="126"/>
    </row>
    <row r="244" spans="1:12" ht="15" customHeight="1" x14ac:dyDescent="0.25">
      <c r="A244" s="126"/>
      <c r="B244" s="126"/>
      <c r="C244" s="126"/>
      <c r="D244" s="126"/>
      <c r="E244" s="126"/>
      <c r="F244" s="126"/>
      <c r="G244" s="126"/>
      <c r="H244" s="126"/>
      <c r="I244" s="126"/>
      <c r="J244" s="126"/>
      <c r="K244" s="126"/>
      <c r="L244" s="126"/>
    </row>
    <row r="245" spans="1:12" ht="15" customHeight="1" x14ac:dyDescent="0.25">
      <c r="A245" s="126"/>
      <c r="B245" s="126"/>
      <c r="C245" s="126"/>
      <c r="D245" s="126"/>
      <c r="E245" s="126"/>
      <c r="F245" s="126"/>
      <c r="G245" s="126"/>
      <c r="H245" s="126"/>
      <c r="I245" s="126"/>
      <c r="J245" s="126"/>
      <c r="K245" s="126"/>
      <c r="L245" s="126"/>
    </row>
    <row r="246" spans="1:12" ht="15" customHeight="1" x14ac:dyDescent="0.25">
      <c r="A246" s="126"/>
      <c r="B246" s="126"/>
      <c r="C246" s="126"/>
      <c r="D246" s="126"/>
      <c r="E246" s="126"/>
      <c r="F246" s="126"/>
      <c r="G246" s="126"/>
      <c r="H246" s="126"/>
      <c r="I246" s="126"/>
      <c r="J246" s="126"/>
      <c r="K246" s="126"/>
      <c r="L246" s="126"/>
    </row>
    <row r="247" spans="1:12" ht="15" customHeight="1" x14ac:dyDescent="0.25">
      <c r="A247" s="126"/>
      <c r="B247" s="126"/>
      <c r="C247" s="126"/>
      <c r="D247" s="126"/>
      <c r="E247" s="126"/>
      <c r="F247" s="126"/>
      <c r="G247" s="126"/>
      <c r="H247" s="126"/>
      <c r="I247" s="126"/>
      <c r="J247" s="126"/>
      <c r="K247" s="126"/>
      <c r="L247" s="126"/>
    </row>
    <row r="248" spans="1:12" ht="15" customHeight="1" x14ac:dyDescent="0.25">
      <c r="A248" s="126"/>
      <c r="B248" s="126"/>
      <c r="C248" s="126"/>
      <c r="D248" s="126"/>
      <c r="E248" s="126"/>
      <c r="F248" s="126"/>
      <c r="G248" s="126"/>
      <c r="H248" s="126"/>
      <c r="I248" s="126"/>
      <c r="J248" s="126"/>
      <c r="K248" s="126"/>
      <c r="L248" s="126"/>
    </row>
    <row r="249" spans="1:12" ht="15" customHeight="1" x14ac:dyDescent="0.25">
      <c r="A249" s="126"/>
      <c r="B249" s="126"/>
      <c r="C249" s="126"/>
      <c r="D249" s="126"/>
      <c r="E249" s="126"/>
      <c r="F249" s="126"/>
      <c r="G249" s="126"/>
      <c r="H249" s="126"/>
      <c r="I249" s="126"/>
      <c r="J249" s="126"/>
      <c r="K249" s="126"/>
      <c r="L249" s="126"/>
    </row>
    <row r="250" spans="1:12" ht="15" customHeight="1" x14ac:dyDescent="0.25">
      <c r="A250" s="126"/>
      <c r="B250" s="126"/>
      <c r="C250" s="126"/>
      <c r="D250" s="126"/>
      <c r="E250" s="126"/>
      <c r="F250" s="126"/>
      <c r="G250" s="126"/>
      <c r="H250" s="126"/>
      <c r="I250" s="126"/>
      <c r="J250" s="126"/>
      <c r="K250" s="126"/>
      <c r="L250" s="126"/>
    </row>
    <row r="251" spans="1:12" ht="15" customHeight="1" x14ac:dyDescent="0.25">
      <c r="A251" s="126"/>
      <c r="B251" s="126"/>
      <c r="C251" s="126"/>
      <c r="D251" s="126"/>
      <c r="E251" s="126"/>
      <c r="F251" s="126"/>
      <c r="G251" s="126"/>
      <c r="H251" s="126"/>
      <c r="I251" s="126"/>
      <c r="J251" s="126"/>
      <c r="K251" s="126"/>
      <c r="L251" s="126"/>
    </row>
    <row r="252" spans="1:12" ht="15" customHeight="1" x14ac:dyDescent="0.25">
      <c r="A252" s="126"/>
      <c r="B252" s="126"/>
      <c r="C252" s="126"/>
      <c r="D252" s="126"/>
      <c r="E252" s="126"/>
      <c r="F252" s="126"/>
      <c r="G252" s="126"/>
      <c r="H252" s="126"/>
      <c r="I252" s="126"/>
      <c r="J252" s="126"/>
      <c r="K252" s="126"/>
      <c r="L252" s="126"/>
    </row>
    <row r="253" spans="1:12" ht="15" customHeight="1" x14ac:dyDescent="0.25">
      <c r="A253" s="126"/>
      <c r="B253" s="126"/>
      <c r="C253" s="126"/>
      <c r="D253" s="126"/>
      <c r="E253" s="126"/>
      <c r="F253" s="126"/>
      <c r="G253" s="126"/>
      <c r="H253" s="126"/>
      <c r="I253" s="126"/>
      <c r="J253" s="126"/>
      <c r="K253" s="126"/>
      <c r="L253" s="126"/>
    </row>
    <row r="254" spans="1:12" ht="15" customHeight="1" x14ac:dyDescent="0.25">
      <c r="A254" s="126"/>
      <c r="B254" s="126"/>
      <c r="C254" s="126"/>
      <c r="D254" s="126"/>
      <c r="E254" s="126"/>
      <c r="F254" s="126"/>
      <c r="G254" s="126"/>
      <c r="H254" s="126"/>
      <c r="I254" s="126"/>
      <c r="J254" s="126"/>
      <c r="K254" s="126"/>
      <c r="L254" s="126"/>
    </row>
    <row r="255" spans="1:12" ht="15" customHeight="1" x14ac:dyDescent="0.25">
      <c r="A255" s="126"/>
      <c r="B255" s="126"/>
      <c r="C255" s="126"/>
      <c r="D255" s="126"/>
      <c r="E255" s="126"/>
      <c r="F255" s="126"/>
      <c r="G255" s="126"/>
      <c r="H255" s="126"/>
      <c r="I255" s="126"/>
      <c r="J255" s="126"/>
      <c r="K255" s="126"/>
      <c r="L255" s="126"/>
    </row>
    <row r="256" spans="1:12" ht="15" customHeight="1" x14ac:dyDescent="0.25">
      <c r="A256" s="126"/>
      <c r="B256" s="126"/>
      <c r="C256" s="126"/>
      <c r="D256" s="126"/>
      <c r="E256" s="126"/>
      <c r="F256" s="126"/>
      <c r="G256" s="126"/>
      <c r="H256" s="126"/>
      <c r="I256" s="126"/>
      <c r="J256" s="126"/>
      <c r="K256" s="126"/>
      <c r="L256" s="126"/>
    </row>
    <row r="257" spans="1:12" ht="15" customHeight="1" x14ac:dyDescent="0.25">
      <c r="A257" s="126"/>
      <c r="B257" s="126"/>
      <c r="C257" s="126"/>
      <c r="D257" s="126"/>
      <c r="E257" s="126"/>
      <c r="F257" s="126"/>
      <c r="G257" s="126"/>
      <c r="H257" s="126"/>
      <c r="I257" s="126"/>
      <c r="J257" s="126"/>
      <c r="K257" s="126"/>
      <c r="L257" s="126"/>
    </row>
    <row r="258" spans="1:12" ht="15" customHeight="1" x14ac:dyDescent="0.25">
      <c r="A258" s="126"/>
      <c r="B258" s="126"/>
      <c r="C258" s="126"/>
      <c r="D258" s="126"/>
      <c r="E258" s="126"/>
      <c r="F258" s="126"/>
      <c r="G258" s="126"/>
      <c r="H258" s="126"/>
      <c r="I258" s="126"/>
      <c r="J258" s="126"/>
      <c r="K258" s="126"/>
      <c r="L258" s="126"/>
    </row>
    <row r="259" spans="1:12" ht="15" customHeight="1" x14ac:dyDescent="0.25">
      <c r="A259" s="126"/>
      <c r="B259" s="126"/>
      <c r="C259" s="126"/>
      <c r="D259" s="126"/>
      <c r="E259" s="126"/>
      <c r="F259" s="126"/>
      <c r="G259" s="126"/>
      <c r="H259" s="126"/>
      <c r="I259" s="126"/>
      <c r="J259" s="126"/>
      <c r="K259" s="126"/>
      <c r="L259" s="126"/>
    </row>
  </sheetData>
  <mergeCells count="8">
    <mergeCell ref="A7:J7"/>
    <mergeCell ref="A43:J43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82" orientation="portrait" horizontalDpi="1200" verticalDpi="1200" r:id="rId1"/>
  <headerFooter>
    <oddFooter>&amp;R&amp;9Printed &amp;D &amp;T</oddFooter>
  </headerFooter>
  <rowBreaks count="3" manualBreakCount="3">
    <brk id="42" max="11" man="1"/>
    <brk id="44" max="11" man="1"/>
    <brk id="178" max="1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L57"/>
  <sheetViews>
    <sheetView showWhiteSpace="0" view="pageBreakPreview" zoomScale="80" zoomScaleNormal="100" zoomScaleSheetLayoutView="80" workbookViewId="0">
      <selection activeCell="K41" sqref="K41"/>
    </sheetView>
  </sheetViews>
  <sheetFormatPr defaultColWidth="2.85546875" defaultRowHeight="15" customHeight="1" x14ac:dyDescent="0.25"/>
  <cols>
    <col min="2" max="2" width="8.7109375" customWidth="1"/>
    <col min="3" max="3" width="8.28515625" customWidth="1"/>
    <col min="4" max="4" width="11.85546875" bestFit="1" customWidth="1"/>
    <col min="5" max="5" width="10.85546875" customWidth="1"/>
    <col min="6" max="6" width="9.85546875" customWidth="1"/>
    <col min="7" max="7" width="9.42578125" customWidth="1"/>
    <col min="8" max="8" width="10.42578125" customWidth="1"/>
    <col min="9" max="9" width="9.85546875" customWidth="1"/>
    <col min="10" max="10" width="9" customWidth="1"/>
    <col min="11" max="11" width="11.28515625" customWidth="1"/>
    <col min="12" max="12" width="11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226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1+'TYPE 2 WATERPROOFING'!I2:J2</f>
        <v>19</v>
      </c>
      <c r="J2" s="452"/>
      <c r="L2" s="110"/>
    </row>
    <row r="3" spans="1:12" ht="15" customHeight="1" x14ac:dyDescent="0.25">
      <c r="A3" s="70"/>
      <c r="L3" s="110"/>
    </row>
    <row r="4" spans="1:12" ht="15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15" customHeight="1" x14ac:dyDescent="0.25">
      <c r="A5" s="168" t="s">
        <v>10</v>
      </c>
      <c r="B5" s="111"/>
      <c r="C5" s="465" t="s">
        <v>332</v>
      </c>
      <c r="D5" s="465"/>
      <c r="E5" s="465"/>
      <c r="F5" s="465"/>
      <c r="G5" s="465"/>
      <c r="H5" s="465"/>
      <c r="I5" s="465"/>
      <c r="J5" s="465"/>
      <c r="K5" s="111" t="s">
        <v>8</v>
      </c>
      <c r="L5" s="113" t="s">
        <v>99</v>
      </c>
    </row>
    <row r="6" spans="1:12" ht="15" customHeight="1" thickBot="1" x14ac:dyDescent="0.3">
      <c r="A6" s="129"/>
      <c r="B6" s="29"/>
      <c r="C6" s="29"/>
      <c r="D6" s="29"/>
      <c r="E6" s="29"/>
      <c r="F6" s="29"/>
      <c r="G6" s="29"/>
      <c r="H6" s="29"/>
      <c r="I6" s="29"/>
      <c r="J6" s="29"/>
      <c r="K6" s="29"/>
      <c r="L6" s="155"/>
    </row>
    <row r="7" spans="1:12" ht="15" customHeight="1" thickBot="1" x14ac:dyDescent="0.3">
      <c r="A7" s="441"/>
      <c r="B7" s="443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" customHeight="1" x14ac:dyDescent="0.25">
      <c r="A8" s="21"/>
      <c r="B8" s="114"/>
      <c r="C8" s="8"/>
      <c r="D8" s="8"/>
      <c r="E8" s="8"/>
      <c r="F8" s="8"/>
      <c r="G8" s="8"/>
      <c r="H8" s="8"/>
      <c r="I8" s="8"/>
      <c r="J8" s="8"/>
      <c r="K8" s="7"/>
      <c r="L8" s="108"/>
    </row>
    <row r="9" spans="1:12" ht="15" customHeight="1" x14ac:dyDescent="0.25">
      <c r="A9" s="60"/>
      <c r="B9" s="321" t="s">
        <v>272</v>
      </c>
      <c r="C9" s="58"/>
      <c r="D9" s="58"/>
      <c r="E9" s="58"/>
      <c r="F9" s="22"/>
      <c r="G9" s="22"/>
      <c r="H9" s="22"/>
      <c r="I9" s="63"/>
      <c r="J9" s="58"/>
      <c r="K9" s="57"/>
      <c r="L9" s="76"/>
    </row>
    <row r="10" spans="1:12" ht="15" customHeight="1" x14ac:dyDescent="0.25">
      <c r="A10" s="313"/>
      <c r="B10" s="314"/>
      <c r="C10" s="96" t="s">
        <v>265</v>
      </c>
      <c r="D10" s="314" t="s">
        <v>126</v>
      </c>
      <c r="E10" s="314" t="s">
        <v>127</v>
      </c>
      <c r="F10" s="314" t="s">
        <v>14</v>
      </c>
      <c r="G10" s="314" t="s">
        <v>128</v>
      </c>
      <c r="H10" s="10"/>
      <c r="I10" s="63"/>
      <c r="J10" s="58"/>
      <c r="K10" s="57"/>
      <c r="L10" s="317"/>
    </row>
    <row r="11" spans="1:12" ht="15" customHeight="1" x14ac:dyDescent="0.25">
      <c r="A11" s="60"/>
      <c r="B11" s="10"/>
      <c r="C11" s="63" t="s">
        <v>266</v>
      </c>
      <c r="D11" s="11" t="s">
        <v>307</v>
      </c>
      <c r="E11" s="10">
        <v>37.69</v>
      </c>
      <c r="F11" s="22">
        <f>AVERAGE(17.785,17.39)</f>
        <v>17.587499999999999</v>
      </c>
      <c r="G11" s="63">
        <f>E11*F11</f>
        <v>662.87287499999991</v>
      </c>
      <c r="H11" s="10"/>
      <c r="I11" s="63"/>
      <c r="J11" s="58"/>
      <c r="K11" s="60"/>
      <c r="L11" s="76"/>
    </row>
    <row r="12" spans="1:12" ht="15" customHeight="1" x14ac:dyDescent="0.25">
      <c r="A12" s="60"/>
      <c r="B12" s="10"/>
      <c r="C12" s="63" t="s">
        <v>267</v>
      </c>
      <c r="D12" s="11" t="s">
        <v>307</v>
      </c>
      <c r="E12" s="10">
        <v>37.69</v>
      </c>
      <c r="F12" s="22">
        <f>AVERAGE(20.154,19.759)</f>
        <v>19.956499999999998</v>
      </c>
      <c r="G12" s="63">
        <f t="shared" ref="G12:G17" si="0">E12*F12</f>
        <v>752.16048499999988</v>
      </c>
      <c r="H12" s="10"/>
      <c r="I12" s="63"/>
      <c r="J12" s="58"/>
      <c r="K12" s="60"/>
      <c r="L12" s="76"/>
    </row>
    <row r="13" spans="1:12" ht="15" customHeight="1" x14ac:dyDescent="0.25">
      <c r="A13" s="60"/>
      <c r="B13" s="10"/>
      <c r="C13" s="63" t="s">
        <v>268</v>
      </c>
      <c r="D13" s="11" t="s">
        <v>307</v>
      </c>
      <c r="E13" s="10">
        <v>37.69</v>
      </c>
      <c r="F13" s="22">
        <f>AVERAGE(22.519,22.124)</f>
        <v>22.3215</v>
      </c>
      <c r="G13" s="63">
        <f t="shared" si="0"/>
        <v>841.29733499999998</v>
      </c>
      <c r="H13" s="10"/>
      <c r="I13" s="63"/>
      <c r="J13" s="58"/>
      <c r="K13" s="60"/>
      <c r="L13" s="76"/>
    </row>
    <row r="14" spans="1:12" ht="15" customHeight="1" x14ac:dyDescent="0.25">
      <c r="A14" s="60"/>
      <c r="B14" s="10"/>
      <c r="C14" s="63" t="s">
        <v>269</v>
      </c>
      <c r="D14" s="11" t="s">
        <v>307</v>
      </c>
      <c r="E14" s="10">
        <v>37.69</v>
      </c>
      <c r="F14" s="22">
        <f>AVERAGE(24.682,24.493)</f>
        <v>24.587499999999999</v>
      </c>
      <c r="G14" s="63">
        <f t="shared" si="0"/>
        <v>926.70287499999984</v>
      </c>
      <c r="H14" s="10"/>
      <c r="I14" s="63"/>
      <c r="J14" s="58"/>
      <c r="K14" s="60"/>
      <c r="L14" s="76"/>
    </row>
    <row r="15" spans="1:12" ht="15" customHeight="1" x14ac:dyDescent="0.25">
      <c r="A15" s="60"/>
      <c r="B15" s="10"/>
      <c r="C15" s="63" t="s">
        <v>270</v>
      </c>
      <c r="D15" s="11" t="s">
        <v>307</v>
      </c>
      <c r="E15" s="10">
        <v>37.69</v>
      </c>
      <c r="F15" s="22">
        <f>24.68</f>
        <v>24.68</v>
      </c>
      <c r="G15" s="63">
        <f t="shared" si="0"/>
        <v>930.18919999999991</v>
      </c>
      <c r="H15" s="10"/>
      <c r="I15" s="63"/>
      <c r="J15" s="58"/>
      <c r="K15" s="60"/>
      <c r="L15" s="76"/>
    </row>
    <row r="16" spans="1:12" ht="15" customHeight="1" x14ac:dyDescent="0.25">
      <c r="A16" s="60"/>
      <c r="B16" s="10"/>
      <c r="C16" s="63" t="s">
        <v>271</v>
      </c>
      <c r="D16" s="11" t="s">
        <v>307</v>
      </c>
      <c r="E16" s="10">
        <v>37.69</v>
      </c>
      <c r="F16" s="22">
        <f>AVERAGE(26.17,25.931)</f>
        <v>26.0505</v>
      </c>
      <c r="G16" s="63">
        <f t="shared" si="0"/>
        <v>981.84334499999989</v>
      </c>
      <c r="H16" s="10"/>
      <c r="I16" s="63"/>
      <c r="J16" s="58"/>
      <c r="K16" s="60"/>
      <c r="L16" s="76"/>
    </row>
    <row r="17" spans="1:12" ht="15" customHeight="1" x14ac:dyDescent="0.25">
      <c r="A17" s="60"/>
      <c r="B17" s="10"/>
      <c r="C17" s="63" t="s">
        <v>273</v>
      </c>
      <c r="D17" s="11" t="s">
        <v>307</v>
      </c>
      <c r="E17" s="10">
        <v>37.69</v>
      </c>
      <c r="F17" s="22">
        <f>AVERAGE(27.368,27.607)</f>
        <v>27.487499999999997</v>
      </c>
      <c r="G17" s="63">
        <f t="shared" si="0"/>
        <v>1036.0038749999999</v>
      </c>
      <c r="H17" s="10"/>
      <c r="I17" s="63"/>
      <c r="J17" s="58"/>
      <c r="K17" s="60"/>
      <c r="L17" s="76"/>
    </row>
    <row r="18" spans="1:12" ht="15" customHeight="1" x14ac:dyDescent="0.25">
      <c r="A18" s="60"/>
      <c r="B18" s="10"/>
      <c r="C18" s="22"/>
      <c r="D18" s="11"/>
      <c r="E18" s="10"/>
      <c r="F18" s="10" t="s">
        <v>50</v>
      </c>
      <c r="G18" s="63">
        <f>SUM(G11:G17)</f>
        <v>6131.06999</v>
      </c>
      <c r="H18" s="10"/>
      <c r="I18" s="63"/>
      <c r="J18" s="58"/>
      <c r="K18" s="57">
        <f>G18</f>
        <v>6131.06999</v>
      </c>
      <c r="L18" s="76"/>
    </row>
    <row r="19" spans="1:12" ht="15" customHeight="1" x14ac:dyDescent="0.25">
      <c r="A19" s="60"/>
      <c r="B19" s="10"/>
      <c r="C19" s="22"/>
      <c r="D19" s="11"/>
      <c r="E19" s="10"/>
      <c r="F19" s="10"/>
      <c r="G19" s="154"/>
      <c r="H19" s="10"/>
      <c r="I19" s="63"/>
      <c r="J19" s="58"/>
      <c r="K19" s="60"/>
      <c r="L19" s="76"/>
    </row>
    <row r="20" spans="1:12" ht="15" customHeight="1" x14ac:dyDescent="0.25">
      <c r="A20" s="60"/>
      <c r="B20" s="321" t="s">
        <v>274</v>
      </c>
      <c r="C20" s="22"/>
      <c r="D20" s="11"/>
      <c r="E20" s="10"/>
      <c r="F20" s="10"/>
      <c r="G20" s="154"/>
      <c r="H20" s="10"/>
      <c r="I20" s="63"/>
      <c r="J20" s="58"/>
      <c r="K20" s="60"/>
      <c r="L20" s="76"/>
    </row>
    <row r="21" spans="1:12" ht="15" customHeight="1" x14ac:dyDescent="0.25">
      <c r="A21" s="60"/>
      <c r="B21" s="10"/>
      <c r="C21" s="96" t="s">
        <v>265</v>
      </c>
      <c r="D21" s="314" t="s">
        <v>126</v>
      </c>
      <c r="E21" s="314" t="s">
        <v>127</v>
      </c>
      <c r="F21" s="314" t="s">
        <v>14</v>
      </c>
      <c r="G21" s="314" t="s">
        <v>128</v>
      </c>
      <c r="H21" s="10"/>
      <c r="I21" s="63"/>
      <c r="J21" s="58"/>
      <c r="K21" s="60"/>
      <c r="L21" s="76"/>
    </row>
    <row r="22" spans="1:12" ht="15" customHeight="1" x14ac:dyDescent="0.25">
      <c r="A22" s="60"/>
      <c r="B22" s="10"/>
      <c r="C22" s="22" t="s">
        <v>275</v>
      </c>
      <c r="D22" s="11" t="s">
        <v>307</v>
      </c>
      <c r="E22" s="10">
        <v>37.69</v>
      </c>
      <c r="F22" s="22">
        <v>15.241</v>
      </c>
      <c r="G22" s="63">
        <f>E22*F22</f>
        <v>574.43328999999994</v>
      </c>
      <c r="H22" s="10"/>
      <c r="I22" s="63"/>
      <c r="J22" s="58"/>
      <c r="K22" s="60"/>
      <c r="L22" s="76"/>
    </row>
    <row r="23" spans="1:12" ht="15" customHeight="1" x14ac:dyDescent="0.25">
      <c r="A23" s="60"/>
      <c r="B23" s="10"/>
      <c r="C23" s="22" t="s">
        <v>276</v>
      </c>
      <c r="D23" s="11" t="s">
        <v>307</v>
      </c>
      <c r="E23" s="10">
        <v>37.69</v>
      </c>
      <c r="F23" s="22">
        <v>15.241</v>
      </c>
      <c r="G23" s="63">
        <f t="shared" ref="G23:G24" si="1">E23*F23</f>
        <v>574.43328999999994</v>
      </c>
      <c r="H23" s="10"/>
      <c r="I23" s="63"/>
      <c r="J23" s="58"/>
      <c r="K23" s="60"/>
      <c r="L23" s="76"/>
    </row>
    <row r="24" spans="1:12" ht="15" customHeight="1" x14ac:dyDescent="0.25">
      <c r="A24" s="60"/>
      <c r="B24" s="10"/>
      <c r="C24" s="388" t="s">
        <v>306</v>
      </c>
      <c r="D24" s="11" t="s">
        <v>307</v>
      </c>
      <c r="E24" s="10">
        <v>37.69</v>
      </c>
      <c r="F24" s="22">
        <v>15.241</v>
      </c>
      <c r="G24" s="63">
        <f t="shared" si="1"/>
        <v>574.43328999999994</v>
      </c>
      <c r="H24" s="10"/>
      <c r="I24" s="63"/>
      <c r="J24" s="58"/>
      <c r="K24" s="60"/>
      <c r="L24" s="76"/>
    </row>
    <row r="25" spans="1:12" ht="15" customHeight="1" x14ac:dyDescent="0.25">
      <c r="A25" s="60"/>
      <c r="B25" s="10"/>
      <c r="C25" s="22"/>
      <c r="D25" s="11"/>
      <c r="E25" s="10"/>
      <c r="F25" s="10" t="s">
        <v>50</v>
      </c>
      <c r="G25" s="63">
        <f>SUM(G22:G24)</f>
        <v>1723.2998699999998</v>
      </c>
      <c r="H25" s="10"/>
      <c r="I25" s="63"/>
      <c r="J25" s="58"/>
      <c r="K25" s="57">
        <f>G25</f>
        <v>1723.2998699999998</v>
      </c>
      <c r="L25" s="76"/>
    </row>
    <row r="26" spans="1:12" ht="15" customHeight="1" x14ac:dyDescent="0.25">
      <c r="A26" s="60"/>
      <c r="B26" s="10"/>
      <c r="C26" s="63"/>
      <c r="D26" s="11"/>
      <c r="E26" s="10"/>
      <c r="F26" s="22"/>
      <c r="G26" s="22"/>
      <c r="H26" s="22"/>
      <c r="I26" s="63"/>
      <c r="J26" s="58"/>
      <c r="K26" s="60"/>
      <c r="L26" s="76"/>
    </row>
    <row r="27" spans="1:12" ht="15" customHeight="1" x14ac:dyDescent="0.25">
      <c r="A27" s="60"/>
      <c r="B27" s="10"/>
      <c r="C27" s="63"/>
      <c r="D27" s="11"/>
      <c r="E27" s="10"/>
      <c r="F27" s="22"/>
      <c r="G27" s="22"/>
      <c r="H27" s="22"/>
      <c r="I27" s="63"/>
      <c r="J27" s="58"/>
      <c r="K27" s="57"/>
      <c r="L27" s="76"/>
    </row>
    <row r="28" spans="1:12" ht="15" customHeight="1" x14ac:dyDescent="0.25">
      <c r="A28" s="60"/>
      <c r="B28" s="9" t="s">
        <v>357</v>
      </c>
      <c r="C28" s="63"/>
      <c r="D28" s="11"/>
      <c r="E28" s="10"/>
      <c r="F28" s="22"/>
      <c r="G28" s="22"/>
      <c r="H28" s="22"/>
      <c r="I28" s="63"/>
      <c r="J28" s="58"/>
      <c r="K28" s="60"/>
      <c r="L28" s="76"/>
    </row>
    <row r="29" spans="1:12" ht="15" customHeight="1" x14ac:dyDescent="0.25">
      <c r="A29" s="60"/>
      <c r="B29" s="178"/>
      <c r="C29" s="63"/>
      <c r="D29" s="11"/>
      <c r="E29" s="10"/>
      <c r="F29" s="22"/>
      <c r="G29" s="22"/>
      <c r="H29" s="22"/>
      <c r="I29" s="63"/>
      <c r="J29" s="312"/>
      <c r="K29" s="310"/>
      <c r="L29" s="76"/>
    </row>
    <row r="30" spans="1:12" ht="15" customHeight="1" x14ac:dyDescent="0.25">
      <c r="A30" s="60"/>
      <c r="B30" s="34"/>
      <c r="C30" s="314" t="s">
        <v>126</v>
      </c>
      <c r="D30" s="314" t="s">
        <v>74</v>
      </c>
      <c r="E30" s="314" t="s">
        <v>127</v>
      </c>
      <c r="F30" s="314" t="s">
        <v>14</v>
      </c>
      <c r="G30" s="314" t="s">
        <v>128</v>
      </c>
      <c r="H30" s="10"/>
      <c r="I30" s="63"/>
      <c r="J30" s="58"/>
      <c r="K30" s="57"/>
      <c r="L30" s="76"/>
    </row>
    <row r="31" spans="1:12" ht="15" customHeight="1" x14ac:dyDescent="0.25">
      <c r="A31" s="60"/>
      <c r="B31" s="10" t="s">
        <v>358</v>
      </c>
      <c r="C31" s="63" t="s">
        <v>359</v>
      </c>
      <c r="D31" s="11">
        <v>2</v>
      </c>
      <c r="E31" s="10">
        <v>37.4</v>
      </c>
      <c r="F31" s="22">
        <v>28</v>
      </c>
      <c r="G31" s="11">
        <f>ROUNDUP(D31*E31*F31, 0)</f>
        <v>2095</v>
      </c>
      <c r="H31" s="22"/>
      <c r="I31" s="63"/>
      <c r="J31" s="58"/>
      <c r="K31" s="57">
        <f>G31</f>
        <v>2095</v>
      </c>
      <c r="L31" s="76"/>
    </row>
    <row r="32" spans="1:12" ht="15" customHeight="1" x14ac:dyDescent="0.25">
      <c r="A32" s="60"/>
      <c r="B32" s="148"/>
      <c r="C32" s="47"/>
      <c r="D32" s="46"/>
      <c r="E32" s="58"/>
      <c r="F32" s="22"/>
      <c r="G32" s="11"/>
      <c r="H32" s="22"/>
      <c r="I32" s="63"/>
      <c r="J32" s="58"/>
      <c r="K32" s="57"/>
      <c r="L32" s="76"/>
    </row>
    <row r="33" spans="1:12" ht="15" customHeight="1" x14ac:dyDescent="0.25">
      <c r="A33" s="60"/>
      <c r="B33" s="148" t="s">
        <v>360</v>
      </c>
      <c r="C33" s="47" t="s">
        <v>361</v>
      </c>
      <c r="D33" s="46">
        <v>2</v>
      </c>
      <c r="E33" s="58"/>
      <c r="F33" s="22"/>
      <c r="G33" s="11">
        <f>ROUNDUP(6*6*1/1728*490*D33,0)</f>
        <v>21</v>
      </c>
      <c r="H33" s="22"/>
      <c r="I33" s="63"/>
      <c r="J33" s="58"/>
      <c r="K33" s="57">
        <f>G33</f>
        <v>21</v>
      </c>
      <c r="L33" s="76"/>
    </row>
    <row r="34" spans="1:12" ht="15" customHeight="1" x14ac:dyDescent="0.25">
      <c r="A34" s="60"/>
      <c r="B34" s="321"/>
      <c r="C34" s="58"/>
      <c r="D34" s="58"/>
      <c r="E34" s="58"/>
      <c r="F34" s="22"/>
      <c r="G34" s="11"/>
      <c r="H34" s="22"/>
      <c r="I34" s="63"/>
      <c r="J34" s="58"/>
      <c r="K34" s="57"/>
      <c r="L34" s="76"/>
    </row>
    <row r="35" spans="1:12" ht="15" customHeight="1" x14ac:dyDescent="0.25">
      <c r="A35" s="60"/>
      <c r="B35" s="314" t="s">
        <v>360</v>
      </c>
      <c r="C35" s="402" t="s">
        <v>362</v>
      </c>
      <c r="D35" s="314">
        <v>20</v>
      </c>
      <c r="E35" s="314"/>
      <c r="F35" s="314"/>
      <c r="G35" s="11">
        <f>ROUNDUP(11*11*0.5/1728*490*D35,0)</f>
        <v>344</v>
      </c>
      <c r="H35" s="10"/>
      <c r="I35" s="63"/>
      <c r="J35" s="58"/>
      <c r="K35" s="57">
        <f>G35</f>
        <v>344</v>
      </c>
      <c r="L35" s="76"/>
    </row>
    <row r="36" spans="1:12" ht="15" customHeight="1" x14ac:dyDescent="0.25">
      <c r="A36" s="60"/>
      <c r="B36" s="10"/>
      <c r="C36" s="63"/>
      <c r="D36" s="11"/>
      <c r="E36" s="10"/>
      <c r="F36" s="22"/>
      <c r="G36" s="63"/>
      <c r="H36" s="10"/>
      <c r="I36" s="63"/>
      <c r="J36" s="58"/>
      <c r="K36" s="60"/>
      <c r="L36" s="76"/>
    </row>
    <row r="37" spans="1:12" ht="15" customHeight="1" x14ac:dyDescent="0.25">
      <c r="A37" s="60"/>
      <c r="B37" s="9" t="s">
        <v>363</v>
      </c>
      <c r="C37" s="63"/>
      <c r="D37" s="11"/>
      <c r="E37" s="10"/>
      <c r="F37" s="22"/>
      <c r="G37" s="63">
        <v>100</v>
      </c>
      <c r="H37" s="10"/>
      <c r="I37" s="63"/>
      <c r="J37" s="58"/>
      <c r="K37" s="60">
        <v>100</v>
      </c>
      <c r="L37" s="76"/>
    </row>
    <row r="38" spans="1:12" ht="15" customHeight="1" x14ac:dyDescent="0.25">
      <c r="A38" s="60"/>
      <c r="B38" s="10"/>
      <c r="C38" s="63"/>
      <c r="D38" s="11"/>
      <c r="E38" s="10"/>
      <c r="F38" s="22"/>
      <c r="G38" s="63"/>
      <c r="H38" s="10"/>
      <c r="I38" s="63"/>
      <c r="J38" s="58"/>
      <c r="K38" s="60"/>
      <c r="L38" s="76"/>
    </row>
    <row r="39" spans="1:12" ht="15" customHeight="1" x14ac:dyDescent="0.25">
      <c r="A39" s="60"/>
      <c r="B39" s="10"/>
      <c r="C39" s="63"/>
      <c r="D39" s="11"/>
      <c r="E39" s="10"/>
      <c r="F39" s="22"/>
      <c r="G39" s="63"/>
      <c r="H39" s="10"/>
      <c r="I39" s="63"/>
      <c r="J39" s="58"/>
      <c r="K39" s="60"/>
      <c r="L39" s="76"/>
    </row>
    <row r="40" spans="1:12" ht="15" customHeight="1" x14ac:dyDescent="0.25">
      <c r="A40" s="60"/>
      <c r="B40" s="10"/>
      <c r="C40" s="63"/>
      <c r="D40" s="11"/>
      <c r="E40" s="10"/>
      <c r="F40" s="22"/>
      <c r="G40" s="63"/>
      <c r="H40" s="10"/>
      <c r="I40" s="63"/>
      <c r="J40" s="58"/>
      <c r="K40" s="60"/>
      <c r="L40" s="76"/>
    </row>
    <row r="41" spans="1:12" ht="15" customHeight="1" x14ac:dyDescent="0.25">
      <c r="A41" s="60"/>
      <c r="B41" s="10"/>
      <c r="C41" s="63"/>
      <c r="D41" s="11"/>
      <c r="E41" s="10"/>
      <c r="F41" s="22"/>
      <c r="G41" s="63"/>
      <c r="H41" s="10"/>
      <c r="I41" s="63"/>
      <c r="J41" s="58"/>
      <c r="K41" s="60"/>
      <c r="L41" s="76"/>
    </row>
    <row r="42" spans="1:12" ht="15" customHeight="1" x14ac:dyDescent="0.25">
      <c r="A42" s="60"/>
      <c r="B42" s="10"/>
      <c r="C42" s="63"/>
      <c r="D42" s="11"/>
      <c r="E42" s="10"/>
      <c r="F42" s="22"/>
      <c r="G42" s="63"/>
      <c r="H42" s="10"/>
      <c r="I42" s="63"/>
      <c r="J42" s="58"/>
      <c r="K42" s="60"/>
      <c r="L42" s="76"/>
    </row>
    <row r="43" spans="1:12" ht="15" customHeight="1" x14ac:dyDescent="0.25">
      <c r="A43" s="60"/>
      <c r="B43" s="10"/>
      <c r="C43" s="63"/>
      <c r="D43" s="11"/>
      <c r="E43" s="10"/>
      <c r="F43" s="22"/>
      <c r="G43" s="63"/>
      <c r="H43" s="10"/>
      <c r="I43" s="63"/>
      <c r="J43" s="58"/>
      <c r="K43" s="60"/>
      <c r="L43" s="76"/>
    </row>
    <row r="44" spans="1:12" ht="15" customHeight="1" x14ac:dyDescent="0.25">
      <c r="A44" s="60"/>
      <c r="B44" s="10"/>
      <c r="C44" s="63"/>
      <c r="D44" s="11"/>
      <c r="E44" s="10"/>
      <c r="F44" s="22"/>
      <c r="G44" s="63"/>
      <c r="H44" s="10"/>
      <c r="I44" s="63"/>
      <c r="J44" s="58"/>
      <c r="K44" s="60"/>
      <c r="L44" s="76"/>
    </row>
    <row r="45" spans="1:12" ht="15" customHeight="1" x14ac:dyDescent="0.25">
      <c r="A45" s="60"/>
      <c r="B45" s="10"/>
      <c r="C45" s="22"/>
      <c r="D45" s="11"/>
      <c r="E45" s="10"/>
      <c r="F45" s="10"/>
      <c r="G45" s="63"/>
      <c r="H45" s="10"/>
      <c r="I45" s="63"/>
      <c r="J45" s="58"/>
      <c r="K45" s="57"/>
      <c r="L45" s="76"/>
    </row>
    <row r="46" spans="1:12" ht="15" customHeight="1" x14ac:dyDescent="0.25">
      <c r="A46" s="60"/>
      <c r="B46" s="10"/>
      <c r="C46" s="22"/>
      <c r="D46" s="11"/>
      <c r="E46" s="10"/>
      <c r="F46" s="10"/>
      <c r="G46" s="154"/>
      <c r="H46" s="10"/>
      <c r="I46" s="63"/>
      <c r="J46" s="58"/>
      <c r="K46" s="60"/>
      <c r="L46" s="76"/>
    </row>
    <row r="47" spans="1:12" ht="15" customHeight="1" x14ac:dyDescent="0.25">
      <c r="A47" s="60"/>
      <c r="B47" s="321"/>
      <c r="C47" s="22"/>
      <c r="D47" s="11"/>
      <c r="E47" s="10"/>
      <c r="F47" s="10"/>
      <c r="G47" s="154"/>
      <c r="H47" s="10"/>
      <c r="I47" s="63"/>
      <c r="J47" s="58"/>
      <c r="K47" s="60"/>
      <c r="L47" s="76"/>
    </row>
    <row r="48" spans="1:12" ht="15" customHeight="1" x14ac:dyDescent="0.25">
      <c r="A48" s="60"/>
      <c r="B48" s="10"/>
      <c r="C48" s="96"/>
      <c r="D48" s="314"/>
      <c r="E48" s="314"/>
      <c r="F48" s="314"/>
      <c r="G48" s="314"/>
      <c r="H48" s="10"/>
      <c r="I48" s="63"/>
      <c r="J48" s="58"/>
      <c r="K48" s="60"/>
      <c r="L48" s="76"/>
    </row>
    <row r="49" spans="1:12" ht="15" customHeight="1" x14ac:dyDescent="0.25">
      <c r="A49" s="60"/>
      <c r="B49" s="10"/>
      <c r="C49" s="22"/>
      <c r="D49" s="11"/>
      <c r="E49" s="10"/>
      <c r="F49" s="22"/>
      <c r="G49" s="63"/>
      <c r="H49" s="10"/>
      <c r="I49" s="63"/>
      <c r="J49" s="58"/>
      <c r="K49" s="60"/>
      <c r="L49" s="76"/>
    </row>
    <row r="50" spans="1:12" ht="15" customHeight="1" x14ac:dyDescent="0.25">
      <c r="A50" s="60"/>
      <c r="B50" s="10"/>
      <c r="C50" s="22"/>
      <c r="D50" s="11"/>
      <c r="E50" s="10"/>
      <c r="F50" s="22"/>
      <c r="G50" s="63"/>
      <c r="H50" s="10"/>
      <c r="I50" s="63"/>
      <c r="J50" s="58"/>
      <c r="K50" s="60"/>
      <c r="L50" s="76"/>
    </row>
    <row r="51" spans="1:12" ht="15" customHeight="1" x14ac:dyDescent="0.25">
      <c r="A51" s="60"/>
      <c r="B51" s="10"/>
      <c r="C51" s="22"/>
      <c r="D51" s="11"/>
      <c r="E51" s="10"/>
      <c r="F51" s="10"/>
      <c r="G51" s="63"/>
      <c r="H51" s="10"/>
      <c r="I51" s="63"/>
      <c r="J51" s="58"/>
      <c r="K51" s="57"/>
      <c r="L51" s="76"/>
    </row>
    <row r="52" spans="1:12" ht="15" customHeight="1" x14ac:dyDescent="0.25">
      <c r="A52" s="60"/>
      <c r="B52" s="10"/>
      <c r="C52" s="22"/>
      <c r="D52" s="11"/>
      <c r="E52" s="10"/>
      <c r="F52" s="10"/>
      <c r="G52" s="154"/>
      <c r="H52" s="10"/>
      <c r="I52" s="63"/>
      <c r="J52" s="58"/>
      <c r="K52" s="60"/>
      <c r="L52" s="76"/>
    </row>
    <row r="53" spans="1:12" ht="15" customHeight="1" x14ac:dyDescent="0.25">
      <c r="A53" s="60"/>
      <c r="B53" s="10"/>
      <c r="C53" s="22"/>
      <c r="D53" s="11"/>
      <c r="E53" s="10"/>
      <c r="F53" s="10"/>
      <c r="G53" s="154"/>
      <c r="H53" s="10"/>
      <c r="I53" s="63"/>
      <c r="J53" s="58"/>
      <c r="K53" s="60"/>
      <c r="L53" s="76"/>
    </row>
    <row r="54" spans="1:12" ht="15" customHeight="1" x14ac:dyDescent="0.25">
      <c r="A54" s="60"/>
      <c r="B54" s="10"/>
      <c r="C54" s="22"/>
      <c r="D54" s="11"/>
      <c r="E54" s="10"/>
      <c r="F54" s="10"/>
      <c r="G54" s="154"/>
      <c r="H54" s="10"/>
      <c r="I54" s="63"/>
      <c r="J54" s="58"/>
      <c r="K54" s="60"/>
      <c r="L54" s="76"/>
    </row>
    <row r="55" spans="1:12" ht="15" customHeight="1" x14ac:dyDescent="0.25">
      <c r="A55" s="71"/>
      <c r="B55" s="10"/>
      <c r="C55" s="22"/>
      <c r="D55" s="11"/>
      <c r="E55" s="10"/>
      <c r="F55" s="10"/>
      <c r="G55" s="10"/>
      <c r="H55" s="10"/>
      <c r="I55" s="63"/>
      <c r="J55" s="58"/>
      <c r="K55" s="71"/>
      <c r="L55" s="77"/>
    </row>
    <row r="56" spans="1:12" ht="15" customHeight="1" thickBot="1" x14ac:dyDescent="0.3">
      <c r="A56" s="14"/>
      <c r="B56" s="10"/>
      <c r="C56" s="22"/>
      <c r="D56" s="11"/>
      <c r="E56" s="10"/>
      <c r="F56" s="10"/>
      <c r="G56" s="10"/>
      <c r="H56" s="10"/>
      <c r="I56" s="63"/>
      <c r="J56" s="58"/>
      <c r="K56" s="71"/>
      <c r="L56" s="77"/>
    </row>
    <row r="57" spans="1:12" ht="15" customHeight="1" thickBot="1" x14ac:dyDescent="0.3">
      <c r="A57" s="105"/>
      <c r="B57" s="385"/>
      <c r="C57" s="385"/>
      <c r="D57" s="385"/>
      <c r="E57" s="385"/>
      <c r="F57" s="385"/>
      <c r="G57" s="385"/>
      <c r="H57" s="385"/>
      <c r="I57" s="130"/>
      <c r="J57" s="130" t="s">
        <v>50</v>
      </c>
      <c r="K57" s="79">
        <f>ROUND(SUM(K8:K56),0)</f>
        <v>10414</v>
      </c>
      <c r="L57" s="80">
        <f>K57</f>
        <v>10414</v>
      </c>
    </row>
  </sheetData>
  <mergeCells count="7">
    <mergeCell ref="C5:J5"/>
    <mergeCell ref="A7:J7"/>
    <mergeCell ref="I1:J1"/>
    <mergeCell ref="I2:J2"/>
    <mergeCell ref="C4:D4"/>
    <mergeCell ref="F4:G4"/>
    <mergeCell ref="I4:L4"/>
  </mergeCells>
  <printOptions horizontalCentered="1"/>
  <pageMargins left="0.5" right="0.5" top="0.5" bottom="0.5" header="0.5" footer="0.25"/>
  <pageSetup scale="79" fitToHeight="2" orientation="portrait" horizontalDpi="1200" verticalDpi="1200" r:id="rId1"/>
  <headerFooter>
    <oddFooter>&amp;R&amp;9Printed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L43"/>
  <sheetViews>
    <sheetView zoomScale="85" zoomScaleNormal="85" workbookViewId="0">
      <pane ySplit="5" topLeftCell="A6" activePane="bottomLeft" state="frozen"/>
      <selection pane="bottomLeft" activeCell="E27" sqref="E27"/>
    </sheetView>
  </sheetViews>
  <sheetFormatPr defaultRowHeight="15" x14ac:dyDescent="0.25"/>
  <cols>
    <col min="2" max="2" width="11.28515625" customWidth="1"/>
    <col min="3" max="3" width="9.140625" style="309"/>
    <col min="5" max="5" width="92.7109375" customWidth="1"/>
    <col min="6" max="6" width="13.140625" customWidth="1"/>
    <col min="7" max="7" width="11.7109375" customWidth="1"/>
    <col min="8" max="8" width="17.5703125" customWidth="1"/>
    <col min="9" max="9" width="11.7109375" customWidth="1"/>
    <col min="10" max="10" width="12.5703125" customWidth="1"/>
    <col min="12" max="12" width="14.85546875" style="126" customWidth="1"/>
  </cols>
  <sheetData>
    <row r="1" spans="1:12" ht="18.75" x14ac:dyDescent="0.3">
      <c r="A1" s="212"/>
    </row>
    <row r="2" spans="1:12" ht="18.75" x14ac:dyDescent="0.3">
      <c r="A2" s="212" t="s">
        <v>218</v>
      </c>
      <c r="H2" t="s">
        <v>120</v>
      </c>
      <c r="I2" t="s">
        <v>150</v>
      </c>
      <c r="J2" s="262"/>
    </row>
    <row r="3" spans="1:12" ht="18.75" x14ac:dyDescent="0.3">
      <c r="A3" s="212"/>
      <c r="E3" s="126"/>
      <c r="H3" t="s">
        <v>121</v>
      </c>
      <c r="J3" s="262"/>
    </row>
    <row r="4" spans="1:12" x14ac:dyDescent="0.25">
      <c r="A4" s="440" t="s">
        <v>222</v>
      </c>
      <c r="B4" s="440"/>
      <c r="C4" s="440"/>
      <c r="D4" s="440"/>
      <c r="E4" s="440"/>
      <c r="F4" s="440"/>
      <c r="G4" s="440"/>
      <c r="H4" s="440"/>
      <c r="I4" s="440"/>
      <c r="J4" s="440"/>
      <c r="L4" s="214" t="s">
        <v>95</v>
      </c>
    </row>
    <row r="5" spans="1:12" x14ac:dyDescent="0.25">
      <c r="A5" s="201" t="s">
        <v>87</v>
      </c>
      <c r="B5" s="201" t="s">
        <v>86</v>
      </c>
      <c r="C5" s="209" t="s">
        <v>13</v>
      </c>
      <c r="D5" s="201" t="s">
        <v>88</v>
      </c>
      <c r="E5" s="201" t="s">
        <v>18</v>
      </c>
      <c r="F5" s="213" t="s">
        <v>106</v>
      </c>
      <c r="G5" s="201" t="s">
        <v>89</v>
      </c>
      <c r="H5" s="201" t="s">
        <v>110</v>
      </c>
      <c r="I5" s="201" t="s">
        <v>90</v>
      </c>
      <c r="J5" s="201" t="s">
        <v>111</v>
      </c>
      <c r="L5" s="214" t="s">
        <v>96</v>
      </c>
    </row>
    <row r="6" spans="1:12" x14ac:dyDescent="0.25">
      <c r="A6" s="201"/>
      <c r="B6" s="201"/>
      <c r="C6" s="209"/>
      <c r="D6" s="201"/>
      <c r="E6" s="201"/>
      <c r="F6" s="213"/>
      <c r="G6" s="201"/>
      <c r="H6" s="201"/>
      <c r="I6" s="201"/>
      <c r="J6" s="201"/>
      <c r="L6" s="214"/>
    </row>
    <row r="7" spans="1:12" x14ac:dyDescent="0.25">
      <c r="A7" s="201"/>
      <c r="B7" s="201"/>
      <c r="C7" s="209"/>
      <c r="D7" s="201"/>
      <c r="E7" s="201"/>
      <c r="F7" s="213"/>
      <c r="G7" s="201"/>
      <c r="H7" s="201"/>
      <c r="I7" s="201"/>
      <c r="J7" s="201"/>
      <c r="L7" s="214"/>
    </row>
    <row r="8" spans="1:12" x14ac:dyDescent="0.25">
      <c r="A8" s="201" t="str">
        <f>'STAGE 3 PLAN SHEET QUANT TABLE'!A8</f>
        <v>202</v>
      </c>
      <c r="B8" s="201" t="str">
        <f>'STAGE 3 PLAN SHEET QUANT TABLE'!B8</f>
        <v>11200</v>
      </c>
      <c r="C8" s="209">
        <f>'STAGE 3 PLAN SHEET QUANT TABLE'!D8</f>
        <v>0</v>
      </c>
      <c r="D8" s="201"/>
      <c r="E8" s="202" t="str">
        <f>'STR REMOVED'!C5</f>
        <v>PORTIONS OF STRUCTURE REMOVED</v>
      </c>
      <c r="F8" s="201"/>
      <c r="G8" s="201"/>
      <c r="H8" s="201"/>
      <c r="I8" s="201"/>
      <c r="J8" s="201"/>
      <c r="L8" s="215">
        <f>'STR REMOVED'!E18</f>
        <v>0</v>
      </c>
    </row>
    <row r="9" spans="1:12" x14ac:dyDescent="0.25">
      <c r="A9" s="201" t="str">
        <f>'STAGE 3 PLAN SHEET QUANT TABLE'!A11</f>
        <v>503</v>
      </c>
      <c r="B9" s="201" t="str">
        <f>'STAGE 3 PLAN SHEET QUANT TABLE'!B11</f>
        <v>11100</v>
      </c>
      <c r="C9" s="209"/>
      <c r="D9" s="201">
        <f>'STAGE 3 PLAN SHEET QUANT TABLE'!D11</f>
        <v>0</v>
      </c>
      <c r="E9" s="202" t="str">
        <f>'STAGE 3 PLAN SHEET QUANT TABLE'!E11</f>
        <v>COFFERDAMS AND EXCAVATION BRACING</v>
      </c>
      <c r="F9" s="201"/>
      <c r="G9" s="201"/>
      <c r="H9" s="201"/>
      <c r="I9" s="209"/>
      <c r="J9" s="201"/>
      <c r="L9" s="215">
        <v>5000</v>
      </c>
    </row>
    <row r="10" spans="1:12" x14ac:dyDescent="0.25">
      <c r="A10" s="201" t="str">
        <f>'STAGE 3 PLAN SHEET QUANT TABLE'!A12</f>
        <v>503</v>
      </c>
      <c r="B10" s="201" t="str">
        <f>'STAGE 3 PLAN SHEET QUANT TABLE'!B12</f>
        <v>21100</v>
      </c>
      <c r="C10" s="209">
        <f>SUM(F10:I10)</f>
        <v>371</v>
      </c>
      <c r="D10" s="201" t="str">
        <f>'STAGE 3 PLAN SHEET QUANT TABLE'!D12</f>
        <v>CY</v>
      </c>
      <c r="E10" s="202" t="str">
        <f>'STAGE 3 PLAN SHEET QUANT TABLE'!E12</f>
        <v>UNCLASSIFIED EXCAVATION</v>
      </c>
      <c r="F10" s="209">
        <f>'UNCLASS. EX.'!L46</f>
        <v>371</v>
      </c>
      <c r="G10" s="201"/>
      <c r="H10" s="201"/>
      <c r="I10" s="201"/>
      <c r="J10" s="201"/>
      <c r="L10" s="215"/>
    </row>
    <row r="11" spans="1:12" x14ac:dyDescent="0.25">
      <c r="A11" s="201" t="e">
        <f>'STAGE 3 PLAN SHEET QUANT TABLE'!#REF!</f>
        <v>#REF!</v>
      </c>
      <c r="B11" s="201" t="e">
        <f>'STAGE 3 PLAN SHEET QUANT TABLE'!#REF!</f>
        <v>#REF!</v>
      </c>
      <c r="C11" s="209">
        <f>SUM(F11:I11)</f>
        <v>0</v>
      </c>
      <c r="D11" s="201" t="e">
        <f>'STAGE 3 PLAN SHEET QUANT TABLE'!#REF!</f>
        <v>#REF!</v>
      </c>
      <c r="E11" s="202" t="e">
        <f>'STAGE 3 PLAN SHEET QUANT TABLE'!#REF!</f>
        <v>#REF!</v>
      </c>
      <c r="F11" s="209">
        <f>'UNCLASS. EX.'!L47</f>
        <v>0</v>
      </c>
      <c r="G11" s="201"/>
      <c r="H11" s="201"/>
      <c r="I11" s="201"/>
      <c r="J11" s="201"/>
      <c r="L11" s="215"/>
    </row>
    <row r="12" spans="1:12" x14ac:dyDescent="0.25">
      <c r="A12" s="201"/>
      <c r="B12" s="201"/>
      <c r="C12" s="209"/>
      <c r="D12" s="201"/>
      <c r="E12" s="202"/>
      <c r="F12" s="201"/>
      <c r="G12" s="209"/>
      <c r="H12" s="201"/>
      <c r="I12" s="201"/>
      <c r="J12" s="201"/>
      <c r="L12" s="215"/>
    </row>
    <row r="13" spans="1:12" x14ac:dyDescent="0.25">
      <c r="A13" s="201" t="str">
        <f>'STAGE 3 PLAN SHEET QUANT TABLE'!A16</f>
        <v>509</v>
      </c>
      <c r="B13" s="201" t="str">
        <f>'STAGE 3 PLAN SHEET QUANT TABLE'!B16</f>
        <v>10000</v>
      </c>
      <c r="C13" s="209">
        <f>SUM(F13:I13)</f>
        <v>0</v>
      </c>
      <c r="D13" s="201" t="str">
        <f>'STAGE 3 PLAN SHEET QUANT TABLE'!D16</f>
        <v>LB</v>
      </c>
      <c r="E13" s="202" t="str">
        <f>'STAGE 3 PLAN SHEET QUANT TABLE'!E16</f>
        <v>EPOXY COATED STEEL REINFORCEMENT</v>
      </c>
      <c r="F13" s="201">
        <f>REBAR!G14+REBAR!G17</f>
        <v>0</v>
      </c>
      <c r="G13" s="201">
        <f>REBAR!G16</f>
        <v>0</v>
      </c>
      <c r="H13" s="201">
        <f>REBAR!G18+REBAR!G15</f>
        <v>0</v>
      </c>
      <c r="I13" s="201"/>
      <c r="J13" s="201"/>
      <c r="L13" s="215"/>
    </row>
    <row r="14" spans="1:12" x14ac:dyDescent="0.25">
      <c r="A14" s="201"/>
      <c r="B14" s="201"/>
      <c r="C14" s="209"/>
      <c r="D14" s="201"/>
      <c r="E14" s="202"/>
      <c r="F14" s="209"/>
      <c r="G14" s="201"/>
      <c r="H14" s="209">
        <f>'DECK CONC.'!L90</f>
        <v>131.69999999999999</v>
      </c>
      <c r="I14" s="201"/>
      <c r="J14" s="201"/>
      <c r="L14" s="215"/>
    </row>
    <row r="15" spans="1:12" x14ac:dyDescent="0.25">
      <c r="A15" s="201" t="e">
        <f>'STAGE 3 PLAN SHEET QUANT TABLE'!#REF!</f>
        <v>#REF!</v>
      </c>
      <c r="B15" s="201" t="e">
        <f>'STAGE 3 PLAN SHEET QUANT TABLE'!#REF!</f>
        <v>#REF!</v>
      </c>
      <c r="C15" s="209">
        <f t="shared" ref="C15" si="0">SUM(F15:I15)</f>
        <v>0</v>
      </c>
      <c r="D15" s="201" t="e">
        <f>'STAGE 3 PLAN SHEET QUANT TABLE'!#REF!</f>
        <v>#REF!</v>
      </c>
      <c r="E15" s="202" t="e">
        <f>'STAGE 3 PLAN SHEET QUANT TABLE'!#REF!</f>
        <v>#REF!</v>
      </c>
      <c r="F15" s="209"/>
      <c r="G15" s="201"/>
      <c r="H15" s="209"/>
      <c r="I15" s="201"/>
      <c r="J15" s="201"/>
      <c r="L15" s="215"/>
    </row>
    <row r="16" spans="1:12" x14ac:dyDescent="0.25">
      <c r="A16" s="201" t="str">
        <f>'STAGE 3 PLAN SHEET QUANT TABLE'!A20</f>
        <v>511</v>
      </c>
      <c r="B16" s="201" t="str">
        <f>'STAGE 3 PLAN SHEET QUANT TABLE'!B20</f>
        <v>46512</v>
      </c>
      <c r="C16" s="209">
        <f>SUM(F16:I16)</f>
        <v>109</v>
      </c>
      <c r="D16" s="201" t="str">
        <f>'STAGE 3 PLAN SHEET QUANT TABLE'!D20</f>
        <v>CY</v>
      </c>
      <c r="E16" s="202" t="str">
        <f>'STAGE 3 PLAN SHEET QUANT TABLE'!E20</f>
        <v>CLASS QC1 CONCRETE WITH QC/QA, FOOTING</v>
      </c>
      <c r="F16" s="209"/>
      <c r="G16" s="209">
        <f>Footing!L47</f>
        <v>109</v>
      </c>
      <c r="H16" s="201"/>
      <c r="I16" s="201"/>
      <c r="J16" s="201"/>
      <c r="L16" s="215"/>
    </row>
    <row r="17" spans="1:12" s="140" customFormat="1" x14ac:dyDescent="0.25">
      <c r="A17" s="201" t="str">
        <f>'STAGE 3 PLAN SHEET QUANT TABLE'!A21</f>
        <v>511</v>
      </c>
      <c r="B17" s="201" t="str">
        <f>'STAGE 3 PLAN SHEET QUANT TABLE'!B21</f>
        <v>46611</v>
      </c>
      <c r="C17" s="209">
        <f>SUM(F17:I17)</f>
        <v>12</v>
      </c>
      <c r="D17" s="201" t="str">
        <f>'STAGE 3 PLAN SHEET QUANT TABLE'!D21</f>
        <v>CY</v>
      </c>
      <c r="E17" s="202" t="str">
        <f>'STAGE 3 PLAN SHEET QUANT TABLE'!E21</f>
        <v>CLASS QC1 CONCRETE, HEADWALL, AS PER PLAN</v>
      </c>
      <c r="F17" s="303">
        <f>Headwall!L39</f>
        <v>12</v>
      </c>
      <c r="G17" s="303"/>
      <c r="H17" s="303"/>
      <c r="I17" s="302"/>
      <c r="J17" s="302"/>
      <c r="L17" s="304"/>
    </row>
    <row r="18" spans="1:12" x14ac:dyDescent="0.25">
      <c r="A18" s="201" t="str">
        <f>'STAGE 3 PLAN SHEET QUANT TABLE'!A24</f>
        <v>512</v>
      </c>
      <c r="B18" s="201" t="str">
        <f>'STAGE 3 PLAN SHEET QUANT TABLE'!B24</f>
        <v>10100</v>
      </c>
      <c r="C18" s="209">
        <f>SUM(F18:I18)</f>
        <v>0</v>
      </c>
      <c r="D18" s="201" t="str">
        <f>'STAGE 3 PLAN SHEET QUANT TABLE'!D24</f>
        <v>SY</v>
      </c>
      <c r="E18" s="202" t="str">
        <f>'STAGE 3 PLAN SHEET QUANT TABLE'!E24</f>
        <v>SEALING OF CONCRETE SURFACES (EPOXY-URETHANE)</v>
      </c>
      <c r="F18" s="209">
        <f>'CONC. SEALING'!K170</f>
        <v>0</v>
      </c>
      <c r="G18" s="209">
        <f>'CONC. SEALING'!K38</f>
        <v>0</v>
      </c>
      <c r="H18" s="209">
        <f>'CONC. SEALING'!K225</f>
        <v>0</v>
      </c>
      <c r="I18" s="201"/>
      <c r="J18" s="201"/>
      <c r="L18" s="215"/>
    </row>
    <row r="19" spans="1:12" x14ac:dyDescent="0.25">
      <c r="A19" s="201"/>
      <c r="B19" s="201"/>
      <c r="C19" s="209"/>
      <c r="D19" s="201"/>
      <c r="E19" s="202"/>
      <c r="F19" s="201"/>
      <c r="G19" s="201"/>
      <c r="H19" s="209"/>
      <c r="I19" s="201"/>
      <c r="J19" s="201"/>
      <c r="L19" s="215"/>
    </row>
    <row r="20" spans="1:12" x14ac:dyDescent="0.25">
      <c r="A20" s="201" t="str">
        <f>'STAGE 3 PLAN SHEET QUANT TABLE'!A27</f>
        <v>513</v>
      </c>
      <c r="B20" s="201" t="str">
        <f>'STAGE 3 PLAN SHEET QUANT TABLE'!B27</f>
        <v>90000</v>
      </c>
      <c r="C20" s="209" t="e">
        <f>SUM(F20:I20)</f>
        <v>#REF!</v>
      </c>
      <c r="D20" s="201" t="str">
        <f>'STAGE 3 PLAN SHEET QUANT TABLE'!D27</f>
        <v>LB</v>
      </c>
      <c r="E20" s="202" t="str">
        <f>'STAGE 3 PLAN SHEET QUANT TABLE'!E27</f>
        <v>STRUCTURAL STEEL, MISC.: BRACKETS AND STRUTS</v>
      </c>
      <c r="F20" s="201"/>
      <c r="G20" s="201"/>
      <c r="H20" s="209" t="e">
        <f>'STR. STEEL'!#REF!</f>
        <v>#REF!</v>
      </c>
      <c r="I20" s="201"/>
      <c r="J20" s="201"/>
      <c r="L20" s="215"/>
    </row>
    <row r="21" spans="1:12" x14ac:dyDescent="0.25">
      <c r="A21" s="201" t="e">
        <f>'STAGE 3 PLAN SHEET QUANT TABLE'!#REF!</f>
        <v>#REF!</v>
      </c>
      <c r="B21" s="201" t="e">
        <f>'STAGE 3 PLAN SHEET QUANT TABLE'!#REF!</f>
        <v>#REF!</v>
      </c>
      <c r="C21" s="209">
        <f>SUM(F21:I21)</f>
        <v>1764</v>
      </c>
      <c r="D21" s="201" t="e">
        <f>'STAGE 3 PLAN SHEET QUANT TABLE'!#REF!</f>
        <v>#REF!</v>
      </c>
      <c r="E21" s="202" t="e">
        <f>'STAGE 3 PLAN SHEET QUANT TABLE'!#REF!</f>
        <v>#REF!</v>
      </c>
      <c r="F21" s="201"/>
      <c r="G21" s="209"/>
      <c r="H21" s="209">
        <f>'SHEAR STUDS'!L50</f>
        <v>1764</v>
      </c>
      <c r="I21" s="201"/>
      <c r="J21" s="201"/>
      <c r="L21" s="215"/>
    </row>
    <row r="22" spans="1:12" s="140" customFormat="1" x14ac:dyDescent="0.25">
      <c r="A22" s="201"/>
      <c r="B22" s="201"/>
      <c r="C22" s="209"/>
      <c r="D22" s="201"/>
      <c r="E22" s="202"/>
      <c r="F22" s="303"/>
      <c r="G22" s="302"/>
      <c r="H22" s="302"/>
      <c r="I22" s="302"/>
      <c r="J22" s="302"/>
      <c r="L22" s="304"/>
    </row>
    <row r="23" spans="1:12" x14ac:dyDescent="0.25">
      <c r="A23" s="201" t="str">
        <f>'STAGE 3 PLAN SHEET QUANT TABLE'!A28</f>
        <v>516</v>
      </c>
      <c r="B23" s="201" t="str">
        <f>'STAGE 3 PLAN SHEET QUANT TABLE'!B28</f>
        <v>13900</v>
      </c>
      <c r="C23" s="209">
        <f>SUM(F23:I23)</f>
        <v>0</v>
      </c>
      <c r="D23" s="201" t="str">
        <f>'STAGE 3 PLAN SHEET QUANT TABLE'!D28</f>
        <v>SF</v>
      </c>
      <c r="E23" s="202" t="str">
        <f>'STAGE 3 PLAN SHEET QUANT TABLE'!E28</f>
        <v>2" PREFORMED EXPANSION JOINT FILLER</v>
      </c>
      <c r="F23" s="209">
        <f>'2" PEJF'!L50</f>
        <v>0</v>
      </c>
      <c r="G23" s="201"/>
      <c r="H23" s="201"/>
      <c r="I23" s="201"/>
      <c r="J23" s="201"/>
      <c r="L23" s="215"/>
    </row>
    <row r="24" spans="1:12" x14ac:dyDescent="0.25">
      <c r="A24" s="201" t="str">
        <f>'STAGE 3 PLAN SHEET QUANT TABLE'!A29</f>
        <v>516</v>
      </c>
      <c r="B24" s="201" t="str">
        <f>'STAGE 3 PLAN SHEET QUANT TABLE'!B29</f>
        <v>25000</v>
      </c>
      <c r="C24" s="209">
        <f>SUM(F24:I24)</f>
        <v>0</v>
      </c>
      <c r="D24" s="201" t="str">
        <f>'STAGE 3 PLAN SHEET QUANT TABLE'!D29</f>
        <v>SF</v>
      </c>
      <c r="E24" s="202" t="str">
        <f>'STAGE 3 PLAN SHEET QUANT TABLE'!E29</f>
        <v>NYLON REINFORCED NEOPRENE SHEETING</v>
      </c>
      <c r="F24" s="209">
        <f>'NEOPRENE SHEETING'!L50</f>
        <v>0</v>
      </c>
      <c r="G24" s="201"/>
      <c r="H24" s="209"/>
      <c r="I24" s="201"/>
      <c r="J24" s="201"/>
      <c r="L24" s="215"/>
    </row>
    <row r="25" spans="1:12" s="140" customFormat="1" x14ac:dyDescent="0.25">
      <c r="A25" s="201" t="e">
        <f>'STAGE 3 PLAN SHEET QUANT TABLE'!#REF!</f>
        <v>#REF!</v>
      </c>
      <c r="B25" s="201" t="e">
        <f>'STAGE 3 PLAN SHEET QUANT TABLE'!#REF!</f>
        <v>#REF!</v>
      </c>
      <c r="C25" s="209">
        <f>SUM(F25:I25)</f>
        <v>8</v>
      </c>
      <c r="D25" s="201" t="e">
        <f>'STAGE 3 PLAN SHEET QUANT TABLE'!#REF!</f>
        <v>#REF!</v>
      </c>
      <c r="E25" s="202" t="e">
        <f>'STAGE 3 PLAN SHEET QUANT TABLE'!#REF!</f>
        <v>#REF!</v>
      </c>
      <c r="F25" s="303">
        <f>'ABUT BRGS'!D14</f>
        <v>8</v>
      </c>
      <c r="G25" s="303">
        <f>'ABUT BRGS'!D18</f>
        <v>0</v>
      </c>
      <c r="H25" s="303"/>
      <c r="I25" s="302"/>
      <c r="J25" s="302"/>
      <c r="L25" s="304"/>
    </row>
    <row r="26" spans="1:12" x14ac:dyDescent="0.25">
      <c r="A26" s="201"/>
      <c r="B26" s="201"/>
      <c r="C26" s="209"/>
      <c r="D26" s="201"/>
      <c r="E26" s="202"/>
      <c r="F26" s="201"/>
      <c r="G26" s="201"/>
      <c r="H26" s="201"/>
      <c r="I26" s="201"/>
      <c r="J26" s="201"/>
      <c r="L26" s="215"/>
    </row>
    <row r="27" spans="1:12" x14ac:dyDescent="0.25">
      <c r="A27" s="201" t="e">
        <f>'STAGE 3 PLAN SHEET QUANT TABLE'!#REF!</f>
        <v>#REF!</v>
      </c>
      <c r="B27" s="201" t="e">
        <f>'STAGE 3 PLAN SHEET QUANT TABLE'!#REF!</f>
        <v>#REF!</v>
      </c>
      <c r="C27" s="209">
        <f>SUM(F27:I27)</f>
        <v>222</v>
      </c>
      <c r="D27" s="201" t="e">
        <f>'STAGE 3 PLAN SHEET QUANT TABLE'!#REF!</f>
        <v>#REF!</v>
      </c>
      <c r="E27" s="202" t="e">
        <f>'STAGE 3 PLAN SHEET QUANT TABLE'!#REF!</f>
        <v>#REF!</v>
      </c>
      <c r="F27" s="201"/>
      <c r="G27" s="201"/>
      <c r="H27" s="209">
        <f>RAIL!L50</f>
        <v>222</v>
      </c>
      <c r="I27" s="201"/>
      <c r="J27" s="201"/>
      <c r="L27" s="215"/>
    </row>
    <row r="28" spans="1:12" x14ac:dyDescent="0.25">
      <c r="A28" s="201"/>
      <c r="B28" s="201"/>
      <c r="C28" s="209"/>
      <c r="D28" s="201"/>
      <c r="E28" s="202"/>
      <c r="F28" s="201"/>
      <c r="G28" s="201"/>
      <c r="H28" s="201"/>
      <c r="I28" s="201"/>
      <c r="J28" s="201"/>
      <c r="L28" s="215"/>
    </row>
    <row r="29" spans="1:12" x14ac:dyDescent="0.25">
      <c r="A29" s="201" t="str">
        <f>'STAGE 3 PLAN SHEET QUANT TABLE'!A30</f>
        <v>518</v>
      </c>
      <c r="B29" s="201" t="str">
        <f>'STAGE 3 PLAN SHEET QUANT TABLE'!B30</f>
        <v>21200</v>
      </c>
      <c r="C29" s="209">
        <f>SUM(F29:I29)</f>
        <v>758</v>
      </c>
      <c r="D29" s="201" t="str">
        <f>'STAGE 3 PLAN SHEET QUANT TABLE'!D30</f>
        <v>CY</v>
      </c>
      <c r="E29" s="202" t="str">
        <f>'STAGE 3 PLAN SHEET QUANT TABLE'!E30</f>
        <v>POROUS BACKFILL WITH GEOTEXTILE FABRIC</v>
      </c>
      <c r="F29" s="209">
        <f>'POROUS BACKFILL'!L50</f>
        <v>758</v>
      </c>
      <c r="G29" s="209"/>
      <c r="H29" s="201"/>
      <c r="I29" s="201"/>
      <c r="J29" s="201"/>
      <c r="L29" s="215"/>
    </row>
    <row r="30" spans="1:12" x14ac:dyDescent="0.25">
      <c r="A30" s="201" t="e">
        <f>'STAGE 3 PLAN SHEET QUANT TABLE'!#REF!</f>
        <v>#REF!</v>
      </c>
      <c r="B30" s="201" t="e">
        <f>'STAGE 3 PLAN SHEET QUANT TABLE'!#REF!</f>
        <v>#REF!</v>
      </c>
      <c r="C30" s="209">
        <f>SUM(F30:I30)</f>
        <v>251</v>
      </c>
      <c r="D30" s="201" t="e">
        <f>'STAGE 3 PLAN SHEET QUANT TABLE'!#REF!</f>
        <v>#REF!</v>
      </c>
      <c r="E30" s="202" t="e">
        <f>'STAGE 3 PLAN SHEET QUANT TABLE'!#REF!</f>
        <v>#REF!</v>
      </c>
      <c r="F30" s="209"/>
      <c r="G30" s="209"/>
      <c r="H30" s="209">
        <f>DSTRIP!L49</f>
        <v>251</v>
      </c>
      <c r="I30" s="201"/>
      <c r="J30" s="201"/>
      <c r="L30" s="215"/>
    </row>
    <row r="31" spans="1:12" x14ac:dyDescent="0.25">
      <c r="A31" s="201" t="str">
        <f>'STAGE 3 PLAN SHEET QUANT TABLE'!A31</f>
        <v>518</v>
      </c>
      <c r="B31" s="201" t="str">
        <f>'STAGE 3 PLAN SHEET QUANT TABLE'!B31</f>
        <v>40000</v>
      </c>
      <c r="C31" s="209">
        <f>SUM(F31:I31)</f>
        <v>424.73699999999997</v>
      </c>
      <c r="D31" s="201" t="str">
        <f>'STAGE 3 PLAN SHEET QUANT TABLE'!D31</f>
        <v>FT</v>
      </c>
      <c r="E31" s="202" t="str">
        <f>'STAGE 3 PLAN SHEET QUANT TABLE'!E31</f>
        <v>6" PERFORATED CORRUGATED PLASTIC PIPE</v>
      </c>
      <c r="F31" s="209">
        <f>'6" PCPP'!L47</f>
        <v>424.73699999999997</v>
      </c>
      <c r="G31" s="201"/>
      <c r="H31" s="201"/>
      <c r="I31" s="201"/>
      <c r="J31" s="201"/>
      <c r="L31" s="215"/>
    </row>
    <row r="32" spans="1:12" x14ac:dyDescent="0.25">
      <c r="A32" s="201" t="str">
        <f>'STAGE 3 PLAN SHEET QUANT TABLE'!A32</f>
        <v>518</v>
      </c>
      <c r="B32" s="201" t="str">
        <f>'STAGE 3 PLAN SHEET QUANT TABLE'!B32</f>
        <v>40010</v>
      </c>
      <c r="C32" s="209">
        <f>SUM(F32:I32)</f>
        <v>40</v>
      </c>
      <c r="D32" s="201" t="str">
        <f>'STAGE 3 PLAN SHEET QUANT TABLE'!D32</f>
        <v>FT</v>
      </c>
      <c r="E32" s="202" t="str">
        <f>'STAGE 3 PLAN SHEET QUANT TABLE'!E32</f>
        <v>6" NON-PERFORATED CORRUGATED PLASTIC PIPE, INCLUDING SPECIALS</v>
      </c>
      <c r="F32" s="209">
        <f>'6" NPCPP'!L47</f>
        <v>40</v>
      </c>
      <c r="G32" s="201"/>
      <c r="H32" s="201"/>
      <c r="I32" s="201"/>
      <c r="J32" s="201"/>
      <c r="L32" s="215"/>
    </row>
    <row r="33" spans="1:12" x14ac:dyDescent="0.25">
      <c r="A33" s="201"/>
      <c r="B33" s="201"/>
      <c r="C33" s="209"/>
      <c r="D33" s="201"/>
      <c r="E33" s="202"/>
      <c r="F33" s="201"/>
      <c r="G33" s="201"/>
      <c r="H33" s="201"/>
      <c r="I33" s="201"/>
      <c r="J33" s="201"/>
      <c r="L33" s="215"/>
    </row>
    <row r="34" spans="1:12" x14ac:dyDescent="0.25">
      <c r="A34" s="201" t="e">
        <f>'STAGE 3 PLAN SHEET QUANT TABLE'!#REF!</f>
        <v>#REF!</v>
      </c>
      <c r="B34" s="201" t="e">
        <f>'STAGE 3 PLAN SHEET QUANT TABLE'!#REF!</f>
        <v>#REF!</v>
      </c>
      <c r="C34" s="209">
        <f>SUM(F34:I34)</f>
        <v>30</v>
      </c>
      <c r="D34" s="201" t="e">
        <f>'STAGE 3 PLAN SHEET QUANT TABLE'!#REF!</f>
        <v>#REF!</v>
      </c>
      <c r="E34" s="202" t="e">
        <f>'STAGE 3 PLAN SHEET QUANT TABLE'!#REF!</f>
        <v>#REF!</v>
      </c>
      <c r="F34" s="209">
        <f>'30" ROCK SOCKETS'!L51</f>
        <v>30</v>
      </c>
      <c r="G34" s="201"/>
      <c r="H34" s="201"/>
      <c r="I34" s="201"/>
      <c r="J34" s="201"/>
      <c r="L34" s="215"/>
    </row>
    <row r="35" spans="1:12" x14ac:dyDescent="0.25">
      <c r="A35" s="201" t="str">
        <f>'STAGE 3 PLAN SHEET QUANT TABLE'!A35</f>
        <v>524</v>
      </c>
      <c r="B35" s="201" t="str">
        <f>'STAGE 3 PLAN SHEET QUANT TABLE'!B35</f>
        <v>94703</v>
      </c>
      <c r="C35" s="209">
        <f>SUM(F35:I35)</f>
        <v>0</v>
      </c>
      <c r="D35" s="201" t="str">
        <f>'STAGE 3 PLAN SHEET QUANT TABLE'!D35</f>
        <v>FT</v>
      </c>
      <c r="E35" s="202" t="str">
        <f>'STAGE 3 PLAN SHEET QUANT TABLE'!E35</f>
        <v>DRILLED SHAFTS, 36" DIAMETER, ABOVE BEDROCK, AS PER PLAN</v>
      </c>
      <c r="F35" s="209">
        <f>'36" DRILLED SHAFTS'!L51</f>
        <v>0</v>
      </c>
      <c r="G35" s="209"/>
      <c r="H35" s="201"/>
      <c r="I35" s="201"/>
      <c r="J35" s="201"/>
      <c r="L35" s="215"/>
    </row>
    <row r="36" spans="1:12" x14ac:dyDescent="0.25">
      <c r="A36" s="201" t="e">
        <f>'STAGE 3 PLAN SHEET QUANT TABLE'!#REF!</f>
        <v>#REF!</v>
      </c>
      <c r="B36" s="201" t="e">
        <f>'STAGE 3 PLAN SHEET QUANT TABLE'!#REF!</f>
        <v>#REF!</v>
      </c>
      <c r="C36" s="209">
        <f>SUM(F36:I36)</f>
        <v>0</v>
      </c>
      <c r="D36" s="201" t="e">
        <f>'STAGE 3 PLAN SHEET QUANT TABLE'!#REF!</f>
        <v>#REF!</v>
      </c>
      <c r="E36" s="202" t="e">
        <f>'STAGE 3 PLAN SHEET QUANT TABLE'!#REF!</f>
        <v>#REF!</v>
      </c>
      <c r="F36" s="209">
        <f>'42" ROCK SOCKETS'!K20</f>
        <v>0</v>
      </c>
      <c r="G36" s="209">
        <f>'42" ROCK SOCKETS'!K32</f>
        <v>0</v>
      </c>
      <c r="H36" s="201"/>
      <c r="I36" s="201"/>
      <c r="J36" s="201"/>
      <c r="L36" s="215"/>
    </row>
    <row r="37" spans="1:12" x14ac:dyDescent="0.25">
      <c r="A37" s="201" t="e">
        <f>'STAGE 3 PLAN SHEET QUANT TABLE'!#REF!</f>
        <v>#REF!</v>
      </c>
      <c r="B37" s="201" t="e">
        <f>'STAGE 3 PLAN SHEET QUANT TABLE'!#REF!</f>
        <v>#REF!</v>
      </c>
      <c r="C37" s="209">
        <f>SUM(F37:I37)</f>
        <v>0</v>
      </c>
      <c r="D37" s="201" t="e">
        <f>'STAGE 3 PLAN SHEET QUANT TABLE'!#REF!</f>
        <v>#REF!</v>
      </c>
      <c r="E37" s="202" t="e">
        <f>'STAGE 3 PLAN SHEET QUANT TABLE'!#REF!</f>
        <v>#REF!</v>
      </c>
      <c r="F37" s="209">
        <f>'48" DRILLED SHAFTS'!K20</f>
        <v>0</v>
      </c>
      <c r="G37" s="209">
        <f>'48" DRILLED SHAFTS'!K32</f>
        <v>0</v>
      </c>
      <c r="H37" s="201"/>
      <c r="I37" s="201"/>
      <c r="J37" s="201"/>
      <c r="L37" s="215"/>
    </row>
    <row r="38" spans="1:12" x14ac:dyDescent="0.25">
      <c r="A38" s="201"/>
      <c r="B38" s="201"/>
      <c r="C38" s="209"/>
      <c r="D38" s="201"/>
      <c r="E38" s="202"/>
      <c r="F38" s="209"/>
      <c r="G38" s="201"/>
      <c r="H38" s="201"/>
      <c r="I38" s="201"/>
      <c r="J38" s="201"/>
      <c r="L38" s="215"/>
    </row>
    <row r="39" spans="1:12" x14ac:dyDescent="0.25">
      <c r="A39" s="201" t="str">
        <f>'STAGE 3 PLAN SHEET QUANT TABLE'!A38</f>
        <v>SPECIAL</v>
      </c>
      <c r="B39" s="201" t="str">
        <f>'STAGE 3 PLAN SHEET QUANT TABLE'!B38</f>
        <v>53051010</v>
      </c>
      <c r="C39" s="209">
        <f>SUM(F39:I39)</f>
        <v>7036</v>
      </c>
      <c r="D39" s="201" t="str">
        <f>'STAGE 3 PLAN SHEET QUANT TABLE'!D38</f>
        <v>SF</v>
      </c>
      <c r="E39" s="202" t="str">
        <f>'STAGE 3 PLAN SHEET QUANT TABLE'!E38</f>
        <v>RETAINING WALL, PRECAST CONCRETE LAGGING</v>
      </c>
      <c r="F39" s="201"/>
      <c r="G39" s="201"/>
      <c r="H39" s="201"/>
      <c r="I39" s="209">
        <f>LAGGING!L48</f>
        <v>7036</v>
      </c>
      <c r="J39" s="201"/>
      <c r="L39" s="215"/>
    </row>
    <row r="40" spans="1:12" x14ac:dyDescent="0.25">
      <c r="A40" s="201" t="str">
        <f>'STAGE 3 PLAN SHEET QUANT TABLE'!A41</f>
        <v>607</v>
      </c>
      <c r="B40" s="201" t="str">
        <f>'STAGE 3 PLAN SHEET QUANT TABLE'!B41</f>
        <v>23000</v>
      </c>
      <c r="C40" s="209">
        <f>SUM(F40:I40)</f>
        <v>434</v>
      </c>
      <c r="D40" s="201" t="str">
        <f>'STAGE 3 PLAN SHEET QUANT TABLE'!D41</f>
        <v>FT</v>
      </c>
      <c r="E40" s="202" t="str">
        <f>'STAGE 3 PLAN SHEET QUANT TABLE'!E41</f>
        <v>FENCE, TYPE CLT</v>
      </c>
      <c r="F40" s="209"/>
      <c r="G40" s="201"/>
      <c r="H40" s="201"/>
      <c r="I40" s="209">
        <f>FENCE!L43</f>
        <v>434</v>
      </c>
      <c r="J40" s="201"/>
      <c r="L40" s="215"/>
    </row>
    <row r="41" spans="1:12" x14ac:dyDescent="0.25">
      <c r="A41" s="201"/>
      <c r="B41" s="201"/>
      <c r="C41" s="209"/>
      <c r="D41" s="201"/>
      <c r="E41" s="202"/>
      <c r="F41" s="209"/>
      <c r="G41" s="201"/>
      <c r="H41" s="201"/>
      <c r="I41" s="201"/>
      <c r="J41" s="201"/>
      <c r="L41" s="215"/>
    </row>
    <row r="42" spans="1:12" x14ac:dyDescent="0.25">
      <c r="A42" s="201" t="str">
        <f>'STAGE 3 PLAN SHEET QUANT TABLE'!A45</f>
        <v>846</v>
      </c>
      <c r="B42" s="201" t="str">
        <f>'STAGE 3 PLAN SHEET QUANT TABLE'!B45</f>
        <v>00110</v>
      </c>
      <c r="C42" s="209">
        <f>SUM(F42:I42)</f>
        <v>0</v>
      </c>
      <c r="D42" s="201" t="str">
        <f>'STAGE 3 PLAN SHEET QUANT TABLE'!D45</f>
        <v>CF</v>
      </c>
      <c r="E42" s="202" t="str">
        <f>'STAGE 3 PLAN SHEET QUANT TABLE'!E45</f>
        <v>POLYMER MODIFIED ASPHALT EXPANSION JOINT SYSTEM</v>
      </c>
      <c r="F42" s="209"/>
      <c r="G42" s="201"/>
      <c r="H42" s="201"/>
      <c r="I42" s="209">
        <f>'POLY ASPHALT JT.'!L43</f>
        <v>0</v>
      </c>
      <c r="J42" s="201"/>
      <c r="L42" s="215"/>
    </row>
    <row r="43" spans="1:12" x14ac:dyDescent="0.25">
      <c r="A43" s="201"/>
      <c r="B43" s="201"/>
      <c r="C43" s="209"/>
      <c r="D43" s="201"/>
      <c r="E43" s="202"/>
      <c r="F43" s="201"/>
      <c r="G43" s="201"/>
      <c r="H43" s="201"/>
      <c r="I43" s="209"/>
      <c r="J43" s="201"/>
      <c r="L43" s="215"/>
    </row>
  </sheetData>
  <mergeCells count="1">
    <mergeCell ref="A4:J4"/>
  </mergeCells>
  <pageMargins left="0.7" right="0.7" top="0.75" bottom="0.75" header="0.3" footer="0.3"/>
  <pageSetup paperSize="17" scale="8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  <pageSetUpPr fitToPage="1"/>
  </sheetPr>
  <dimension ref="A1:L50"/>
  <sheetViews>
    <sheetView showWhiteSpace="0" view="pageBreakPreview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2851562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42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1+'STR. STEEL'!I2:J2</f>
        <v>20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103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84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9" t="s">
        <v>248</v>
      </c>
      <c r="C9" s="104"/>
      <c r="D9" s="11"/>
      <c r="E9" s="10"/>
      <c r="F9" s="10"/>
      <c r="G9" s="10"/>
      <c r="H9" s="25"/>
      <c r="I9" s="63"/>
      <c r="J9" s="58"/>
      <c r="K9" s="60"/>
      <c r="L9" s="76"/>
    </row>
    <row r="10" spans="1:12" ht="15.95" customHeight="1" x14ac:dyDescent="0.25">
      <c r="A10" s="13"/>
      <c r="B10" s="73"/>
      <c r="C10" s="117" t="s">
        <v>65</v>
      </c>
      <c r="D10" s="11">
        <v>1689.38</v>
      </c>
      <c r="E10" s="10" t="s">
        <v>34</v>
      </c>
      <c r="F10" s="10"/>
      <c r="G10" s="10"/>
      <c r="H10" s="25"/>
      <c r="I10" s="92"/>
      <c r="J10" s="58"/>
      <c r="K10" s="60"/>
      <c r="L10" s="76"/>
    </row>
    <row r="11" spans="1:12" ht="15.95" customHeight="1" x14ac:dyDescent="0.25">
      <c r="A11" s="13"/>
      <c r="B11" s="73"/>
      <c r="C11" s="117" t="s">
        <v>15</v>
      </c>
      <c r="D11" s="11">
        <v>2.5</v>
      </c>
      <c r="E11" s="10" t="s">
        <v>34</v>
      </c>
      <c r="F11" s="73"/>
      <c r="G11" s="73"/>
      <c r="H11" s="54"/>
      <c r="I11" s="34"/>
      <c r="J11" s="58"/>
      <c r="K11" s="60"/>
      <c r="L11" s="76"/>
    </row>
    <row r="12" spans="1:12" ht="15.95" customHeight="1" x14ac:dyDescent="0.25">
      <c r="A12" s="13"/>
      <c r="B12" s="73"/>
      <c r="C12" s="38" t="s">
        <v>50</v>
      </c>
      <c r="D12" s="11">
        <f>D10*D11/27</f>
        <v>156.4240740740741</v>
      </c>
      <c r="E12" s="10" t="s">
        <v>84</v>
      </c>
      <c r="F12" s="73"/>
      <c r="G12" s="73"/>
      <c r="H12" s="28"/>
      <c r="I12" s="88"/>
      <c r="J12" s="58"/>
      <c r="K12" s="59">
        <f>D12</f>
        <v>156.4240740740741</v>
      </c>
      <c r="L12" s="76"/>
    </row>
    <row r="13" spans="1:12" ht="15.95" customHeight="1" x14ac:dyDescent="0.25">
      <c r="A13" s="13"/>
      <c r="B13" s="73"/>
      <c r="C13" s="73"/>
      <c r="D13" s="73"/>
      <c r="E13" s="73"/>
      <c r="F13" s="73"/>
      <c r="G13" s="73"/>
      <c r="H13" s="28"/>
      <c r="I13" s="88"/>
      <c r="J13" s="58"/>
      <c r="K13" s="60"/>
      <c r="L13" s="76"/>
    </row>
    <row r="14" spans="1:12" ht="15.95" customHeight="1" x14ac:dyDescent="0.25">
      <c r="A14" s="13"/>
      <c r="B14" s="9" t="s">
        <v>249</v>
      </c>
      <c r="C14" s="104"/>
      <c r="D14" s="11"/>
      <c r="E14" s="10"/>
      <c r="F14" s="10"/>
      <c r="G14" s="10"/>
      <c r="H14" s="25"/>
      <c r="I14" s="63"/>
      <c r="J14" s="58"/>
      <c r="K14" s="60"/>
      <c r="L14" s="76"/>
    </row>
    <row r="15" spans="1:12" ht="15.95" customHeight="1" x14ac:dyDescent="0.25">
      <c r="A15" s="13"/>
      <c r="B15" s="73"/>
      <c r="C15" s="117" t="s">
        <v>65</v>
      </c>
      <c r="D15" s="11">
        <v>1838.68</v>
      </c>
      <c r="E15" s="10" t="s">
        <v>34</v>
      </c>
      <c r="F15" s="10"/>
      <c r="G15" s="10"/>
      <c r="H15" s="25"/>
      <c r="I15" s="92"/>
      <c r="J15" s="58"/>
      <c r="K15" s="60"/>
      <c r="L15" s="76"/>
    </row>
    <row r="16" spans="1:12" ht="15.95" customHeight="1" x14ac:dyDescent="0.25">
      <c r="A16" s="13"/>
      <c r="B16" s="73"/>
      <c r="C16" s="117" t="s">
        <v>15</v>
      </c>
      <c r="D16" s="11">
        <v>2.5</v>
      </c>
      <c r="E16" s="10" t="s">
        <v>34</v>
      </c>
      <c r="F16" s="73"/>
      <c r="G16" s="73"/>
      <c r="H16" s="54"/>
      <c r="I16" s="34"/>
      <c r="J16" s="58"/>
      <c r="K16" s="60"/>
      <c r="L16" s="76"/>
    </row>
    <row r="17" spans="1:12" ht="15.75" customHeight="1" x14ac:dyDescent="0.25">
      <c r="A17" s="13"/>
      <c r="B17" s="73"/>
      <c r="C17" s="38" t="s">
        <v>50</v>
      </c>
      <c r="D17" s="11">
        <f>D15*D16/27</f>
        <v>170.24814814814815</v>
      </c>
      <c r="E17" s="10" t="s">
        <v>84</v>
      </c>
      <c r="F17" s="73"/>
      <c r="G17" s="73"/>
      <c r="H17" s="28"/>
      <c r="I17" s="88"/>
      <c r="J17" s="58"/>
      <c r="K17" s="59">
        <f>D17</f>
        <v>170.24814814814815</v>
      </c>
      <c r="L17" s="76"/>
    </row>
    <row r="18" spans="1:12" ht="15.95" customHeight="1" x14ac:dyDescent="0.25">
      <c r="A18" s="13"/>
      <c r="B18" s="73"/>
      <c r="C18" s="73"/>
      <c r="D18" s="73"/>
      <c r="E18" s="73"/>
      <c r="F18" s="73"/>
      <c r="G18" s="73"/>
      <c r="H18" s="54"/>
      <c r="I18" s="34"/>
      <c r="J18" s="58"/>
      <c r="K18" s="60"/>
      <c r="L18" s="76"/>
    </row>
    <row r="19" spans="1:12" ht="15.95" customHeight="1" x14ac:dyDescent="0.25">
      <c r="A19" s="13"/>
      <c r="B19" s="9" t="s">
        <v>250</v>
      </c>
      <c r="C19" s="104"/>
      <c r="D19" s="11"/>
      <c r="E19" s="10"/>
      <c r="F19" s="10"/>
      <c r="G19" s="10"/>
      <c r="H19" s="25"/>
      <c r="I19" s="63"/>
      <c r="J19" s="58"/>
      <c r="K19" s="60"/>
      <c r="L19" s="76"/>
    </row>
    <row r="20" spans="1:12" ht="15.95" customHeight="1" x14ac:dyDescent="0.25">
      <c r="A20" s="13"/>
      <c r="B20" s="73"/>
      <c r="C20" s="117" t="s">
        <v>247</v>
      </c>
      <c r="D20" s="11">
        <v>809.17</v>
      </c>
      <c r="E20" s="10" t="s">
        <v>34</v>
      </c>
      <c r="F20" s="10"/>
      <c r="G20" s="10"/>
      <c r="H20" s="25"/>
      <c r="I20" s="92"/>
      <c r="J20" s="58"/>
      <c r="K20" s="60"/>
      <c r="L20" s="76"/>
    </row>
    <row r="21" spans="1:12" ht="15.75" customHeight="1" x14ac:dyDescent="0.25">
      <c r="A21" s="13"/>
      <c r="B21" s="73"/>
      <c r="C21" s="117" t="s">
        <v>15</v>
      </c>
      <c r="D21" s="11">
        <v>2.5</v>
      </c>
      <c r="E21" s="10" t="s">
        <v>34</v>
      </c>
      <c r="F21" s="73"/>
      <c r="G21" s="73"/>
      <c r="H21" s="54"/>
      <c r="I21" s="34"/>
      <c r="J21" s="58"/>
      <c r="K21" s="60"/>
      <c r="L21" s="76"/>
    </row>
    <row r="22" spans="1:12" ht="15.75" customHeight="1" x14ac:dyDescent="0.25">
      <c r="A22" s="13"/>
      <c r="B22" s="73"/>
      <c r="C22" s="38" t="s">
        <v>50</v>
      </c>
      <c r="D22" s="11">
        <f>D20*D21/27</f>
        <v>74.923148148148144</v>
      </c>
      <c r="E22" s="10" t="s">
        <v>84</v>
      </c>
      <c r="F22" s="73"/>
      <c r="G22" s="73"/>
      <c r="H22" s="28"/>
      <c r="I22" s="88"/>
      <c r="J22" s="58"/>
      <c r="K22" s="59">
        <f>D22</f>
        <v>74.923148148148144</v>
      </c>
      <c r="L22" s="76"/>
    </row>
    <row r="23" spans="1:12" ht="15.75" customHeight="1" x14ac:dyDescent="0.25">
      <c r="A23" s="13"/>
      <c r="B23" s="34"/>
      <c r="C23" s="34"/>
      <c r="D23" s="34"/>
      <c r="E23" s="34"/>
      <c r="F23" s="34"/>
      <c r="G23" s="12"/>
      <c r="H23" s="12"/>
      <c r="I23" s="63"/>
      <c r="J23" s="58"/>
      <c r="K23" s="103"/>
      <c r="L23" s="76"/>
    </row>
    <row r="24" spans="1:12" ht="15.75" customHeight="1" x14ac:dyDescent="0.25">
      <c r="A24" s="13"/>
      <c r="B24" s="9" t="s">
        <v>251</v>
      </c>
      <c r="C24" s="104"/>
      <c r="D24" s="11"/>
      <c r="E24" s="10"/>
      <c r="F24" s="10"/>
      <c r="G24" s="10"/>
      <c r="H24" s="25"/>
      <c r="I24" s="63"/>
      <c r="J24" s="58"/>
      <c r="K24" s="60"/>
      <c r="L24" s="76"/>
    </row>
    <row r="25" spans="1:12" ht="15.95" customHeight="1" x14ac:dyDescent="0.25">
      <c r="A25" s="13"/>
      <c r="B25" s="73"/>
      <c r="C25" s="117" t="s">
        <v>247</v>
      </c>
      <c r="D25" s="11">
        <v>809.17</v>
      </c>
      <c r="E25" s="10" t="s">
        <v>34</v>
      </c>
      <c r="F25" s="10"/>
      <c r="G25" s="10"/>
      <c r="H25" s="25"/>
      <c r="I25" s="92"/>
      <c r="J25" s="58"/>
      <c r="K25" s="60"/>
      <c r="L25" s="76"/>
    </row>
    <row r="26" spans="1:12" ht="15.95" customHeight="1" x14ac:dyDescent="0.25">
      <c r="A26" s="13"/>
      <c r="B26" s="73"/>
      <c r="C26" s="117" t="s">
        <v>15</v>
      </c>
      <c r="D26" s="11">
        <v>2.5</v>
      </c>
      <c r="E26" s="10" t="s">
        <v>34</v>
      </c>
      <c r="F26" s="73"/>
      <c r="G26" s="73"/>
      <c r="H26" s="54"/>
      <c r="I26" s="34"/>
      <c r="J26" s="58"/>
      <c r="K26" s="60"/>
      <c r="L26" s="76"/>
    </row>
    <row r="27" spans="1:12" ht="15.95" customHeight="1" x14ac:dyDescent="0.25">
      <c r="A27" s="13"/>
      <c r="B27" s="73"/>
      <c r="C27" s="38" t="s">
        <v>50</v>
      </c>
      <c r="D27" s="11">
        <f>D25*D26/27</f>
        <v>74.923148148148144</v>
      </c>
      <c r="E27" s="10" t="s">
        <v>84</v>
      </c>
      <c r="F27" s="73"/>
      <c r="G27" s="73"/>
      <c r="H27" s="28"/>
      <c r="I27" s="88"/>
      <c r="J27" s="58"/>
      <c r="K27" s="59">
        <f>D27</f>
        <v>74.923148148148144</v>
      </c>
      <c r="L27" s="76"/>
    </row>
    <row r="28" spans="1:12" ht="15.95" customHeight="1" x14ac:dyDescent="0.25">
      <c r="A28" s="13"/>
      <c r="B28" s="15"/>
      <c r="C28" s="86"/>
      <c r="D28" s="30"/>
      <c r="E28" s="19"/>
      <c r="F28" s="30"/>
      <c r="G28" s="11"/>
      <c r="H28" s="30"/>
      <c r="I28" s="63"/>
      <c r="J28" s="58"/>
      <c r="K28" s="60"/>
      <c r="L28" s="76"/>
    </row>
    <row r="29" spans="1:12" ht="15.95" customHeight="1" x14ac:dyDescent="0.25">
      <c r="A29" s="13"/>
      <c r="B29" s="9" t="s">
        <v>236</v>
      </c>
      <c r="C29" s="104"/>
      <c r="D29" s="11"/>
      <c r="E29" s="10"/>
      <c r="F29" s="10"/>
      <c r="G29" s="10"/>
      <c r="H29" s="10"/>
      <c r="I29" s="63"/>
      <c r="J29" s="58"/>
      <c r="K29" s="60"/>
      <c r="L29" s="76"/>
    </row>
    <row r="30" spans="1:12" ht="15.95" customHeight="1" x14ac:dyDescent="0.25">
      <c r="A30" s="13"/>
      <c r="B30" s="10"/>
      <c r="C30" s="364" t="s">
        <v>65</v>
      </c>
      <c r="D30" s="11">
        <v>1519.59</v>
      </c>
      <c r="E30" s="10" t="s">
        <v>66</v>
      </c>
      <c r="F30" s="10"/>
      <c r="G30" s="10"/>
      <c r="H30" s="11"/>
      <c r="I30" s="63"/>
      <c r="J30" s="58"/>
      <c r="K30" s="60"/>
      <c r="L30" s="76"/>
    </row>
    <row r="31" spans="1:12" ht="15.95" customHeight="1" x14ac:dyDescent="0.25">
      <c r="A31" s="13"/>
      <c r="B31" s="10"/>
      <c r="C31" s="364" t="s">
        <v>15</v>
      </c>
      <c r="D31" s="11">
        <v>2.5</v>
      </c>
      <c r="E31" s="10" t="s">
        <v>34</v>
      </c>
      <c r="F31" s="10"/>
      <c r="G31" s="12"/>
      <c r="H31" s="10"/>
      <c r="I31" s="63"/>
      <c r="J31" s="58"/>
      <c r="K31" s="60"/>
      <c r="L31" s="76"/>
    </row>
    <row r="32" spans="1:12" ht="15.95" customHeight="1" x14ac:dyDescent="0.25">
      <c r="A32" s="60"/>
      <c r="B32" s="10"/>
      <c r="C32" s="364" t="s">
        <v>293</v>
      </c>
      <c r="D32" s="11">
        <v>2</v>
      </c>
      <c r="E32" s="10" t="s">
        <v>51</v>
      </c>
      <c r="F32" s="10"/>
      <c r="G32" s="12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 t="s">
        <v>50</v>
      </c>
      <c r="D33" s="11">
        <f>D30*D31*D32/27</f>
        <v>281.40555555555557</v>
      </c>
      <c r="E33" s="10" t="s">
        <v>84</v>
      </c>
      <c r="F33" s="10"/>
      <c r="G33" s="10"/>
      <c r="H33" s="10"/>
      <c r="I33" s="63"/>
      <c r="J33" s="58"/>
      <c r="K33" s="59">
        <f>D33</f>
        <v>281.40555555555557</v>
      </c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9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9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9"/>
      <c r="C37" s="104"/>
      <c r="D37" s="11"/>
      <c r="E37" s="10"/>
      <c r="F37" s="10"/>
      <c r="G37" s="10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36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364"/>
      <c r="D39" s="11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364"/>
      <c r="D40" s="11"/>
      <c r="E40" s="10"/>
      <c r="F40" s="10"/>
      <c r="G40" s="12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364"/>
      <c r="D41" s="11"/>
      <c r="E41" s="10"/>
      <c r="F41" s="10"/>
      <c r="G41" s="12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59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0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2"/>
      <c r="H45" s="10"/>
      <c r="I45" s="63"/>
      <c r="J45" s="58"/>
      <c r="K45" s="60"/>
      <c r="L45" s="76"/>
    </row>
    <row r="46" spans="1:12" ht="15.95" customHeight="1" x14ac:dyDescent="0.25">
      <c r="A46" s="60"/>
      <c r="B46" s="10"/>
      <c r="C46" s="104"/>
      <c r="D46" s="11"/>
      <c r="E46" s="10"/>
      <c r="F46" s="10"/>
      <c r="G46" s="12"/>
      <c r="H46" s="10"/>
      <c r="I46" s="63"/>
      <c r="J46" s="58"/>
      <c r="K46" s="60"/>
      <c r="L46" s="76"/>
    </row>
    <row r="47" spans="1:12" ht="15.95" customHeight="1" x14ac:dyDescent="0.25">
      <c r="A47" s="60"/>
      <c r="B47" s="10"/>
      <c r="C47" s="104"/>
      <c r="D47" s="11"/>
      <c r="E47" s="10"/>
      <c r="F47" s="10"/>
      <c r="G47" s="10"/>
      <c r="H47" s="10"/>
      <c r="I47" s="63"/>
      <c r="J47" s="58"/>
      <c r="K47" s="60"/>
      <c r="L47" s="76"/>
    </row>
    <row r="48" spans="1:12" ht="15.95" customHeight="1" x14ac:dyDescent="0.25">
      <c r="A48" s="71"/>
      <c r="B48" s="10"/>
      <c r="C48" s="25"/>
      <c r="D48" s="25"/>
      <c r="E48" s="100"/>
      <c r="F48" s="100"/>
      <c r="G48" s="97"/>
      <c r="H48" s="25"/>
      <c r="I48" s="92"/>
      <c r="J48" s="32"/>
      <c r="K48" s="71"/>
      <c r="L48" s="77"/>
    </row>
    <row r="49" spans="1:12" ht="15.95" customHeight="1" thickBot="1" x14ac:dyDescent="0.3">
      <c r="A49" s="71"/>
      <c r="B49" s="67"/>
      <c r="C49" s="67"/>
      <c r="D49" s="67"/>
      <c r="E49" s="101"/>
      <c r="F49" s="101"/>
      <c r="G49" s="98"/>
      <c r="H49" s="67"/>
      <c r="I49" s="99"/>
      <c r="J49" s="68"/>
      <c r="K49" s="71"/>
      <c r="L49" s="77"/>
    </row>
    <row r="50" spans="1:12" ht="15.95" customHeight="1" thickBot="1" x14ac:dyDescent="0.3">
      <c r="A50" s="445" t="s">
        <v>13</v>
      </c>
      <c r="B50" s="446"/>
      <c r="C50" s="447"/>
      <c r="D50" s="447"/>
      <c r="E50" s="447"/>
      <c r="F50" s="447"/>
      <c r="G50" s="447"/>
      <c r="H50" s="447"/>
      <c r="I50" s="447"/>
      <c r="J50" s="448"/>
      <c r="K50" s="79">
        <f>ROUND(SUM(K8:K49),0)</f>
        <v>758</v>
      </c>
      <c r="L50" s="80">
        <f>K50</f>
        <v>758</v>
      </c>
    </row>
  </sheetData>
  <mergeCells count="8">
    <mergeCell ref="A7:J7"/>
    <mergeCell ref="A50:J50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6" max="11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L47"/>
  <sheetViews>
    <sheetView showWhiteSpace="0" view="pageBreakPreview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2851562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43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'POROUS BACKFILL'!I2:J2+1</f>
        <v>21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33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34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s="126" customFormat="1" ht="15.95" customHeight="1" x14ac:dyDescent="0.25">
      <c r="A9" s="224"/>
      <c r="B9" s="9" t="s">
        <v>248</v>
      </c>
      <c r="C9" s="141"/>
      <c r="D9" s="271"/>
      <c r="E9" s="143"/>
      <c r="F9" s="143"/>
      <c r="G9" s="143"/>
      <c r="H9" s="143"/>
      <c r="I9" s="273"/>
      <c r="J9" s="144"/>
      <c r="K9" s="274"/>
      <c r="L9" s="218"/>
    </row>
    <row r="10" spans="1:12" s="126" customFormat="1" ht="15.95" customHeight="1" x14ac:dyDescent="0.25">
      <c r="A10" s="224"/>
      <c r="B10" s="269"/>
      <c r="C10" s="146" t="s">
        <v>14</v>
      </c>
      <c r="D10" s="142">
        <v>139.88999999999999</v>
      </c>
      <c r="E10" s="143" t="s">
        <v>34</v>
      </c>
      <c r="F10" s="143"/>
      <c r="G10" s="143"/>
      <c r="H10" s="331"/>
      <c r="I10" s="332"/>
      <c r="J10" s="144"/>
      <c r="K10" s="287">
        <f>D10</f>
        <v>139.88999999999999</v>
      </c>
      <c r="L10" s="218"/>
    </row>
    <row r="11" spans="1:12" s="126" customFormat="1" ht="15.95" customHeight="1" x14ac:dyDescent="0.25">
      <c r="A11" s="224"/>
      <c r="B11" s="333"/>
      <c r="C11" s="333"/>
      <c r="D11" s="333"/>
      <c r="E11" s="326"/>
      <c r="F11" s="333"/>
      <c r="G11" s="333"/>
      <c r="H11" s="333"/>
      <c r="I11" s="334"/>
      <c r="J11" s="144"/>
      <c r="K11" s="274"/>
      <c r="L11" s="218"/>
    </row>
    <row r="12" spans="1:12" s="126" customFormat="1" ht="15.95" customHeight="1" x14ac:dyDescent="0.25">
      <c r="A12" s="224"/>
      <c r="B12" s="9" t="s">
        <v>249</v>
      </c>
      <c r="C12" s="142"/>
      <c r="D12" s="142"/>
      <c r="E12" s="146"/>
      <c r="F12" s="146"/>
      <c r="G12" s="146"/>
      <c r="H12" s="325"/>
      <c r="I12" s="247"/>
      <c r="J12" s="144"/>
      <c r="K12" s="281"/>
      <c r="L12" s="218"/>
    </row>
    <row r="13" spans="1:12" s="126" customFormat="1" ht="15.95" customHeight="1" x14ac:dyDescent="0.25">
      <c r="A13" s="224"/>
      <c r="B13" s="143"/>
      <c r="C13" s="146" t="s">
        <v>14</v>
      </c>
      <c r="D13" s="142">
        <v>140.84700000000001</v>
      </c>
      <c r="E13" s="146" t="s">
        <v>34</v>
      </c>
      <c r="F13" s="146"/>
      <c r="G13" s="146"/>
      <c r="H13" s="325"/>
      <c r="I13" s="247"/>
      <c r="J13" s="144"/>
      <c r="K13" s="287">
        <f>D13</f>
        <v>140.84700000000001</v>
      </c>
      <c r="L13" s="218"/>
    </row>
    <row r="14" spans="1:12" s="126" customFormat="1" ht="15.95" customHeight="1" x14ac:dyDescent="0.25">
      <c r="A14" s="224"/>
      <c r="B14" s="143"/>
      <c r="C14" s="142"/>
      <c r="D14" s="142"/>
      <c r="E14" s="146"/>
      <c r="F14" s="146"/>
      <c r="G14" s="325"/>
      <c r="H14" s="325"/>
      <c r="I14" s="247"/>
      <c r="J14" s="144"/>
      <c r="K14" s="274"/>
      <c r="L14" s="218"/>
    </row>
    <row r="15" spans="1:12" s="126" customFormat="1" ht="15.95" customHeight="1" x14ac:dyDescent="0.25">
      <c r="A15" s="224"/>
      <c r="B15" s="9" t="s">
        <v>250</v>
      </c>
      <c r="C15" s="141"/>
      <c r="D15" s="271"/>
      <c r="E15" s="143"/>
      <c r="F15" s="143"/>
      <c r="G15" s="143"/>
      <c r="H15" s="143"/>
      <c r="I15" s="273"/>
      <c r="J15" s="144"/>
      <c r="K15" s="274"/>
      <c r="L15" s="218"/>
    </row>
    <row r="16" spans="1:12" s="126" customFormat="1" ht="15.75" customHeight="1" x14ac:dyDescent="0.25">
      <c r="A16" s="224"/>
      <c r="B16" s="269"/>
      <c r="C16" s="146" t="s">
        <v>14</v>
      </c>
      <c r="D16" s="142">
        <v>72</v>
      </c>
      <c r="E16" s="143" t="s">
        <v>34</v>
      </c>
      <c r="F16" s="143"/>
      <c r="G16" s="143"/>
      <c r="H16" s="331"/>
      <c r="I16" s="332"/>
      <c r="J16" s="144"/>
      <c r="K16" s="287">
        <f>D16</f>
        <v>72</v>
      </c>
      <c r="L16" s="218"/>
    </row>
    <row r="17" spans="1:12" s="126" customFormat="1" ht="15.95" customHeight="1" x14ac:dyDescent="0.25">
      <c r="A17" s="224"/>
      <c r="B17" s="333"/>
      <c r="C17" s="333"/>
      <c r="D17" s="333"/>
      <c r="E17" s="326"/>
      <c r="F17" s="333"/>
      <c r="G17" s="333"/>
      <c r="H17" s="333"/>
      <c r="I17" s="334"/>
      <c r="J17" s="144"/>
      <c r="K17" s="274"/>
      <c r="L17" s="218"/>
    </row>
    <row r="18" spans="1:12" s="126" customFormat="1" ht="15.95" customHeight="1" x14ac:dyDescent="0.25">
      <c r="A18" s="224"/>
      <c r="B18" s="9" t="s">
        <v>251</v>
      </c>
      <c r="C18" s="142"/>
      <c r="D18" s="142"/>
      <c r="E18" s="146"/>
      <c r="F18" s="146"/>
      <c r="G18" s="146"/>
      <c r="H18" s="325"/>
      <c r="I18" s="247"/>
      <c r="J18" s="144"/>
      <c r="K18" s="278"/>
      <c r="L18" s="218"/>
    </row>
    <row r="19" spans="1:12" s="126" customFormat="1" ht="15.95" customHeight="1" x14ac:dyDescent="0.25">
      <c r="A19" s="224"/>
      <c r="B19" s="340"/>
      <c r="C19" s="143" t="s">
        <v>14</v>
      </c>
      <c r="D19" s="142">
        <v>72</v>
      </c>
      <c r="E19" s="142" t="s">
        <v>34</v>
      </c>
      <c r="F19" s="142"/>
      <c r="G19" s="142"/>
      <c r="H19" s="142"/>
      <c r="I19" s="273"/>
      <c r="J19" s="144"/>
      <c r="K19" s="287">
        <f>D19</f>
        <v>72</v>
      </c>
      <c r="L19" s="218"/>
    </row>
    <row r="20" spans="1:12" s="126" customFormat="1" ht="15.95" customHeight="1" x14ac:dyDescent="0.25">
      <c r="A20" s="224"/>
      <c r="B20" s="334"/>
      <c r="C20" s="334"/>
      <c r="D20" s="334"/>
      <c r="E20" s="334"/>
      <c r="F20" s="334"/>
      <c r="G20" s="335"/>
      <c r="H20" s="335"/>
      <c r="I20" s="273"/>
      <c r="J20" s="144"/>
      <c r="K20" s="278"/>
      <c r="L20" s="218"/>
    </row>
    <row r="21" spans="1:12" s="126" customFormat="1" ht="15.95" customHeight="1" x14ac:dyDescent="0.25">
      <c r="A21" s="224"/>
      <c r="B21" s="9"/>
      <c r="C21" s="141"/>
      <c r="D21" s="271"/>
      <c r="E21" s="143"/>
      <c r="F21" s="143"/>
      <c r="G21" s="143"/>
      <c r="H21" s="143"/>
      <c r="I21" s="273"/>
      <c r="J21" s="144"/>
      <c r="K21" s="274"/>
      <c r="L21" s="218"/>
    </row>
    <row r="22" spans="1:12" s="126" customFormat="1" ht="15.95" customHeight="1" x14ac:dyDescent="0.25">
      <c r="A22" s="224"/>
      <c r="B22" s="269"/>
      <c r="C22" s="143"/>
      <c r="D22" s="142"/>
      <c r="E22" s="142"/>
      <c r="F22" s="143"/>
      <c r="G22" s="143"/>
      <c r="H22" s="331"/>
      <c r="I22" s="332"/>
      <c r="J22" s="144"/>
      <c r="K22" s="287"/>
      <c r="L22" s="218"/>
    </row>
    <row r="23" spans="1:12" s="126" customFormat="1" ht="15.95" customHeight="1" x14ac:dyDescent="0.25">
      <c r="A23" s="224"/>
      <c r="B23" s="333"/>
      <c r="C23" s="333"/>
      <c r="D23" s="333"/>
      <c r="E23" s="326"/>
      <c r="F23" s="333"/>
      <c r="G23" s="333"/>
      <c r="H23" s="333"/>
      <c r="I23" s="334"/>
      <c r="J23" s="144"/>
      <c r="K23" s="274"/>
      <c r="L23" s="218"/>
    </row>
    <row r="24" spans="1:12" s="126" customFormat="1" ht="18.75" customHeight="1" x14ac:dyDescent="0.25">
      <c r="A24" s="224"/>
      <c r="B24" s="9"/>
      <c r="C24" s="142"/>
      <c r="D24" s="142"/>
      <c r="E24" s="146"/>
      <c r="F24" s="146"/>
      <c r="G24" s="146"/>
      <c r="H24" s="325"/>
      <c r="I24" s="247"/>
      <c r="J24" s="144"/>
      <c r="K24" s="281"/>
      <c r="L24" s="218"/>
    </row>
    <row r="25" spans="1:12" s="126" customFormat="1" ht="18.75" customHeight="1" x14ac:dyDescent="0.25">
      <c r="A25" s="224"/>
      <c r="B25" s="211"/>
      <c r="C25" s="143"/>
      <c r="D25" s="142"/>
      <c r="E25" s="142"/>
      <c r="F25" s="223"/>
      <c r="G25" s="223"/>
      <c r="H25" s="229"/>
      <c r="I25" s="234"/>
      <c r="J25" s="221"/>
      <c r="K25" s="287"/>
      <c r="L25" s="218"/>
    </row>
    <row r="26" spans="1:12" ht="18.75" customHeight="1" x14ac:dyDescent="0.25">
      <c r="A26" s="13"/>
      <c r="B26" s="11"/>
      <c r="C26" s="11"/>
      <c r="D26" s="11"/>
      <c r="E26" s="22"/>
      <c r="F26" s="22"/>
      <c r="G26" s="22"/>
      <c r="H26" s="28"/>
      <c r="I26" s="88"/>
      <c r="J26" s="58"/>
      <c r="K26" s="103"/>
      <c r="L26" s="76"/>
    </row>
    <row r="27" spans="1:12" ht="18.75" customHeight="1" x14ac:dyDescent="0.25">
      <c r="A27" s="13"/>
      <c r="B27" s="11"/>
      <c r="C27" s="11"/>
      <c r="D27" s="11"/>
      <c r="E27" s="22"/>
      <c r="F27" s="22"/>
      <c r="G27" s="22"/>
      <c r="H27" s="28"/>
      <c r="I27" s="88"/>
      <c r="J27" s="58"/>
      <c r="K27" s="103"/>
      <c r="L27" s="76"/>
    </row>
    <row r="28" spans="1:12" ht="15.95" customHeight="1" x14ac:dyDescent="0.25">
      <c r="A28" s="13"/>
      <c r="B28" s="10"/>
      <c r="C28" s="11"/>
      <c r="D28" s="11"/>
      <c r="E28" s="10"/>
      <c r="F28" s="11"/>
      <c r="G28" s="11"/>
      <c r="H28" s="11"/>
      <c r="I28" s="63"/>
      <c r="J28" s="58"/>
      <c r="K28" s="60"/>
      <c r="L28" s="76"/>
    </row>
    <row r="29" spans="1:12" ht="15.95" customHeight="1" x14ac:dyDescent="0.25">
      <c r="A29" s="13"/>
      <c r="B29" s="10"/>
      <c r="C29" s="11"/>
      <c r="D29" s="11"/>
      <c r="E29" s="10"/>
      <c r="F29" s="11"/>
      <c r="G29" s="11"/>
      <c r="H29" s="11"/>
      <c r="I29" s="63"/>
      <c r="J29" s="58"/>
      <c r="K29" s="60"/>
      <c r="L29" s="76"/>
    </row>
    <row r="30" spans="1:12" ht="15.95" customHeight="1" x14ac:dyDescent="0.25">
      <c r="A30" s="13"/>
      <c r="B30" s="15"/>
      <c r="C30" s="86"/>
      <c r="D30" s="30"/>
      <c r="E30" s="19"/>
      <c r="F30" s="30"/>
      <c r="G30" s="11"/>
      <c r="H30" s="30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0"/>
      <c r="H32" s="11"/>
      <c r="I32" s="63"/>
      <c r="J32" s="58"/>
      <c r="K32" s="60"/>
      <c r="L32" s="76"/>
    </row>
    <row r="33" spans="1:12" ht="15.95" customHeight="1" x14ac:dyDescent="0.25">
      <c r="A33" s="13"/>
      <c r="B33" s="10"/>
      <c r="C33" s="104"/>
      <c r="D33" s="11"/>
      <c r="E33" s="10"/>
      <c r="F33" s="10"/>
      <c r="G33" s="12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2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0"/>
      <c r="H44" s="10"/>
      <c r="I44" s="63"/>
      <c r="J44" s="58"/>
      <c r="K44" s="60"/>
      <c r="L44" s="76"/>
    </row>
    <row r="45" spans="1:12" ht="15.95" customHeight="1" x14ac:dyDescent="0.25">
      <c r="A45" s="71"/>
      <c r="B45" s="10"/>
      <c r="C45" s="104"/>
      <c r="D45" s="104"/>
      <c r="E45" s="104"/>
      <c r="F45" s="104"/>
      <c r="G45" s="104"/>
      <c r="H45" s="10"/>
      <c r="I45" s="10"/>
      <c r="J45" s="58"/>
      <c r="K45" s="71"/>
      <c r="L45" s="77"/>
    </row>
    <row r="46" spans="1:12" ht="15.95" customHeight="1" thickBot="1" x14ac:dyDescent="0.3">
      <c r="A46" s="71"/>
      <c r="B46" s="67"/>
      <c r="C46" s="67"/>
      <c r="D46" s="67"/>
      <c r="E46" s="67"/>
      <c r="F46" s="67"/>
      <c r="G46" s="67"/>
      <c r="H46" s="67"/>
      <c r="I46" s="67"/>
      <c r="J46" s="31"/>
      <c r="K46" s="71"/>
      <c r="L46" s="77"/>
    </row>
    <row r="47" spans="1:12" ht="15.95" customHeight="1" thickBot="1" x14ac:dyDescent="0.3">
      <c r="A47" s="445" t="s">
        <v>13</v>
      </c>
      <c r="B47" s="446"/>
      <c r="C47" s="447"/>
      <c r="D47" s="447"/>
      <c r="E47" s="447"/>
      <c r="F47" s="447"/>
      <c r="G47" s="447"/>
      <c r="H47" s="447"/>
      <c r="I47" s="447"/>
      <c r="J47" s="448"/>
      <c r="K47" s="79">
        <f>SUM(K8:K46)</f>
        <v>424.73699999999997</v>
      </c>
      <c r="L47" s="80">
        <f>K47</f>
        <v>424.73699999999997</v>
      </c>
    </row>
  </sheetData>
  <mergeCells count="8">
    <mergeCell ref="A7:J7"/>
    <mergeCell ref="A47:J47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pageSetUpPr fitToPage="1"/>
  </sheetPr>
  <dimension ref="A1:L47"/>
  <sheetViews>
    <sheetView showWhiteSpace="0" view="pageBreakPreview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2851562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45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1+'6" PCPP'!I2:J2</f>
        <v>22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44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34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s="126" customFormat="1" ht="15.95" customHeight="1" x14ac:dyDescent="0.25">
      <c r="A9" s="224"/>
      <c r="B9" s="9" t="s">
        <v>248</v>
      </c>
      <c r="C9" s="141"/>
      <c r="D9" s="271"/>
      <c r="E9" s="143"/>
      <c r="F9" s="143"/>
      <c r="G9" s="143"/>
      <c r="H9" s="143"/>
      <c r="I9" s="273"/>
      <c r="J9" s="144"/>
      <c r="K9" s="274"/>
      <c r="L9" s="218"/>
    </row>
    <row r="10" spans="1:12" s="126" customFormat="1" ht="15.95" customHeight="1" x14ac:dyDescent="0.25">
      <c r="A10" s="224"/>
      <c r="B10" s="269"/>
      <c r="C10" s="146" t="s">
        <v>14</v>
      </c>
      <c r="D10" s="142">
        <v>10</v>
      </c>
      <c r="E10" s="143" t="s">
        <v>34</v>
      </c>
      <c r="F10" s="143"/>
      <c r="G10" s="143"/>
      <c r="H10" s="331"/>
      <c r="I10" s="332"/>
      <c r="J10" s="144"/>
      <c r="K10" s="287">
        <f>D10</f>
        <v>10</v>
      </c>
      <c r="L10" s="218"/>
    </row>
    <row r="11" spans="1:12" s="126" customFormat="1" ht="15.95" customHeight="1" x14ac:dyDescent="0.25">
      <c r="A11" s="224"/>
      <c r="B11" s="333"/>
      <c r="C11" s="333"/>
      <c r="D11" s="333"/>
      <c r="E11" s="326"/>
      <c r="F11" s="333"/>
      <c r="G11" s="333"/>
      <c r="H11" s="333"/>
      <c r="I11" s="334"/>
      <c r="J11" s="144"/>
      <c r="K11" s="274"/>
      <c r="L11" s="218"/>
    </row>
    <row r="12" spans="1:12" s="126" customFormat="1" ht="15.95" customHeight="1" x14ac:dyDescent="0.25">
      <c r="A12" s="224"/>
      <c r="B12" s="9" t="s">
        <v>249</v>
      </c>
      <c r="C12" s="142"/>
      <c r="D12" s="142"/>
      <c r="E12" s="146"/>
      <c r="F12" s="146"/>
      <c r="G12" s="146"/>
      <c r="H12" s="325"/>
      <c r="I12" s="247"/>
      <c r="J12" s="144"/>
      <c r="K12" s="281"/>
      <c r="L12" s="218"/>
    </row>
    <row r="13" spans="1:12" s="126" customFormat="1" ht="15.95" customHeight="1" x14ac:dyDescent="0.25">
      <c r="A13" s="224"/>
      <c r="B13" s="143"/>
      <c r="C13" s="146" t="s">
        <v>14</v>
      </c>
      <c r="D13" s="142">
        <v>10</v>
      </c>
      <c r="E13" s="146" t="s">
        <v>34</v>
      </c>
      <c r="F13" s="146"/>
      <c r="G13" s="146"/>
      <c r="H13" s="325"/>
      <c r="I13" s="247"/>
      <c r="J13" s="144"/>
      <c r="K13" s="287">
        <f>D13</f>
        <v>10</v>
      </c>
      <c r="L13" s="218"/>
    </row>
    <row r="14" spans="1:12" s="126" customFormat="1" ht="15.95" customHeight="1" x14ac:dyDescent="0.25">
      <c r="A14" s="224"/>
      <c r="B14" s="143"/>
      <c r="C14" s="142"/>
      <c r="D14" s="142"/>
      <c r="E14" s="146"/>
      <c r="F14" s="146"/>
      <c r="G14" s="325"/>
      <c r="H14" s="325"/>
      <c r="I14" s="247"/>
      <c r="J14" s="144"/>
      <c r="K14" s="274"/>
      <c r="L14" s="218"/>
    </row>
    <row r="15" spans="1:12" s="126" customFormat="1" ht="15.95" customHeight="1" x14ac:dyDescent="0.25">
      <c r="A15" s="224"/>
      <c r="B15" s="9" t="s">
        <v>250</v>
      </c>
      <c r="C15" s="141"/>
      <c r="D15" s="271"/>
      <c r="E15" s="143"/>
      <c r="F15" s="143"/>
      <c r="G15" s="143"/>
      <c r="H15" s="143"/>
      <c r="I15" s="273"/>
      <c r="J15" s="144"/>
      <c r="K15" s="274"/>
      <c r="L15" s="218"/>
    </row>
    <row r="16" spans="1:12" s="126" customFormat="1" ht="15.75" customHeight="1" x14ac:dyDescent="0.25">
      <c r="A16" s="224"/>
      <c r="B16" s="269"/>
      <c r="C16" s="146" t="s">
        <v>14</v>
      </c>
      <c r="D16" s="142">
        <v>10</v>
      </c>
      <c r="E16" s="143" t="s">
        <v>34</v>
      </c>
      <c r="F16" s="143"/>
      <c r="G16" s="143"/>
      <c r="H16" s="331"/>
      <c r="I16" s="332"/>
      <c r="J16" s="144"/>
      <c r="K16" s="287">
        <f>D16</f>
        <v>10</v>
      </c>
      <c r="L16" s="218"/>
    </row>
    <row r="17" spans="1:12" s="126" customFormat="1" ht="15.95" customHeight="1" x14ac:dyDescent="0.25">
      <c r="A17" s="224"/>
      <c r="B17" s="333"/>
      <c r="C17" s="333"/>
      <c r="D17" s="333"/>
      <c r="E17" s="326"/>
      <c r="F17" s="333"/>
      <c r="G17" s="333"/>
      <c r="H17" s="333"/>
      <c r="I17" s="334"/>
      <c r="J17" s="144"/>
      <c r="K17" s="274"/>
      <c r="L17" s="218"/>
    </row>
    <row r="18" spans="1:12" s="126" customFormat="1" ht="15.95" customHeight="1" x14ac:dyDescent="0.25">
      <c r="A18" s="224"/>
      <c r="B18" s="9" t="s">
        <v>251</v>
      </c>
      <c r="C18" s="142"/>
      <c r="D18" s="142"/>
      <c r="E18" s="146"/>
      <c r="F18" s="146"/>
      <c r="G18" s="146"/>
      <c r="H18" s="325"/>
      <c r="I18" s="247"/>
      <c r="J18" s="144"/>
      <c r="K18" s="278"/>
      <c r="L18" s="218"/>
    </row>
    <row r="19" spans="1:12" ht="15.95" customHeight="1" x14ac:dyDescent="0.25">
      <c r="A19" s="13"/>
      <c r="B19" s="340"/>
      <c r="C19" s="143" t="s">
        <v>14</v>
      </c>
      <c r="D19" s="142">
        <v>10</v>
      </c>
      <c r="E19" s="142" t="s">
        <v>34</v>
      </c>
      <c r="F19" s="142"/>
      <c r="G19" s="142"/>
      <c r="H19" s="142"/>
      <c r="I19" s="273"/>
      <c r="J19" s="144"/>
      <c r="K19" s="287">
        <f>D19</f>
        <v>10</v>
      </c>
      <c r="L19" s="76"/>
    </row>
    <row r="20" spans="1:12" ht="15.95" customHeight="1" x14ac:dyDescent="0.25">
      <c r="A20" s="13"/>
      <c r="B20" s="334"/>
      <c r="C20" s="334"/>
      <c r="D20" s="334"/>
      <c r="E20" s="334"/>
      <c r="F20" s="334"/>
      <c r="G20" s="335"/>
      <c r="H20" s="335"/>
      <c r="I20" s="273"/>
      <c r="J20" s="144"/>
      <c r="K20" s="278"/>
      <c r="L20" s="76"/>
    </row>
    <row r="21" spans="1:12" ht="18.75" customHeight="1" x14ac:dyDescent="0.25">
      <c r="A21" s="13"/>
      <c r="B21" s="9"/>
      <c r="C21" s="142"/>
      <c r="D21" s="142"/>
      <c r="E21" s="146"/>
      <c r="F21" s="146"/>
      <c r="G21" s="146"/>
      <c r="H21" s="325"/>
      <c r="I21" s="247"/>
      <c r="J21" s="144"/>
      <c r="K21" s="281"/>
      <c r="L21" s="76"/>
    </row>
    <row r="22" spans="1:12" ht="18.75" customHeight="1" x14ac:dyDescent="0.25">
      <c r="A22" s="13"/>
      <c r="B22" s="211"/>
      <c r="C22" s="143"/>
      <c r="D22" s="142"/>
      <c r="E22" s="142"/>
      <c r="F22" s="223"/>
      <c r="G22" s="223"/>
      <c r="H22" s="229"/>
      <c r="I22" s="234"/>
      <c r="J22" s="221"/>
      <c r="K22" s="287"/>
      <c r="L22" s="76"/>
    </row>
    <row r="23" spans="1:12" ht="18.75" customHeight="1" x14ac:dyDescent="0.25">
      <c r="A23" s="13"/>
      <c r="B23" s="11"/>
      <c r="C23" s="11"/>
      <c r="D23" s="11"/>
      <c r="E23" s="22"/>
      <c r="F23" s="22"/>
      <c r="G23" s="22"/>
      <c r="H23" s="28"/>
      <c r="I23" s="88"/>
      <c r="J23" s="58"/>
      <c r="K23" s="103"/>
      <c r="L23" s="76"/>
    </row>
    <row r="24" spans="1:12" ht="18.75" customHeight="1" x14ac:dyDescent="0.25">
      <c r="A24" s="13"/>
      <c r="B24" s="11"/>
      <c r="C24" s="11"/>
      <c r="D24" s="11"/>
      <c r="E24" s="22"/>
      <c r="F24" s="22"/>
      <c r="G24" s="22"/>
      <c r="H24" s="28"/>
      <c r="I24" s="88"/>
      <c r="J24" s="58"/>
      <c r="K24" s="103"/>
      <c r="L24" s="76"/>
    </row>
    <row r="25" spans="1:12" ht="15.95" customHeight="1" x14ac:dyDescent="0.25">
      <c r="A25" s="13"/>
      <c r="B25" s="10"/>
      <c r="C25" s="11"/>
      <c r="D25" s="11"/>
      <c r="E25" s="10"/>
      <c r="F25" s="11"/>
      <c r="G25" s="11"/>
      <c r="H25" s="11"/>
      <c r="I25" s="63"/>
      <c r="J25" s="58"/>
      <c r="K25" s="60"/>
      <c r="L25" s="76"/>
    </row>
    <row r="26" spans="1:12" ht="15.95" customHeight="1" x14ac:dyDescent="0.25">
      <c r="A26" s="13"/>
      <c r="B26" s="10"/>
      <c r="C26" s="11"/>
      <c r="D26" s="11"/>
      <c r="E26" s="10"/>
      <c r="F26" s="11"/>
      <c r="G26" s="11"/>
      <c r="H26" s="11"/>
      <c r="I26" s="63"/>
      <c r="J26" s="58"/>
      <c r="K26" s="60"/>
      <c r="L26" s="76"/>
    </row>
    <row r="27" spans="1:12" ht="15.95" customHeight="1" x14ac:dyDescent="0.25">
      <c r="A27" s="13"/>
      <c r="B27" s="10"/>
      <c r="C27" s="11"/>
      <c r="D27" s="11"/>
      <c r="E27" s="10"/>
      <c r="F27" s="11"/>
      <c r="G27" s="11"/>
      <c r="H27" s="11"/>
      <c r="I27" s="63"/>
      <c r="J27" s="58"/>
      <c r="K27" s="60"/>
      <c r="L27" s="76"/>
    </row>
    <row r="28" spans="1:12" ht="15.95" customHeight="1" x14ac:dyDescent="0.25">
      <c r="A28" s="13"/>
      <c r="B28" s="10"/>
      <c r="C28" s="11"/>
      <c r="D28" s="11"/>
      <c r="E28" s="10"/>
      <c r="F28" s="11"/>
      <c r="G28" s="11"/>
      <c r="H28" s="11"/>
      <c r="I28" s="63"/>
      <c r="J28" s="58"/>
      <c r="K28" s="60"/>
      <c r="L28" s="76"/>
    </row>
    <row r="29" spans="1:12" ht="15.95" customHeight="1" x14ac:dyDescent="0.25">
      <c r="A29" s="13"/>
      <c r="B29" s="10"/>
      <c r="C29" s="11"/>
      <c r="D29" s="11"/>
      <c r="E29" s="10"/>
      <c r="F29" s="11"/>
      <c r="G29" s="11"/>
      <c r="H29" s="11"/>
      <c r="I29" s="63"/>
      <c r="J29" s="58"/>
      <c r="K29" s="60"/>
      <c r="L29" s="76"/>
    </row>
    <row r="30" spans="1:12" ht="15.95" customHeight="1" x14ac:dyDescent="0.25">
      <c r="A30" s="13"/>
      <c r="B30" s="15"/>
      <c r="C30" s="86"/>
      <c r="D30" s="30"/>
      <c r="E30" s="19"/>
      <c r="F30" s="30"/>
      <c r="G30" s="11"/>
      <c r="H30" s="30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0"/>
      <c r="H32" s="11"/>
      <c r="I32" s="63"/>
      <c r="J32" s="58"/>
      <c r="K32" s="60"/>
      <c r="L32" s="76"/>
    </row>
    <row r="33" spans="1:12" ht="15.95" customHeight="1" x14ac:dyDescent="0.25">
      <c r="A33" s="13"/>
      <c r="B33" s="10"/>
      <c r="C33" s="104"/>
      <c r="D33" s="11"/>
      <c r="E33" s="10"/>
      <c r="F33" s="10"/>
      <c r="G33" s="12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2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0"/>
      <c r="H44" s="10"/>
      <c r="I44" s="63"/>
      <c r="J44" s="58"/>
      <c r="K44" s="60"/>
      <c r="L44" s="76"/>
    </row>
    <row r="45" spans="1:12" ht="15.95" customHeight="1" x14ac:dyDescent="0.25">
      <c r="A45" s="71"/>
      <c r="B45" s="10"/>
      <c r="C45" s="31"/>
      <c r="D45" s="31"/>
      <c r="E45" s="469"/>
      <c r="F45" s="469"/>
      <c r="G45" s="78"/>
      <c r="H45" s="31"/>
      <c r="I45" s="72"/>
      <c r="J45" s="58"/>
      <c r="K45" s="71"/>
      <c r="L45" s="77"/>
    </row>
    <row r="46" spans="1:12" ht="15.95" customHeight="1" thickBot="1" x14ac:dyDescent="0.3">
      <c r="A46" s="71"/>
      <c r="B46" s="67"/>
      <c r="C46" s="31"/>
      <c r="D46" s="31"/>
      <c r="E46" s="470"/>
      <c r="F46" s="470"/>
      <c r="G46" s="78"/>
      <c r="H46" s="31"/>
      <c r="I46" s="72"/>
      <c r="J46" s="31"/>
      <c r="K46" s="71"/>
      <c r="L46" s="77"/>
    </row>
    <row r="47" spans="1:12" ht="15.95" customHeight="1" thickBot="1" x14ac:dyDescent="0.3">
      <c r="A47" s="445" t="s">
        <v>13</v>
      </c>
      <c r="B47" s="446"/>
      <c r="C47" s="447"/>
      <c r="D47" s="447"/>
      <c r="E47" s="447"/>
      <c r="F47" s="447"/>
      <c r="G47" s="447"/>
      <c r="H47" s="447"/>
      <c r="I47" s="447"/>
      <c r="J47" s="448"/>
      <c r="K47" s="79">
        <f>SUM(K8:K46)</f>
        <v>40</v>
      </c>
      <c r="L47" s="80">
        <f>K47</f>
        <v>40</v>
      </c>
    </row>
  </sheetData>
  <mergeCells count="10">
    <mergeCell ref="A7:J7"/>
    <mergeCell ref="E45:F45"/>
    <mergeCell ref="E46:F46"/>
    <mergeCell ref="A47:J47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pageSetUpPr fitToPage="1"/>
  </sheetPr>
  <dimension ref="A1:L48"/>
  <sheetViews>
    <sheetView showWhiteSpace="0" view="pageBreakPreview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150</v>
      </c>
      <c r="F1" s="121" t="s">
        <v>4</v>
      </c>
      <c r="G1" s="349">
        <v>45107</v>
      </c>
      <c r="H1" s="121" t="s">
        <v>5</v>
      </c>
      <c r="I1" s="449" t="s">
        <v>351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1+'6" NPCPP'!I2:J2</f>
        <v>23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352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66</v>
      </c>
    </row>
    <row r="6" spans="1:12" ht="20.100000000000001" customHeight="1" thickBot="1" x14ac:dyDescent="0.3">
      <c r="A6" s="129"/>
      <c r="B6" s="29"/>
      <c r="C6" s="199"/>
      <c r="D6" s="29"/>
      <c r="E6" s="29"/>
      <c r="F6" s="19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73"/>
      <c r="C9" s="104"/>
      <c r="D9" s="94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13"/>
      <c r="B10" s="73"/>
      <c r="C10" s="364" t="s">
        <v>353</v>
      </c>
      <c r="D10" s="401">
        <v>250</v>
      </c>
      <c r="E10" s="9" t="s">
        <v>66</v>
      </c>
      <c r="F10" s="38"/>
      <c r="G10" s="10"/>
      <c r="H10" s="25"/>
      <c r="I10" s="92"/>
      <c r="J10" s="58"/>
      <c r="K10" s="59">
        <f>D10</f>
        <v>250</v>
      </c>
      <c r="L10" s="76"/>
    </row>
    <row r="11" spans="1:12" ht="16.5" customHeight="1" x14ac:dyDescent="0.25">
      <c r="A11" s="13"/>
      <c r="B11" s="54"/>
      <c r="C11" s="49"/>
      <c r="D11" s="400"/>
      <c r="E11" s="38"/>
      <c r="F11" s="38"/>
      <c r="G11" s="54"/>
      <c r="H11" s="54"/>
      <c r="I11" s="34"/>
      <c r="J11" s="58"/>
      <c r="K11" s="60"/>
      <c r="L11" s="76"/>
    </row>
    <row r="12" spans="1:12" ht="15.95" customHeight="1" x14ac:dyDescent="0.25">
      <c r="A12" s="13"/>
      <c r="B12" s="11"/>
      <c r="C12" s="49"/>
      <c r="D12" s="197"/>
      <c r="E12" s="203"/>
      <c r="F12" s="198"/>
      <c r="G12" s="22"/>
      <c r="H12" s="28"/>
      <c r="I12" s="88"/>
      <c r="J12" s="58"/>
      <c r="K12" s="103"/>
      <c r="L12" s="76"/>
    </row>
    <row r="13" spans="1:12" ht="15.95" customHeight="1" x14ac:dyDescent="0.25">
      <c r="A13" s="13"/>
      <c r="B13" s="10"/>
      <c r="C13" s="198"/>
      <c r="D13" s="198"/>
      <c r="E13" s="204"/>
      <c r="F13" s="205"/>
      <c r="G13" s="22"/>
      <c r="H13" s="28"/>
      <c r="I13" s="88"/>
      <c r="J13" s="58"/>
      <c r="K13" s="59"/>
      <c r="L13" s="76"/>
    </row>
    <row r="14" spans="1:12" ht="15.95" customHeight="1" x14ac:dyDescent="0.25">
      <c r="A14" s="13"/>
      <c r="B14" s="10"/>
      <c r="C14" s="197"/>
      <c r="D14" s="197"/>
      <c r="E14" s="204"/>
      <c r="F14" s="205"/>
      <c r="G14" s="28"/>
      <c r="H14" s="28"/>
      <c r="I14" s="88"/>
      <c r="J14" s="58"/>
      <c r="K14" s="60"/>
      <c r="L14" s="76"/>
    </row>
    <row r="15" spans="1:12" ht="15.95" customHeight="1" x14ac:dyDescent="0.25">
      <c r="A15" s="13"/>
      <c r="B15" s="73"/>
      <c r="C15" s="197"/>
      <c r="D15" s="197"/>
      <c r="E15" s="204"/>
      <c r="F15" s="206"/>
      <c r="G15" s="28"/>
      <c r="H15" s="28"/>
      <c r="I15" s="88"/>
      <c r="J15" s="58"/>
      <c r="K15" s="60"/>
      <c r="L15" s="76"/>
    </row>
    <row r="16" spans="1:12" ht="15.75" customHeight="1" x14ac:dyDescent="0.25">
      <c r="A16" s="13"/>
      <c r="B16" s="73"/>
      <c r="C16" s="197"/>
      <c r="D16" s="117"/>
      <c r="E16" s="204"/>
      <c r="F16" s="204"/>
      <c r="G16" s="54"/>
      <c r="H16" s="54"/>
      <c r="I16" s="82"/>
      <c r="J16" s="58"/>
      <c r="K16" s="57"/>
      <c r="L16" s="76"/>
    </row>
    <row r="17" spans="1:12" ht="15.75" customHeight="1" x14ac:dyDescent="0.25">
      <c r="A17" s="13"/>
      <c r="B17" s="54"/>
      <c r="C17" s="117"/>
      <c r="D17" s="197"/>
      <c r="E17" s="207"/>
      <c r="F17" s="204"/>
      <c r="G17" s="52"/>
      <c r="H17" s="52"/>
      <c r="I17" s="63"/>
      <c r="J17" s="58"/>
      <c r="K17" s="89"/>
      <c r="L17" s="76"/>
    </row>
    <row r="18" spans="1:12" ht="15.95" customHeight="1" x14ac:dyDescent="0.25">
      <c r="A18" s="13"/>
      <c r="B18" s="11"/>
      <c r="C18" s="198"/>
      <c r="D18" s="198"/>
      <c r="E18" s="208"/>
      <c r="F18" s="198"/>
      <c r="G18" s="11"/>
      <c r="H18" s="11"/>
      <c r="I18" s="63"/>
      <c r="J18" s="58"/>
      <c r="K18" s="103"/>
      <c r="L18" s="76"/>
    </row>
    <row r="19" spans="1:12" ht="15.95" customHeight="1" x14ac:dyDescent="0.25">
      <c r="A19" s="13"/>
      <c r="B19" s="84"/>
      <c r="C19" s="197"/>
      <c r="D19" s="197"/>
      <c r="E19" s="117"/>
      <c r="F19" s="117"/>
      <c r="G19" s="11"/>
      <c r="H19" s="11"/>
      <c r="I19" s="63"/>
      <c r="J19" s="58"/>
      <c r="K19" s="60"/>
      <c r="L19" s="76"/>
    </row>
    <row r="20" spans="1:12" ht="15.95" customHeight="1" x14ac:dyDescent="0.25">
      <c r="A20" s="13"/>
      <c r="B20" s="34"/>
      <c r="C20" s="38"/>
      <c r="D20" s="197"/>
      <c r="E20" s="197"/>
      <c r="F20" s="197"/>
      <c r="G20" s="12"/>
      <c r="H20" s="12"/>
      <c r="I20" s="63"/>
      <c r="J20" s="58"/>
      <c r="K20" s="103"/>
      <c r="L20" s="76"/>
    </row>
    <row r="21" spans="1:12" ht="15.95" customHeight="1" x14ac:dyDescent="0.25">
      <c r="A21" s="13"/>
      <c r="B21" s="34"/>
      <c r="C21" s="38"/>
      <c r="D21" s="38"/>
      <c r="E21" s="38"/>
      <c r="F21" s="38"/>
      <c r="G21" s="12"/>
      <c r="H21" s="12"/>
      <c r="I21" s="63"/>
      <c r="J21" s="58"/>
      <c r="K21" s="60"/>
      <c r="L21" s="76"/>
    </row>
    <row r="22" spans="1:12" ht="15.95" customHeight="1" x14ac:dyDescent="0.25">
      <c r="A22" s="13"/>
      <c r="B22" s="73"/>
      <c r="C22" s="22"/>
      <c r="D22" s="11"/>
      <c r="E22" s="10"/>
      <c r="F22" s="10"/>
      <c r="G22" s="10"/>
      <c r="H22" s="10"/>
      <c r="I22" s="63"/>
      <c r="J22" s="58"/>
      <c r="K22" s="57"/>
      <c r="L22" s="76"/>
    </row>
    <row r="23" spans="1:12" ht="15.95" customHeight="1" x14ac:dyDescent="0.25">
      <c r="A23" s="13"/>
      <c r="B23" s="10"/>
      <c r="C23" s="22"/>
      <c r="D23" s="11"/>
      <c r="E23" s="10"/>
      <c r="F23" s="10"/>
      <c r="G23" s="12"/>
      <c r="H23" s="12"/>
      <c r="I23" s="63"/>
      <c r="J23" s="58"/>
      <c r="K23" s="59"/>
      <c r="L23" s="76"/>
    </row>
    <row r="24" spans="1:12" ht="18.75" customHeight="1" x14ac:dyDescent="0.25">
      <c r="A24" s="13"/>
      <c r="B24" s="54"/>
      <c r="C24" s="52"/>
      <c r="D24" s="87"/>
      <c r="E24" s="54"/>
      <c r="F24" s="54"/>
      <c r="G24" s="53"/>
      <c r="H24" s="53"/>
      <c r="I24" s="63"/>
      <c r="J24" s="58"/>
      <c r="K24" s="60"/>
      <c r="L24" s="76"/>
    </row>
    <row r="25" spans="1:12" ht="15.95" customHeight="1" x14ac:dyDescent="0.25">
      <c r="A25" s="13"/>
      <c r="B25" s="10"/>
      <c r="C25" s="11"/>
      <c r="D25" s="11"/>
      <c r="E25" s="10"/>
      <c r="F25" s="11"/>
      <c r="G25" s="11"/>
      <c r="H25" s="11"/>
      <c r="I25" s="63"/>
      <c r="J25" s="58"/>
      <c r="K25" s="60"/>
      <c r="L25" s="76"/>
    </row>
    <row r="26" spans="1:12" ht="15.95" customHeight="1" x14ac:dyDescent="0.25">
      <c r="A26" s="13"/>
      <c r="B26" s="10"/>
      <c r="C26" s="11"/>
      <c r="D26" s="11"/>
      <c r="E26" s="10"/>
      <c r="F26" s="11"/>
      <c r="G26" s="11"/>
      <c r="H26" s="11"/>
      <c r="I26" s="63"/>
      <c r="J26" s="58"/>
      <c r="K26" s="60"/>
      <c r="L26" s="76"/>
    </row>
    <row r="27" spans="1:12" ht="15.95" customHeight="1" x14ac:dyDescent="0.25">
      <c r="A27" s="13"/>
      <c r="B27" s="15"/>
      <c r="C27" s="11"/>
      <c r="D27" s="11"/>
      <c r="E27" s="10"/>
      <c r="F27" s="11"/>
      <c r="G27" s="11"/>
      <c r="H27" s="11"/>
      <c r="I27" s="63"/>
      <c r="J27" s="58"/>
      <c r="K27" s="60"/>
      <c r="L27" s="76"/>
    </row>
    <row r="28" spans="1:12" ht="15.95" customHeight="1" x14ac:dyDescent="0.25">
      <c r="A28" s="13"/>
      <c r="B28" s="10"/>
      <c r="C28" s="86"/>
      <c r="D28" s="30"/>
      <c r="E28" s="19"/>
      <c r="F28" s="11"/>
      <c r="G28" s="11"/>
      <c r="H28" s="30"/>
      <c r="I28" s="63"/>
      <c r="J28" s="58"/>
      <c r="K28" s="60"/>
      <c r="L28" s="76"/>
    </row>
    <row r="29" spans="1:12" ht="15.95" customHeight="1" x14ac:dyDescent="0.25">
      <c r="A29" s="13"/>
      <c r="B29" s="15"/>
      <c r="C29" s="86"/>
      <c r="D29" s="30"/>
      <c r="E29" s="19"/>
      <c r="F29" s="30"/>
      <c r="G29" s="11"/>
      <c r="H29" s="30"/>
      <c r="I29" s="63"/>
      <c r="J29" s="58"/>
      <c r="K29" s="60"/>
      <c r="L29" s="76"/>
    </row>
    <row r="30" spans="1:12" ht="15.95" customHeight="1" x14ac:dyDescent="0.25">
      <c r="A30" s="13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1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2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2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71"/>
      <c r="B46" s="10"/>
      <c r="C46" s="25"/>
      <c r="D46" s="25"/>
      <c r="E46" s="100"/>
      <c r="F46" s="100"/>
      <c r="G46" s="97"/>
      <c r="H46" s="25"/>
      <c r="I46" s="92"/>
      <c r="J46" s="32"/>
      <c r="K46" s="71"/>
      <c r="L46" s="77"/>
    </row>
    <row r="47" spans="1:12" ht="15.95" customHeight="1" thickBot="1" x14ac:dyDescent="0.3">
      <c r="A47" s="71"/>
      <c r="B47" s="67"/>
      <c r="C47" s="67"/>
      <c r="D47" s="67"/>
      <c r="E47" s="101"/>
      <c r="F47" s="101"/>
      <c r="G47" s="98"/>
      <c r="H47" s="67"/>
      <c r="I47" s="99"/>
      <c r="J47" s="68"/>
      <c r="K47" s="71"/>
      <c r="L47" s="77"/>
    </row>
    <row r="48" spans="1:12" ht="15.95" customHeight="1" thickBot="1" x14ac:dyDescent="0.3">
      <c r="A48" s="445" t="s">
        <v>13</v>
      </c>
      <c r="B48" s="446"/>
      <c r="C48" s="447"/>
      <c r="D48" s="447"/>
      <c r="E48" s="447"/>
      <c r="F48" s="447"/>
      <c r="G48" s="447"/>
      <c r="H48" s="447"/>
      <c r="I48" s="447"/>
      <c r="J48" s="448"/>
      <c r="K48" s="79">
        <f>SUM(K8:K47)</f>
        <v>250</v>
      </c>
      <c r="L48" s="80">
        <f>K48</f>
        <v>250</v>
      </c>
    </row>
  </sheetData>
  <mergeCells count="8">
    <mergeCell ref="A7:J7"/>
    <mergeCell ref="A48:J48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L153"/>
  <sheetViews>
    <sheetView showWhiteSpace="0" view="pageBreakPreview" topLeftCell="A124" zoomScale="80" zoomScaleNormal="100" zoomScaleSheetLayoutView="80" workbookViewId="0">
      <selection activeCell="AD16" sqref="AD16"/>
    </sheetView>
  </sheetViews>
  <sheetFormatPr defaultColWidth="2.85546875" defaultRowHeight="15" customHeight="1" x14ac:dyDescent="0.25"/>
  <cols>
    <col min="2" max="2" width="9.5703125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337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1+PATCHING!I2</f>
        <v>24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338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34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9" t="s">
        <v>248</v>
      </c>
      <c r="C9" s="104"/>
      <c r="D9" s="128"/>
      <c r="E9" s="148"/>
      <c r="F9" s="10"/>
      <c r="G9" s="10"/>
      <c r="H9" s="10"/>
      <c r="I9" s="63"/>
      <c r="J9" s="58"/>
      <c r="K9" s="6"/>
      <c r="L9" s="75"/>
    </row>
    <row r="10" spans="1:12" ht="60" customHeight="1" x14ac:dyDescent="0.25">
      <c r="A10" s="13"/>
      <c r="B10" s="73"/>
      <c r="C10" s="314" t="s">
        <v>244</v>
      </c>
      <c r="D10" s="96" t="s">
        <v>245</v>
      </c>
      <c r="E10" s="475" t="s">
        <v>253</v>
      </c>
      <c r="F10" s="476"/>
      <c r="G10" s="314" t="s">
        <v>14</v>
      </c>
      <c r="H10" s="10"/>
      <c r="I10" s="63"/>
      <c r="J10" s="58"/>
      <c r="K10" s="60"/>
      <c r="L10" s="76"/>
    </row>
    <row r="11" spans="1:12" ht="15.95" customHeight="1" x14ac:dyDescent="0.25">
      <c r="A11" s="13"/>
      <c r="B11" s="38"/>
      <c r="C11" s="63">
        <v>1</v>
      </c>
      <c r="D11" s="104">
        <v>1141</v>
      </c>
      <c r="E11" s="471">
        <v>1139.7</v>
      </c>
      <c r="F11" s="472"/>
      <c r="G11" s="22">
        <f>D11-E11</f>
        <v>1.2999999999999545</v>
      </c>
      <c r="H11" s="10"/>
      <c r="I11" s="63"/>
      <c r="J11" s="58"/>
      <c r="K11" s="60"/>
      <c r="L11" s="76"/>
    </row>
    <row r="12" spans="1:12" ht="15.95" customHeight="1" x14ac:dyDescent="0.25">
      <c r="A12" s="60"/>
      <c r="B12" s="38"/>
      <c r="C12" s="63">
        <v>3</v>
      </c>
      <c r="D12" s="104">
        <v>1141</v>
      </c>
      <c r="E12" s="471">
        <v>1139.7</v>
      </c>
      <c r="F12" s="472"/>
      <c r="G12" s="22">
        <f t="shared" ref="G12:G34" si="0">D12-E12</f>
        <v>1.2999999999999545</v>
      </c>
      <c r="H12" s="10"/>
      <c r="I12" s="63"/>
      <c r="J12" s="58"/>
      <c r="K12" s="60"/>
      <c r="L12" s="76"/>
    </row>
    <row r="13" spans="1:12" ht="15.95" customHeight="1" x14ac:dyDescent="0.25">
      <c r="A13" s="60"/>
      <c r="B13" s="38"/>
      <c r="C13" s="63">
        <v>5</v>
      </c>
      <c r="D13" s="104">
        <v>1141</v>
      </c>
      <c r="E13" s="471">
        <v>1139.7</v>
      </c>
      <c r="F13" s="472"/>
      <c r="G13" s="22">
        <f t="shared" si="0"/>
        <v>1.2999999999999545</v>
      </c>
      <c r="H13" s="10"/>
      <c r="I13" s="63"/>
      <c r="J13" s="58"/>
      <c r="K13" s="59"/>
      <c r="L13" s="76"/>
    </row>
    <row r="14" spans="1:12" ht="15.95" customHeight="1" x14ac:dyDescent="0.25">
      <c r="A14" s="60"/>
      <c r="B14" s="10"/>
      <c r="C14" s="63">
        <v>7</v>
      </c>
      <c r="D14" s="104">
        <v>1143</v>
      </c>
      <c r="E14" s="471">
        <v>1139.7</v>
      </c>
      <c r="F14" s="472"/>
      <c r="G14" s="22">
        <f t="shared" si="0"/>
        <v>3.2999999999999545</v>
      </c>
      <c r="H14" s="10"/>
      <c r="I14" s="63"/>
      <c r="J14" s="58"/>
      <c r="K14" s="60"/>
      <c r="L14" s="76"/>
    </row>
    <row r="15" spans="1:12" ht="15.95" customHeight="1" x14ac:dyDescent="0.25">
      <c r="A15" s="60"/>
      <c r="B15" s="10"/>
      <c r="C15" s="63">
        <v>9</v>
      </c>
      <c r="D15" s="104">
        <v>1143</v>
      </c>
      <c r="E15" s="471">
        <v>1139.7</v>
      </c>
      <c r="F15" s="472"/>
      <c r="G15" s="22">
        <f t="shared" si="0"/>
        <v>3.2999999999999545</v>
      </c>
      <c r="H15" s="10"/>
      <c r="I15" s="63"/>
      <c r="J15" s="58"/>
      <c r="K15" s="60"/>
      <c r="L15" s="76"/>
    </row>
    <row r="16" spans="1:12" ht="15.95" customHeight="1" x14ac:dyDescent="0.25">
      <c r="A16" s="60"/>
      <c r="B16" s="73"/>
      <c r="C16" s="63">
        <v>11</v>
      </c>
      <c r="D16" s="104">
        <v>1143</v>
      </c>
      <c r="E16" s="471">
        <v>1139.7</v>
      </c>
      <c r="F16" s="472"/>
      <c r="G16" s="22">
        <f t="shared" si="0"/>
        <v>3.2999999999999545</v>
      </c>
      <c r="H16" s="10"/>
      <c r="I16" s="63"/>
      <c r="J16" s="58"/>
      <c r="K16" s="60"/>
      <c r="L16" s="76"/>
    </row>
    <row r="17" spans="1:12" ht="15.95" customHeight="1" x14ac:dyDescent="0.25">
      <c r="A17" s="60"/>
      <c r="B17" s="38"/>
      <c r="C17" s="63">
        <v>13</v>
      </c>
      <c r="D17" s="104">
        <v>1143</v>
      </c>
      <c r="E17" s="471">
        <v>1139.7</v>
      </c>
      <c r="F17" s="472"/>
      <c r="G17" s="22">
        <f t="shared" si="0"/>
        <v>3.2999999999999545</v>
      </c>
      <c r="H17" s="10"/>
      <c r="I17" s="63"/>
      <c r="J17" s="58"/>
      <c r="K17" s="60"/>
      <c r="L17" s="76"/>
    </row>
    <row r="18" spans="1:12" ht="15.95" customHeight="1" x14ac:dyDescent="0.25">
      <c r="A18" s="60"/>
      <c r="B18" s="38"/>
      <c r="C18" s="63">
        <v>15</v>
      </c>
      <c r="D18" s="104">
        <v>1143</v>
      </c>
      <c r="E18" s="471">
        <v>1139.7</v>
      </c>
      <c r="F18" s="472"/>
      <c r="G18" s="22">
        <f t="shared" si="0"/>
        <v>3.2999999999999545</v>
      </c>
      <c r="H18" s="10"/>
      <c r="I18" s="63"/>
      <c r="J18" s="58"/>
      <c r="K18" s="60"/>
      <c r="L18" s="76"/>
    </row>
    <row r="19" spans="1:12" ht="15.95" customHeight="1" x14ac:dyDescent="0.25">
      <c r="A19" s="60"/>
      <c r="B19" s="38"/>
      <c r="C19" s="63">
        <v>17</v>
      </c>
      <c r="D19" s="104">
        <v>1143</v>
      </c>
      <c r="E19" s="471">
        <v>1139.7</v>
      </c>
      <c r="F19" s="472"/>
      <c r="G19" s="22">
        <f t="shared" si="0"/>
        <v>3.2999999999999545</v>
      </c>
      <c r="H19" s="10"/>
      <c r="I19" s="63"/>
      <c r="J19" s="58"/>
      <c r="K19" s="59"/>
      <c r="L19" s="76"/>
    </row>
    <row r="20" spans="1:12" ht="15.95" customHeight="1" x14ac:dyDescent="0.25">
      <c r="A20" s="60"/>
      <c r="B20" s="38"/>
      <c r="C20" s="63">
        <v>19</v>
      </c>
      <c r="D20" s="104">
        <v>1143</v>
      </c>
      <c r="E20" s="471">
        <v>1139.7</v>
      </c>
      <c r="F20" s="472"/>
      <c r="G20" s="22">
        <f t="shared" si="0"/>
        <v>3.2999999999999545</v>
      </c>
      <c r="H20" s="10"/>
      <c r="I20" s="63"/>
      <c r="J20" s="58"/>
      <c r="K20" s="57"/>
      <c r="L20" s="76"/>
    </row>
    <row r="21" spans="1:12" ht="15.95" customHeight="1" x14ac:dyDescent="0.25">
      <c r="A21" s="60"/>
      <c r="B21" s="38"/>
      <c r="C21" s="63">
        <v>21</v>
      </c>
      <c r="D21" s="104">
        <v>1143</v>
      </c>
      <c r="E21" s="471">
        <v>1139.7</v>
      </c>
      <c r="F21" s="472"/>
      <c r="G21" s="22">
        <f t="shared" si="0"/>
        <v>3.2999999999999545</v>
      </c>
      <c r="H21" s="10"/>
      <c r="I21" s="63"/>
      <c r="J21" s="189"/>
      <c r="K21" s="57"/>
      <c r="L21" s="76"/>
    </row>
    <row r="22" spans="1:12" ht="15.95" customHeight="1" x14ac:dyDescent="0.25">
      <c r="A22" s="60"/>
      <c r="B22" s="10"/>
      <c r="C22" s="63">
        <v>23</v>
      </c>
      <c r="D22" s="104">
        <v>1143</v>
      </c>
      <c r="E22" s="471">
        <v>1139.7</v>
      </c>
      <c r="F22" s="472"/>
      <c r="G22" s="22">
        <f t="shared" si="0"/>
        <v>3.2999999999999545</v>
      </c>
      <c r="H22" s="10"/>
      <c r="I22" s="63"/>
      <c r="J22" s="58"/>
      <c r="K22" s="60"/>
      <c r="L22" s="76"/>
    </row>
    <row r="23" spans="1:12" ht="15.95" customHeight="1" x14ac:dyDescent="0.25">
      <c r="A23" s="60"/>
      <c r="B23" s="10"/>
      <c r="C23" s="63">
        <v>25</v>
      </c>
      <c r="D23" s="104">
        <v>1143</v>
      </c>
      <c r="E23" s="471">
        <v>1139.7</v>
      </c>
      <c r="F23" s="472"/>
      <c r="G23" s="22">
        <f t="shared" si="0"/>
        <v>3.2999999999999545</v>
      </c>
      <c r="H23" s="10"/>
      <c r="I23" s="63"/>
      <c r="J23" s="58"/>
      <c r="K23" s="60"/>
      <c r="L23" s="76"/>
    </row>
    <row r="24" spans="1:12" ht="15.95" customHeight="1" x14ac:dyDescent="0.25">
      <c r="A24" s="60"/>
      <c r="B24" s="10"/>
      <c r="C24" s="63">
        <v>27</v>
      </c>
      <c r="D24" s="104">
        <v>1143</v>
      </c>
      <c r="E24" s="471">
        <v>1139.7</v>
      </c>
      <c r="F24" s="472"/>
      <c r="G24" s="22">
        <f t="shared" si="0"/>
        <v>3.2999999999999545</v>
      </c>
      <c r="H24" s="10"/>
      <c r="I24" s="63"/>
      <c r="J24" s="58"/>
      <c r="K24" s="60"/>
      <c r="L24" s="76"/>
    </row>
    <row r="25" spans="1:12" ht="15.95" customHeight="1" x14ac:dyDescent="0.25">
      <c r="A25" s="60"/>
      <c r="B25" s="10"/>
      <c r="C25" s="63">
        <v>29</v>
      </c>
      <c r="D25" s="104">
        <v>1143</v>
      </c>
      <c r="E25" s="471">
        <v>1139.7</v>
      </c>
      <c r="F25" s="472"/>
      <c r="G25" s="22">
        <f t="shared" si="0"/>
        <v>3.2999999999999545</v>
      </c>
      <c r="H25" s="10"/>
      <c r="I25" s="63"/>
      <c r="J25" s="58"/>
      <c r="K25" s="60"/>
      <c r="L25" s="76"/>
    </row>
    <row r="26" spans="1:12" ht="15.95" customHeight="1" x14ac:dyDescent="0.25">
      <c r="A26" s="60"/>
      <c r="B26" s="10"/>
      <c r="C26" s="63">
        <v>31</v>
      </c>
      <c r="D26" s="104">
        <v>1143</v>
      </c>
      <c r="E26" s="471">
        <v>1139.7</v>
      </c>
      <c r="F26" s="472"/>
      <c r="G26" s="22">
        <f t="shared" si="0"/>
        <v>3.2999999999999545</v>
      </c>
      <c r="H26" s="10"/>
      <c r="I26" s="63"/>
      <c r="J26" s="58"/>
      <c r="K26" s="60"/>
      <c r="L26" s="76"/>
    </row>
    <row r="27" spans="1:12" ht="15.95" customHeight="1" x14ac:dyDescent="0.25">
      <c r="A27" s="60"/>
      <c r="B27" s="10"/>
      <c r="C27" s="63">
        <v>33</v>
      </c>
      <c r="D27" s="104">
        <v>1143</v>
      </c>
      <c r="E27" s="471">
        <v>1139.7</v>
      </c>
      <c r="F27" s="472"/>
      <c r="G27" s="22">
        <f t="shared" si="0"/>
        <v>3.2999999999999545</v>
      </c>
      <c r="H27" s="10"/>
      <c r="I27" s="63"/>
      <c r="J27" s="58"/>
      <c r="K27" s="60"/>
      <c r="L27" s="76"/>
    </row>
    <row r="28" spans="1:12" ht="15.95" customHeight="1" x14ac:dyDescent="0.25">
      <c r="A28" s="60"/>
      <c r="B28" s="10"/>
      <c r="C28" s="63">
        <v>35</v>
      </c>
      <c r="D28" s="104">
        <v>1143</v>
      </c>
      <c r="E28" s="471">
        <v>1139.7</v>
      </c>
      <c r="F28" s="472"/>
      <c r="G28" s="22">
        <f t="shared" si="0"/>
        <v>3.2999999999999545</v>
      </c>
      <c r="H28" s="10"/>
      <c r="I28" s="63"/>
      <c r="J28" s="58"/>
      <c r="K28" s="60"/>
      <c r="L28" s="76"/>
    </row>
    <row r="29" spans="1:12" ht="15.95" customHeight="1" x14ac:dyDescent="0.25">
      <c r="A29" s="60"/>
      <c r="B29" s="10"/>
      <c r="C29" s="63">
        <v>37</v>
      </c>
      <c r="D29" s="104">
        <v>1143</v>
      </c>
      <c r="E29" s="471">
        <v>1139.7</v>
      </c>
      <c r="F29" s="472"/>
      <c r="G29" s="22">
        <f t="shared" si="0"/>
        <v>3.2999999999999545</v>
      </c>
      <c r="H29" s="10"/>
      <c r="I29" s="63"/>
      <c r="J29" s="58"/>
      <c r="K29" s="60"/>
      <c r="L29" s="76"/>
    </row>
    <row r="30" spans="1:12" ht="15.95" customHeight="1" x14ac:dyDescent="0.25">
      <c r="A30" s="60"/>
      <c r="B30" s="10"/>
      <c r="C30" s="63">
        <v>39</v>
      </c>
      <c r="D30" s="104">
        <v>1143</v>
      </c>
      <c r="E30" s="471">
        <v>1139.7</v>
      </c>
      <c r="F30" s="472"/>
      <c r="G30" s="22">
        <f t="shared" si="0"/>
        <v>3.2999999999999545</v>
      </c>
      <c r="H30" s="10"/>
      <c r="I30" s="63"/>
      <c r="J30" s="58"/>
      <c r="K30" s="60"/>
      <c r="L30" s="76"/>
    </row>
    <row r="31" spans="1:12" ht="15.95" customHeight="1" x14ac:dyDescent="0.25">
      <c r="A31" s="60"/>
      <c r="B31" s="10"/>
      <c r="C31" s="63">
        <v>41</v>
      </c>
      <c r="D31" s="104">
        <v>1151</v>
      </c>
      <c r="E31" s="471">
        <v>1139.7</v>
      </c>
      <c r="F31" s="472"/>
      <c r="G31" s="22">
        <f t="shared" si="0"/>
        <v>11.299999999999955</v>
      </c>
      <c r="H31" s="10"/>
      <c r="I31" s="63"/>
      <c r="J31" s="58"/>
      <c r="K31" s="60"/>
      <c r="L31" s="76"/>
    </row>
    <row r="32" spans="1:12" ht="15.95" customHeight="1" x14ac:dyDescent="0.25">
      <c r="A32" s="60"/>
      <c r="B32" s="10"/>
      <c r="C32" s="63">
        <v>43</v>
      </c>
      <c r="D32" s="104">
        <v>1153</v>
      </c>
      <c r="E32" s="471">
        <v>1139.7</v>
      </c>
      <c r="F32" s="472"/>
      <c r="G32" s="22">
        <f t="shared" si="0"/>
        <v>13.299999999999955</v>
      </c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63">
        <v>45</v>
      </c>
      <c r="D33" s="104">
        <v>1153</v>
      </c>
      <c r="E33" s="471">
        <v>1139.7</v>
      </c>
      <c r="F33" s="472"/>
      <c r="G33" s="22">
        <f t="shared" si="0"/>
        <v>13.299999999999955</v>
      </c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63">
        <v>47</v>
      </c>
      <c r="D34" s="104">
        <v>1157</v>
      </c>
      <c r="E34" s="459">
        <f>1145</f>
        <v>1145</v>
      </c>
      <c r="F34" s="460"/>
      <c r="G34" s="22">
        <f t="shared" si="0"/>
        <v>12</v>
      </c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 t="s">
        <v>50</v>
      </c>
      <c r="G35" s="63">
        <f>SUM(G11:G34)</f>
        <v>109.89999999999895</v>
      </c>
      <c r="H35" s="10"/>
      <c r="I35" s="63"/>
      <c r="J35" s="58"/>
      <c r="K35" s="57">
        <f>G35</f>
        <v>109.89999999999895</v>
      </c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0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0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0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0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0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60"/>
      <c r="B46" s="10"/>
      <c r="C46" s="104"/>
      <c r="D46" s="11"/>
      <c r="E46" s="10"/>
      <c r="F46" s="10"/>
      <c r="G46" s="10"/>
      <c r="H46" s="10"/>
      <c r="I46" s="63"/>
      <c r="J46" s="58"/>
      <c r="K46" s="60"/>
      <c r="L46" s="76"/>
    </row>
    <row r="47" spans="1:12" ht="15.95" customHeight="1" x14ac:dyDescent="0.25">
      <c r="A47" s="60"/>
      <c r="B47" s="10"/>
      <c r="C47" s="104"/>
      <c r="D47" s="11"/>
      <c r="E47" s="10"/>
      <c r="F47" s="10"/>
      <c r="G47" s="10"/>
      <c r="H47" s="10"/>
      <c r="I47" s="63"/>
      <c r="J47" s="58"/>
      <c r="K47" s="60"/>
      <c r="L47" s="76"/>
    </row>
    <row r="48" spans="1:12" ht="15.95" customHeight="1" x14ac:dyDescent="0.25">
      <c r="A48" s="60"/>
      <c r="B48" s="10"/>
      <c r="C48" s="104"/>
      <c r="D48" s="11"/>
      <c r="E48" s="10"/>
      <c r="F48" s="10"/>
      <c r="G48" s="10"/>
      <c r="H48" s="10"/>
      <c r="I48" s="63"/>
      <c r="J48" s="58"/>
      <c r="K48" s="60"/>
      <c r="L48" s="76"/>
    </row>
    <row r="49" spans="1:12" ht="15.95" customHeight="1" x14ac:dyDescent="0.25">
      <c r="A49" s="71"/>
      <c r="B49" s="10"/>
      <c r="C49" s="25"/>
      <c r="D49" s="25"/>
      <c r="E49" s="100"/>
      <c r="F49" s="100"/>
      <c r="G49" s="97"/>
      <c r="H49" s="25"/>
      <c r="I49" s="92"/>
      <c r="J49" s="32"/>
      <c r="K49" s="71"/>
      <c r="L49" s="77"/>
    </row>
    <row r="50" spans="1:12" ht="15.95" customHeight="1" thickBot="1" x14ac:dyDescent="0.3">
      <c r="A50" s="71"/>
      <c r="B50" s="67"/>
      <c r="C50" s="67"/>
      <c r="D50" s="67"/>
      <c r="E50" s="101"/>
      <c r="F50" s="101"/>
      <c r="G50" s="98"/>
      <c r="H50" s="67"/>
      <c r="I50" s="99"/>
      <c r="J50" s="68"/>
      <c r="K50" s="71"/>
      <c r="L50" s="77"/>
    </row>
    <row r="51" spans="1:12" ht="15.95" customHeight="1" thickBot="1" x14ac:dyDescent="0.3">
      <c r="A51" s="445" t="s">
        <v>13</v>
      </c>
      <c r="B51" s="446"/>
      <c r="C51" s="447"/>
      <c r="D51" s="447"/>
      <c r="E51" s="447"/>
      <c r="F51" s="447"/>
      <c r="G51" s="447"/>
      <c r="H51" s="447"/>
      <c r="I51" s="447"/>
      <c r="J51" s="448"/>
      <c r="K51" s="79">
        <f>SUM(K8:K50)</f>
        <v>109.89999999999895</v>
      </c>
      <c r="L51" s="80"/>
    </row>
    <row r="52" spans="1:12" ht="15" customHeight="1" x14ac:dyDescent="0.4">
      <c r="A52" s="118" t="s">
        <v>0</v>
      </c>
      <c r="B52" s="119"/>
      <c r="C52" s="120"/>
      <c r="D52" s="121" t="s">
        <v>2</v>
      </c>
      <c r="E52" s="167" t="s">
        <v>229</v>
      </c>
      <c r="F52" s="121" t="s">
        <v>4</v>
      </c>
      <c r="G52" s="351">
        <v>44855</v>
      </c>
      <c r="H52" s="121" t="s">
        <v>5</v>
      </c>
      <c r="I52" s="449" t="s">
        <v>337</v>
      </c>
      <c r="J52" s="450"/>
      <c r="K52" s="120"/>
      <c r="L52" s="123"/>
    </row>
    <row r="53" spans="1:12" ht="15" customHeight="1" x14ac:dyDescent="0.4">
      <c r="A53" s="124" t="s">
        <v>1</v>
      </c>
      <c r="B53" s="109"/>
      <c r="D53" s="2" t="s">
        <v>3</v>
      </c>
      <c r="E53" s="1"/>
      <c r="F53" s="2" t="s">
        <v>4</v>
      </c>
      <c r="G53" s="56"/>
      <c r="H53" s="3" t="s">
        <v>6</v>
      </c>
      <c r="I53" s="451">
        <f>I2+1</f>
        <v>25</v>
      </c>
      <c r="J53" s="452"/>
      <c r="L53" s="110"/>
    </row>
    <row r="54" spans="1:12" ht="15" customHeight="1" x14ac:dyDescent="0.25">
      <c r="A54" s="70"/>
      <c r="L54" s="110"/>
    </row>
    <row r="55" spans="1:12" ht="15" customHeight="1" x14ac:dyDescent="0.25">
      <c r="A55" s="168" t="s">
        <v>7</v>
      </c>
      <c r="B55" s="111"/>
      <c r="C55" s="453">
        <v>108774</v>
      </c>
      <c r="D55" s="453"/>
      <c r="E55" s="112" t="s">
        <v>91</v>
      </c>
      <c r="F55" s="453" t="s">
        <v>218</v>
      </c>
      <c r="G55" s="453"/>
      <c r="H55" s="112" t="s">
        <v>11</v>
      </c>
      <c r="I55" s="454"/>
      <c r="J55" s="454"/>
      <c r="K55" s="454"/>
      <c r="L55" s="455"/>
    </row>
    <row r="56" spans="1:12" ht="15" customHeight="1" x14ac:dyDescent="0.25">
      <c r="A56" s="168" t="s">
        <v>10</v>
      </c>
      <c r="B56" s="111"/>
      <c r="C56" s="456" t="s">
        <v>338</v>
      </c>
      <c r="D56" s="456"/>
      <c r="E56" s="456"/>
      <c r="F56" s="456"/>
      <c r="G56" s="456"/>
      <c r="H56" s="456"/>
      <c r="I56" s="456"/>
      <c r="J56" s="456"/>
      <c r="K56" s="111" t="s">
        <v>8</v>
      </c>
      <c r="L56" s="113" t="s">
        <v>34</v>
      </c>
    </row>
    <row r="57" spans="1:12" ht="15" customHeight="1" thickBot="1" x14ac:dyDescent="0.3">
      <c r="A57" s="70"/>
      <c r="L57" s="110"/>
    </row>
    <row r="58" spans="1:12" ht="15" customHeight="1" thickBot="1" x14ac:dyDescent="0.3">
      <c r="A58" s="441" t="s">
        <v>18</v>
      </c>
      <c r="B58" s="442"/>
      <c r="C58" s="443"/>
      <c r="D58" s="443"/>
      <c r="E58" s="443"/>
      <c r="F58" s="443"/>
      <c r="G58" s="443"/>
      <c r="H58" s="443"/>
      <c r="I58" s="443"/>
      <c r="J58" s="444"/>
      <c r="K58" s="105" t="s">
        <v>12</v>
      </c>
      <c r="L58" s="74" t="s">
        <v>13</v>
      </c>
    </row>
    <row r="59" spans="1:12" ht="15" customHeight="1" x14ac:dyDescent="0.25">
      <c r="A59" s="93"/>
      <c r="B59" s="83"/>
      <c r="C59" s="104"/>
      <c r="D59" s="11"/>
      <c r="E59" s="10"/>
      <c r="F59" s="10"/>
      <c r="G59" s="10"/>
      <c r="H59" s="10"/>
      <c r="I59" s="63"/>
      <c r="J59" s="58"/>
      <c r="K59" s="7"/>
      <c r="L59" s="75"/>
    </row>
    <row r="60" spans="1:12" ht="15" customHeight="1" x14ac:dyDescent="0.25">
      <c r="A60" s="13"/>
      <c r="B60" s="9" t="s">
        <v>249</v>
      </c>
      <c r="C60" s="104"/>
      <c r="D60" s="128"/>
      <c r="E60" s="148"/>
      <c r="F60" s="10"/>
      <c r="G60" s="10"/>
      <c r="H60" s="10"/>
      <c r="I60" s="63"/>
      <c r="J60" s="58"/>
      <c r="K60" s="6"/>
      <c r="L60" s="75"/>
    </row>
    <row r="61" spans="1:12" ht="45" customHeight="1" x14ac:dyDescent="0.25">
      <c r="A61" s="13"/>
      <c r="B61" s="73"/>
      <c r="C61" s="314" t="s">
        <v>244</v>
      </c>
      <c r="D61" s="96" t="s">
        <v>245</v>
      </c>
      <c r="E61" s="475" t="s">
        <v>253</v>
      </c>
      <c r="F61" s="476"/>
      <c r="G61" s="314" t="s">
        <v>14</v>
      </c>
      <c r="H61" s="10"/>
      <c r="I61" s="63"/>
      <c r="J61" s="58"/>
      <c r="K61" s="60"/>
      <c r="L61" s="76"/>
    </row>
    <row r="62" spans="1:12" ht="15" customHeight="1" x14ac:dyDescent="0.25">
      <c r="A62" s="13"/>
      <c r="B62" s="38"/>
      <c r="C62" s="63">
        <v>2</v>
      </c>
      <c r="D62" s="104">
        <v>1141</v>
      </c>
      <c r="E62" s="471">
        <v>1139.7</v>
      </c>
      <c r="F62" s="472"/>
      <c r="G62" s="22">
        <f>D62-E62</f>
        <v>1.2999999999999545</v>
      </c>
      <c r="H62" s="10"/>
      <c r="I62" s="63"/>
      <c r="J62" s="58"/>
      <c r="K62" s="60"/>
      <c r="L62" s="76"/>
    </row>
    <row r="63" spans="1:12" ht="15" customHeight="1" x14ac:dyDescent="0.25">
      <c r="A63" s="60"/>
      <c r="B63" s="38"/>
      <c r="C63" s="63">
        <v>4</v>
      </c>
      <c r="D63" s="104">
        <v>1141</v>
      </c>
      <c r="E63" s="471">
        <v>1139.7</v>
      </c>
      <c r="F63" s="472"/>
      <c r="G63" s="22">
        <f t="shared" ref="G63:G85" si="1">D63-E63</f>
        <v>1.2999999999999545</v>
      </c>
      <c r="H63" s="10"/>
      <c r="I63" s="63"/>
      <c r="J63" s="58"/>
      <c r="K63" s="60"/>
      <c r="L63" s="76"/>
    </row>
    <row r="64" spans="1:12" ht="15" customHeight="1" x14ac:dyDescent="0.25">
      <c r="A64" s="60"/>
      <c r="B64" s="38"/>
      <c r="C64" s="63">
        <v>6</v>
      </c>
      <c r="D64" s="104">
        <v>1141</v>
      </c>
      <c r="E64" s="471">
        <v>1139.7</v>
      </c>
      <c r="F64" s="472"/>
      <c r="G64" s="22">
        <f t="shared" si="1"/>
        <v>1.2999999999999545</v>
      </c>
      <c r="H64" s="10"/>
      <c r="I64" s="63"/>
      <c r="J64" s="58"/>
      <c r="K64" s="59"/>
      <c r="L64" s="76"/>
    </row>
    <row r="65" spans="1:12" ht="15" customHeight="1" x14ac:dyDescent="0.25">
      <c r="A65" s="60"/>
      <c r="B65" s="10"/>
      <c r="C65" s="63">
        <v>8</v>
      </c>
      <c r="D65" s="104">
        <v>1143</v>
      </c>
      <c r="E65" s="471">
        <v>1139.7</v>
      </c>
      <c r="F65" s="472"/>
      <c r="G65" s="22">
        <f t="shared" si="1"/>
        <v>3.2999999999999545</v>
      </c>
      <c r="H65" s="10"/>
      <c r="I65" s="63"/>
      <c r="J65" s="58"/>
      <c r="K65" s="60"/>
      <c r="L65" s="76"/>
    </row>
    <row r="66" spans="1:12" ht="15" customHeight="1" x14ac:dyDescent="0.25">
      <c r="A66" s="60"/>
      <c r="B66" s="10"/>
      <c r="C66" s="63">
        <v>10</v>
      </c>
      <c r="D66" s="104">
        <v>1143</v>
      </c>
      <c r="E66" s="471">
        <v>1139.7</v>
      </c>
      <c r="F66" s="472"/>
      <c r="G66" s="22">
        <f t="shared" si="1"/>
        <v>3.2999999999999545</v>
      </c>
      <c r="H66" s="10"/>
      <c r="I66" s="63"/>
      <c r="J66" s="58"/>
      <c r="K66" s="60"/>
      <c r="L66" s="76"/>
    </row>
    <row r="67" spans="1:12" ht="15" customHeight="1" x14ac:dyDescent="0.25">
      <c r="A67" s="60"/>
      <c r="B67" s="73"/>
      <c r="C67" s="63">
        <v>12</v>
      </c>
      <c r="D67" s="104">
        <v>1143</v>
      </c>
      <c r="E67" s="471">
        <v>1139.7</v>
      </c>
      <c r="F67" s="472"/>
      <c r="G67" s="22">
        <f t="shared" si="1"/>
        <v>3.2999999999999545</v>
      </c>
      <c r="H67" s="10"/>
      <c r="I67" s="63"/>
      <c r="J67" s="58"/>
      <c r="K67" s="60"/>
      <c r="L67" s="76"/>
    </row>
    <row r="68" spans="1:12" ht="15" customHeight="1" x14ac:dyDescent="0.25">
      <c r="A68" s="60"/>
      <c r="B68" s="38"/>
      <c r="C68" s="63">
        <v>14</v>
      </c>
      <c r="D68" s="104">
        <v>1143</v>
      </c>
      <c r="E68" s="471">
        <v>1139.7</v>
      </c>
      <c r="F68" s="472"/>
      <c r="G68" s="22">
        <f t="shared" si="1"/>
        <v>3.2999999999999545</v>
      </c>
      <c r="H68" s="10"/>
      <c r="I68" s="63"/>
      <c r="J68" s="58"/>
      <c r="K68" s="60"/>
      <c r="L68" s="76"/>
    </row>
    <row r="69" spans="1:12" ht="15" customHeight="1" x14ac:dyDescent="0.25">
      <c r="A69" s="60"/>
      <c r="B69" s="38"/>
      <c r="C69" s="63">
        <v>16</v>
      </c>
      <c r="D69" s="104">
        <v>1143</v>
      </c>
      <c r="E69" s="471">
        <v>1139.7</v>
      </c>
      <c r="F69" s="472"/>
      <c r="G69" s="22">
        <f t="shared" si="1"/>
        <v>3.2999999999999545</v>
      </c>
      <c r="H69" s="10"/>
      <c r="I69" s="63"/>
      <c r="J69" s="58"/>
      <c r="K69" s="60"/>
      <c r="L69" s="76"/>
    </row>
    <row r="70" spans="1:12" ht="15" customHeight="1" x14ac:dyDescent="0.25">
      <c r="A70" s="60"/>
      <c r="B70" s="38"/>
      <c r="C70" s="63">
        <v>18</v>
      </c>
      <c r="D70" s="104">
        <v>1143</v>
      </c>
      <c r="E70" s="471">
        <v>1139.7</v>
      </c>
      <c r="F70" s="472"/>
      <c r="G70" s="22">
        <f t="shared" si="1"/>
        <v>3.2999999999999545</v>
      </c>
      <c r="H70" s="10"/>
      <c r="I70" s="63"/>
      <c r="J70" s="58"/>
      <c r="K70" s="59"/>
      <c r="L70" s="76"/>
    </row>
    <row r="71" spans="1:12" ht="15" customHeight="1" x14ac:dyDescent="0.25">
      <c r="A71" s="60"/>
      <c r="B71" s="38"/>
      <c r="C71" s="63">
        <v>20</v>
      </c>
      <c r="D71" s="104">
        <v>1143</v>
      </c>
      <c r="E71" s="471">
        <v>1139.7</v>
      </c>
      <c r="F71" s="472"/>
      <c r="G71" s="22">
        <f t="shared" si="1"/>
        <v>3.2999999999999545</v>
      </c>
      <c r="H71" s="10"/>
      <c r="I71" s="63"/>
      <c r="J71" s="58"/>
      <c r="K71" s="57"/>
      <c r="L71" s="76"/>
    </row>
    <row r="72" spans="1:12" ht="15" customHeight="1" x14ac:dyDescent="0.25">
      <c r="A72" s="60"/>
      <c r="B72" s="38"/>
      <c r="C72" s="63">
        <v>22</v>
      </c>
      <c r="D72" s="104">
        <v>1143</v>
      </c>
      <c r="E72" s="471">
        <v>1139.7</v>
      </c>
      <c r="F72" s="472"/>
      <c r="G72" s="22">
        <f t="shared" si="1"/>
        <v>3.2999999999999545</v>
      </c>
      <c r="H72" s="10"/>
      <c r="I72" s="63"/>
      <c r="J72" s="189"/>
      <c r="K72" s="57"/>
      <c r="L72" s="76"/>
    </row>
    <row r="73" spans="1:12" ht="15" customHeight="1" x14ac:dyDescent="0.25">
      <c r="A73" s="60"/>
      <c r="B73" s="10"/>
      <c r="C73" s="63">
        <v>24</v>
      </c>
      <c r="D73" s="104">
        <v>1143</v>
      </c>
      <c r="E73" s="471">
        <v>1139.7</v>
      </c>
      <c r="F73" s="472"/>
      <c r="G73" s="22">
        <f t="shared" si="1"/>
        <v>3.2999999999999545</v>
      </c>
      <c r="H73" s="10"/>
      <c r="I73" s="63"/>
      <c r="J73" s="58"/>
      <c r="K73" s="60"/>
      <c r="L73" s="76"/>
    </row>
    <row r="74" spans="1:12" ht="15" customHeight="1" x14ac:dyDescent="0.25">
      <c r="A74" s="60"/>
      <c r="B74" s="10"/>
      <c r="C74" s="63">
        <v>26</v>
      </c>
      <c r="D74" s="104">
        <v>1143</v>
      </c>
      <c r="E74" s="471">
        <v>1139.7</v>
      </c>
      <c r="F74" s="472"/>
      <c r="G74" s="22">
        <f t="shared" si="1"/>
        <v>3.2999999999999545</v>
      </c>
      <c r="H74" s="10"/>
      <c r="I74" s="63"/>
      <c r="J74" s="58"/>
      <c r="K74" s="60"/>
      <c r="L74" s="76"/>
    </row>
    <row r="75" spans="1:12" ht="15" customHeight="1" x14ac:dyDescent="0.25">
      <c r="A75" s="60"/>
      <c r="B75" s="10"/>
      <c r="C75" s="63">
        <v>28</v>
      </c>
      <c r="D75" s="104">
        <v>1143</v>
      </c>
      <c r="E75" s="471">
        <v>1139.7</v>
      </c>
      <c r="F75" s="472"/>
      <c r="G75" s="22">
        <f t="shared" si="1"/>
        <v>3.2999999999999545</v>
      </c>
      <c r="H75" s="10"/>
      <c r="I75" s="63"/>
      <c r="J75" s="58"/>
      <c r="K75" s="60"/>
      <c r="L75" s="76"/>
    </row>
    <row r="76" spans="1:12" ht="15" customHeight="1" x14ac:dyDescent="0.25">
      <c r="A76" s="60"/>
      <c r="B76" s="10"/>
      <c r="C76" s="63">
        <v>30</v>
      </c>
      <c r="D76" s="104">
        <v>1143</v>
      </c>
      <c r="E76" s="471">
        <v>1139.7</v>
      </c>
      <c r="F76" s="472"/>
      <c r="G76" s="22">
        <f t="shared" si="1"/>
        <v>3.2999999999999545</v>
      </c>
      <c r="H76" s="10"/>
      <c r="I76" s="63"/>
      <c r="J76" s="58"/>
      <c r="K76" s="60"/>
      <c r="L76" s="76"/>
    </row>
    <row r="77" spans="1:12" ht="15" customHeight="1" x14ac:dyDescent="0.25">
      <c r="A77" s="60"/>
      <c r="B77" s="10"/>
      <c r="C77" s="63">
        <v>32</v>
      </c>
      <c r="D77" s="104">
        <v>1143</v>
      </c>
      <c r="E77" s="471">
        <v>1139.7</v>
      </c>
      <c r="F77" s="472"/>
      <c r="G77" s="22">
        <f t="shared" si="1"/>
        <v>3.2999999999999545</v>
      </c>
      <c r="H77" s="10"/>
      <c r="I77" s="63"/>
      <c r="J77" s="58"/>
      <c r="K77" s="60"/>
      <c r="L77" s="76"/>
    </row>
    <row r="78" spans="1:12" ht="15" customHeight="1" x14ac:dyDescent="0.25">
      <c r="A78" s="60"/>
      <c r="B78" s="10"/>
      <c r="C78" s="63">
        <v>34</v>
      </c>
      <c r="D78" s="104">
        <v>1143</v>
      </c>
      <c r="E78" s="471">
        <v>1139.7</v>
      </c>
      <c r="F78" s="472"/>
      <c r="G78" s="22">
        <f t="shared" si="1"/>
        <v>3.2999999999999545</v>
      </c>
      <c r="H78" s="10"/>
      <c r="I78" s="63"/>
      <c r="J78" s="58"/>
      <c r="K78" s="60"/>
      <c r="L78" s="76"/>
    </row>
    <row r="79" spans="1:12" ht="15" customHeight="1" x14ac:dyDescent="0.25">
      <c r="A79" s="60"/>
      <c r="B79" s="10"/>
      <c r="C79" s="63">
        <v>36</v>
      </c>
      <c r="D79" s="104">
        <v>1143</v>
      </c>
      <c r="E79" s="471">
        <v>1139.7</v>
      </c>
      <c r="F79" s="472"/>
      <c r="G79" s="22">
        <f t="shared" si="1"/>
        <v>3.2999999999999545</v>
      </c>
      <c r="H79" s="10"/>
      <c r="I79" s="63"/>
      <c r="J79" s="58"/>
      <c r="K79" s="60"/>
      <c r="L79" s="76"/>
    </row>
    <row r="80" spans="1:12" ht="15" customHeight="1" x14ac:dyDescent="0.25">
      <c r="A80" s="60"/>
      <c r="B80" s="10"/>
      <c r="C80" s="63">
        <v>38</v>
      </c>
      <c r="D80" s="104">
        <v>1143</v>
      </c>
      <c r="E80" s="471">
        <v>1139.7</v>
      </c>
      <c r="F80" s="472"/>
      <c r="G80" s="22">
        <f t="shared" si="1"/>
        <v>3.2999999999999545</v>
      </c>
      <c r="H80" s="10"/>
      <c r="I80" s="63"/>
      <c r="J80" s="58"/>
      <c r="K80" s="60"/>
      <c r="L80" s="76"/>
    </row>
    <row r="81" spans="1:12" ht="15" customHeight="1" x14ac:dyDescent="0.25">
      <c r="A81" s="60"/>
      <c r="B81" s="10"/>
      <c r="C81" s="63">
        <v>40</v>
      </c>
      <c r="D81" s="104">
        <v>1143</v>
      </c>
      <c r="E81" s="471">
        <v>1139.7</v>
      </c>
      <c r="F81" s="472"/>
      <c r="G81" s="22">
        <f t="shared" si="1"/>
        <v>3.2999999999999545</v>
      </c>
      <c r="H81" s="10"/>
      <c r="I81" s="63"/>
      <c r="J81" s="58"/>
      <c r="K81" s="60"/>
      <c r="L81" s="76"/>
    </row>
    <row r="82" spans="1:12" ht="15" customHeight="1" x14ac:dyDescent="0.25">
      <c r="A82" s="60"/>
      <c r="B82" s="10"/>
      <c r="C82" s="63">
        <v>42</v>
      </c>
      <c r="D82" s="104">
        <v>1143</v>
      </c>
      <c r="E82" s="471">
        <v>1139.7</v>
      </c>
      <c r="F82" s="472"/>
      <c r="G82" s="22">
        <f t="shared" si="1"/>
        <v>3.2999999999999545</v>
      </c>
      <c r="H82" s="10"/>
      <c r="I82" s="63"/>
      <c r="J82" s="58"/>
      <c r="K82" s="60"/>
      <c r="L82" s="76"/>
    </row>
    <row r="83" spans="1:12" ht="15" customHeight="1" x14ac:dyDescent="0.25">
      <c r="A83" s="60"/>
      <c r="B83" s="10"/>
      <c r="C83" s="63">
        <v>44</v>
      </c>
      <c r="D83" s="104">
        <v>1145</v>
      </c>
      <c r="E83" s="471">
        <v>1139.7</v>
      </c>
      <c r="F83" s="472"/>
      <c r="G83" s="22">
        <f t="shared" si="1"/>
        <v>5.2999999999999545</v>
      </c>
      <c r="H83" s="10"/>
      <c r="I83" s="63"/>
      <c r="J83" s="58"/>
      <c r="K83" s="60"/>
      <c r="L83" s="76"/>
    </row>
    <row r="84" spans="1:12" ht="15" customHeight="1" x14ac:dyDescent="0.25">
      <c r="A84" s="60"/>
      <c r="B84" s="10"/>
      <c r="C84" s="63">
        <v>46</v>
      </c>
      <c r="D84" s="104">
        <v>1149</v>
      </c>
      <c r="E84" s="471">
        <v>1139.7</v>
      </c>
      <c r="F84" s="472"/>
      <c r="G84" s="22">
        <f t="shared" si="1"/>
        <v>9.2999999999999545</v>
      </c>
      <c r="H84" s="10"/>
      <c r="I84" s="63"/>
      <c r="J84" s="58"/>
      <c r="K84" s="60"/>
      <c r="L84" s="76"/>
    </row>
    <row r="85" spans="1:12" ht="15" customHeight="1" x14ac:dyDescent="0.25">
      <c r="A85" s="60"/>
      <c r="B85" s="10"/>
      <c r="C85" s="63">
        <v>48</v>
      </c>
      <c r="D85" s="104">
        <v>1155</v>
      </c>
      <c r="E85" s="473">
        <v>1143</v>
      </c>
      <c r="F85" s="474"/>
      <c r="G85" s="22">
        <f t="shared" si="1"/>
        <v>12</v>
      </c>
      <c r="H85" s="10"/>
      <c r="I85" s="63"/>
      <c r="J85" s="58"/>
      <c r="K85" s="60"/>
      <c r="L85" s="76"/>
    </row>
    <row r="86" spans="1:12" ht="15" customHeight="1" x14ac:dyDescent="0.25">
      <c r="A86" s="60"/>
      <c r="B86" s="10"/>
      <c r="C86" s="104"/>
      <c r="D86" s="11"/>
      <c r="E86" s="10"/>
      <c r="F86" s="10" t="s">
        <v>50</v>
      </c>
      <c r="G86" s="63">
        <f>SUM(G62:G85)</f>
        <v>89.899999999998954</v>
      </c>
      <c r="H86" s="10"/>
      <c r="I86" s="63"/>
      <c r="J86" s="58"/>
      <c r="K86" s="57">
        <f>G86</f>
        <v>89.899999999998954</v>
      </c>
      <c r="L86" s="76"/>
    </row>
    <row r="87" spans="1:12" ht="15" customHeight="1" x14ac:dyDescent="0.25">
      <c r="A87" s="60"/>
      <c r="B87" s="10"/>
      <c r="C87" s="104"/>
      <c r="D87" s="11"/>
      <c r="E87" s="10"/>
      <c r="F87" s="10"/>
      <c r="G87" s="10"/>
      <c r="H87" s="10"/>
      <c r="I87" s="63"/>
      <c r="J87" s="58"/>
      <c r="K87" s="60"/>
      <c r="L87" s="76"/>
    </row>
    <row r="88" spans="1:12" ht="15" customHeight="1" x14ac:dyDescent="0.25">
      <c r="A88" s="60"/>
      <c r="B88" s="10"/>
      <c r="C88" s="104"/>
      <c r="D88" s="11"/>
      <c r="E88" s="10"/>
      <c r="F88" s="10"/>
      <c r="G88" s="10"/>
      <c r="H88" s="10"/>
      <c r="I88" s="63"/>
      <c r="J88" s="58"/>
      <c r="K88" s="60"/>
      <c r="L88" s="76"/>
    </row>
    <row r="89" spans="1:12" ht="15" customHeight="1" x14ac:dyDescent="0.25">
      <c r="A89" s="60"/>
      <c r="B89" s="10"/>
      <c r="C89" s="104"/>
      <c r="D89" s="11"/>
      <c r="E89" s="10"/>
      <c r="F89" s="10"/>
      <c r="G89" s="10"/>
      <c r="H89" s="10"/>
      <c r="I89" s="63"/>
      <c r="J89" s="58"/>
      <c r="K89" s="60"/>
      <c r="L89" s="76"/>
    </row>
    <row r="90" spans="1:12" ht="15" customHeight="1" x14ac:dyDescent="0.25">
      <c r="A90" s="60"/>
      <c r="B90" s="10"/>
      <c r="C90" s="104"/>
      <c r="D90" s="11"/>
      <c r="E90" s="10"/>
      <c r="F90" s="10"/>
      <c r="G90" s="10"/>
      <c r="H90" s="10"/>
      <c r="I90" s="63"/>
      <c r="J90" s="58"/>
      <c r="K90" s="60"/>
      <c r="L90" s="76"/>
    </row>
    <row r="91" spans="1:12" ht="15" customHeight="1" x14ac:dyDescent="0.25">
      <c r="A91" s="60"/>
      <c r="B91" s="10"/>
      <c r="C91" s="104"/>
      <c r="D91" s="11"/>
      <c r="E91" s="10"/>
      <c r="F91" s="10"/>
      <c r="G91" s="10"/>
      <c r="H91" s="10"/>
      <c r="I91" s="63"/>
      <c r="J91" s="58"/>
      <c r="K91" s="60"/>
      <c r="L91" s="76"/>
    </row>
    <row r="92" spans="1:12" ht="15" customHeight="1" x14ac:dyDescent="0.25">
      <c r="A92" s="60"/>
      <c r="B92" s="10"/>
      <c r="C92" s="104"/>
      <c r="D92" s="11"/>
      <c r="E92" s="10"/>
      <c r="F92" s="10"/>
      <c r="G92" s="10"/>
      <c r="H92" s="10"/>
      <c r="I92" s="63"/>
      <c r="J92" s="58"/>
      <c r="K92" s="60"/>
      <c r="L92" s="76"/>
    </row>
    <row r="93" spans="1:12" ht="15" customHeight="1" x14ac:dyDescent="0.25">
      <c r="A93" s="60"/>
      <c r="B93" s="10"/>
      <c r="C93" s="104"/>
      <c r="D93" s="11"/>
      <c r="E93" s="10"/>
      <c r="F93" s="10"/>
      <c r="G93" s="10"/>
      <c r="H93" s="10"/>
      <c r="I93" s="63"/>
      <c r="J93" s="58"/>
      <c r="K93" s="60"/>
      <c r="L93" s="76"/>
    </row>
    <row r="94" spans="1:12" ht="15" customHeight="1" x14ac:dyDescent="0.25">
      <c r="A94" s="60"/>
      <c r="B94" s="10"/>
      <c r="C94" s="104"/>
      <c r="D94" s="11"/>
      <c r="E94" s="10"/>
      <c r="F94" s="10"/>
      <c r="G94" s="10"/>
      <c r="H94" s="10"/>
      <c r="I94" s="63"/>
      <c r="J94" s="58"/>
      <c r="K94" s="60"/>
      <c r="L94" s="76"/>
    </row>
    <row r="95" spans="1:12" ht="15" customHeight="1" x14ac:dyDescent="0.25">
      <c r="A95" s="60"/>
      <c r="B95" s="10"/>
      <c r="C95" s="104"/>
      <c r="D95" s="11"/>
      <c r="E95" s="10"/>
      <c r="F95" s="10"/>
      <c r="G95" s="10"/>
      <c r="H95" s="10"/>
      <c r="I95" s="63"/>
      <c r="J95" s="58"/>
      <c r="K95" s="60"/>
      <c r="L95" s="76"/>
    </row>
    <row r="96" spans="1:12" ht="15" customHeight="1" x14ac:dyDescent="0.25">
      <c r="A96" s="60"/>
      <c r="B96" s="10"/>
      <c r="C96" s="104"/>
      <c r="D96" s="11"/>
      <c r="E96" s="10"/>
      <c r="F96" s="10"/>
      <c r="G96" s="10"/>
      <c r="H96" s="10"/>
      <c r="I96" s="63"/>
      <c r="J96" s="58"/>
      <c r="K96" s="60"/>
      <c r="L96" s="76"/>
    </row>
    <row r="97" spans="1:12" ht="15" customHeight="1" x14ac:dyDescent="0.25">
      <c r="A97" s="60"/>
      <c r="B97" s="10"/>
      <c r="C97" s="104"/>
      <c r="D97" s="11"/>
      <c r="E97" s="10"/>
      <c r="F97" s="10"/>
      <c r="G97" s="10"/>
      <c r="H97" s="10"/>
      <c r="I97" s="63"/>
      <c r="J97" s="58"/>
      <c r="K97" s="60"/>
      <c r="L97" s="76"/>
    </row>
    <row r="98" spans="1:12" ht="15" customHeight="1" x14ac:dyDescent="0.25">
      <c r="A98" s="60"/>
      <c r="B98" s="10"/>
      <c r="C98" s="104"/>
      <c r="D98" s="11"/>
      <c r="E98" s="10"/>
      <c r="F98" s="10"/>
      <c r="G98" s="10"/>
      <c r="H98" s="10"/>
      <c r="I98" s="63"/>
      <c r="J98" s="58"/>
      <c r="K98" s="60"/>
      <c r="L98" s="76"/>
    </row>
    <row r="99" spans="1:12" ht="15" customHeight="1" x14ac:dyDescent="0.25">
      <c r="A99" s="60"/>
      <c r="B99" s="10"/>
      <c r="C99" s="104"/>
      <c r="D99" s="11"/>
      <c r="E99" s="10"/>
      <c r="F99" s="10"/>
      <c r="G99" s="10"/>
      <c r="H99" s="10"/>
      <c r="I99" s="63"/>
      <c r="J99" s="58"/>
      <c r="K99" s="60"/>
      <c r="L99" s="76"/>
    </row>
    <row r="100" spans="1:12" ht="15" customHeight="1" x14ac:dyDescent="0.25">
      <c r="A100" s="71"/>
      <c r="B100" s="10"/>
      <c r="C100" s="25"/>
      <c r="D100" s="25"/>
      <c r="E100" s="100"/>
      <c r="F100" s="100"/>
      <c r="G100" s="97"/>
      <c r="H100" s="25"/>
      <c r="I100" s="92"/>
      <c r="J100" s="32"/>
      <c r="K100" s="71"/>
      <c r="L100" s="77"/>
    </row>
    <row r="101" spans="1:12" ht="15" customHeight="1" thickBot="1" x14ac:dyDescent="0.3">
      <c r="A101" s="71"/>
      <c r="B101" s="67"/>
      <c r="C101" s="67"/>
      <c r="D101" s="67"/>
      <c r="E101" s="101"/>
      <c r="F101" s="101"/>
      <c r="G101" s="98"/>
      <c r="H101" s="67"/>
      <c r="I101" s="99"/>
      <c r="J101" s="68"/>
      <c r="K101" s="71"/>
      <c r="L101" s="77"/>
    </row>
    <row r="102" spans="1:12" ht="15" customHeight="1" thickBot="1" x14ac:dyDescent="0.3">
      <c r="A102" s="445" t="s">
        <v>13</v>
      </c>
      <c r="B102" s="446"/>
      <c r="C102" s="447"/>
      <c r="D102" s="447"/>
      <c r="E102" s="447"/>
      <c r="F102" s="447"/>
      <c r="G102" s="447"/>
      <c r="H102" s="447"/>
      <c r="I102" s="447"/>
      <c r="J102" s="448"/>
      <c r="K102" s="79">
        <f>SUM(K59:K101)</f>
        <v>89.899999999998954</v>
      </c>
      <c r="L102" s="80"/>
    </row>
    <row r="103" spans="1:12" ht="15" customHeight="1" x14ac:dyDescent="0.4">
      <c r="A103" s="118" t="s">
        <v>0</v>
      </c>
      <c r="B103" s="119"/>
      <c r="C103" s="120"/>
      <c r="D103" s="121" t="s">
        <v>2</v>
      </c>
      <c r="E103" s="167" t="s">
        <v>229</v>
      </c>
      <c r="F103" s="121" t="s">
        <v>4</v>
      </c>
      <c r="G103" s="351">
        <v>44855</v>
      </c>
      <c r="H103" s="121" t="s">
        <v>5</v>
      </c>
      <c r="I103" s="449" t="s">
        <v>337</v>
      </c>
      <c r="J103" s="450"/>
      <c r="K103" s="120"/>
      <c r="L103" s="123"/>
    </row>
    <row r="104" spans="1:12" ht="15" customHeight="1" x14ac:dyDescent="0.4">
      <c r="A104" s="124" t="s">
        <v>1</v>
      </c>
      <c r="B104" s="109"/>
      <c r="D104" s="2" t="s">
        <v>3</v>
      </c>
      <c r="E104" s="1"/>
      <c r="F104" s="2" t="s">
        <v>4</v>
      </c>
      <c r="G104" s="56"/>
      <c r="H104" s="3" t="s">
        <v>6</v>
      </c>
      <c r="I104" s="451">
        <f>I53+1</f>
        <v>26</v>
      </c>
      <c r="J104" s="452"/>
      <c r="L104" s="110"/>
    </row>
    <row r="105" spans="1:12" ht="15" customHeight="1" x14ac:dyDescent="0.25">
      <c r="A105" s="70"/>
      <c r="L105" s="110"/>
    </row>
    <row r="106" spans="1:12" ht="15" customHeight="1" x14ac:dyDescent="0.25">
      <c r="A106" s="168" t="s">
        <v>7</v>
      </c>
      <c r="B106" s="111"/>
      <c r="C106" s="453">
        <v>108774</v>
      </c>
      <c r="D106" s="453"/>
      <c r="E106" s="112" t="s">
        <v>91</v>
      </c>
      <c r="F106" s="453" t="s">
        <v>218</v>
      </c>
      <c r="G106" s="453"/>
      <c r="H106" s="112" t="s">
        <v>11</v>
      </c>
      <c r="I106" s="454"/>
      <c r="J106" s="454"/>
      <c r="K106" s="454"/>
      <c r="L106" s="455"/>
    </row>
    <row r="107" spans="1:12" ht="15" customHeight="1" x14ac:dyDescent="0.25">
      <c r="A107" s="168" t="s">
        <v>10</v>
      </c>
      <c r="B107" s="111"/>
      <c r="C107" s="456" t="s">
        <v>338</v>
      </c>
      <c r="D107" s="456"/>
      <c r="E107" s="456"/>
      <c r="F107" s="456"/>
      <c r="G107" s="456"/>
      <c r="H107" s="456"/>
      <c r="I107" s="456"/>
      <c r="J107" s="456"/>
      <c r="K107" s="111" t="s">
        <v>8</v>
      </c>
      <c r="L107" s="113" t="s">
        <v>34</v>
      </c>
    </row>
    <row r="108" spans="1:12" ht="15" customHeight="1" thickBot="1" x14ac:dyDescent="0.3">
      <c r="A108" s="70"/>
      <c r="L108" s="110"/>
    </row>
    <row r="109" spans="1:12" ht="15" customHeight="1" thickBot="1" x14ac:dyDescent="0.3">
      <c r="A109" s="441" t="s">
        <v>18</v>
      </c>
      <c r="B109" s="442"/>
      <c r="C109" s="443"/>
      <c r="D109" s="443"/>
      <c r="E109" s="443"/>
      <c r="F109" s="443"/>
      <c r="G109" s="443"/>
      <c r="H109" s="443"/>
      <c r="I109" s="443"/>
      <c r="J109" s="444"/>
      <c r="K109" s="105" t="s">
        <v>12</v>
      </c>
      <c r="L109" s="74" t="s">
        <v>13</v>
      </c>
    </row>
    <row r="110" spans="1:12" ht="15" customHeight="1" x14ac:dyDescent="0.25">
      <c r="A110" s="93"/>
      <c r="B110" s="83"/>
      <c r="C110" s="104"/>
      <c r="D110" s="11"/>
      <c r="E110" s="10"/>
      <c r="F110" s="10"/>
      <c r="G110" s="10"/>
      <c r="H110" s="10"/>
      <c r="I110" s="63"/>
      <c r="J110" s="58"/>
      <c r="K110" s="7"/>
      <c r="L110" s="75"/>
    </row>
    <row r="111" spans="1:12" ht="15" customHeight="1" x14ac:dyDescent="0.25">
      <c r="A111" s="13"/>
      <c r="B111" s="321" t="s">
        <v>250</v>
      </c>
      <c r="C111" s="104"/>
      <c r="D111" s="128"/>
      <c r="E111" s="148"/>
      <c r="F111" s="10"/>
      <c r="G111" s="10"/>
      <c r="H111" s="10"/>
      <c r="I111" s="63"/>
      <c r="J111" s="58"/>
      <c r="K111" s="6"/>
      <c r="L111" s="75"/>
    </row>
    <row r="112" spans="1:12" ht="60" x14ac:dyDescent="0.25">
      <c r="A112" s="13"/>
      <c r="B112" s="73"/>
      <c r="C112" s="314" t="s">
        <v>244</v>
      </c>
      <c r="D112" s="96" t="s">
        <v>245</v>
      </c>
      <c r="E112" s="96" t="s">
        <v>252</v>
      </c>
      <c r="F112" s="314" t="s">
        <v>14</v>
      </c>
      <c r="G112" s="10"/>
      <c r="H112" s="10"/>
      <c r="I112" s="63"/>
      <c r="J112" s="58"/>
      <c r="K112" s="60"/>
      <c r="L112" s="76"/>
    </row>
    <row r="113" spans="1:12" ht="15" customHeight="1" x14ac:dyDescent="0.25">
      <c r="A113" s="13"/>
      <c r="B113" s="38"/>
      <c r="C113" s="63">
        <v>49</v>
      </c>
      <c r="D113" s="22">
        <v>1148</v>
      </c>
      <c r="E113" s="11">
        <v>1144.7</v>
      </c>
      <c r="F113" s="22">
        <f>D113-E113</f>
        <v>3.2999999999999545</v>
      </c>
      <c r="G113" s="10"/>
      <c r="H113" s="10"/>
      <c r="I113" s="63"/>
      <c r="J113" s="58"/>
      <c r="K113" s="60"/>
      <c r="L113" s="76"/>
    </row>
    <row r="114" spans="1:12" ht="15" customHeight="1" x14ac:dyDescent="0.25">
      <c r="A114" s="60"/>
      <c r="B114" s="38"/>
      <c r="C114" s="63">
        <v>51</v>
      </c>
      <c r="D114" s="22">
        <v>1148</v>
      </c>
      <c r="E114" s="11">
        <v>1144.7</v>
      </c>
      <c r="F114" s="22">
        <f t="shared" ref="F114:F120" si="2">D114-E114</f>
        <v>3.2999999999999545</v>
      </c>
      <c r="G114" s="10"/>
      <c r="H114" s="10"/>
      <c r="I114" s="63"/>
      <c r="J114" s="58"/>
      <c r="K114" s="60"/>
      <c r="L114" s="76"/>
    </row>
    <row r="115" spans="1:12" ht="15" customHeight="1" x14ac:dyDescent="0.25">
      <c r="A115" s="60"/>
      <c r="B115" s="38"/>
      <c r="C115" s="63">
        <v>53</v>
      </c>
      <c r="D115" s="22">
        <v>1148</v>
      </c>
      <c r="E115" s="11">
        <v>1144.7</v>
      </c>
      <c r="F115" s="22">
        <f t="shared" si="2"/>
        <v>3.2999999999999545</v>
      </c>
      <c r="G115" s="10"/>
      <c r="H115" s="10"/>
      <c r="I115" s="63"/>
      <c r="J115" s="58"/>
      <c r="K115" s="59"/>
      <c r="L115" s="76"/>
    </row>
    <row r="116" spans="1:12" ht="15" customHeight="1" x14ac:dyDescent="0.25">
      <c r="A116" s="60"/>
      <c r="B116" s="10"/>
      <c r="C116" s="63">
        <v>55</v>
      </c>
      <c r="D116" s="22">
        <v>1148</v>
      </c>
      <c r="E116" s="11">
        <v>1144.7</v>
      </c>
      <c r="F116" s="22">
        <f t="shared" si="2"/>
        <v>3.2999999999999545</v>
      </c>
      <c r="G116" s="10"/>
      <c r="H116" s="10"/>
      <c r="I116" s="63"/>
      <c r="J116" s="58"/>
      <c r="K116" s="60"/>
      <c r="L116" s="76"/>
    </row>
    <row r="117" spans="1:12" ht="15" customHeight="1" x14ac:dyDescent="0.25">
      <c r="A117" s="60"/>
      <c r="B117" s="10"/>
      <c r="C117" s="63">
        <v>57</v>
      </c>
      <c r="D117" s="22">
        <v>1148</v>
      </c>
      <c r="E117" s="11">
        <v>1144.7</v>
      </c>
      <c r="F117" s="22">
        <f t="shared" si="2"/>
        <v>3.2999999999999545</v>
      </c>
      <c r="G117" s="10"/>
      <c r="H117" s="10"/>
      <c r="I117" s="63"/>
      <c r="J117" s="58"/>
      <c r="K117" s="60"/>
      <c r="L117" s="76"/>
    </row>
    <row r="118" spans="1:12" ht="15" customHeight="1" x14ac:dyDescent="0.25">
      <c r="A118" s="60"/>
      <c r="B118" s="73"/>
      <c r="C118" s="63">
        <v>59</v>
      </c>
      <c r="D118" s="22">
        <v>1148</v>
      </c>
      <c r="E118" s="11">
        <v>1144.7</v>
      </c>
      <c r="F118" s="22">
        <f t="shared" si="2"/>
        <v>3.2999999999999545</v>
      </c>
      <c r="G118" s="10"/>
      <c r="H118" s="10"/>
      <c r="I118" s="63"/>
      <c r="J118" s="58"/>
      <c r="K118" s="60"/>
      <c r="L118" s="76"/>
    </row>
    <row r="119" spans="1:12" ht="15" customHeight="1" x14ac:dyDescent="0.25">
      <c r="A119" s="60"/>
      <c r="B119" s="38"/>
      <c r="C119" s="63">
        <v>61</v>
      </c>
      <c r="D119" s="22">
        <v>1148</v>
      </c>
      <c r="E119" s="11">
        <v>1144.7</v>
      </c>
      <c r="F119" s="22">
        <f t="shared" si="2"/>
        <v>3.2999999999999545</v>
      </c>
      <c r="G119" s="10"/>
      <c r="H119" s="10"/>
      <c r="I119" s="63"/>
      <c r="J119" s="58"/>
      <c r="K119" s="60"/>
      <c r="L119" s="76"/>
    </row>
    <row r="120" spans="1:12" ht="15" customHeight="1" x14ac:dyDescent="0.25">
      <c r="A120" s="60"/>
      <c r="B120" s="38"/>
      <c r="C120" s="63">
        <v>63</v>
      </c>
      <c r="D120" s="22">
        <v>1148</v>
      </c>
      <c r="E120" s="11">
        <v>1144.7</v>
      </c>
      <c r="F120" s="22">
        <f t="shared" si="2"/>
        <v>3.2999999999999545</v>
      </c>
      <c r="G120" s="10"/>
      <c r="H120" s="10"/>
      <c r="I120" s="63"/>
      <c r="J120" s="58"/>
      <c r="K120" s="60"/>
      <c r="L120" s="76"/>
    </row>
    <row r="121" spans="1:12" ht="15" customHeight="1" x14ac:dyDescent="0.25">
      <c r="A121" s="60"/>
      <c r="B121" s="38"/>
      <c r="C121" s="63"/>
      <c r="D121" s="104"/>
      <c r="E121" s="10" t="s">
        <v>50</v>
      </c>
      <c r="F121" s="63">
        <f>SUM(F113:F120)</f>
        <v>26.399999999999636</v>
      </c>
      <c r="G121" s="10"/>
      <c r="H121" s="10"/>
      <c r="I121" s="63"/>
      <c r="J121" s="58"/>
      <c r="K121" s="57">
        <f>F121</f>
        <v>26.399999999999636</v>
      </c>
      <c r="L121" s="76"/>
    </row>
    <row r="122" spans="1:12" ht="15" customHeight="1" x14ac:dyDescent="0.25">
      <c r="A122" s="60"/>
      <c r="B122" s="38"/>
      <c r="C122" s="63"/>
      <c r="D122" s="104"/>
      <c r="E122" s="148"/>
      <c r="F122" s="22"/>
      <c r="G122" s="10"/>
      <c r="H122" s="10"/>
      <c r="I122" s="63"/>
      <c r="J122" s="58"/>
      <c r="K122" s="57"/>
      <c r="L122" s="76"/>
    </row>
    <row r="123" spans="1:12" ht="15" customHeight="1" x14ac:dyDescent="0.25">
      <c r="A123" s="60"/>
      <c r="B123" s="321" t="s">
        <v>254</v>
      </c>
      <c r="C123" s="104"/>
      <c r="D123" s="128"/>
      <c r="E123" s="148"/>
      <c r="F123" s="10"/>
      <c r="G123" s="10"/>
      <c r="H123" s="10"/>
      <c r="I123" s="63"/>
      <c r="J123" s="58"/>
      <c r="K123" s="6"/>
      <c r="L123" s="76"/>
    </row>
    <row r="124" spans="1:12" ht="45" customHeight="1" x14ac:dyDescent="0.25">
      <c r="A124" s="60"/>
      <c r="B124" s="73"/>
      <c r="C124" s="314" t="s">
        <v>244</v>
      </c>
      <c r="D124" s="96" t="s">
        <v>245</v>
      </c>
      <c r="E124" s="96" t="s">
        <v>252</v>
      </c>
      <c r="F124" s="314" t="s">
        <v>14</v>
      </c>
      <c r="G124" s="10"/>
      <c r="H124" s="10"/>
      <c r="I124" s="63"/>
      <c r="J124" s="58"/>
      <c r="K124" s="60"/>
      <c r="L124" s="76"/>
    </row>
    <row r="125" spans="1:12" ht="15" customHeight="1" x14ac:dyDescent="0.25">
      <c r="A125" s="60"/>
      <c r="B125" s="38"/>
      <c r="C125" s="63">
        <v>50</v>
      </c>
      <c r="D125" s="22">
        <v>1148</v>
      </c>
      <c r="E125" s="11">
        <v>1144.7</v>
      </c>
      <c r="F125" s="22">
        <f>D125-E125</f>
        <v>3.2999999999999545</v>
      </c>
      <c r="G125" s="10"/>
      <c r="H125" s="10"/>
      <c r="I125" s="63"/>
      <c r="J125" s="58"/>
      <c r="K125" s="60"/>
      <c r="L125" s="76"/>
    </row>
    <row r="126" spans="1:12" ht="15" customHeight="1" x14ac:dyDescent="0.25">
      <c r="A126" s="60"/>
      <c r="B126" s="38"/>
      <c r="C126" s="63">
        <v>52</v>
      </c>
      <c r="D126" s="22">
        <v>1148</v>
      </c>
      <c r="E126" s="11">
        <v>1144.7</v>
      </c>
      <c r="F126" s="22">
        <f t="shared" ref="F126:F132" si="3">D126-E126</f>
        <v>3.2999999999999545</v>
      </c>
      <c r="G126" s="10"/>
      <c r="H126" s="10"/>
      <c r="I126" s="63"/>
      <c r="J126" s="58"/>
      <c r="K126" s="60"/>
      <c r="L126" s="76"/>
    </row>
    <row r="127" spans="1:12" ht="15" customHeight="1" x14ac:dyDescent="0.25">
      <c r="A127" s="60"/>
      <c r="B127" s="38"/>
      <c r="C127" s="63">
        <v>54</v>
      </c>
      <c r="D127" s="22">
        <v>1148</v>
      </c>
      <c r="E127" s="11">
        <v>1144.7</v>
      </c>
      <c r="F127" s="22">
        <f t="shared" si="3"/>
        <v>3.2999999999999545</v>
      </c>
      <c r="G127" s="10"/>
      <c r="H127" s="10"/>
      <c r="I127" s="63"/>
      <c r="J127" s="58"/>
      <c r="K127" s="59"/>
      <c r="L127" s="76"/>
    </row>
    <row r="128" spans="1:12" ht="15" customHeight="1" x14ac:dyDescent="0.25">
      <c r="A128" s="60"/>
      <c r="B128" s="10"/>
      <c r="C128" s="63">
        <v>56</v>
      </c>
      <c r="D128" s="22">
        <v>1148</v>
      </c>
      <c r="E128" s="11">
        <v>1144.7</v>
      </c>
      <c r="F128" s="22">
        <f t="shared" si="3"/>
        <v>3.2999999999999545</v>
      </c>
      <c r="G128" s="10"/>
      <c r="H128" s="10"/>
      <c r="I128" s="63"/>
      <c r="J128" s="58"/>
      <c r="K128" s="60"/>
      <c r="L128" s="76"/>
    </row>
    <row r="129" spans="1:12" ht="15" customHeight="1" x14ac:dyDescent="0.25">
      <c r="A129" s="60"/>
      <c r="B129" s="10"/>
      <c r="C129" s="63">
        <v>58</v>
      </c>
      <c r="D129" s="22">
        <v>1148</v>
      </c>
      <c r="E129" s="11">
        <v>1144.7</v>
      </c>
      <c r="F129" s="22">
        <f t="shared" si="3"/>
        <v>3.2999999999999545</v>
      </c>
      <c r="G129" s="10"/>
      <c r="H129" s="10"/>
      <c r="I129" s="63"/>
      <c r="J129" s="58"/>
      <c r="K129" s="60"/>
      <c r="L129" s="76"/>
    </row>
    <row r="130" spans="1:12" ht="15" customHeight="1" x14ac:dyDescent="0.25">
      <c r="A130" s="60"/>
      <c r="B130" s="73"/>
      <c r="C130" s="63">
        <v>60</v>
      </c>
      <c r="D130" s="22">
        <v>1148</v>
      </c>
      <c r="E130" s="11">
        <v>1144.7</v>
      </c>
      <c r="F130" s="22">
        <f t="shared" si="3"/>
        <v>3.2999999999999545</v>
      </c>
      <c r="G130" s="10"/>
      <c r="H130" s="10"/>
      <c r="I130" s="63"/>
      <c r="J130" s="58"/>
      <c r="K130" s="60"/>
      <c r="L130" s="76"/>
    </row>
    <row r="131" spans="1:12" ht="15" customHeight="1" x14ac:dyDescent="0.25">
      <c r="A131" s="60"/>
      <c r="B131" s="38"/>
      <c r="C131" s="63">
        <v>62</v>
      </c>
      <c r="D131" s="22">
        <v>1148</v>
      </c>
      <c r="E131" s="11">
        <v>1144.7</v>
      </c>
      <c r="F131" s="22">
        <f t="shared" si="3"/>
        <v>3.2999999999999545</v>
      </c>
      <c r="G131" s="10"/>
      <c r="H131" s="10"/>
      <c r="I131" s="63"/>
      <c r="J131" s="58"/>
      <c r="K131" s="60"/>
      <c r="L131" s="76"/>
    </row>
    <row r="132" spans="1:12" ht="15" customHeight="1" x14ac:dyDescent="0.25">
      <c r="A132" s="60"/>
      <c r="B132" s="38"/>
      <c r="C132" s="63">
        <v>64</v>
      </c>
      <c r="D132" s="22">
        <v>1148</v>
      </c>
      <c r="E132" s="11">
        <v>1144.7</v>
      </c>
      <c r="F132" s="22">
        <f t="shared" si="3"/>
        <v>3.2999999999999545</v>
      </c>
      <c r="G132" s="10"/>
      <c r="H132" s="10"/>
      <c r="I132" s="63"/>
      <c r="J132" s="58"/>
      <c r="K132" s="60"/>
      <c r="L132" s="76"/>
    </row>
    <row r="133" spans="1:12" ht="15" customHeight="1" x14ac:dyDescent="0.25">
      <c r="A133" s="60"/>
      <c r="B133" s="38"/>
      <c r="C133" s="63"/>
      <c r="D133" s="104"/>
      <c r="E133" s="10" t="s">
        <v>50</v>
      </c>
      <c r="F133" s="63">
        <f>SUM(F125:F132)</f>
        <v>26.399999999999636</v>
      </c>
      <c r="G133" s="10"/>
      <c r="H133" s="10"/>
      <c r="I133" s="63"/>
      <c r="J133" s="58"/>
      <c r="K133" s="57">
        <f>F133</f>
        <v>26.399999999999636</v>
      </c>
      <c r="L133" s="76"/>
    </row>
    <row r="134" spans="1:12" ht="15" customHeight="1" x14ac:dyDescent="0.25">
      <c r="A134" s="60"/>
      <c r="B134" s="10"/>
      <c r="C134" s="63"/>
      <c r="D134" s="104"/>
      <c r="E134" s="148"/>
      <c r="F134" s="22"/>
      <c r="G134" s="10"/>
      <c r="H134" s="10"/>
      <c r="I134" s="63"/>
      <c r="J134" s="58"/>
      <c r="K134" s="60"/>
      <c r="L134" s="76"/>
    </row>
    <row r="135" spans="1:12" ht="15" customHeight="1" x14ac:dyDescent="0.25">
      <c r="A135" s="60"/>
      <c r="B135" s="10"/>
      <c r="C135" s="63"/>
      <c r="D135" s="104"/>
      <c r="E135" s="148"/>
      <c r="F135" s="22"/>
      <c r="G135" s="10"/>
      <c r="H135" s="10"/>
      <c r="I135" s="63"/>
      <c r="J135" s="58"/>
      <c r="K135" s="60"/>
      <c r="L135" s="76"/>
    </row>
    <row r="136" spans="1:12" ht="15" customHeight="1" x14ac:dyDescent="0.25">
      <c r="A136" s="60"/>
      <c r="B136" s="10"/>
      <c r="C136" s="63"/>
      <c r="D136" s="104"/>
      <c r="E136" s="148"/>
      <c r="F136" s="22"/>
      <c r="G136" s="10"/>
      <c r="H136" s="10"/>
      <c r="I136" s="63"/>
      <c r="J136" s="58"/>
      <c r="K136" s="60"/>
      <c r="L136" s="76"/>
    </row>
    <row r="137" spans="1:12" ht="15" customHeight="1" x14ac:dyDescent="0.25">
      <c r="A137" s="60"/>
      <c r="B137" s="10"/>
      <c r="C137" s="104"/>
      <c r="D137" s="11"/>
      <c r="E137" s="10"/>
      <c r="F137" s="63"/>
      <c r="G137" s="10"/>
      <c r="H137" s="10"/>
      <c r="I137" s="63"/>
      <c r="J137" s="58"/>
      <c r="K137" s="57"/>
      <c r="L137" s="76"/>
    </row>
    <row r="138" spans="1:12" ht="15" customHeight="1" x14ac:dyDescent="0.25">
      <c r="A138" s="60"/>
      <c r="B138" s="10"/>
      <c r="C138" s="104"/>
      <c r="D138" s="11"/>
      <c r="E138" s="10"/>
      <c r="F138" s="10"/>
      <c r="G138" s="10"/>
      <c r="H138" s="10"/>
      <c r="I138" s="63"/>
      <c r="J138" s="58"/>
      <c r="K138" s="60"/>
      <c r="L138" s="76"/>
    </row>
    <row r="139" spans="1:12" ht="15" customHeight="1" x14ac:dyDescent="0.25">
      <c r="A139" s="60"/>
      <c r="B139" s="10"/>
      <c r="C139" s="104"/>
      <c r="D139" s="11"/>
      <c r="E139" s="10"/>
      <c r="F139" s="10"/>
      <c r="G139" s="10"/>
      <c r="H139" s="10"/>
      <c r="I139" s="63"/>
      <c r="J139" s="58"/>
      <c r="K139" s="60"/>
      <c r="L139" s="76"/>
    </row>
    <row r="140" spans="1:12" ht="15" customHeight="1" x14ac:dyDescent="0.25">
      <c r="A140" s="60"/>
      <c r="B140" s="10"/>
      <c r="C140" s="104"/>
      <c r="D140" s="11"/>
      <c r="E140" s="10"/>
      <c r="F140" s="10"/>
      <c r="G140" s="10"/>
      <c r="H140" s="10"/>
      <c r="I140" s="63"/>
      <c r="J140" s="58"/>
      <c r="K140" s="60"/>
      <c r="L140" s="76"/>
    </row>
    <row r="141" spans="1:12" ht="15" customHeight="1" x14ac:dyDescent="0.25">
      <c r="A141" s="60"/>
      <c r="B141" s="10"/>
      <c r="C141" s="104"/>
      <c r="D141" s="11"/>
      <c r="E141" s="10"/>
      <c r="F141" s="10"/>
      <c r="G141" s="10"/>
      <c r="H141" s="10"/>
      <c r="I141" s="63"/>
      <c r="J141" s="58"/>
      <c r="K141" s="60"/>
      <c r="L141" s="76"/>
    </row>
    <row r="142" spans="1:12" ht="15" customHeight="1" x14ac:dyDescent="0.25">
      <c r="A142" s="60"/>
      <c r="B142" s="10"/>
      <c r="C142" s="104"/>
      <c r="D142" s="11"/>
      <c r="E142" s="10"/>
      <c r="F142" s="10"/>
      <c r="G142" s="10"/>
      <c r="H142" s="10"/>
      <c r="I142" s="63"/>
      <c r="J142" s="58"/>
      <c r="K142" s="60"/>
      <c r="L142" s="76"/>
    </row>
    <row r="143" spans="1:12" ht="15" customHeight="1" x14ac:dyDescent="0.25">
      <c r="A143" s="60"/>
      <c r="B143" s="10"/>
      <c r="C143" s="104"/>
      <c r="D143" s="11"/>
      <c r="E143" s="10"/>
      <c r="F143" s="10"/>
      <c r="G143" s="10"/>
      <c r="H143" s="10"/>
      <c r="I143" s="63"/>
      <c r="J143" s="58"/>
      <c r="K143" s="60"/>
      <c r="L143" s="76"/>
    </row>
    <row r="144" spans="1:12" ht="15" customHeight="1" x14ac:dyDescent="0.25">
      <c r="A144" s="60"/>
      <c r="B144" s="10"/>
      <c r="C144" s="104"/>
      <c r="D144" s="11"/>
      <c r="E144" s="10"/>
      <c r="F144" s="10"/>
      <c r="G144" s="10"/>
      <c r="H144" s="10"/>
      <c r="I144" s="63"/>
      <c r="J144" s="58"/>
      <c r="K144" s="60"/>
      <c r="L144" s="76"/>
    </row>
    <row r="145" spans="1:12" ht="15" customHeight="1" x14ac:dyDescent="0.25">
      <c r="A145" s="60"/>
      <c r="B145" s="10"/>
      <c r="C145" s="104"/>
      <c r="D145" s="11"/>
      <c r="E145" s="10"/>
      <c r="F145" s="10"/>
      <c r="G145" s="10"/>
      <c r="H145" s="10"/>
      <c r="I145" s="63"/>
      <c r="J145" s="58"/>
      <c r="K145" s="60"/>
      <c r="L145" s="76"/>
    </row>
    <row r="146" spans="1:12" ht="15" customHeight="1" x14ac:dyDescent="0.25">
      <c r="A146" s="60"/>
      <c r="B146" s="10"/>
      <c r="C146" s="104"/>
      <c r="D146" s="11"/>
      <c r="E146" s="10"/>
      <c r="F146" s="10"/>
      <c r="G146" s="10"/>
      <c r="H146" s="10"/>
      <c r="I146" s="63"/>
      <c r="J146" s="58"/>
      <c r="K146" s="60"/>
      <c r="L146" s="76"/>
    </row>
    <row r="147" spans="1:12" ht="15" customHeight="1" x14ac:dyDescent="0.25">
      <c r="A147" s="60"/>
      <c r="B147" s="10"/>
      <c r="C147" s="104"/>
      <c r="D147" s="11"/>
      <c r="E147" s="10"/>
      <c r="F147" s="10"/>
      <c r="G147" s="10"/>
      <c r="H147" s="10"/>
      <c r="I147" s="63"/>
      <c r="J147" s="58"/>
      <c r="K147" s="60"/>
      <c r="L147" s="76"/>
    </row>
    <row r="148" spans="1:12" ht="15" customHeight="1" x14ac:dyDescent="0.25">
      <c r="A148" s="60"/>
      <c r="B148" s="10"/>
      <c r="C148" s="104"/>
      <c r="D148" s="11"/>
      <c r="E148" s="10"/>
      <c r="F148" s="10"/>
      <c r="G148" s="10"/>
      <c r="H148" s="10"/>
      <c r="I148" s="63"/>
      <c r="J148" s="58"/>
      <c r="K148" s="60"/>
      <c r="L148" s="76"/>
    </row>
    <row r="149" spans="1:12" ht="15" customHeight="1" x14ac:dyDescent="0.25">
      <c r="A149" s="60"/>
      <c r="B149" s="10"/>
      <c r="C149" s="104"/>
      <c r="D149" s="11"/>
      <c r="E149" s="10"/>
      <c r="F149" s="10"/>
      <c r="G149" s="10"/>
      <c r="H149" s="10"/>
      <c r="I149" s="63"/>
      <c r="J149" s="58"/>
      <c r="K149" s="60"/>
      <c r="L149" s="76"/>
    </row>
    <row r="150" spans="1:12" ht="15" customHeight="1" x14ac:dyDescent="0.25">
      <c r="A150" s="60"/>
      <c r="B150" s="10"/>
      <c r="C150" s="104"/>
      <c r="D150" s="11"/>
      <c r="E150" s="10"/>
      <c r="F150" s="10"/>
      <c r="G150" s="10"/>
      <c r="H150" s="10"/>
      <c r="I150" s="63"/>
      <c r="J150" s="58"/>
      <c r="K150" s="60"/>
      <c r="L150" s="76"/>
    </row>
    <row r="151" spans="1:12" ht="15" customHeight="1" x14ac:dyDescent="0.25">
      <c r="A151" s="71"/>
      <c r="B151" s="10"/>
      <c r="C151" s="25"/>
      <c r="D151" s="25"/>
      <c r="E151" s="100"/>
      <c r="F151" s="100"/>
      <c r="G151" s="97"/>
      <c r="H151" s="25"/>
      <c r="I151" s="92"/>
      <c r="J151" s="32"/>
      <c r="K151" s="71"/>
      <c r="L151" s="77"/>
    </row>
    <row r="152" spans="1:12" ht="15" customHeight="1" thickBot="1" x14ac:dyDescent="0.3">
      <c r="A152" s="71"/>
      <c r="B152" s="67"/>
      <c r="C152" s="67"/>
      <c r="D152" s="67"/>
      <c r="E152" s="101"/>
      <c r="F152" s="101"/>
      <c r="G152" s="98"/>
      <c r="H152" s="67"/>
      <c r="I152" s="99"/>
      <c r="J152" s="68"/>
      <c r="K152" s="71"/>
      <c r="L152" s="77"/>
    </row>
    <row r="153" spans="1:12" ht="15" customHeight="1" thickBot="1" x14ac:dyDescent="0.3">
      <c r="A153" s="445" t="s">
        <v>13</v>
      </c>
      <c r="B153" s="446"/>
      <c r="C153" s="447"/>
      <c r="D153" s="447"/>
      <c r="E153" s="447"/>
      <c r="F153" s="447"/>
      <c r="G153" s="447"/>
      <c r="H153" s="447"/>
      <c r="I153" s="447"/>
      <c r="J153" s="448"/>
      <c r="K153" s="79">
        <f>SUM(K110:K152)</f>
        <v>52.799999999999272</v>
      </c>
      <c r="L153" s="80">
        <f>K51+K102+K153</f>
        <v>252.59999999999718</v>
      </c>
    </row>
  </sheetData>
  <mergeCells count="74">
    <mergeCell ref="A7:J7"/>
    <mergeCell ref="A51:J51"/>
    <mergeCell ref="I1:J1"/>
    <mergeCell ref="I2:J2"/>
    <mergeCell ref="C4:D4"/>
    <mergeCell ref="F4:G4"/>
    <mergeCell ref="I4:L4"/>
    <mergeCell ref="C5:J5"/>
    <mergeCell ref="E20:F20"/>
    <mergeCell ref="E19:F19"/>
    <mergeCell ref="E18:F18"/>
    <mergeCell ref="E17:F17"/>
    <mergeCell ref="E16:F16"/>
    <mergeCell ref="E15:F15"/>
    <mergeCell ref="E14:F14"/>
    <mergeCell ref="E13:F13"/>
    <mergeCell ref="I52:J52"/>
    <mergeCell ref="I53:J53"/>
    <mergeCell ref="C55:D55"/>
    <mergeCell ref="F55:G55"/>
    <mergeCell ref="I55:L55"/>
    <mergeCell ref="C56:J56"/>
    <mergeCell ref="A58:J58"/>
    <mergeCell ref="A102:J102"/>
    <mergeCell ref="I103:J103"/>
    <mergeCell ref="I104:J104"/>
    <mergeCell ref="E71:F71"/>
    <mergeCell ref="E70:F70"/>
    <mergeCell ref="E69:F69"/>
    <mergeCell ref="E68:F68"/>
    <mergeCell ref="E67:F67"/>
    <mergeCell ref="E66:F66"/>
    <mergeCell ref="E65:F65"/>
    <mergeCell ref="E64:F64"/>
    <mergeCell ref="E63:F63"/>
    <mergeCell ref="E62:F62"/>
    <mergeCell ref="E61:F61"/>
    <mergeCell ref="C106:D106"/>
    <mergeCell ref="F106:G106"/>
    <mergeCell ref="I106:L106"/>
    <mergeCell ref="C107:J107"/>
    <mergeCell ref="A109:J109"/>
    <mergeCell ref="A153:J153"/>
    <mergeCell ref="E10:F10"/>
    <mergeCell ref="E34:F34"/>
    <mergeCell ref="E33:F33"/>
    <mergeCell ref="E32:F32"/>
    <mergeCell ref="E31:F31"/>
    <mergeCell ref="E30:F30"/>
    <mergeCell ref="E29:F29"/>
    <mergeCell ref="E28:F28"/>
    <mergeCell ref="E27:F27"/>
    <mergeCell ref="E26:F26"/>
    <mergeCell ref="E25:F25"/>
    <mergeCell ref="E24:F24"/>
    <mergeCell ref="E23:F23"/>
    <mergeCell ref="E22:F22"/>
    <mergeCell ref="E21:F21"/>
    <mergeCell ref="E12:F12"/>
    <mergeCell ref="E11:F11"/>
    <mergeCell ref="E85:F85"/>
    <mergeCell ref="E84:F84"/>
    <mergeCell ref="E83:F83"/>
    <mergeCell ref="E82:F82"/>
    <mergeCell ref="E81:F81"/>
    <mergeCell ref="E80:F80"/>
    <mergeCell ref="E79:F79"/>
    <mergeCell ref="E78:F78"/>
    <mergeCell ref="E77:F77"/>
    <mergeCell ref="E76:F76"/>
    <mergeCell ref="E75:F75"/>
    <mergeCell ref="E74:F74"/>
    <mergeCell ref="E73:F73"/>
    <mergeCell ref="E72:F72"/>
  </mergeCells>
  <printOptions horizontalCentered="1"/>
  <pageMargins left="0.5" right="0.5" top="0.5" bottom="0.5" header="0.5" footer="0.25"/>
  <pageSetup scale="86" fitToWidth="0" fitToHeight="0" orientation="portrait" horizontalDpi="1200" verticalDpi="1200" r:id="rId1"/>
  <headerFooter>
    <oddFooter>&amp;R&amp;9Printed &amp;D &amp;T</oddFooter>
  </headerFooter>
  <rowBreaks count="2" manualBreakCount="2">
    <brk id="51" max="11" man="1"/>
    <brk id="102" max="11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92D050"/>
    <pageSetUpPr fitToPage="1"/>
  </sheetPr>
  <dimension ref="A1:L152"/>
  <sheetViews>
    <sheetView showWhiteSpace="0" view="pageBreakPreview" topLeftCell="A121" zoomScale="80" zoomScaleNormal="100" zoomScaleSheetLayoutView="80" workbookViewId="0">
      <selection activeCell="AD16" sqref="AD16"/>
    </sheetView>
  </sheetViews>
  <sheetFormatPr defaultColWidth="2.85546875" defaultRowHeight="15" customHeight="1" x14ac:dyDescent="0.25"/>
  <cols>
    <col min="2" max="2" width="9.5703125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339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'36" DRILLED SHAFTS'!I104:J104+1</f>
        <v>27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77" t="s">
        <v>340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34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25"/>
      <c r="B9" s="9" t="s">
        <v>248</v>
      </c>
      <c r="C9" s="104"/>
      <c r="D9" s="128"/>
      <c r="E9" s="148"/>
      <c r="F9" s="10"/>
      <c r="G9" s="10"/>
      <c r="H9" s="10"/>
      <c r="I9" s="63"/>
      <c r="J9" s="58"/>
      <c r="K9" s="6"/>
      <c r="L9" s="75"/>
    </row>
    <row r="10" spans="1:12" ht="45" customHeight="1" x14ac:dyDescent="0.25">
      <c r="A10" s="13"/>
      <c r="B10" s="73"/>
      <c r="C10" s="314" t="s">
        <v>244</v>
      </c>
      <c r="D10" s="96" t="s">
        <v>252</v>
      </c>
      <c r="E10" s="96" t="s">
        <v>246</v>
      </c>
      <c r="F10" s="314" t="s">
        <v>14</v>
      </c>
      <c r="G10" s="10"/>
      <c r="H10" s="10"/>
      <c r="I10" s="63"/>
      <c r="J10" s="58"/>
      <c r="K10" s="60"/>
      <c r="L10" s="76"/>
    </row>
    <row r="11" spans="1:12" ht="15.95" customHeight="1" x14ac:dyDescent="0.25">
      <c r="A11" s="13"/>
      <c r="B11" s="38"/>
      <c r="C11" s="63">
        <v>1</v>
      </c>
      <c r="D11" s="148">
        <v>1139.7</v>
      </c>
      <c r="E11" s="102">
        <f>'STEEL PILES'!G11</f>
        <v>1134</v>
      </c>
      <c r="F11" s="22">
        <f>D11-E11</f>
        <v>5.7000000000000455</v>
      </c>
      <c r="G11" s="10"/>
      <c r="H11" s="10"/>
      <c r="I11" s="63"/>
      <c r="J11" s="58"/>
      <c r="K11" s="60"/>
      <c r="L11" s="76"/>
    </row>
    <row r="12" spans="1:12" ht="15.95" customHeight="1" x14ac:dyDescent="0.25">
      <c r="A12" s="60"/>
      <c r="B12" s="38"/>
      <c r="C12" s="63">
        <v>3</v>
      </c>
      <c r="D12" s="148">
        <v>1139.7</v>
      </c>
      <c r="E12" s="102">
        <f>'STEEL PILES'!G12</f>
        <v>1134</v>
      </c>
      <c r="F12" s="22">
        <f t="shared" ref="F12:F33" si="0">D12-E12</f>
        <v>5.7000000000000455</v>
      </c>
      <c r="G12" s="10"/>
      <c r="H12" s="10"/>
      <c r="I12" s="63"/>
      <c r="J12" s="58"/>
      <c r="K12" s="60"/>
      <c r="L12" s="76"/>
    </row>
    <row r="13" spans="1:12" ht="15.95" customHeight="1" x14ac:dyDescent="0.25">
      <c r="A13" s="60"/>
      <c r="B13" s="38"/>
      <c r="C13" s="63">
        <v>5</v>
      </c>
      <c r="D13" s="148">
        <v>1139.7</v>
      </c>
      <c r="E13" s="102">
        <f>'STEEL PILES'!G13</f>
        <v>1134</v>
      </c>
      <c r="F13" s="22">
        <f t="shared" si="0"/>
        <v>5.7000000000000455</v>
      </c>
      <c r="G13" s="10"/>
      <c r="H13" s="10"/>
      <c r="I13" s="63"/>
      <c r="J13" s="58"/>
      <c r="K13" s="59"/>
      <c r="L13" s="76"/>
    </row>
    <row r="14" spans="1:12" ht="15.95" customHeight="1" x14ac:dyDescent="0.25">
      <c r="A14" s="60"/>
      <c r="B14" s="10"/>
      <c r="C14" s="63">
        <v>7</v>
      </c>
      <c r="D14" s="148">
        <v>1139.7</v>
      </c>
      <c r="E14" s="102">
        <f>'STEEL PILES'!G14</f>
        <v>1131</v>
      </c>
      <c r="F14" s="22">
        <f t="shared" si="0"/>
        <v>8.7000000000000455</v>
      </c>
      <c r="G14" s="10"/>
      <c r="H14" s="10"/>
      <c r="I14" s="63"/>
      <c r="J14" s="58"/>
      <c r="K14" s="60"/>
      <c r="L14" s="76"/>
    </row>
    <row r="15" spans="1:12" ht="15.95" customHeight="1" x14ac:dyDescent="0.25">
      <c r="A15" s="60"/>
      <c r="B15" s="10"/>
      <c r="C15" s="63">
        <v>9</v>
      </c>
      <c r="D15" s="148">
        <v>1139.7</v>
      </c>
      <c r="E15" s="102">
        <f>'STEEL PILES'!G15</f>
        <v>1131</v>
      </c>
      <c r="F15" s="22">
        <f t="shared" si="0"/>
        <v>8.7000000000000455</v>
      </c>
      <c r="G15" s="10"/>
      <c r="H15" s="10"/>
      <c r="I15" s="63"/>
      <c r="J15" s="58"/>
      <c r="K15" s="60"/>
      <c r="L15" s="76"/>
    </row>
    <row r="16" spans="1:12" ht="15.95" customHeight="1" x14ac:dyDescent="0.25">
      <c r="A16" s="60"/>
      <c r="B16" s="73"/>
      <c r="C16" s="63">
        <v>11</v>
      </c>
      <c r="D16" s="148">
        <v>1139.7</v>
      </c>
      <c r="E16" s="102">
        <f>'STEEL PILES'!G16</f>
        <v>1131</v>
      </c>
      <c r="F16" s="22">
        <f t="shared" si="0"/>
        <v>8.7000000000000455</v>
      </c>
      <c r="G16" s="10"/>
      <c r="H16" s="10"/>
      <c r="I16" s="63"/>
      <c r="J16" s="58"/>
      <c r="K16" s="60"/>
      <c r="L16" s="76"/>
    </row>
    <row r="17" spans="1:12" ht="15.95" customHeight="1" x14ac:dyDescent="0.25">
      <c r="A17" s="60"/>
      <c r="B17" s="38"/>
      <c r="C17" s="63">
        <v>13</v>
      </c>
      <c r="D17" s="148">
        <v>1139.7</v>
      </c>
      <c r="E17" s="102">
        <f>'STEEL PILES'!G17</f>
        <v>1131</v>
      </c>
      <c r="F17" s="22">
        <f t="shared" si="0"/>
        <v>8.7000000000000455</v>
      </c>
      <c r="G17" s="10"/>
      <c r="H17" s="10"/>
      <c r="I17" s="63"/>
      <c r="J17" s="58"/>
      <c r="K17" s="60"/>
      <c r="L17" s="76"/>
    </row>
    <row r="18" spans="1:12" ht="15.95" customHeight="1" x14ac:dyDescent="0.25">
      <c r="A18" s="60"/>
      <c r="B18" s="38"/>
      <c r="C18" s="63">
        <v>15</v>
      </c>
      <c r="D18" s="148">
        <v>1139.7</v>
      </c>
      <c r="E18" s="102">
        <f>'STEEL PILES'!G18</f>
        <v>1125</v>
      </c>
      <c r="F18" s="22">
        <f t="shared" si="0"/>
        <v>14.700000000000045</v>
      </c>
      <c r="G18" s="10"/>
      <c r="H18" s="10"/>
      <c r="I18" s="63"/>
      <c r="J18" s="58"/>
      <c r="K18" s="60"/>
      <c r="L18" s="76"/>
    </row>
    <row r="19" spans="1:12" ht="15.95" customHeight="1" x14ac:dyDescent="0.25">
      <c r="A19" s="60"/>
      <c r="B19" s="38"/>
      <c r="C19" s="63">
        <v>17</v>
      </c>
      <c r="D19" s="148">
        <v>1139.7</v>
      </c>
      <c r="E19" s="102">
        <f>'STEEL PILES'!G19</f>
        <v>1125</v>
      </c>
      <c r="F19" s="22">
        <f t="shared" si="0"/>
        <v>14.700000000000045</v>
      </c>
      <c r="G19" s="10"/>
      <c r="H19" s="10"/>
      <c r="I19" s="63"/>
      <c r="J19" s="58"/>
      <c r="K19" s="59"/>
      <c r="L19" s="76"/>
    </row>
    <row r="20" spans="1:12" ht="15.95" customHeight="1" x14ac:dyDescent="0.25">
      <c r="A20" s="60"/>
      <c r="B20" s="38"/>
      <c r="C20" s="63">
        <v>19</v>
      </c>
      <c r="D20" s="148">
        <v>1139.7</v>
      </c>
      <c r="E20" s="102">
        <f>'STEEL PILES'!G20</f>
        <v>1125</v>
      </c>
      <c r="F20" s="22">
        <f t="shared" si="0"/>
        <v>14.700000000000045</v>
      </c>
      <c r="G20" s="10"/>
      <c r="H20" s="10"/>
      <c r="I20" s="63"/>
      <c r="J20" s="58"/>
      <c r="K20" s="57"/>
      <c r="L20" s="76"/>
    </row>
    <row r="21" spans="1:12" ht="15.95" customHeight="1" x14ac:dyDescent="0.25">
      <c r="A21" s="60"/>
      <c r="B21" s="38"/>
      <c r="C21" s="63">
        <v>21</v>
      </c>
      <c r="D21" s="148">
        <v>1139.7</v>
      </c>
      <c r="E21" s="102">
        <f>'STEEL PILES'!G21</f>
        <v>1125</v>
      </c>
      <c r="F21" s="22">
        <f t="shared" si="0"/>
        <v>14.700000000000045</v>
      </c>
      <c r="G21" s="10"/>
      <c r="H21" s="10"/>
      <c r="I21" s="63"/>
      <c r="J21" s="189"/>
      <c r="K21" s="57"/>
      <c r="L21" s="76"/>
    </row>
    <row r="22" spans="1:12" ht="15.95" customHeight="1" x14ac:dyDescent="0.25">
      <c r="A22" s="60"/>
      <c r="B22" s="10"/>
      <c r="C22" s="63">
        <v>23</v>
      </c>
      <c r="D22" s="148">
        <v>1139.7</v>
      </c>
      <c r="E22" s="102">
        <f>'STEEL PILES'!G22</f>
        <v>1125</v>
      </c>
      <c r="F22" s="22">
        <f t="shared" si="0"/>
        <v>14.700000000000045</v>
      </c>
      <c r="G22" s="10"/>
      <c r="H22" s="10"/>
      <c r="I22" s="63"/>
      <c r="J22" s="58"/>
      <c r="K22" s="60"/>
      <c r="L22" s="76"/>
    </row>
    <row r="23" spans="1:12" ht="15.95" customHeight="1" x14ac:dyDescent="0.25">
      <c r="A23" s="60"/>
      <c r="B23" s="10"/>
      <c r="C23" s="63">
        <v>25</v>
      </c>
      <c r="D23" s="148">
        <v>1139.7</v>
      </c>
      <c r="E23" s="102">
        <f>'STEEL PILES'!G23</f>
        <v>1125</v>
      </c>
      <c r="F23" s="22">
        <f t="shared" si="0"/>
        <v>14.700000000000045</v>
      </c>
      <c r="G23" s="10"/>
      <c r="H23" s="10"/>
      <c r="I23" s="63"/>
      <c r="J23" s="58"/>
      <c r="K23" s="60"/>
      <c r="L23" s="76"/>
    </row>
    <row r="24" spans="1:12" ht="15.95" customHeight="1" x14ac:dyDescent="0.25">
      <c r="A24" s="60"/>
      <c r="B24" s="10"/>
      <c r="C24" s="63">
        <v>27</v>
      </c>
      <c r="D24" s="148">
        <v>1139.7</v>
      </c>
      <c r="E24" s="102">
        <f>'STEEL PILES'!G24</f>
        <v>1125</v>
      </c>
      <c r="F24" s="22">
        <f t="shared" si="0"/>
        <v>14.700000000000045</v>
      </c>
      <c r="G24" s="10"/>
      <c r="H24" s="10"/>
      <c r="I24" s="63"/>
      <c r="J24" s="58"/>
      <c r="K24" s="60"/>
      <c r="L24" s="76"/>
    </row>
    <row r="25" spans="1:12" ht="15.95" customHeight="1" x14ac:dyDescent="0.25">
      <c r="A25" s="60"/>
      <c r="B25" s="10"/>
      <c r="C25" s="63">
        <v>29</v>
      </c>
      <c r="D25" s="148">
        <v>1139.7</v>
      </c>
      <c r="E25" s="102">
        <f>'STEEL PILES'!G25</f>
        <v>1123</v>
      </c>
      <c r="F25" s="22">
        <f t="shared" si="0"/>
        <v>16.700000000000045</v>
      </c>
      <c r="G25" s="10"/>
      <c r="H25" s="10"/>
      <c r="I25" s="63"/>
      <c r="J25" s="58"/>
      <c r="K25" s="60"/>
      <c r="L25" s="76"/>
    </row>
    <row r="26" spans="1:12" ht="15.95" customHeight="1" x14ac:dyDescent="0.25">
      <c r="A26" s="60"/>
      <c r="B26" s="10"/>
      <c r="C26" s="63">
        <v>31</v>
      </c>
      <c r="D26" s="148">
        <v>1139.7</v>
      </c>
      <c r="E26" s="102">
        <f>'STEEL PILES'!G26</f>
        <v>1123</v>
      </c>
      <c r="F26" s="22">
        <f t="shared" si="0"/>
        <v>16.700000000000045</v>
      </c>
      <c r="G26" s="10"/>
      <c r="H26" s="10"/>
      <c r="I26" s="63"/>
      <c r="J26" s="58"/>
      <c r="K26" s="60"/>
      <c r="L26" s="76"/>
    </row>
    <row r="27" spans="1:12" ht="15.95" customHeight="1" x14ac:dyDescent="0.25">
      <c r="A27" s="60"/>
      <c r="B27" s="10"/>
      <c r="C27" s="63">
        <v>33</v>
      </c>
      <c r="D27" s="148">
        <v>1139.7</v>
      </c>
      <c r="E27" s="102">
        <f>'STEEL PILES'!G27</f>
        <v>1123</v>
      </c>
      <c r="F27" s="22">
        <f t="shared" si="0"/>
        <v>16.700000000000045</v>
      </c>
      <c r="G27" s="10"/>
      <c r="H27" s="10"/>
      <c r="I27" s="63"/>
      <c r="J27" s="58"/>
      <c r="K27" s="60"/>
      <c r="L27" s="76"/>
    </row>
    <row r="28" spans="1:12" ht="15.95" customHeight="1" x14ac:dyDescent="0.25">
      <c r="A28" s="60"/>
      <c r="B28" s="10"/>
      <c r="C28" s="63">
        <v>35</v>
      </c>
      <c r="D28" s="148">
        <v>1139.7</v>
      </c>
      <c r="E28" s="102">
        <f>'STEEL PILES'!G28</f>
        <v>1123</v>
      </c>
      <c r="F28" s="22">
        <f t="shared" si="0"/>
        <v>16.700000000000045</v>
      </c>
      <c r="G28" s="10"/>
      <c r="H28" s="10"/>
      <c r="I28" s="63"/>
      <c r="J28" s="58"/>
      <c r="K28" s="60"/>
      <c r="L28" s="76"/>
    </row>
    <row r="29" spans="1:12" ht="15.95" customHeight="1" x14ac:dyDescent="0.25">
      <c r="A29" s="60"/>
      <c r="B29" s="10"/>
      <c r="C29" s="63">
        <v>37</v>
      </c>
      <c r="D29" s="148">
        <v>1139.7</v>
      </c>
      <c r="E29" s="102">
        <f>'STEEL PILES'!G29</f>
        <v>1121</v>
      </c>
      <c r="F29" s="22">
        <f t="shared" si="0"/>
        <v>18.700000000000045</v>
      </c>
      <c r="G29" s="10"/>
      <c r="H29" s="10"/>
      <c r="I29" s="63"/>
      <c r="J29" s="58"/>
      <c r="K29" s="60"/>
      <c r="L29" s="76"/>
    </row>
    <row r="30" spans="1:12" ht="15.95" customHeight="1" x14ac:dyDescent="0.25">
      <c r="A30" s="60"/>
      <c r="B30" s="10"/>
      <c r="C30" s="63">
        <v>39</v>
      </c>
      <c r="D30" s="148">
        <v>1139.7</v>
      </c>
      <c r="E30" s="102">
        <f>'STEEL PILES'!G30</f>
        <v>1121</v>
      </c>
      <c r="F30" s="22">
        <f t="shared" si="0"/>
        <v>18.700000000000045</v>
      </c>
      <c r="G30" s="10"/>
      <c r="H30" s="10"/>
      <c r="I30" s="63"/>
      <c r="J30" s="58"/>
      <c r="K30" s="60"/>
      <c r="L30" s="76"/>
    </row>
    <row r="31" spans="1:12" ht="15.95" customHeight="1" x14ac:dyDescent="0.25">
      <c r="A31" s="60"/>
      <c r="B31" s="10"/>
      <c r="C31" s="63">
        <v>41</v>
      </c>
      <c r="D31" s="148">
        <v>1139.7</v>
      </c>
      <c r="E31" s="102">
        <f>'STEEL PILES'!G31</f>
        <v>1133</v>
      </c>
      <c r="F31" s="22">
        <f t="shared" si="0"/>
        <v>6.7000000000000455</v>
      </c>
      <c r="G31" s="10"/>
      <c r="H31" s="10"/>
      <c r="I31" s="63"/>
      <c r="J31" s="58"/>
      <c r="K31" s="60"/>
      <c r="L31" s="76"/>
    </row>
    <row r="32" spans="1:12" ht="15.95" customHeight="1" x14ac:dyDescent="0.25">
      <c r="A32" s="60"/>
      <c r="B32" s="10"/>
      <c r="C32" s="63">
        <v>43</v>
      </c>
      <c r="D32" s="148">
        <v>1139.7</v>
      </c>
      <c r="E32" s="102">
        <f>'STEEL PILES'!G32</f>
        <v>1135</v>
      </c>
      <c r="F32" s="22">
        <f t="shared" si="0"/>
        <v>4.7000000000000455</v>
      </c>
      <c r="G32" s="10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63">
        <v>45</v>
      </c>
      <c r="D33" s="148">
        <v>1139.7</v>
      </c>
      <c r="E33" s="102">
        <f>'STEEL PILES'!G33</f>
        <v>1135</v>
      </c>
      <c r="F33" s="22">
        <f t="shared" si="0"/>
        <v>4.7000000000000455</v>
      </c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63">
        <v>47</v>
      </c>
      <c r="D34" s="148">
        <v>1139.7</v>
      </c>
      <c r="E34" s="102">
        <f>'STEEL PILES'!G34</f>
        <v>1145</v>
      </c>
      <c r="F34" s="22">
        <f>CEILING(D34-E34,0)</f>
        <v>0</v>
      </c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 t="s">
        <v>50</v>
      </c>
      <c r="F35" s="63">
        <f>SUM(F11:F34)</f>
        <v>275.10000000000105</v>
      </c>
      <c r="G35" s="10"/>
      <c r="H35" s="10"/>
      <c r="I35" s="63"/>
      <c r="J35" s="58"/>
      <c r="K35" s="57">
        <f>F35</f>
        <v>275.10000000000105</v>
      </c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0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0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0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0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0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60"/>
      <c r="B46" s="10"/>
      <c r="C46" s="104"/>
      <c r="D46" s="11"/>
      <c r="E46" s="10"/>
      <c r="F46" s="10"/>
      <c r="G46" s="10"/>
      <c r="H46" s="10"/>
      <c r="I46" s="63"/>
      <c r="J46" s="58"/>
      <c r="K46" s="60"/>
      <c r="L46" s="76"/>
    </row>
    <row r="47" spans="1:12" ht="15.95" customHeight="1" x14ac:dyDescent="0.25">
      <c r="A47" s="60"/>
      <c r="B47" s="10"/>
      <c r="C47" s="104"/>
      <c r="D47" s="11"/>
      <c r="E47" s="10"/>
      <c r="F47" s="10"/>
      <c r="G47" s="10"/>
      <c r="H47" s="10"/>
      <c r="I47" s="63"/>
      <c r="J47" s="58"/>
      <c r="K47" s="60"/>
      <c r="L47" s="76"/>
    </row>
    <row r="48" spans="1:12" ht="15.95" customHeight="1" x14ac:dyDescent="0.25">
      <c r="A48" s="71"/>
      <c r="B48" s="10"/>
      <c r="C48" s="25"/>
      <c r="D48" s="25"/>
      <c r="E48" s="100"/>
      <c r="F48" s="100"/>
      <c r="G48" s="97"/>
      <c r="H48" s="25"/>
      <c r="I48" s="92"/>
      <c r="J48" s="32"/>
      <c r="K48" s="71"/>
      <c r="L48" s="77"/>
    </row>
    <row r="49" spans="1:12" ht="15.95" customHeight="1" thickBot="1" x14ac:dyDescent="0.3">
      <c r="A49" s="71"/>
      <c r="B49" s="67"/>
      <c r="C49" s="67"/>
      <c r="D49" s="67"/>
      <c r="E49" s="101"/>
      <c r="F49" s="101"/>
      <c r="G49" s="98"/>
      <c r="H49" s="67"/>
      <c r="I49" s="99"/>
      <c r="J49" s="68"/>
      <c r="K49" s="71"/>
      <c r="L49" s="77"/>
    </row>
    <row r="50" spans="1:12" ht="15.95" customHeight="1" thickBot="1" x14ac:dyDescent="0.3">
      <c r="A50" s="445" t="s">
        <v>13</v>
      </c>
      <c r="B50" s="446"/>
      <c r="C50" s="447"/>
      <c r="D50" s="447"/>
      <c r="E50" s="447"/>
      <c r="F50" s="447"/>
      <c r="G50" s="447"/>
      <c r="H50" s="447"/>
      <c r="I50" s="447"/>
      <c r="J50" s="448"/>
      <c r="K50" s="79">
        <f>SUM(K8:K49)</f>
        <v>275.10000000000105</v>
      </c>
      <c r="L50" s="80"/>
    </row>
    <row r="51" spans="1:12" ht="15" customHeight="1" x14ac:dyDescent="0.4">
      <c r="A51" s="118" t="s">
        <v>0</v>
      </c>
      <c r="B51" s="119"/>
      <c r="C51" s="120"/>
      <c r="D51" s="121" t="s">
        <v>2</v>
      </c>
      <c r="E51" s="167" t="s">
        <v>229</v>
      </c>
      <c r="F51" s="121" t="s">
        <v>4</v>
      </c>
      <c r="G51" s="351">
        <f>G1</f>
        <v>45107</v>
      </c>
      <c r="H51" s="121" t="s">
        <v>5</v>
      </c>
      <c r="I51" s="449" t="s">
        <v>339</v>
      </c>
      <c r="J51" s="450"/>
      <c r="K51" s="120"/>
      <c r="L51" s="123"/>
    </row>
    <row r="52" spans="1:12" ht="15" customHeight="1" x14ac:dyDescent="0.4">
      <c r="A52" s="124" t="s">
        <v>1</v>
      </c>
      <c r="B52" s="109"/>
      <c r="D52" s="2" t="s">
        <v>3</v>
      </c>
      <c r="E52" s="1" t="str">
        <f>E2</f>
        <v>WER</v>
      </c>
      <c r="F52" s="2" t="s">
        <v>4</v>
      </c>
      <c r="G52" s="56">
        <f>G2</f>
        <v>45134</v>
      </c>
      <c r="H52" s="3" t="s">
        <v>6</v>
      </c>
      <c r="I52" s="451">
        <f>1+I2</f>
        <v>28</v>
      </c>
      <c r="J52" s="452"/>
      <c r="L52" s="110"/>
    </row>
    <row r="53" spans="1:12" ht="15" customHeight="1" x14ac:dyDescent="0.25">
      <c r="A53" s="70"/>
      <c r="L53" s="110"/>
    </row>
    <row r="54" spans="1:12" ht="15" customHeight="1" x14ac:dyDescent="0.25">
      <c r="A54" s="168" t="s">
        <v>7</v>
      </c>
      <c r="B54" s="111"/>
      <c r="C54" s="453">
        <v>108774</v>
      </c>
      <c r="D54" s="453"/>
      <c r="E54" s="112" t="s">
        <v>91</v>
      </c>
      <c r="F54" s="453" t="s">
        <v>218</v>
      </c>
      <c r="G54" s="453"/>
      <c r="H54" s="112" t="s">
        <v>11</v>
      </c>
      <c r="I54" s="454"/>
      <c r="J54" s="454"/>
      <c r="K54" s="454"/>
      <c r="L54" s="455"/>
    </row>
    <row r="55" spans="1:12" ht="15" customHeight="1" x14ac:dyDescent="0.25">
      <c r="A55" s="168" t="s">
        <v>10</v>
      </c>
      <c r="B55" s="111"/>
      <c r="C55" s="456" t="s">
        <v>340</v>
      </c>
      <c r="D55" s="456"/>
      <c r="E55" s="456"/>
      <c r="F55" s="456"/>
      <c r="G55" s="456"/>
      <c r="H55" s="456"/>
      <c r="I55" s="456"/>
      <c r="J55" s="456"/>
      <c r="K55" s="111" t="s">
        <v>8</v>
      </c>
      <c r="L55" s="113" t="s">
        <v>34</v>
      </c>
    </row>
    <row r="56" spans="1:12" ht="15" customHeight="1" thickBot="1" x14ac:dyDescent="0.3">
      <c r="A56" s="70"/>
      <c r="L56" s="110"/>
    </row>
    <row r="57" spans="1:12" ht="15" customHeight="1" thickBot="1" x14ac:dyDescent="0.3">
      <c r="A57" s="441" t="s">
        <v>18</v>
      </c>
      <c r="B57" s="442"/>
      <c r="C57" s="443"/>
      <c r="D57" s="443"/>
      <c r="E57" s="443"/>
      <c r="F57" s="443"/>
      <c r="G57" s="443"/>
      <c r="H57" s="443"/>
      <c r="I57" s="443"/>
      <c r="J57" s="444"/>
      <c r="K57" s="105" t="s">
        <v>12</v>
      </c>
      <c r="L57" s="74" t="s">
        <v>13</v>
      </c>
    </row>
    <row r="58" spans="1:12" ht="15" customHeight="1" x14ac:dyDescent="0.25">
      <c r="A58" s="93"/>
      <c r="B58" s="83"/>
      <c r="C58" s="104"/>
      <c r="D58" s="11"/>
      <c r="E58" s="10"/>
      <c r="F58" s="10"/>
      <c r="G58" s="10"/>
      <c r="H58" s="10"/>
      <c r="I58" s="63"/>
      <c r="J58" s="58"/>
      <c r="K58" s="7"/>
      <c r="L58" s="75"/>
    </row>
    <row r="59" spans="1:12" ht="15" customHeight="1" x14ac:dyDescent="0.25">
      <c r="A59" s="125"/>
      <c r="B59" s="9" t="s">
        <v>249</v>
      </c>
      <c r="C59" s="104"/>
      <c r="D59" s="128"/>
      <c r="E59" s="148"/>
      <c r="F59" s="10"/>
      <c r="G59" s="10"/>
      <c r="H59" s="10"/>
      <c r="I59" s="63"/>
      <c r="J59" s="58"/>
      <c r="K59" s="6"/>
      <c r="L59" s="75"/>
    </row>
    <row r="60" spans="1:12" ht="45" customHeight="1" x14ac:dyDescent="0.25">
      <c r="A60" s="13"/>
      <c r="B60" s="73"/>
      <c r="C60" s="314" t="s">
        <v>244</v>
      </c>
      <c r="D60" s="96" t="s">
        <v>252</v>
      </c>
      <c r="E60" s="96" t="s">
        <v>246</v>
      </c>
      <c r="F60" s="314" t="s">
        <v>14</v>
      </c>
      <c r="G60" s="10"/>
      <c r="H60" s="10"/>
      <c r="I60" s="63"/>
      <c r="J60" s="58"/>
      <c r="K60" s="60"/>
      <c r="L60" s="76"/>
    </row>
    <row r="61" spans="1:12" ht="15" customHeight="1" x14ac:dyDescent="0.25">
      <c r="A61" s="13"/>
      <c r="B61" s="38"/>
      <c r="C61" s="63">
        <v>2</v>
      </c>
      <c r="D61" s="148">
        <v>1139.7</v>
      </c>
      <c r="E61" s="102">
        <f>'STEEL PILES'!G68</f>
        <v>1134</v>
      </c>
      <c r="F61" s="22">
        <f>D61-E61</f>
        <v>5.7000000000000455</v>
      </c>
      <c r="G61" s="10"/>
      <c r="H61" s="10"/>
      <c r="I61" s="63"/>
      <c r="J61" s="58"/>
      <c r="K61" s="60"/>
      <c r="L61" s="76"/>
    </row>
    <row r="62" spans="1:12" ht="15" customHeight="1" x14ac:dyDescent="0.25">
      <c r="A62" s="60"/>
      <c r="B62" s="38"/>
      <c r="C62" s="63">
        <v>4</v>
      </c>
      <c r="D62" s="148">
        <v>1139.7</v>
      </c>
      <c r="E62" s="102">
        <f>'STEEL PILES'!G69</f>
        <v>1134</v>
      </c>
      <c r="F62" s="22">
        <f t="shared" ref="F62:F83" si="1">D62-E62</f>
        <v>5.7000000000000455</v>
      </c>
      <c r="G62" s="10"/>
      <c r="H62" s="10"/>
      <c r="I62" s="63"/>
      <c r="J62" s="58"/>
      <c r="K62" s="60"/>
      <c r="L62" s="76"/>
    </row>
    <row r="63" spans="1:12" ht="15" customHeight="1" x14ac:dyDescent="0.25">
      <c r="A63" s="60"/>
      <c r="B63" s="38"/>
      <c r="C63" s="63">
        <v>6</v>
      </c>
      <c r="D63" s="148">
        <v>1139.7</v>
      </c>
      <c r="E63" s="102">
        <f>'STEEL PILES'!G70</f>
        <v>1134</v>
      </c>
      <c r="F63" s="22">
        <f t="shared" si="1"/>
        <v>5.7000000000000455</v>
      </c>
      <c r="G63" s="10"/>
      <c r="H63" s="10"/>
      <c r="I63" s="63"/>
      <c r="J63" s="58"/>
      <c r="K63" s="59"/>
      <c r="L63" s="76"/>
    </row>
    <row r="64" spans="1:12" ht="15" customHeight="1" x14ac:dyDescent="0.25">
      <c r="A64" s="60"/>
      <c r="B64" s="10"/>
      <c r="C64" s="63">
        <v>8</v>
      </c>
      <c r="D64" s="148">
        <v>1139.7</v>
      </c>
      <c r="E64" s="102">
        <f>'STEEL PILES'!G71</f>
        <v>1131</v>
      </c>
      <c r="F64" s="22">
        <f t="shared" si="1"/>
        <v>8.7000000000000455</v>
      </c>
      <c r="G64" s="10"/>
      <c r="H64" s="10"/>
      <c r="I64" s="63"/>
      <c r="J64" s="58"/>
      <c r="K64" s="60"/>
      <c r="L64" s="76"/>
    </row>
    <row r="65" spans="1:12" ht="15" customHeight="1" x14ac:dyDescent="0.25">
      <c r="A65" s="60"/>
      <c r="B65" s="10"/>
      <c r="C65" s="63">
        <v>10</v>
      </c>
      <c r="D65" s="148">
        <v>1139.7</v>
      </c>
      <c r="E65" s="102">
        <f>'STEEL PILES'!G72</f>
        <v>1131</v>
      </c>
      <c r="F65" s="22">
        <f t="shared" si="1"/>
        <v>8.7000000000000455</v>
      </c>
      <c r="G65" s="10"/>
      <c r="H65" s="10"/>
      <c r="I65" s="63"/>
      <c r="J65" s="58"/>
      <c r="K65" s="60"/>
      <c r="L65" s="76"/>
    </row>
    <row r="66" spans="1:12" ht="15" customHeight="1" x14ac:dyDescent="0.25">
      <c r="A66" s="60"/>
      <c r="B66" s="73"/>
      <c r="C66" s="63">
        <v>12</v>
      </c>
      <c r="D66" s="148">
        <v>1139.7</v>
      </c>
      <c r="E66" s="102">
        <f>'STEEL PILES'!G73</f>
        <v>1131</v>
      </c>
      <c r="F66" s="22">
        <f t="shared" si="1"/>
        <v>8.7000000000000455</v>
      </c>
      <c r="G66" s="10"/>
      <c r="H66" s="10"/>
      <c r="I66" s="63"/>
      <c r="J66" s="58"/>
      <c r="K66" s="60"/>
      <c r="L66" s="76"/>
    </row>
    <row r="67" spans="1:12" ht="15" customHeight="1" x14ac:dyDescent="0.25">
      <c r="A67" s="60"/>
      <c r="B67" s="38"/>
      <c r="C67" s="63">
        <v>14</v>
      </c>
      <c r="D67" s="148">
        <v>1139.7</v>
      </c>
      <c r="E67" s="102">
        <f>'STEEL PILES'!G74</f>
        <v>1131</v>
      </c>
      <c r="F67" s="22">
        <f t="shared" si="1"/>
        <v>8.7000000000000455</v>
      </c>
      <c r="G67" s="10"/>
      <c r="H67" s="10"/>
      <c r="I67" s="63"/>
      <c r="J67" s="58"/>
      <c r="K67" s="60"/>
      <c r="L67" s="76"/>
    </row>
    <row r="68" spans="1:12" ht="15" customHeight="1" x14ac:dyDescent="0.25">
      <c r="A68" s="60"/>
      <c r="B68" s="38"/>
      <c r="C68" s="63">
        <v>16</v>
      </c>
      <c r="D68" s="148">
        <v>1139.7</v>
      </c>
      <c r="E68" s="102">
        <f>'STEEL PILES'!G75</f>
        <v>1125</v>
      </c>
      <c r="F68" s="22">
        <f t="shared" si="1"/>
        <v>14.700000000000045</v>
      </c>
      <c r="G68" s="10"/>
      <c r="H68" s="10"/>
      <c r="I68" s="63"/>
      <c r="J68" s="58"/>
      <c r="K68" s="60"/>
      <c r="L68" s="76"/>
    </row>
    <row r="69" spans="1:12" ht="15" customHeight="1" x14ac:dyDescent="0.25">
      <c r="A69" s="60"/>
      <c r="B69" s="38"/>
      <c r="C69" s="63">
        <v>18</v>
      </c>
      <c r="D69" s="148">
        <v>1139.7</v>
      </c>
      <c r="E69" s="102">
        <f>'STEEL PILES'!G76</f>
        <v>1125</v>
      </c>
      <c r="F69" s="22">
        <f t="shared" si="1"/>
        <v>14.700000000000045</v>
      </c>
      <c r="G69" s="10"/>
      <c r="H69" s="10"/>
      <c r="I69" s="63"/>
      <c r="J69" s="58"/>
      <c r="K69" s="59"/>
      <c r="L69" s="76"/>
    </row>
    <row r="70" spans="1:12" ht="15" customHeight="1" x14ac:dyDescent="0.25">
      <c r="A70" s="60"/>
      <c r="B70" s="38"/>
      <c r="C70" s="63">
        <v>20</v>
      </c>
      <c r="D70" s="148">
        <v>1139.7</v>
      </c>
      <c r="E70" s="102">
        <f>'STEEL PILES'!G77</f>
        <v>1125</v>
      </c>
      <c r="F70" s="22">
        <f t="shared" si="1"/>
        <v>14.700000000000045</v>
      </c>
      <c r="G70" s="10"/>
      <c r="H70" s="10"/>
      <c r="I70" s="63"/>
      <c r="J70" s="58"/>
      <c r="K70" s="57"/>
      <c r="L70" s="76"/>
    </row>
    <row r="71" spans="1:12" ht="15" customHeight="1" x14ac:dyDescent="0.25">
      <c r="A71" s="60"/>
      <c r="B71" s="38"/>
      <c r="C71" s="63">
        <v>22</v>
      </c>
      <c r="D71" s="148">
        <v>1139.7</v>
      </c>
      <c r="E71" s="102">
        <f>'STEEL PILES'!G78</f>
        <v>1125</v>
      </c>
      <c r="F71" s="22">
        <f t="shared" si="1"/>
        <v>14.700000000000045</v>
      </c>
      <c r="G71" s="10"/>
      <c r="H71" s="10"/>
      <c r="I71" s="63"/>
      <c r="J71" s="189"/>
      <c r="K71" s="57"/>
      <c r="L71" s="76"/>
    </row>
    <row r="72" spans="1:12" ht="15" customHeight="1" x14ac:dyDescent="0.25">
      <c r="A72" s="60"/>
      <c r="B72" s="10"/>
      <c r="C72" s="63">
        <v>24</v>
      </c>
      <c r="D72" s="148">
        <v>1139.7</v>
      </c>
      <c r="E72" s="102">
        <f>'STEEL PILES'!G79</f>
        <v>1125</v>
      </c>
      <c r="F72" s="22">
        <f t="shared" si="1"/>
        <v>14.700000000000045</v>
      </c>
      <c r="G72" s="10"/>
      <c r="H72" s="10"/>
      <c r="I72" s="63"/>
      <c r="J72" s="58"/>
      <c r="K72" s="60"/>
      <c r="L72" s="76"/>
    </row>
    <row r="73" spans="1:12" ht="15" customHeight="1" x14ac:dyDescent="0.25">
      <c r="A73" s="60"/>
      <c r="B73" s="10"/>
      <c r="C73" s="63">
        <v>26</v>
      </c>
      <c r="D73" s="148">
        <v>1139.7</v>
      </c>
      <c r="E73" s="102">
        <f>'STEEL PILES'!G80</f>
        <v>1125</v>
      </c>
      <c r="F73" s="22">
        <f t="shared" si="1"/>
        <v>14.700000000000045</v>
      </c>
      <c r="G73" s="10"/>
      <c r="H73" s="10"/>
      <c r="I73" s="63"/>
      <c r="J73" s="58"/>
      <c r="K73" s="60"/>
      <c r="L73" s="76"/>
    </row>
    <row r="74" spans="1:12" ht="15" customHeight="1" x14ac:dyDescent="0.25">
      <c r="A74" s="60"/>
      <c r="B74" s="10"/>
      <c r="C74" s="63">
        <v>28</v>
      </c>
      <c r="D74" s="148">
        <v>1139.7</v>
      </c>
      <c r="E74" s="102">
        <f>'STEEL PILES'!G81</f>
        <v>1125</v>
      </c>
      <c r="F74" s="22">
        <f t="shared" si="1"/>
        <v>14.700000000000045</v>
      </c>
      <c r="G74" s="10"/>
      <c r="H74" s="10"/>
      <c r="I74" s="63"/>
      <c r="J74" s="58"/>
      <c r="K74" s="60"/>
      <c r="L74" s="76"/>
    </row>
    <row r="75" spans="1:12" ht="15" customHeight="1" x14ac:dyDescent="0.25">
      <c r="A75" s="60"/>
      <c r="B75" s="10"/>
      <c r="C75" s="63">
        <v>30</v>
      </c>
      <c r="D75" s="148">
        <v>1139.7</v>
      </c>
      <c r="E75" s="102">
        <f>'STEEL PILES'!G82</f>
        <v>1123</v>
      </c>
      <c r="F75" s="22">
        <f t="shared" si="1"/>
        <v>16.700000000000045</v>
      </c>
      <c r="G75" s="10"/>
      <c r="H75" s="10"/>
      <c r="I75" s="63"/>
      <c r="J75" s="58"/>
      <c r="K75" s="60"/>
      <c r="L75" s="76"/>
    </row>
    <row r="76" spans="1:12" ht="15" customHeight="1" x14ac:dyDescent="0.25">
      <c r="A76" s="60"/>
      <c r="B76" s="10"/>
      <c r="C76" s="63">
        <v>32</v>
      </c>
      <c r="D76" s="148">
        <v>1139.7</v>
      </c>
      <c r="E76" s="102">
        <f>'STEEL PILES'!G83</f>
        <v>1123</v>
      </c>
      <c r="F76" s="22">
        <f t="shared" si="1"/>
        <v>16.700000000000045</v>
      </c>
      <c r="G76" s="10"/>
      <c r="H76" s="10"/>
      <c r="I76" s="63"/>
      <c r="J76" s="58"/>
      <c r="K76" s="60"/>
      <c r="L76" s="76"/>
    </row>
    <row r="77" spans="1:12" ht="15" customHeight="1" x14ac:dyDescent="0.25">
      <c r="A77" s="60"/>
      <c r="B77" s="10"/>
      <c r="C77" s="63">
        <v>34</v>
      </c>
      <c r="D77" s="148">
        <v>1139.7</v>
      </c>
      <c r="E77" s="102">
        <f>'STEEL PILES'!G84</f>
        <v>1123</v>
      </c>
      <c r="F77" s="22">
        <f t="shared" si="1"/>
        <v>16.700000000000045</v>
      </c>
      <c r="G77" s="10"/>
      <c r="H77" s="10"/>
      <c r="I77" s="63"/>
      <c r="J77" s="58"/>
      <c r="K77" s="60"/>
      <c r="L77" s="76"/>
    </row>
    <row r="78" spans="1:12" ht="15" customHeight="1" x14ac:dyDescent="0.25">
      <c r="A78" s="60"/>
      <c r="B78" s="10"/>
      <c r="C78" s="63">
        <v>36</v>
      </c>
      <c r="D78" s="148">
        <v>1139.7</v>
      </c>
      <c r="E78" s="102">
        <f>'STEEL PILES'!G85</f>
        <v>1123</v>
      </c>
      <c r="F78" s="22">
        <f t="shared" si="1"/>
        <v>16.700000000000045</v>
      </c>
      <c r="G78" s="10"/>
      <c r="H78" s="10"/>
      <c r="I78" s="63"/>
      <c r="J78" s="58"/>
      <c r="K78" s="60"/>
      <c r="L78" s="76"/>
    </row>
    <row r="79" spans="1:12" ht="15" customHeight="1" x14ac:dyDescent="0.25">
      <c r="A79" s="60"/>
      <c r="B79" s="10"/>
      <c r="C79" s="63">
        <v>38</v>
      </c>
      <c r="D79" s="148">
        <v>1139.7</v>
      </c>
      <c r="E79" s="102">
        <f>'STEEL PILES'!G86</f>
        <v>1121</v>
      </c>
      <c r="F79" s="22">
        <f t="shared" si="1"/>
        <v>18.700000000000045</v>
      </c>
      <c r="G79" s="10"/>
      <c r="H79" s="10"/>
      <c r="I79" s="63"/>
      <c r="J79" s="58"/>
      <c r="K79" s="60"/>
      <c r="L79" s="76"/>
    </row>
    <row r="80" spans="1:12" ht="15" customHeight="1" x14ac:dyDescent="0.25">
      <c r="A80" s="60"/>
      <c r="B80" s="10"/>
      <c r="C80" s="63">
        <v>40</v>
      </c>
      <c r="D80" s="148">
        <v>1139.7</v>
      </c>
      <c r="E80" s="102">
        <f>'STEEL PILES'!G87</f>
        <v>1121</v>
      </c>
      <c r="F80" s="22">
        <f t="shared" si="1"/>
        <v>18.700000000000045</v>
      </c>
      <c r="G80" s="10"/>
      <c r="H80" s="10"/>
      <c r="I80" s="63"/>
      <c r="J80" s="58"/>
      <c r="K80" s="60"/>
      <c r="L80" s="76"/>
    </row>
    <row r="81" spans="1:12" ht="15" customHeight="1" x14ac:dyDescent="0.25">
      <c r="A81" s="60"/>
      <c r="B81" s="10"/>
      <c r="C81" s="63">
        <v>42</v>
      </c>
      <c r="D81" s="148">
        <v>1139.7</v>
      </c>
      <c r="E81" s="102">
        <f>'STEEL PILES'!G88</f>
        <v>1121</v>
      </c>
      <c r="F81" s="22">
        <f t="shared" si="1"/>
        <v>18.700000000000045</v>
      </c>
      <c r="G81" s="10"/>
      <c r="H81" s="10"/>
      <c r="I81" s="63"/>
      <c r="J81" s="58"/>
      <c r="K81" s="60"/>
      <c r="L81" s="76"/>
    </row>
    <row r="82" spans="1:12" ht="15" customHeight="1" x14ac:dyDescent="0.25">
      <c r="A82" s="60"/>
      <c r="B82" s="10"/>
      <c r="C82" s="63">
        <v>44</v>
      </c>
      <c r="D82" s="148">
        <v>1139.7</v>
      </c>
      <c r="E82" s="102">
        <f>'STEEL PILES'!G89</f>
        <v>1125</v>
      </c>
      <c r="F82" s="22">
        <f t="shared" si="1"/>
        <v>14.700000000000045</v>
      </c>
      <c r="G82" s="10"/>
      <c r="H82" s="10"/>
      <c r="I82" s="63"/>
      <c r="J82" s="58"/>
      <c r="K82" s="60"/>
      <c r="L82" s="76"/>
    </row>
    <row r="83" spans="1:12" ht="15" customHeight="1" x14ac:dyDescent="0.25">
      <c r="A83" s="60"/>
      <c r="B83" s="10"/>
      <c r="C83" s="63">
        <v>46</v>
      </c>
      <c r="D83" s="148">
        <v>1139.7</v>
      </c>
      <c r="E83" s="102">
        <f>'STEEL PILES'!G90</f>
        <v>1131</v>
      </c>
      <c r="F83" s="22">
        <f t="shared" si="1"/>
        <v>8.7000000000000455</v>
      </c>
      <c r="G83" s="10"/>
      <c r="H83" s="10"/>
      <c r="I83" s="63"/>
      <c r="J83" s="58"/>
      <c r="K83" s="60"/>
      <c r="L83" s="76"/>
    </row>
    <row r="84" spans="1:12" ht="15" customHeight="1" x14ac:dyDescent="0.25">
      <c r="A84" s="60"/>
      <c r="B84" s="10"/>
      <c r="C84" s="63">
        <v>48</v>
      </c>
      <c r="D84" s="148">
        <v>1139.7</v>
      </c>
      <c r="E84" s="102">
        <f>'STEEL PILES'!G91</f>
        <v>1143</v>
      </c>
      <c r="F84" s="22">
        <f>CEILING(D84-E84,0)</f>
        <v>0</v>
      </c>
      <c r="G84" s="10"/>
      <c r="H84" s="10"/>
      <c r="I84" s="63"/>
      <c r="J84" s="58"/>
      <c r="K84" s="60"/>
      <c r="L84" s="76"/>
    </row>
    <row r="85" spans="1:12" ht="15" customHeight="1" x14ac:dyDescent="0.25">
      <c r="A85" s="60"/>
      <c r="B85" s="10"/>
      <c r="C85" s="104"/>
      <c r="D85" s="11"/>
      <c r="E85" s="10" t="s">
        <v>50</v>
      </c>
      <c r="F85" s="63">
        <f>SUM(F61:F84)</f>
        <v>301.10000000000105</v>
      </c>
      <c r="G85" s="10"/>
      <c r="H85" s="10"/>
      <c r="I85" s="63"/>
      <c r="J85" s="58"/>
      <c r="K85" s="57">
        <f>F85</f>
        <v>301.10000000000105</v>
      </c>
      <c r="L85" s="76"/>
    </row>
    <row r="86" spans="1:12" ht="15" customHeight="1" x14ac:dyDescent="0.25">
      <c r="A86" s="60"/>
      <c r="B86" s="10"/>
      <c r="C86" s="104"/>
      <c r="D86" s="11"/>
      <c r="E86" s="10"/>
      <c r="F86" s="10"/>
      <c r="G86" s="10"/>
      <c r="H86" s="10"/>
      <c r="I86" s="63"/>
      <c r="J86" s="58"/>
      <c r="K86" s="60"/>
      <c r="L86" s="76"/>
    </row>
    <row r="87" spans="1:12" ht="15" customHeight="1" x14ac:dyDescent="0.25">
      <c r="A87" s="60"/>
      <c r="B87" s="10"/>
      <c r="C87" s="104"/>
      <c r="D87" s="11"/>
      <c r="E87" s="10"/>
      <c r="F87" s="10"/>
      <c r="G87" s="10"/>
      <c r="H87" s="10"/>
      <c r="I87" s="63"/>
      <c r="J87" s="58"/>
      <c r="K87" s="60"/>
      <c r="L87" s="76"/>
    </row>
    <row r="88" spans="1:12" ht="15" customHeight="1" x14ac:dyDescent="0.25">
      <c r="A88" s="60"/>
      <c r="B88" s="10"/>
      <c r="C88" s="104"/>
      <c r="D88" s="11"/>
      <c r="E88" s="10"/>
      <c r="F88" s="10"/>
      <c r="G88" s="10"/>
      <c r="H88" s="10"/>
      <c r="I88" s="63"/>
      <c r="J88" s="58"/>
      <c r="K88" s="60"/>
      <c r="L88" s="76"/>
    </row>
    <row r="89" spans="1:12" ht="15" customHeight="1" x14ac:dyDescent="0.25">
      <c r="A89" s="60"/>
      <c r="B89" s="10"/>
      <c r="C89" s="104"/>
      <c r="D89" s="11"/>
      <c r="E89" s="10"/>
      <c r="F89" s="10"/>
      <c r="G89" s="10"/>
      <c r="H89" s="10"/>
      <c r="I89" s="63"/>
      <c r="J89" s="58"/>
      <c r="K89" s="60"/>
      <c r="L89" s="76"/>
    </row>
    <row r="90" spans="1:12" ht="15" customHeight="1" x14ac:dyDescent="0.25">
      <c r="A90" s="60"/>
      <c r="B90" s="10"/>
      <c r="C90" s="104"/>
      <c r="D90" s="11"/>
      <c r="E90" s="10"/>
      <c r="F90" s="10"/>
      <c r="G90" s="10"/>
      <c r="H90" s="10"/>
      <c r="I90" s="63"/>
      <c r="J90" s="58"/>
      <c r="K90" s="60"/>
      <c r="L90" s="76"/>
    </row>
    <row r="91" spans="1:12" ht="15" customHeight="1" x14ac:dyDescent="0.25">
      <c r="A91" s="60"/>
      <c r="B91" s="10"/>
      <c r="C91" s="104"/>
      <c r="D91" s="11"/>
      <c r="E91" s="10"/>
      <c r="F91" s="10"/>
      <c r="G91" s="10"/>
      <c r="H91" s="10"/>
      <c r="I91" s="63"/>
      <c r="J91" s="58"/>
      <c r="K91" s="60"/>
      <c r="L91" s="76"/>
    </row>
    <row r="92" spans="1:12" ht="15" customHeight="1" x14ac:dyDescent="0.25">
      <c r="A92" s="60"/>
      <c r="B92" s="10"/>
      <c r="C92" s="104"/>
      <c r="D92" s="11"/>
      <c r="E92" s="10"/>
      <c r="F92" s="10"/>
      <c r="G92" s="10"/>
      <c r="H92" s="10"/>
      <c r="I92" s="63"/>
      <c r="J92" s="58"/>
      <c r="K92" s="60"/>
      <c r="L92" s="76"/>
    </row>
    <row r="93" spans="1:12" ht="15" customHeight="1" x14ac:dyDescent="0.25">
      <c r="A93" s="60"/>
      <c r="B93" s="10"/>
      <c r="C93" s="104"/>
      <c r="D93" s="11"/>
      <c r="E93" s="10"/>
      <c r="F93" s="10"/>
      <c r="G93" s="10"/>
      <c r="H93" s="10"/>
      <c r="I93" s="63"/>
      <c r="J93" s="58"/>
      <c r="K93" s="60"/>
      <c r="L93" s="76"/>
    </row>
    <row r="94" spans="1:12" ht="15" customHeight="1" x14ac:dyDescent="0.25">
      <c r="A94" s="60"/>
      <c r="B94" s="10"/>
      <c r="C94" s="104"/>
      <c r="D94" s="11"/>
      <c r="E94" s="10"/>
      <c r="F94" s="10"/>
      <c r="G94" s="10"/>
      <c r="H94" s="10"/>
      <c r="I94" s="63"/>
      <c r="J94" s="58"/>
      <c r="K94" s="60"/>
      <c r="L94" s="76"/>
    </row>
    <row r="95" spans="1:12" ht="15" customHeight="1" x14ac:dyDescent="0.25">
      <c r="A95" s="60"/>
      <c r="B95" s="10"/>
      <c r="C95" s="104"/>
      <c r="D95" s="11"/>
      <c r="E95" s="10"/>
      <c r="F95" s="10"/>
      <c r="G95" s="10"/>
      <c r="H95" s="10"/>
      <c r="I95" s="63"/>
      <c r="J95" s="58"/>
      <c r="K95" s="60"/>
      <c r="L95" s="76"/>
    </row>
    <row r="96" spans="1:12" ht="15" customHeight="1" x14ac:dyDescent="0.25">
      <c r="A96" s="60"/>
      <c r="B96" s="10"/>
      <c r="C96" s="104"/>
      <c r="D96" s="11"/>
      <c r="E96" s="10"/>
      <c r="F96" s="10"/>
      <c r="G96" s="10"/>
      <c r="H96" s="10"/>
      <c r="I96" s="63"/>
      <c r="J96" s="58"/>
      <c r="K96" s="60"/>
      <c r="L96" s="76"/>
    </row>
    <row r="97" spans="1:12" ht="15" customHeight="1" x14ac:dyDescent="0.25">
      <c r="A97" s="60"/>
      <c r="B97" s="10"/>
      <c r="C97" s="104"/>
      <c r="D97" s="11"/>
      <c r="E97" s="10"/>
      <c r="F97" s="10"/>
      <c r="G97" s="10"/>
      <c r="H97" s="10"/>
      <c r="I97" s="63"/>
      <c r="J97" s="58"/>
      <c r="K97" s="60"/>
      <c r="L97" s="76"/>
    </row>
    <row r="98" spans="1:12" ht="15" customHeight="1" x14ac:dyDescent="0.25">
      <c r="A98" s="60"/>
      <c r="B98" s="10"/>
      <c r="C98" s="104"/>
      <c r="D98" s="11"/>
      <c r="E98" s="10"/>
      <c r="F98" s="10"/>
      <c r="G98" s="10"/>
      <c r="H98" s="10"/>
      <c r="I98" s="63"/>
      <c r="J98" s="58"/>
      <c r="K98" s="60"/>
      <c r="L98" s="76"/>
    </row>
    <row r="99" spans="1:12" ht="15" customHeight="1" x14ac:dyDescent="0.25">
      <c r="A99" s="71"/>
      <c r="B99" s="10"/>
      <c r="C99" s="25"/>
      <c r="D99" s="25"/>
      <c r="E99" s="100"/>
      <c r="F99" s="100"/>
      <c r="G99" s="97"/>
      <c r="H99" s="25"/>
      <c r="I99" s="92"/>
      <c r="J99" s="32"/>
      <c r="K99" s="71"/>
      <c r="L99" s="77"/>
    </row>
    <row r="100" spans="1:12" ht="15" customHeight="1" thickBot="1" x14ac:dyDescent="0.3">
      <c r="A100" s="71"/>
      <c r="B100" s="67"/>
      <c r="C100" s="67"/>
      <c r="D100" s="67"/>
      <c r="E100" s="101"/>
      <c r="F100" s="101"/>
      <c r="G100" s="98"/>
      <c r="H100" s="67"/>
      <c r="I100" s="99"/>
      <c r="J100" s="68"/>
      <c r="K100" s="71"/>
      <c r="L100" s="77"/>
    </row>
    <row r="101" spans="1:12" ht="15" customHeight="1" thickBot="1" x14ac:dyDescent="0.3">
      <c r="A101" s="445" t="s">
        <v>13</v>
      </c>
      <c r="B101" s="446"/>
      <c r="C101" s="447"/>
      <c r="D101" s="447"/>
      <c r="E101" s="447"/>
      <c r="F101" s="447"/>
      <c r="G101" s="447"/>
      <c r="H101" s="447"/>
      <c r="I101" s="447"/>
      <c r="J101" s="448"/>
      <c r="K101" s="79">
        <f>SUM(K58:K100)</f>
        <v>301.10000000000105</v>
      </c>
      <c r="L101" s="80"/>
    </row>
    <row r="102" spans="1:12" ht="15" customHeight="1" x14ac:dyDescent="0.4">
      <c r="A102" s="118" t="s">
        <v>0</v>
      </c>
      <c r="B102" s="119"/>
      <c r="C102" s="120"/>
      <c r="D102" s="121" t="s">
        <v>2</v>
      </c>
      <c r="E102" s="167" t="s">
        <v>229</v>
      </c>
      <c r="F102" s="121" t="s">
        <v>4</v>
      </c>
      <c r="G102" s="351">
        <f>G51</f>
        <v>45107</v>
      </c>
      <c r="H102" s="121" t="s">
        <v>5</v>
      </c>
      <c r="I102" s="449" t="s">
        <v>339</v>
      </c>
      <c r="J102" s="450"/>
      <c r="K102" s="120"/>
      <c r="L102" s="123"/>
    </row>
    <row r="103" spans="1:12" ht="15" customHeight="1" x14ac:dyDescent="0.4">
      <c r="A103" s="124" t="s">
        <v>1</v>
      </c>
      <c r="B103" s="109"/>
      <c r="D103" s="2" t="s">
        <v>3</v>
      </c>
      <c r="E103" s="1" t="str">
        <f>E2</f>
        <v>WER</v>
      </c>
      <c r="F103" s="2" t="s">
        <v>4</v>
      </c>
      <c r="G103" s="56">
        <f>G2</f>
        <v>45134</v>
      </c>
      <c r="H103" s="3" t="s">
        <v>6</v>
      </c>
      <c r="I103" s="451">
        <f>1+I52</f>
        <v>29</v>
      </c>
      <c r="J103" s="452"/>
      <c r="L103" s="110"/>
    </row>
    <row r="104" spans="1:12" ht="15" customHeight="1" x14ac:dyDescent="0.25">
      <c r="A104" s="70"/>
      <c r="L104" s="110"/>
    </row>
    <row r="105" spans="1:12" ht="15" customHeight="1" x14ac:dyDescent="0.25">
      <c r="A105" s="168" t="s">
        <v>7</v>
      </c>
      <c r="B105" s="111"/>
      <c r="C105" s="453">
        <v>108774</v>
      </c>
      <c r="D105" s="453"/>
      <c r="E105" s="112" t="s">
        <v>91</v>
      </c>
      <c r="F105" s="453" t="s">
        <v>218</v>
      </c>
      <c r="G105" s="453"/>
      <c r="H105" s="112" t="s">
        <v>11</v>
      </c>
      <c r="I105" s="454"/>
      <c r="J105" s="454"/>
      <c r="K105" s="454"/>
      <c r="L105" s="455"/>
    </row>
    <row r="106" spans="1:12" ht="15" customHeight="1" x14ac:dyDescent="0.25">
      <c r="A106" s="168" t="s">
        <v>10</v>
      </c>
      <c r="B106" s="111"/>
      <c r="C106" s="456" t="s">
        <v>340</v>
      </c>
      <c r="D106" s="456"/>
      <c r="E106" s="456"/>
      <c r="F106" s="456"/>
      <c r="G106" s="456"/>
      <c r="H106" s="456"/>
      <c r="I106" s="456"/>
      <c r="J106" s="456"/>
      <c r="K106" s="111" t="s">
        <v>8</v>
      </c>
      <c r="L106" s="113" t="s">
        <v>34</v>
      </c>
    </row>
    <row r="107" spans="1:12" ht="15" customHeight="1" thickBot="1" x14ac:dyDescent="0.3">
      <c r="A107" s="70"/>
      <c r="L107" s="110"/>
    </row>
    <row r="108" spans="1:12" ht="15" customHeight="1" thickBot="1" x14ac:dyDescent="0.3">
      <c r="A108" s="441" t="s">
        <v>18</v>
      </c>
      <c r="B108" s="442"/>
      <c r="C108" s="443"/>
      <c r="D108" s="443"/>
      <c r="E108" s="443"/>
      <c r="F108" s="443"/>
      <c r="G108" s="443"/>
      <c r="H108" s="443"/>
      <c r="I108" s="443"/>
      <c r="J108" s="444"/>
      <c r="K108" s="105" t="s">
        <v>12</v>
      </c>
      <c r="L108" s="74" t="s">
        <v>13</v>
      </c>
    </row>
    <row r="109" spans="1:12" ht="15" customHeight="1" x14ac:dyDescent="0.25">
      <c r="A109" s="93"/>
      <c r="B109" s="83"/>
      <c r="C109" s="104"/>
      <c r="D109" s="11"/>
      <c r="E109" s="10"/>
      <c r="F109" s="10"/>
      <c r="G109" s="10"/>
      <c r="H109" s="10"/>
      <c r="I109" s="63"/>
      <c r="J109" s="58"/>
      <c r="K109" s="7"/>
      <c r="L109" s="75"/>
    </row>
    <row r="110" spans="1:12" ht="15" customHeight="1" x14ac:dyDescent="0.25">
      <c r="A110" s="125"/>
      <c r="B110" s="321" t="s">
        <v>250</v>
      </c>
      <c r="C110" s="104"/>
      <c r="D110" s="128"/>
      <c r="E110" s="148"/>
      <c r="F110" s="10"/>
      <c r="G110" s="10"/>
      <c r="H110" s="10"/>
      <c r="I110" s="63"/>
      <c r="J110" s="58"/>
      <c r="K110" s="6"/>
      <c r="L110" s="75"/>
    </row>
    <row r="111" spans="1:12" ht="45" customHeight="1" x14ac:dyDescent="0.25">
      <c r="A111" s="13"/>
      <c r="B111" s="73"/>
      <c r="C111" s="314" t="s">
        <v>244</v>
      </c>
      <c r="D111" s="96" t="s">
        <v>252</v>
      </c>
      <c r="E111" s="96" t="s">
        <v>246</v>
      </c>
      <c r="F111" s="314" t="s">
        <v>14</v>
      </c>
      <c r="G111" s="10"/>
      <c r="H111" s="10"/>
      <c r="I111" s="63"/>
      <c r="J111" s="58"/>
      <c r="K111" s="60"/>
      <c r="L111" s="76"/>
    </row>
    <row r="112" spans="1:12" ht="15" customHeight="1" x14ac:dyDescent="0.25">
      <c r="A112" s="13"/>
      <c r="B112" s="38"/>
      <c r="C112" s="63">
        <v>49</v>
      </c>
      <c r="D112" s="22">
        <v>1144.7</v>
      </c>
      <c r="E112" s="22">
        <f>'STEEL PILES'!G125</f>
        <v>1126</v>
      </c>
      <c r="F112" s="22">
        <f>D112-E112</f>
        <v>18.700000000000045</v>
      </c>
      <c r="G112" s="10"/>
      <c r="H112" s="10"/>
      <c r="I112" s="63"/>
      <c r="J112" s="58"/>
      <c r="K112" s="60"/>
      <c r="L112" s="76"/>
    </row>
    <row r="113" spans="1:12" ht="15" customHeight="1" x14ac:dyDescent="0.25">
      <c r="A113" s="60"/>
      <c r="B113" s="38"/>
      <c r="C113" s="63">
        <v>51</v>
      </c>
      <c r="D113" s="22">
        <v>1144.7</v>
      </c>
      <c r="E113" s="22">
        <f>'STEEL PILES'!G126</f>
        <v>1126</v>
      </c>
      <c r="F113" s="22">
        <f t="shared" ref="F113:F123" si="2">D113-E113</f>
        <v>18.700000000000045</v>
      </c>
      <c r="G113" s="10"/>
      <c r="H113" s="10"/>
      <c r="I113" s="63"/>
      <c r="J113" s="58"/>
      <c r="K113" s="60"/>
      <c r="L113" s="76"/>
    </row>
    <row r="114" spans="1:12" ht="15" customHeight="1" x14ac:dyDescent="0.25">
      <c r="A114" s="60"/>
      <c r="B114" s="38"/>
      <c r="C114" s="63">
        <v>53</v>
      </c>
      <c r="D114" s="22">
        <v>1144.7</v>
      </c>
      <c r="E114" s="22">
        <f>'STEEL PILES'!G127</f>
        <v>1126</v>
      </c>
      <c r="F114" s="22">
        <f t="shared" si="2"/>
        <v>18.700000000000045</v>
      </c>
      <c r="G114" s="10"/>
      <c r="H114" s="10"/>
      <c r="I114" s="63"/>
      <c r="J114" s="58"/>
      <c r="K114" s="59"/>
      <c r="L114" s="76"/>
    </row>
    <row r="115" spans="1:12" ht="15" customHeight="1" x14ac:dyDescent="0.25">
      <c r="A115" s="60"/>
      <c r="B115" s="10"/>
      <c r="C115" s="63">
        <v>55</v>
      </c>
      <c r="D115" s="22">
        <v>1144.7</v>
      </c>
      <c r="E115" s="22">
        <f>'STEEL PILES'!G128</f>
        <v>1129</v>
      </c>
      <c r="F115" s="22">
        <f t="shared" si="2"/>
        <v>15.700000000000045</v>
      </c>
      <c r="G115" s="10"/>
      <c r="H115" s="10"/>
      <c r="I115" s="63"/>
      <c r="J115" s="58"/>
      <c r="K115" s="60"/>
      <c r="L115" s="76"/>
    </row>
    <row r="116" spans="1:12" ht="15" customHeight="1" x14ac:dyDescent="0.25">
      <c r="A116" s="60"/>
      <c r="B116" s="10"/>
      <c r="C116" s="63">
        <v>57</v>
      </c>
      <c r="D116" s="22">
        <v>1144.7</v>
      </c>
      <c r="E116" s="22">
        <f>'STEEL PILES'!G129</f>
        <v>1131</v>
      </c>
      <c r="F116" s="22">
        <f t="shared" si="2"/>
        <v>13.700000000000045</v>
      </c>
      <c r="G116" s="10"/>
      <c r="H116" s="10"/>
      <c r="I116" s="63"/>
      <c r="J116" s="58"/>
      <c r="K116" s="60"/>
      <c r="L116" s="76"/>
    </row>
    <row r="117" spans="1:12" ht="15" customHeight="1" x14ac:dyDescent="0.25">
      <c r="A117" s="60"/>
      <c r="B117" s="73"/>
      <c r="C117" s="63">
        <v>59</v>
      </c>
      <c r="D117" s="22">
        <v>1144.7</v>
      </c>
      <c r="E117" s="22">
        <f>'STEEL PILES'!G130</f>
        <v>1131</v>
      </c>
      <c r="F117" s="22">
        <f t="shared" si="2"/>
        <v>13.700000000000045</v>
      </c>
      <c r="G117" s="10"/>
      <c r="H117" s="10"/>
      <c r="I117" s="63"/>
      <c r="J117" s="58"/>
      <c r="K117" s="60"/>
      <c r="L117" s="76"/>
    </row>
    <row r="118" spans="1:12" ht="15" customHeight="1" x14ac:dyDescent="0.25">
      <c r="A118" s="60"/>
      <c r="B118" s="38"/>
      <c r="C118" s="63">
        <v>61</v>
      </c>
      <c r="D118" s="22">
        <v>1144.7</v>
      </c>
      <c r="E118" s="22">
        <f>'STEEL PILES'!G131</f>
        <v>1131</v>
      </c>
      <c r="F118" s="22">
        <f t="shared" si="2"/>
        <v>13.700000000000045</v>
      </c>
      <c r="G118" s="10"/>
      <c r="H118" s="10"/>
      <c r="I118" s="63"/>
      <c r="J118" s="58"/>
      <c r="K118" s="60"/>
      <c r="L118" s="76"/>
    </row>
    <row r="119" spans="1:12" ht="15" customHeight="1" x14ac:dyDescent="0.25">
      <c r="A119" s="60"/>
      <c r="B119" s="38"/>
      <c r="C119" s="63">
        <v>63</v>
      </c>
      <c r="D119" s="22">
        <v>1144.7</v>
      </c>
      <c r="E119" s="22">
        <f>'STEEL PILES'!G132</f>
        <v>1136</v>
      </c>
      <c r="F119" s="22">
        <f t="shared" si="2"/>
        <v>8.7000000000000455</v>
      </c>
      <c r="G119" s="10"/>
      <c r="H119" s="10"/>
      <c r="I119" s="63"/>
      <c r="J119" s="58"/>
      <c r="K119" s="60"/>
      <c r="L119" s="76"/>
    </row>
    <row r="120" spans="1:12" ht="15" customHeight="1" x14ac:dyDescent="0.25">
      <c r="A120" s="60"/>
      <c r="B120" s="38"/>
      <c r="C120" s="63">
        <v>65</v>
      </c>
      <c r="D120" s="22">
        <v>1144.7</v>
      </c>
      <c r="E120" s="22">
        <f>'STEEL PILES'!G133</f>
        <v>1136</v>
      </c>
      <c r="F120" s="22">
        <f t="shared" si="2"/>
        <v>8.7000000000000455</v>
      </c>
      <c r="G120" s="10"/>
      <c r="H120" s="10"/>
      <c r="I120" s="63"/>
      <c r="J120" s="58"/>
      <c r="K120" s="60"/>
      <c r="L120" s="76"/>
    </row>
    <row r="121" spans="1:12" ht="15" customHeight="1" x14ac:dyDescent="0.25">
      <c r="A121" s="60"/>
      <c r="B121" s="38"/>
      <c r="C121" s="63">
        <v>67</v>
      </c>
      <c r="D121" s="22">
        <v>1144.7</v>
      </c>
      <c r="E121" s="22">
        <f>'STEEL PILES'!G134</f>
        <v>1139</v>
      </c>
      <c r="F121" s="22">
        <f t="shared" si="2"/>
        <v>5.7000000000000455</v>
      </c>
      <c r="G121" s="10"/>
      <c r="H121" s="10"/>
      <c r="I121" s="63"/>
      <c r="J121" s="58"/>
      <c r="K121" s="60"/>
      <c r="L121" s="76"/>
    </row>
    <row r="122" spans="1:12" ht="15" customHeight="1" x14ac:dyDescent="0.25">
      <c r="A122" s="60"/>
      <c r="B122" s="38"/>
      <c r="C122" s="63">
        <v>69</v>
      </c>
      <c r="D122" s="22">
        <v>1144.7</v>
      </c>
      <c r="E122" s="22">
        <f>'STEEL PILES'!G135</f>
        <v>1139</v>
      </c>
      <c r="F122" s="22">
        <f t="shared" si="2"/>
        <v>5.7000000000000455</v>
      </c>
      <c r="G122" s="10"/>
      <c r="H122" s="10"/>
      <c r="I122" s="63"/>
      <c r="J122" s="58"/>
      <c r="K122" s="60"/>
      <c r="L122" s="76"/>
    </row>
    <row r="123" spans="1:12" ht="15" customHeight="1" x14ac:dyDescent="0.25">
      <c r="A123" s="60"/>
      <c r="B123" s="38"/>
      <c r="C123" s="63">
        <v>71</v>
      </c>
      <c r="D123" s="22">
        <v>1144.7</v>
      </c>
      <c r="E123" s="22">
        <f>'STEEL PILES'!G136</f>
        <v>1139</v>
      </c>
      <c r="F123" s="22">
        <f t="shared" si="2"/>
        <v>5.7000000000000455</v>
      </c>
      <c r="G123" s="10"/>
      <c r="H123" s="10"/>
      <c r="I123" s="63"/>
      <c r="J123" s="58"/>
      <c r="K123" s="60"/>
      <c r="L123" s="76"/>
    </row>
    <row r="124" spans="1:12" ht="15" customHeight="1" x14ac:dyDescent="0.25">
      <c r="A124" s="60"/>
      <c r="B124" s="38"/>
      <c r="C124" s="63"/>
      <c r="D124" s="104"/>
      <c r="E124" s="10" t="s">
        <v>50</v>
      </c>
      <c r="F124" s="63">
        <f>SUM(F112:F123)</f>
        <v>147.40000000000055</v>
      </c>
      <c r="G124" s="10"/>
      <c r="H124" s="10"/>
      <c r="I124" s="63"/>
      <c r="J124" s="58"/>
      <c r="K124" s="57">
        <f>F124</f>
        <v>147.40000000000055</v>
      </c>
      <c r="L124" s="76"/>
    </row>
    <row r="125" spans="1:12" ht="15" customHeight="1" x14ac:dyDescent="0.25">
      <c r="A125" s="60"/>
      <c r="B125" s="38"/>
      <c r="C125" s="63"/>
      <c r="D125" s="104"/>
      <c r="E125" s="148"/>
      <c r="F125" s="22"/>
      <c r="G125" s="10"/>
      <c r="H125" s="10"/>
      <c r="I125" s="63"/>
      <c r="J125" s="58"/>
      <c r="K125" s="57"/>
      <c r="L125" s="76"/>
    </row>
    <row r="126" spans="1:12" ht="15" customHeight="1" x14ac:dyDescent="0.25">
      <c r="A126" s="60"/>
      <c r="B126" s="321" t="s">
        <v>254</v>
      </c>
      <c r="C126" s="104"/>
      <c r="D126" s="128"/>
      <c r="E126" s="148"/>
      <c r="F126" s="10"/>
      <c r="G126" s="10"/>
      <c r="H126" s="10"/>
      <c r="I126" s="63"/>
      <c r="J126" s="58"/>
      <c r="K126" s="6"/>
      <c r="L126" s="76"/>
    </row>
    <row r="127" spans="1:12" ht="45" customHeight="1" x14ac:dyDescent="0.25">
      <c r="A127" s="60"/>
      <c r="B127" s="73"/>
      <c r="C127" s="314" t="s">
        <v>244</v>
      </c>
      <c r="D127" s="96" t="s">
        <v>252</v>
      </c>
      <c r="E127" s="96" t="s">
        <v>246</v>
      </c>
      <c r="F127" s="314" t="s">
        <v>14</v>
      </c>
      <c r="G127" s="10"/>
      <c r="H127" s="10"/>
      <c r="I127" s="63"/>
      <c r="J127" s="58"/>
      <c r="K127" s="60"/>
      <c r="L127" s="76"/>
    </row>
    <row r="128" spans="1:12" ht="15" customHeight="1" x14ac:dyDescent="0.25">
      <c r="A128" s="60"/>
      <c r="B128" s="38"/>
      <c r="C128" s="63">
        <v>50</v>
      </c>
      <c r="D128" s="22">
        <v>1144.7</v>
      </c>
      <c r="E128" s="22">
        <f>'STEEL PILES'!G142</f>
        <v>1126</v>
      </c>
      <c r="F128" s="22">
        <f>D128-E128</f>
        <v>18.700000000000045</v>
      </c>
      <c r="G128" s="10"/>
      <c r="H128" s="10"/>
      <c r="I128" s="63"/>
      <c r="J128" s="58"/>
      <c r="K128" s="60"/>
      <c r="L128" s="76"/>
    </row>
    <row r="129" spans="1:12" ht="15" customHeight="1" x14ac:dyDescent="0.25">
      <c r="A129" s="60"/>
      <c r="B129" s="38"/>
      <c r="C129" s="63">
        <v>52</v>
      </c>
      <c r="D129" s="22">
        <v>1144.7</v>
      </c>
      <c r="E129" s="22">
        <f>'STEEL PILES'!G143</f>
        <v>1126</v>
      </c>
      <c r="F129" s="22">
        <f t="shared" ref="F129:F139" si="3">D129-E129</f>
        <v>18.700000000000045</v>
      </c>
      <c r="G129" s="10"/>
      <c r="H129" s="10"/>
      <c r="I129" s="63"/>
      <c r="J129" s="58"/>
      <c r="K129" s="60"/>
      <c r="L129" s="76"/>
    </row>
    <row r="130" spans="1:12" ht="15" customHeight="1" x14ac:dyDescent="0.25">
      <c r="A130" s="60"/>
      <c r="B130" s="38"/>
      <c r="C130" s="63">
        <v>54</v>
      </c>
      <c r="D130" s="22">
        <v>1144.7</v>
      </c>
      <c r="E130" s="22">
        <f>'STEEL PILES'!G144</f>
        <v>1126</v>
      </c>
      <c r="F130" s="22">
        <f t="shared" si="3"/>
        <v>18.700000000000045</v>
      </c>
      <c r="G130" s="10"/>
      <c r="H130" s="10"/>
      <c r="I130" s="63"/>
      <c r="J130" s="58"/>
      <c r="K130" s="59"/>
      <c r="L130" s="76"/>
    </row>
    <row r="131" spans="1:12" ht="15" customHeight="1" x14ac:dyDescent="0.25">
      <c r="A131" s="60"/>
      <c r="B131" s="10"/>
      <c r="C131" s="63">
        <v>56</v>
      </c>
      <c r="D131" s="22">
        <v>1144.7</v>
      </c>
      <c r="E131" s="22">
        <f>'STEEL PILES'!G145</f>
        <v>1129</v>
      </c>
      <c r="F131" s="22">
        <f t="shared" si="3"/>
        <v>15.700000000000045</v>
      </c>
      <c r="G131" s="10"/>
      <c r="H131" s="10"/>
      <c r="I131" s="63"/>
      <c r="J131" s="58"/>
      <c r="K131" s="60"/>
      <c r="L131" s="76"/>
    </row>
    <row r="132" spans="1:12" ht="15" customHeight="1" x14ac:dyDescent="0.25">
      <c r="A132" s="60"/>
      <c r="B132" s="10"/>
      <c r="C132" s="63">
        <v>58</v>
      </c>
      <c r="D132" s="22">
        <v>1144.7</v>
      </c>
      <c r="E132" s="22">
        <f>'STEEL PILES'!G146</f>
        <v>1131</v>
      </c>
      <c r="F132" s="22">
        <f t="shared" si="3"/>
        <v>13.700000000000045</v>
      </c>
      <c r="G132" s="10"/>
      <c r="H132" s="10"/>
      <c r="I132" s="63"/>
      <c r="J132" s="58"/>
      <c r="K132" s="60"/>
      <c r="L132" s="76"/>
    </row>
    <row r="133" spans="1:12" ht="15" customHeight="1" x14ac:dyDescent="0.25">
      <c r="A133" s="60"/>
      <c r="B133" s="73"/>
      <c r="C133" s="63">
        <v>60</v>
      </c>
      <c r="D133" s="22">
        <v>1144.7</v>
      </c>
      <c r="E133" s="22">
        <f>'STEEL PILES'!G147</f>
        <v>1131</v>
      </c>
      <c r="F133" s="22">
        <f t="shared" si="3"/>
        <v>13.700000000000045</v>
      </c>
      <c r="G133" s="10"/>
      <c r="H133" s="10"/>
      <c r="I133" s="63"/>
      <c r="J133" s="58"/>
      <c r="K133" s="60"/>
      <c r="L133" s="76"/>
    </row>
    <row r="134" spans="1:12" ht="15" customHeight="1" x14ac:dyDescent="0.25">
      <c r="A134" s="60"/>
      <c r="B134" s="38"/>
      <c r="C134" s="63">
        <v>62</v>
      </c>
      <c r="D134" s="22">
        <v>1144.7</v>
      </c>
      <c r="E134" s="22">
        <f>'STEEL PILES'!G148</f>
        <v>1131</v>
      </c>
      <c r="F134" s="22">
        <f t="shared" si="3"/>
        <v>13.700000000000045</v>
      </c>
      <c r="G134" s="10"/>
      <c r="H134" s="10"/>
      <c r="I134" s="63"/>
      <c r="J134" s="58"/>
      <c r="K134" s="60"/>
      <c r="L134" s="76"/>
    </row>
    <row r="135" spans="1:12" ht="15" customHeight="1" x14ac:dyDescent="0.25">
      <c r="A135" s="60"/>
      <c r="B135" s="38"/>
      <c r="C135" s="63">
        <v>64</v>
      </c>
      <c r="D135" s="22">
        <v>1144.7</v>
      </c>
      <c r="E135" s="22">
        <f>'STEEL PILES'!G149</f>
        <v>1136</v>
      </c>
      <c r="F135" s="22">
        <f t="shared" si="3"/>
        <v>8.7000000000000455</v>
      </c>
      <c r="G135" s="10"/>
      <c r="H135" s="10"/>
      <c r="I135" s="63"/>
      <c r="J135" s="58"/>
      <c r="K135" s="60"/>
      <c r="L135" s="76"/>
    </row>
    <row r="136" spans="1:12" ht="15" customHeight="1" x14ac:dyDescent="0.25">
      <c r="A136" s="60"/>
      <c r="B136" s="38"/>
      <c r="C136" s="63">
        <v>66</v>
      </c>
      <c r="D136" s="22">
        <v>1144.7</v>
      </c>
      <c r="E136" s="22">
        <f>'STEEL PILES'!G150</f>
        <v>1136</v>
      </c>
      <c r="F136" s="22">
        <f t="shared" si="3"/>
        <v>8.7000000000000455</v>
      </c>
      <c r="G136" s="10"/>
      <c r="H136" s="10"/>
      <c r="I136" s="63"/>
      <c r="J136" s="58"/>
      <c r="K136" s="60"/>
      <c r="L136" s="76"/>
    </row>
    <row r="137" spans="1:12" ht="15" customHeight="1" x14ac:dyDescent="0.25">
      <c r="A137" s="60"/>
      <c r="B137" s="38"/>
      <c r="C137" s="63">
        <v>68</v>
      </c>
      <c r="D137" s="22">
        <v>1144.7</v>
      </c>
      <c r="E137" s="22">
        <f>'STEEL PILES'!G151</f>
        <v>1139</v>
      </c>
      <c r="F137" s="22">
        <f t="shared" si="3"/>
        <v>5.7000000000000455</v>
      </c>
      <c r="G137" s="10"/>
      <c r="H137" s="10"/>
      <c r="I137" s="63"/>
      <c r="J137" s="58"/>
      <c r="K137" s="60"/>
      <c r="L137" s="76"/>
    </row>
    <row r="138" spans="1:12" ht="15" customHeight="1" x14ac:dyDescent="0.25">
      <c r="A138" s="60"/>
      <c r="B138" s="38"/>
      <c r="C138" s="63">
        <v>70</v>
      </c>
      <c r="D138" s="22">
        <v>1144.7</v>
      </c>
      <c r="E138" s="22">
        <f>'STEEL PILES'!G152</f>
        <v>1139</v>
      </c>
      <c r="F138" s="22">
        <f t="shared" si="3"/>
        <v>5.7000000000000455</v>
      </c>
      <c r="G138" s="10"/>
      <c r="H138" s="10"/>
      <c r="I138" s="63"/>
      <c r="J138" s="58"/>
      <c r="K138" s="60"/>
      <c r="L138" s="76"/>
    </row>
    <row r="139" spans="1:12" ht="15" customHeight="1" x14ac:dyDescent="0.25">
      <c r="A139" s="60"/>
      <c r="B139" s="38"/>
      <c r="C139" s="63">
        <v>72</v>
      </c>
      <c r="D139" s="22">
        <v>1144.7</v>
      </c>
      <c r="E139" s="22">
        <f>'STEEL PILES'!G153</f>
        <v>1139</v>
      </c>
      <c r="F139" s="22">
        <f t="shared" si="3"/>
        <v>5.7000000000000455</v>
      </c>
      <c r="G139" s="10"/>
      <c r="H139" s="10"/>
      <c r="I139" s="63"/>
      <c r="J139" s="58"/>
      <c r="K139" s="60"/>
      <c r="L139" s="76"/>
    </row>
    <row r="140" spans="1:12" ht="15" customHeight="1" x14ac:dyDescent="0.25">
      <c r="A140" s="60"/>
      <c r="B140" s="38"/>
      <c r="C140" s="63"/>
      <c r="D140" s="104"/>
      <c r="E140" s="10" t="s">
        <v>50</v>
      </c>
      <c r="F140" s="63">
        <f>SUM(F128:F139)</f>
        <v>147.40000000000055</v>
      </c>
      <c r="G140" s="10"/>
      <c r="H140" s="10"/>
      <c r="I140" s="63"/>
      <c r="J140" s="58"/>
      <c r="K140" s="57">
        <f>F140</f>
        <v>147.40000000000055</v>
      </c>
      <c r="L140" s="76"/>
    </row>
    <row r="141" spans="1:12" ht="15" customHeight="1" x14ac:dyDescent="0.25">
      <c r="A141" s="60"/>
      <c r="B141" s="10"/>
      <c r="C141" s="104"/>
      <c r="D141" s="11"/>
      <c r="E141" s="10"/>
      <c r="F141" s="10"/>
      <c r="G141" s="10"/>
      <c r="H141" s="10"/>
      <c r="I141" s="63"/>
      <c r="J141" s="58"/>
      <c r="K141" s="60"/>
      <c r="L141" s="76"/>
    </row>
    <row r="142" spans="1:12" ht="15" customHeight="1" x14ac:dyDescent="0.25">
      <c r="A142" s="60"/>
      <c r="B142" s="10"/>
      <c r="C142" s="104"/>
      <c r="D142" s="11"/>
      <c r="E142" s="10"/>
      <c r="F142" s="10"/>
      <c r="G142" s="10"/>
      <c r="H142" s="10"/>
      <c r="I142" s="63"/>
      <c r="J142" s="58"/>
      <c r="K142" s="60"/>
      <c r="L142" s="76"/>
    </row>
    <row r="143" spans="1:12" ht="15" customHeight="1" x14ac:dyDescent="0.25">
      <c r="A143" s="60"/>
      <c r="B143" s="10"/>
      <c r="C143" s="104"/>
      <c r="D143" s="11"/>
      <c r="E143" s="10"/>
      <c r="F143" s="10"/>
      <c r="G143" s="10"/>
      <c r="H143" s="10"/>
      <c r="I143" s="63"/>
      <c r="J143" s="58"/>
      <c r="K143" s="60"/>
      <c r="L143" s="76"/>
    </row>
    <row r="144" spans="1:12" ht="15" customHeight="1" x14ac:dyDescent="0.25">
      <c r="A144" s="60"/>
      <c r="B144" s="10"/>
      <c r="C144" s="104"/>
      <c r="D144" s="11"/>
      <c r="E144" s="10"/>
      <c r="F144" s="10"/>
      <c r="G144" s="10"/>
      <c r="H144" s="10"/>
      <c r="I144" s="63"/>
      <c r="J144" s="58"/>
      <c r="K144" s="60"/>
      <c r="L144" s="76"/>
    </row>
    <row r="145" spans="1:12" ht="15" customHeight="1" x14ac:dyDescent="0.25">
      <c r="A145" s="60"/>
      <c r="B145" s="10"/>
      <c r="C145" s="104"/>
      <c r="D145" s="11"/>
      <c r="E145" s="10"/>
      <c r="F145" s="10"/>
      <c r="G145" s="10"/>
      <c r="H145" s="10"/>
      <c r="I145" s="63"/>
      <c r="J145" s="58"/>
      <c r="K145" s="60"/>
      <c r="L145" s="76"/>
    </row>
    <row r="146" spans="1:12" ht="15" customHeight="1" x14ac:dyDescent="0.25">
      <c r="A146" s="60"/>
      <c r="B146" s="10"/>
      <c r="C146" s="104"/>
      <c r="D146" s="11"/>
      <c r="E146" s="10"/>
      <c r="F146" s="10"/>
      <c r="G146" s="10"/>
      <c r="H146" s="10"/>
      <c r="I146" s="63"/>
      <c r="J146" s="58"/>
      <c r="K146" s="60"/>
      <c r="L146" s="76"/>
    </row>
    <row r="147" spans="1:12" ht="15" customHeight="1" x14ac:dyDescent="0.25">
      <c r="A147" s="60"/>
      <c r="B147" s="10"/>
      <c r="C147" s="104"/>
      <c r="D147" s="11"/>
      <c r="E147" s="10"/>
      <c r="F147" s="10"/>
      <c r="G147" s="10"/>
      <c r="H147" s="10"/>
      <c r="I147" s="63"/>
      <c r="J147" s="58"/>
      <c r="K147" s="60"/>
      <c r="L147" s="76"/>
    </row>
    <row r="148" spans="1:12" ht="15" customHeight="1" x14ac:dyDescent="0.25">
      <c r="A148" s="60"/>
      <c r="B148" s="10"/>
      <c r="C148" s="104"/>
      <c r="D148" s="11"/>
      <c r="E148" s="10"/>
      <c r="F148" s="10"/>
      <c r="G148" s="10"/>
      <c r="H148" s="10"/>
      <c r="I148" s="63"/>
      <c r="J148" s="58"/>
      <c r="K148" s="60"/>
      <c r="L148" s="76"/>
    </row>
    <row r="149" spans="1:12" ht="15" customHeight="1" x14ac:dyDescent="0.25">
      <c r="A149" s="60"/>
      <c r="B149" s="10"/>
      <c r="C149" s="104"/>
      <c r="D149" s="11"/>
      <c r="E149" s="10"/>
      <c r="F149" s="10"/>
      <c r="G149" s="10"/>
      <c r="H149" s="10"/>
      <c r="I149" s="63"/>
      <c r="J149" s="58"/>
      <c r="K149" s="60"/>
      <c r="L149" s="76"/>
    </row>
    <row r="150" spans="1:12" ht="15" customHeight="1" x14ac:dyDescent="0.25">
      <c r="A150" s="71"/>
      <c r="B150" s="10"/>
      <c r="C150" s="25"/>
      <c r="D150" s="25"/>
      <c r="E150" s="100"/>
      <c r="F150" s="100"/>
      <c r="G150" s="97"/>
      <c r="H150" s="25"/>
      <c r="I150" s="92"/>
      <c r="J150" s="32"/>
      <c r="K150" s="71"/>
      <c r="L150" s="77"/>
    </row>
    <row r="151" spans="1:12" ht="15" customHeight="1" thickBot="1" x14ac:dyDescent="0.3">
      <c r="A151" s="71"/>
      <c r="B151" s="67"/>
      <c r="C151" s="67"/>
      <c r="D151" s="67"/>
      <c r="E151" s="101"/>
      <c r="F151" s="101"/>
      <c r="G151" s="98"/>
      <c r="H151" s="67"/>
      <c r="I151" s="99"/>
      <c r="J151" s="68"/>
      <c r="K151" s="71"/>
      <c r="L151" s="77"/>
    </row>
    <row r="152" spans="1:12" ht="15" customHeight="1" thickBot="1" x14ac:dyDescent="0.3">
      <c r="A152" s="445" t="s">
        <v>13</v>
      </c>
      <c r="B152" s="446"/>
      <c r="C152" s="447"/>
      <c r="D152" s="447"/>
      <c r="E152" s="447"/>
      <c r="F152" s="447"/>
      <c r="G152" s="447"/>
      <c r="H152" s="447"/>
      <c r="I152" s="447"/>
      <c r="J152" s="448"/>
      <c r="K152" s="79">
        <f>ROUNDUP(SUM(K109:K151),0)</f>
        <v>295</v>
      </c>
      <c r="L152" s="80">
        <f>K50+K101+K152</f>
        <v>871.20000000000209</v>
      </c>
    </row>
  </sheetData>
  <mergeCells count="24">
    <mergeCell ref="A7:J7"/>
    <mergeCell ref="A50:J50"/>
    <mergeCell ref="I1:J1"/>
    <mergeCell ref="I2:J2"/>
    <mergeCell ref="C4:D4"/>
    <mergeCell ref="F4:G4"/>
    <mergeCell ref="I4:L4"/>
    <mergeCell ref="C5:J5"/>
    <mergeCell ref="I51:J51"/>
    <mergeCell ref="I52:J52"/>
    <mergeCell ref="C54:D54"/>
    <mergeCell ref="F54:G54"/>
    <mergeCell ref="I54:L54"/>
    <mergeCell ref="C55:J55"/>
    <mergeCell ref="A57:J57"/>
    <mergeCell ref="A101:J101"/>
    <mergeCell ref="I102:J102"/>
    <mergeCell ref="I103:J103"/>
    <mergeCell ref="A152:J152"/>
    <mergeCell ref="C105:D105"/>
    <mergeCell ref="F105:G105"/>
    <mergeCell ref="I105:L105"/>
    <mergeCell ref="C106:J106"/>
    <mergeCell ref="A108:J108"/>
  </mergeCells>
  <printOptions horizontalCentered="1"/>
  <pageMargins left="0.5" right="0.5" top="0.5" bottom="0.5" header="0.5" footer="0.25"/>
  <pageSetup scale="89" fitToHeight="0" orientation="portrait" horizontalDpi="1200" verticalDpi="1200" r:id="rId1"/>
  <headerFooter>
    <oddFooter>&amp;R&amp;9Printed &amp;D &amp;T</oddFooter>
  </headerFooter>
  <rowBreaks count="2" manualBreakCount="2">
    <brk id="50" max="11" man="1"/>
    <brk id="101" max="11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  <pageSetUpPr fitToPage="1"/>
  </sheetPr>
  <dimension ref="A1:L48"/>
  <sheetViews>
    <sheetView showWhiteSpace="0" view="pageBreakPreview" zoomScale="85" zoomScaleNormal="100" zoomScaleSheetLayoutView="85" workbookViewId="0">
      <selection activeCell="C6" sqref="C6"/>
    </sheetView>
  </sheetViews>
  <sheetFormatPr defaultColWidth="2.85546875" defaultRowHeight="15" customHeight="1" x14ac:dyDescent="0.25"/>
  <cols>
    <col min="2" max="2" width="8.7109375" customWidth="1"/>
    <col min="3" max="3" width="7.7109375" customWidth="1"/>
    <col min="4" max="4" width="9.140625" customWidth="1"/>
    <col min="5" max="5" width="8.140625" customWidth="1"/>
    <col min="6" max="6" width="7.85546875" customWidth="1"/>
    <col min="7" max="7" width="9.42578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280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1+'36" ROCK SOCKETS'!I103:J103</f>
        <v>30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78" t="s">
        <v>218</v>
      </c>
      <c r="G4" s="478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368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66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3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70"/>
      <c r="B8" s="83"/>
      <c r="C8" s="22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60"/>
      <c r="B9" s="9" t="s">
        <v>248</v>
      </c>
      <c r="C9" s="22"/>
      <c r="D9" s="11"/>
      <c r="E9" s="10"/>
      <c r="F9" s="10"/>
      <c r="G9" s="94"/>
      <c r="H9" s="10"/>
      <c r="I9" s="63"/>
      <c r="J9" s="58"/>
      <c r="K9" s="60"/>
      <c r="L9" s="76"/>
    </row>
    <row r="10" spans="1:12" ht="15.95" customHeight="1" x14ac:dyDescent="0.25">
      <c r="A10" s="60"/>
      <c r="B10" s="10"/>
      <c r="C10" s="117"/>
      <c r="D10" s="117" t="s">
        <v>255</v>
      </c>
      <c r="E10" s="11">
        <f>35.455+2*47.273+59.092+70.91+82.728+94.547+2*106.365+3*118.183+116.36+123.213+2*139.899+143.179+134.086+141.82+94.547+2*82.728+59.092</f>
        <v>2262.1080000000002</v>
      </c>
      <c r="F10" s="10" t="s">
        <v>66</v>
      </c>
      <c r="G10" s="10"/>
      <c r="H10" s="10"/>
      <c r="I10" s="63"/>
      <c r="J10" s="58"/>
      <c r="K10" s="59">
        <f>E10</f>
        <v>2262.1080000000002</v>
      </c>
      <c r="L10" s="76"/>
    </row>
    <row r="11" spans="1:12" ht="15.95" customHeight="1" x14ac:dyDescent="0.25">
      <c r="A11" s="60"/>
      <c r="B11" s="10"/>
      <c r="C11" s="117"/>
      <c r="D11" s="117"/>
      <c r="E11" s="142"/>
      <c r="F11" s="10"/>
      <c r="G11" s="10"/>
      <c r="H11" s="10"/>
      <c r="I11" s="63"/>
      <c r="J11" s="58"/>
      <c r="K11" s="60"/>
      <c r="L11" s="76"/>
    </row>
    <row r="12" spans="1:12" ht="15.95" customHeight="1" x14ac:dyDescent="0.25">
      <c r="A12" s="60"/>
      <c r="B12" s="9" t="s">
        <v>249</v>
      </c>
      <c r="C12" s="22"/>
      <c r="D12" s="11"/>
      <c r="E12" s="10"/>
      <c r="F12" s="10"/>
      <c r="G12" s="94"/>
      <c r="H12" s="10"/>
      <c r="I12" s="63"/>
      <c r="J12" s="58"/>
      <c r="K12" s="60"/>
      <c r="L12" s="76"/>
    </row>
    <row r="13" spans="1:12" ht="15.95" customHeight="1" x14ac:dyDescent="0.25">
      <c r="A13" s="60"/>
      <c r="B13" s="10"/>
      <c r="C13" s="117"/>
      <c r="D13" s="117" t="s">
        <v>255</v>
      </c>
      <c r="E13" s="11">
        <f>35.455+2*47.273+59.092+70.91+82.728+94.547+2*106.365+5*118.183+4*130.002+142.854+145.875+134.791+107.524+70.91</f>
        <v>2362.8850000000002</v>
      </c>
      <c r="F13" s="10" t="s">
        <v>66</v>
      </c>
      <c r="G13" s="10"/>
      <c r="H13" s="10"/>
      <c r="I13" s="63"/>
      <c r="J13" s="58"/>
      <c r="K13" s="59">
        <f>E13</f>
        <v>2362.8850000000002</v>
      </c>
      <c r="L13" s="76"/>
    </row>
    <row r="14" spans="1:12" ht="15.95" customHeight="1" x14ac:dyDescent="0.25">
      <c r="A14" s="60"/>
      <c r="B14" s="10"/>
      <c r="C14" s="22"/>
      <c r="D14" s="11"/>
      <c r="E14" s="10"/>
      <c r="F14" s="10"/>
      <c r="G14" s="12"/>
      <c r="H14" s="12"/>
      <c r="I14" s="63"/>
      <c r="J14" s="58"/>
      <c r="K14" s="60"/>
      <c r="L14" s="76"/>
    </row>
    <row r="15" spans="1:12" ht="15.95" customHeight="1" x14ac:dyDescent="0.25">
      <c r="A15" s="60"/>
      <c r="B15" s="9" t="s">
        <v>250</v>
      </c>
      <c r="C15" s="22"/>
      <c r="D15" s="11"/>
      <c r="E15" s="10"/>
      <c r="F15" s="10"/>
      <c r="G15" s="94"/>
      <c r="H15" s="10"/>
      <c r="I15" s="63"/>
      <c r="J15" s="58"/>
      <c r="K15" s="60"/>
      <c r="L15" s="76"/>
    </row>
    <row r="16" spans="1:12" ht="15.95" customHeight="1" x14ac:dyDescent="0.25">
      <c r="A16" s="60"/>
      <c r="B16" s="10"/>
      <c r="C16" s="117"/>
      <c r="D16" s="117" t="s">
        <v>255</v>
      </c>
      <c r="E16" s="11">
        <f>35.455+47.273+59.092+70.91+82.728+94.547+106.365+118.183+130.002+141.82+153.638+165.457</f>
        <v>1205.4699999999998</v>
      </c>
      <c r="F16" s="10" t="s">
        <v>66</v>
      </c>
      <c r="G16" s="10"/>
      <c r="H16" s="10"/>
      <c r="I16" s="63"/>
      <c r="J16" s="58"/>
      <c r="K16" s="59">
        <f>E16</f>
        <v>1205.4699999999998</v>
      </c>
      <c r="L16" s="76"/>
    </row>
    <row r="17" spans="1:12" ht="15.95" customHeight="1" x14ac:dyDescent="0.25">
      <c r="A17" s="60"/>
      <c r="B17" s="9"/>
      <c r="C17" s="22"/>
      <c r="D17" s="10"/>
      <c r="E17" s="10"/>
      <c r="F17" s="10"/>
      <c r="G17" s="10"/>
      <c r="H17" s="10"/>
      <c r="I17" s="63"/>
      <c r="J17" s="58"/>
      <c r="K17" s="60"/>
      <c r="L17" s="76"/>
    </row>
    <row r="18" spans="1:12" ht="15.95" customHeight="1" x14ac:dyDescent="0.25">
      <c r="A18" s="60"/>
      <c r="B18" s="9" t="s">
        <v>251</v>
      </c>
      <c r="C18" s="22"/>
      <c r="D18" s="11"/>
      <c r="E18" s="10"/>
      <c r="F18" s="10"/>
      <c r="G18" s="94"/>
      <c r="H18" s="10"/>
      <c r="I18" s="63"/>
      <c r="J18" s="58"/>
      <c r="K18" s="60"/>
      <c r="L18" s="76"/>
    </row>
    <row r="19" spans="1:12" ht="15.95" customHeight="1" x14ac:dyDescent="0.25">
      <c r="A19" s="60"/>
      <c r="B19" s="10"/>
      <c r="C19" s="117"/>
      <c r="D19" s="117" t="s">
        <v>255</v>
      </c>
      <c r="E19" s="11">
        <f>35.455+47.273+59.092+70.91+82.728+94.547+106.365+118.183+130.002+141.82+153.638+165.457</f>
        <v>1205.4699999999998</v>
      </c>
      <c r="F19" s="10" t="s">
        <v>66</v>
      </c>
      <c r="G19" s="10"/>
      <c r="H19" s="10"/>
      <c r="I19" s="63"/>
      <c r="J19" s="58"/>
      <c r="K19" s="59">
        <f>E19</f>
        <v>1205.4699999999998</v>
      </c>
      <c r="L19" s="76"/>
    </row>
    <row r="20" spans="1:12" ht="15.95" customHeight="1" x14ac:dyDescent="0.25">
      <c r="A20" s="60"/>
      <c r="B20" s="73"/>
      <c r="C20" s="22"/>
      <c r="D20" s="11"/>
      <c r="E20" s="63"/>
      <c r="F20" s="10"/>
      <c r="G20" s="12"/>
      <c r="H20" s="12"/>
      <c r="I20" s="63"/>
      <c r="J20" s="58"/>
      <c r="K20" s="60"/>
      <c r="L20" s="76"/>
    </row>
    <row r="21" spans="1:12" ht="15.95" customHeight="1" x14ac:dyDescent="0.25">
      <c r="A21" s="60"/>
      <c r="B21" s="10"/>
      <c r="C21" s="22"/>
      <c r="D21" s="11"/>
      <c r="E21" s="10"/>
      <c r="F21" s="10"/>
      <c r="G21" s="10"/>
      <c r="H21" s="10"/>
      <c r="I21" s="63"/>
      <c r="J21" s="58"/>
      <c r="K21" s="57"/>
      <c r="L21" s="76"/>
    </row>
    <row r="22" spans="1:12" ht="15.95" customHeight="1" x14ac:dyDescent="0.25">
      <c r="A22" s="60"/>
      <c r="B22" s="10"/>
      <c r="C22" s="22"/>
      <c r="D22" s="11"/>
      <c r="E22" s="10"/>
      <c r="F22" s="10"/>
      <c r="G22" s="12"/>
      <c r="H22" s="12"/>
      <c r="I22" s="63"/>
      <c r="J22" s="58"/>
      <c r="K22" s="59"/>
      <c r="L22" s="76"/>
    </row>
    <row r="23" spans="1:12" ht="15.95" customHeight="1" x14ac:dyDescent="0.25">
      <c r="A23" s="60"/>
      <c r="B23" s="222"/>
      <c r="C23" s="236"/>
      <c r="D23" s="211"/>
      <c r="E23" s="222"/>
      <c r="F23" s="222"/>
      <c r="G23" s="220"/>
      <c r="H23" s="220"/>
      <c r="I23" s="63"/>
      <c r="J23" s="58"/>
      <c r="K23" s="60"/>
      <c r="L23" s="76"/>
    </row>
    <row r="24" spans="1:12" ht="15.95" customHeight="1" x14ac:dyDescent="0.25">
      <c r="A24" s="60"/>
      <c r="B24" s="219"/>
      <c r="C24" s="293"/>
      <c r="D24" s="294"/>
      <c r="E24" s="293"/>
      <c r="F24" s="295"/>
      <c r="G24" s="296"/>
      <c r="H24" s="296"/>
      <c r="I24" s="63"/>
      <c r="J24" s="58"/>
      <c r="K24" s="60"/>
      <c r="L24" s="76"/>
    </row>
    <row r="25" spans="1:12" ht="15.95" customHeight="1" x14ac:dyDescent="0.25">
      <c r="A25" s="60"/>
      <c r="B25" s="219"/>
      <c r="C25" s="293"/>
      <c r="D25" s="294"/>
      <c r="E25" s="297"/>
      <c r="F25" s="295"/>
      <c r="G25" s="298"/>
      <c r="H25" s="298"/>
      <c r="I25" s="63"/>
      <c r="J25" s="58"/>
      <c r="K25" s="60"/>
      <c r="L25" s="76"/>
    </row>
    <row r="26" spans="1:12" ht="15.95" customHeight="1" x14ac:dyDescent="0.25">
      <c r="A26" s="60"/>
      <c r="B26" s="298"/>
      <c r="C26" s="299"/>
      <c r="D26" s="300"/>
      <c r="E26" s="298"/>
      <c r="F26" s="298"/>
      <c r="G26" s="296"/>
      <c r="H26" s="296"/>
      <c r="I26" s="63"/>
      <c r="J26" s="58"/>
      <c r="K26" s="60"/>
      <c r="L26" s="76"/>
    </row>
    <row r="27" spans="1:12" ht="15.95" customHeight="1" x14ac:dyDescent="0.25">
      <c r="A27" s="60"/>
      <c r="B27" s="236"/>
      <c r="C27" s="293"/>
      <c r="D27" s="300"/>
      <c r="E27" s="298"/>
      <c r="F27" s="298"/>
      <c r="G27" s="298"/>
      <c r="H27" s="298"/>
      <c r="I27" s="63"/>
      <c r="J27" s="58"/>
      <c r="K27" s="60"/>
      <c r="L27" s="76"/>
    </row>
    <row r="28" spans="1:12" ht="15.95" customHeight="1" x14ac:dyDescent="0.25">
      <c r="A28" s="60"/>
      <c r="B28" s="222"/>
      <c r="C28" s="223"/>
      <c r="D28" s="211"/>
      <c r="E28" s="222"/>
      <c r="F28" s="222"/>
      <c r="G28" s="220"/>
      <c r="H28" s="220"/>
      <c r="I28" s="63"/>
      <c r="J28" s="58"/>
      <c r="K28" s="60"/>
      <c r="L28" s="76"/>
    </row>
    <row r="29" spans="1:12" ht="15.95" customHeight="1" x14ac:dyDescent="0.25">
      <c r="A29" s="60"/>
      <c r="B29" s="10"/>
      <c r="C29" s="22"/>
      <c r="D29" s="11"/>
      <c r="E29" s="10"/>
      <c r="F29" s="10"/>
      <c r="G29" s="10"/>
      <c r="H29" s="10"/>
      <c r="I29" s="63"/>
      <c r="J29" s="58"/>
      <c r="K29" s="60"/>
      <c r="L29" s="76"/>
    </row>
    <row r="30" spans="1:12" ht="15.95" customHeight="1" x14ac:dyDescent="0.25">
      <c r="A30" s="60"/>
      <c r="B30" s="10"/>
      <c r="C30" s="22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60"/>
      <c r="B31" s="10"/>
      <c r="C31" s="22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60"/>
      <c r="B32" s="10"/>
      <c r="C32" s="22"/>
      <c r="D32" s="11"/>
      <c r="E32" s="10"/>
      <c r="F32" s="10"/>
      <c r="G32" s="10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22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22"/>
      <c r="D34" s="11"/>
      <c r="E34" s="10"/>
      <c r="F34" s="10"/>
      <c r="G34" s="12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22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22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22"/>
      <c r="D37" s="11"/>
      <c r="E37" s="10"/>
      <c r="F37" s="10"/>
      <c r="G37" s="10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22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22"/>
      <c r="D39" s="11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22"/>
      <c r="D40" s="11"/>
      <c r="E40" s="10"/>
      <c r="F40" s="10"/>
      <c r="G40" s="12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22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22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22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22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22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71"/>
      <c r="B46" s="25"/>
      <c r="C46" s="25"/>
      <c r="D46" s="25"/>
      <c r="E46" s="100"/>
      <c r="F46" s="100"/>
      <c r="G46" s="97"/>
      <c r="H46" s="25"/>
      <c r="I46" s="92"/>
      <c r="J46" s="32"/>
      <c r="K46" s="71"/>
      <c r="L46" s="77"/>
    </row>
    <row r="47" spans="1:12" ht="15.95" customHeight="1" thickBot="1" x14ac:dyDescent="0.3">
      <c r="A47" s="71"/>
      <c r="B47" s="67"/>
      <c r="C47" s="67"/>
      <c r="D47" s="67"/>
      <c r="E47" s="101"/>
      <c r="F47" s="101"/>
      <c r="G47" s="98"/>
      <c r="H47" s="67"/>
      <c r="I47" s="99"/>
      <c r="J47" s="68"/>
      <c r="K47" s="71"/>
      <c r="L47" s="77"/>
    </row>
    <row r="48" spans="1:12" ht="15.95" customHeight="1" thickBot="1" x14ac:dyDescent="0.3">
      <c r="A48" s="445" t="s">
        <v>13</v>
      </c>
      <c r="B48" s="447"/>
      <c r="C48" s="447"/>
      <c r="D48" s="447"/>
      <c r="E48" s="447"/>
      <c r="F48" s="447"/>
      <c r="G48" s="447"/>
      <c r="H48" s="447"/>
      <c r="I48" s="447"/>
      <c r="J48" s="448"/>
      <c r="K48" s="79">
        <f>ROUNDUP(SUM(K8:K47),0)</f>
        <v>7036</v>
      </c>
      <c r="L48" s="80">
        <f>K48</f>
        <v>7036</v>
      </c>
    </row>
  </sheetData>
  <mergeCells count="8">
    <mergeCell ref="A7:J7"/>
    <mergeCell ref="A48:J48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5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92D050"/>
    <pageSetUpPr fitToPage="1"/>
  </sheetPr>
  <dimension ref="A1:L43"/>
  <sheetViews>
    <sheetView showWhiteSpace="0" view="pageBreakPreview" topLeftCell="A19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2" max="2" width="8.7109375" customWidth="1"/>
    <col min="3" max="3" width="7.7109375" customWidth="1"/>
    <col min="4" max="4" width="9.140625" customWidth="1"/>
    <col min="5" max="5" width="8.140625" customWidth="1"/>
    <col min="6" max="6" width="7.85546875" customWidth="1"/>
    <col min="7" max="7" width="9.42578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296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1+LAGGING!I2</f>
        <v>31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78" t="s">
        <v>218</v>
      </c>
      <c r="G4" s="478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297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34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3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70"/>
      <c r="B8" s="83"/>
      <c r="C8" s="22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60"/>
      <c r="B9" s="9" t="s">
        <v>248</v>
      </c>
      <c r="C9" s="22"/>
      <c r="D9" s="11"/>
      <c r="E9" s="10"/>
      <c r="F9" s="10"/>
      <c r="G9" s="94"/>
      <c r="H9" s="10"/>
      <c r="I9" s="63"/>
      <c r="J9" s="58"/>
      <c r="K9" s="60"/>
      <c r="L9" s="76"/>
    </row>
    <row r="10" spans="1:12" ht="15.95" customHeight="1" x14ac:dyDescent="0.25">
      <c r="A10" s="60"/>
      <c r="B10" s="10"/>
      <c r="C10" s="117"/>
      <c r="D10" s="117" t="s">
        <v>14</v>
      </c>
      <c r="E10" s="11">
        <f>(70606-70550)+SQRT((70630.15-70606)^2+(21.9-12.25)^2)+(70666.5-70630.15)</f>
        <v>118.35663376909864</v>
      </c>
      <c r="F10" s="10" t="s">
        <v>34</v>
      </c>
      <c r="G10" s="10"/>
      <c r="H10" s="10"/>
      <c r="I10" s="63"/>
      <c r="J10" s="58"/>
      <c r="K10" s="59">
        <f>E10</f>
        <v>118.35663376909864</v>
      </c>
      <c r="L10" s="76"/>
    </row>
    <row r="11" spans="1:12" ht="15.95" customHeight="1" x14ac:dyDescent="0.25">
      <c r="A11" s="60"/>
      <c r="B11" s="10"/>
      <c r="C11" s="117"/>
      <c r="D11" s="117"/>
      <c r="E11" s="142"/>
      <c r="F11" s="10"/>
      <c r="G11" s="10"/>
      <c r="H11" s="10"/>
      <c r="I11" s="63"/>
      <c r="J11" s="58"/>
      <c r="K11" s="60"/>
      <c r="L11" s="76"/>
    </row>
    <row r="12" spans="1:12" ht="15.95" customHeight="1" x14ac:dyDescent="0.25">
      <c r="A12" s="60"/>
      <c r="B12" s="9" t="s">
        <v>249</v>
      </c>
      <c r="C12" s="22"/>
      <c r="D12" s="11"/>
      <c r="E12" s="10"/>
      <c r="F12" s="10"/>
      <c r="G12" s="94"/>
      <c r="H12" s="10"/>
      <c r="I12" s="63"/>
      <c r="J12" s="58"/>
      <c r="K12" s="60"/>
      <c r="L12" s="76"/>
    </row>
    <row r="13" spans="1:12" ht="15.95" customHeight="1" x14ac:dyDescent="0.25">
      <c r="A13" s="60"/>
      <c r="B13" s="10"/>
      <c r="C13" s="117"/>
      <c r="D13" s="117" t="s">
        <v>14</v>
      </c>
      <c r="E13" s="11">
        <f>(70636.5-70550)+SQRT((70654-70636.5)^2+(16.5-12.25)^2)+(70666.5-70654)</f>
        <v>117.008678463452</v>
      </c>
      <c r="F13" s="10" t="s">
        <v>34</v>
      </c>
      <c r="G13" s="10"/>
      <c r="H13" s="10"/>
      <c r="I13" s="63"/>
      <c r="J13" s="58"/>
      <c r="K13" s="59">
        <f>E13</f>
        <v>117.008678463452</v>
      </c>
      <c r="L13" s="76"/>
    </row>
    <row r="14" spans="1:12" ht="15.95" customHeight="1" x14ac:dyDescent="0.25">
      <c r="A14" s="60"/>
      <c r="B14" s="10"/>
      <c r="C14" s="22"/>
      <c r="D14" s="11"/>
      <c r="E14" s="10"/>
      <c r="F14" s="10"/>
      <c r="G14" s="12"/>
      <c r="H14" s="12"/>
      <c r="I14" s="63"/>
      <c r="J14" s="58"/>
      <c r="K14" s="60"/>
      <c r="L14" s="76"/>
    </row>
    <row r="15" spans="1:12" ht="15.95" customHeight="1" x14ac:dyDescent="0.25">
      <c r="A15" s="60"/>
      <c r="B15" s="9" t="s">
        <v>250</v>
      </c>
      <c r="C15" s="22"/>
      <c r="D15" s="11"/>
      <c r="E15" s="10"/>
      <c r="F15" s="10"/>
      <c r="G15" s="94"/>
      <c r="H15" s="10"/>
      <c r="I15" s="63"/>
      <c r="J15" s="58"/>
      <c r="K15" s="60"/>
      <c r="L15" s="76"/>
    </row>
    <row r="16" spans="1:12" ht="15.95" customHeight="1" x14ac:dyDescent="0.25">
      <c r="A16" s="60"/>
      <c r="B16" s="10"/>
      <c r="C16" s="117"/>
      <c r="D16" s="117" t="s">
        <v>14</v>
      </c>
      <c r="E16" s="11">
        <f>71350-71300</f>
        <v>50</v>
      </c>
      <c r="F16" s="10" t="s">
        <v>34</v>
      </c>
      <c r="G16" s="10"/>
      <c r="H16" s="10"/>
      <c r="I16" s="63"/>
      <c r="J16" s="58"/>
      <c r="K16" s="59">
        <f>E16</f>
        <v>50</v>
      </c>
      <c r="L16" s="76"/>
    </row>
    <row r="17" spans="1:12" ht="15.95" customHeight="1" x14ac:dyDescent="0.25">
      <c r="A17" s="60"/>
      <c r="B17" s="9"/>
      <c r="C17" s="22"/>
      <c r="D17" s="10"/>
      <c r="E17" s="10"/>
      <c r="F17" s="10"/>
      <c r="G17" s="10"/>
      <c r="H17" s="10"/>
      <c r="I17" s="63"/>
      <c r="J17" s="58"/>
      <c r="K17" s="60"/>
      <c r="L17" s="76"/>
    </row>
    <row r="18" spans="1:12" ht="15.95" customHeight="1" x14ac:dyDescent="0.25">
      <c r="A18" s="60"/>
      <c r="B18" s="9" t="s">
        <v>251</v>
      </c>
      <c r="C18" s="22"/>
      <c r="D18" s="11"/>
      <c r="E18" s="10"/>
      <c r="F18" s="10"/>
      <c r="G18" s="94"/>
      <c r="H18" s="10"/>
      <c r="I18" s="63"/>
      <c r="J18" s="58"/>
      <c r="K18" s="60"/>
      <c r="L18" s="76"/>
    </row>
    <row r="19" spans="1:12" ht="15.95" customHeight="1" x14ac:dyDescent="0.25">
      <c r="A19" s="60"/>
      <c r="B19" s="10"/>
      <c r="C19" s="117"/>
      <c r="D19" s="117" t="s">
        <v>14</v>
      </c>
      <c r="E19" s="11">
        <f>71350-71300</f>
        <v>50</v>
      </c>
      <c r="F19" s="10" t="s">
        <v>34</v>
      </c>
      <c r="G19" s="10"/>
      <c r="H19" s="10"/>
      <c r="I19" s="63"/>
      <c r="J19" s="58"/>
      <c r="K19" s="59">
        <f>E19</f>
        <v>50</v>
      </c>
      <c r="L19" s="76"/>
    </row>
    <row r="20" spans="1:12" ht="15.95" customHeight="1" x14ac:dyDescent="0.25">
      <c r="A20" s="60"/>
      <c r="B20" s="10"/>
      <c r="C20" s="22"/>
      <c r="D20" s="11"/>
      <c r="E20" s="10"/>
      <c r="F20" s="10"/>
      <c r="G20" s="10"/>
      <c r="H20" s="10"/>
      <c r="I20" s="63"/>
      <c r="J20" s="58"/>
      <c r="K20" s="60"/>
      <c r="L20" s="76"/>
    </row>
    <row r="21" spans="1:12" ht="15.95" customHeight="1" x14ac:dyDescent="0.25">
      <c r="A21" s="60"/>
      <c r="B21" s="10"/>
      <c r="C21" s="22"/>
      <c r="D21" s="11"/>
      <c r="E21" s="10"/>
      <c r="F21" s="10"/>
      <c r="G21" s="10"/>
      <c r="H21" s="10"/>
      <c r="I21" s="63"/>
      <c r="J21" s="58"/>
      <c r="K21" s="60"/>
      <c r="L21" s="76"/>
    </row>
    <row r="22" spans="1:12" ht="15.95" customHeight="1" x14ac:dyDescent="0.25">
      <c r="A22" s="60"/>
      <c r="B22" s="10"/>
      <c r="C22" s="22"/>
      <c r="D22" s="11"/>
      <c r="E22" s="10"/>
      <c r="F22" s="10"/>
      <c r="G22" s="10"/>
      <c r="H22" s="10"/>
      <c r="I22" s="63"/>
      <c r="J22" s="58"/>
      <c r="K22" s="60"/>
      <c r="L22" s="76"/>
    </row>
    <row r="23" spans="1:12" ht="15.95" customHeight="1" x14ac:dyDescent="0.25">
      <c r="A23" s="60"/>
      <c r="B23" s="10"/>
      <c r="C23" s="22"/>
      <c r="D23" s="11"/>
      <c r="E23" s="10"/>
      <c r="F23" s="10"/>
      <c r="G23" s="10"/>
      <c r="H23" s="10"/>
      <c r="I23" s="63"/>
      <c r="J23" s="58"/>
      <c r="K23" s="60"/>
      <c r="L23" s="76"/>
    </row>
    <row r="24" spans="1:12" ht="15.95" customHeight="1" x14ac:dyDescent="0.25">
      <c r="A24" s="60"/>
      <c r="B24" s="10"/>
      <c r="C24" s="22"/>
      <c r="D24" s="11"/>
      <c r="E24" s="10"/>
      <c r="F24" s="10"/>
      <c r="G24" s="10"/>
      <c r="H24" s="10"/>
      <c r="I24" s="63"/>
      <c r="J24" s="58"/>
      <c r="K24" s="60"/>
      <c r="L24" s="76"/>
    </row>
    <row r="25" spans="1:12" ht="15.95" customHeight="1" x14ac:dyDescent="0.25">
      <c r="A25" s="60"/>
      <c r="B25" s="10"/>
      <c r="C25" s="22"/>
      <c r="D25" s="11"/>
      <c r="E25" s="10"/>
      <c r="F25" s="10"/>
      <c r="G25" s="10"/>
      <c r="H25" s="10"/>
      <c r="I25" s="63"/>
      <c r="J25" s="58"/>
      <c r="K25" s="60"/>
      <c r="L25" s="76"/>
    </row>
    <row r="26" spans="1:12" ht="15.95" customHeight="1" x14ac:dyDescent="0.25">
      <c r="A26" s="60"/>
      <c r="B26" s="10"/>
      <c r="C26" s="22"/>
      <c r="D26" s="11"/>
      <c r="E26" s="10"/>
      <c r="F26" s="10"/>
      <c r="G26" s="10"/>
      <c r="H26" s="10"/>
      <c r="I26" s="63"/>
      <c r="J26" s="58"/>
      <c r="K26" s="60"/>
      <c r="L26" s="76"/>
    </row>
    <row r="27" spans="1:12" ht="15.95" customHeight="1" x14ac:dyDescent="0.25">
      <c r="A27" s="60"/>
      <c r="B27" s="10"/>
      <c r="C27" s="22"/>
      <c r="D27" s="11"/>
      <c r="E27" s="10"/>
      <c r="F27" s="10"/>
      <c r="G27" s="10"/>
      <c r="H27" s="10"/>
      <c r="I27" s="63"/>
      <c r="J27" s="58"/>
      <c r="K27" s="60"/>
      <c r="L27" s="76"/>
    </row>
    <row r="28" spans="1:12" ht="15.95" customHeight="1" x14ac:dyDescent="0.25">
      <c r="A28" s="60"/>
      <c r="B28" s="10"/>
      <c r="C28" s="22"/>
      <c r="D28" s="11"/>
      <c r="E28" s="10"/>
      <c r="F28" s="10"/>
      <c r="G28" s="10"/>
      <c r="H28" s="10"/>
      <c r="I28" s="63"/>
      <c r="J28" s="58"/>
      <c r="K28" s="60"/>
      <c r="L28" s="76"/>
    </row>
    <row r="29" spans="1:12" ht="15.95" customHeight="1" x14ac:dyDescent="0.25">
      <c r="A29" s="60"/>
      <c r="B29" s="10"/>
      <c r="C29" s="22"/>
      <c r="D29" s="11"/>
      <c r="E29" s="10"/>
      <c r="F29" s="10"/>
      <c r="G29" s="12"/>
      <c r="H29" s="10"/>
      <c r="I29" s="63"/>
      <c r="J29" s="58"/>
      <c r="K29" s="60"/>
      <c r="L29" s="76"/>
    </row>
    <row r="30" spans="1:12" ht="15.95" customHeight="1" x14ac:dyDescent="0.25">
      <c r="A30" s="60"/>
      <c r="B30" s="10"/>
      <c r="C30" s="22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60"/>
      <c r="B31" s="10"/>
      <c r="C31" s="22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60"/>
      <c r="B32" s="10"/>
      <c r="C32" s="22"/>
      <c r="D32" s="11"/>
      <c r="E32" s="10"/>
      <c r="F32" s="10"/>
      <c r="G32" s="10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22"/>
      <c r="D33" s="11"/>
      <c r="E33" s="10"/>
      <c r="F33" s="10"/>
      <c r="G33" s="12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22"/>
      <c r="D34" s="11"/>
      <c r="E34" s="10"/>
      <c r="F34" s="10"/>
      <c r="G34" s="12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22"/>
      <c r="D35" s="11"/>
      <c r="E35" s="10"/>
      <c r="F35" s="10"/>
      <c r="G35" s="12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22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22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22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22"/>
      <c r="D39" s="11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22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71"/>
      <c r="B41" s="25"/>
      <c r="C41" s="25"/>
      <c r="D41" s="25"/>
      <c r="E41" s="100"/>
      <c r="F41" s="100"/>
      <c r="G41" s="97"/>
      <c r="H41" s="25"/>
      <c r="I41" s="92"/>
      <c r="J41" s="32"/>
      <c r="K41" s="71"/>
      <c r="L41" s="77"/>
    </row>
    <row r="42" spans="1:12" ht="15.95" customHeight="1" thickBot="1" x14ac:dyDescent="0.3">
      <c r="A42" s="71"/>
      <c r="B42" s="67"/>
      <c r="C42" s="67"/>
      <c r="D42" s="67"/>
      <c r="E42" s="101"/>
      <c r="F42" s="101"/>
      <c r="G42" s="98"/>
      <c r="H42" s="67"/>
      <c r="I42" s="99"/>
      <c r="J42" s="68"/>
      <c r="K42" s="71"/>
      <c r="L42" s="77"/>
    </row>
    <row r="43" spans="1:12" ht="15.95" customHeight="1" thickBot="1" x14ac:dyDescent="0.3">
      <c r="A43" s="445" t="s">
        <v>13</v>
      </c>
      <c r="B43" s="447"/>
      <c r="C43" s="447"/>
      <c r="D43" s="447"/>
      <c r="E43" s="447"/>
      <c r="F43" s="447"/>
      <c r="G43" s="447"/>
      <c r="H43" s="447"/>
      <c r="I43" s="447"/>
      <c r="J43" s="448"/>
      <c r="K43" s="79">
        <f>ROUND(SUM(K9:K42),0)</f>
        <v>335</v>
      </c>
      <c r="L43" s="80">
        <f>K43</f>
        <v>335</v>
      </c>
    </row>
  </sheetData>
  <mergeCells count="8">
    <mergeCell ref="A7:J7"/>
    <mergeCell ref="A43:J43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5" orientation="portrait" horizontalDpi="1200" verticalDpi="1200" r:id="rId1"/>
  <headerFooter>
    <oddFooter>&amp;R&amp;9Printed &amp;D &amp;T</oddFooter>
  </headerFooter>
  <rowBreaks count="1" manualBreakCount="1">
    <brk id="45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92D050"/>
    <pageSetUpPr fitToPage="1"/>
  </sheetPr>
  <dimension ref="A1:L43"/>
  <sheetViews>
    <sheetView showWhiteSpace="0" view="pageBreakPreview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2" max="2" width="8.7109375" customWidth="1"/>
    <col min="3" max="3" width="7.7109375" customWidth="1"/>
    <col min="4" max="4" width="9.140625" customWidth="1"/>
    <col min="5" max="5" width="8.140625" customWidth="1"/>
    <col min="6" max="6" width="7.85546875" customWidth="1"/>
    <col min="7" max="7" width="9.42578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279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1+'PAVED GUTTER'!I2:J2</f>
        <v>32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78" t="s">
        <v>218</v>
      </c>
      <c r="G4" s="478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281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34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3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70"/>
      <c r="B8" s="83"/>
      <c r="C8" s="22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60"/>
      <c r="B9" s="9" t="s">
        <v>248</v>
      </c>
      <c r="C9" s="22"/>
      <c r="D9" s="11"/>
      <c r="E9" s="10"/>
      <c r="F9" s="10"/>
      <c r="G9" s="94"/>
      <c r="H9" s="10"/>
      <c r="I9" s="63"/>
      <c r="J9" s="58"/>
      <c r="K9" s="60"/>
      <c r="L9" s="76"/>
    </row>
    <row r="10" spans="1:12" ht="15.95" customHeight="1" x14ac:dyDescent="0.25">
      <c r="A10" s="60"/>
      <c r="B10" s="10"/>
      <c r="C10" s="117"/>
      <c r="D10" s="117" t="s">
        <v>14</v>
      </c>
      <c r="E10" s="11">
        <v>132.13</v>
      </c>
      <c r="F10" s="10" t="s">
        <v>34</v>
      </c>
      <c r="G10" s="10"/>
      <c r="H10" s="10"/>
      <c r="I10" s="63"/>
      <c r="J10" s="58"/>
      <c r="K10" s="59">
        <f>E10</f>
        <v>132.13</v>
      </c>
      <c r="L10" s="76"/>
    </row>
    <row r="11" spans="1:12" ht="15.95" customHeight="1" x14ac:dyDescent="0.25">
      <c r="A11" s="60"/>
      <c r="B11" s="10"/>
      <c r="C11" s="117"/>
      <c r="D11" s="117"/>
      <c r="E11" s="142"/>
      <c r="F11" s="10"/>
      <c r="G11" s="10"/>
      <c r="H11" s="10"/>
      <c r="I11" s="63"/>
      <c r="J11" s="58"/>
      <c r="K11" s="60"/>
      <c r="L11" s="76"/>
    </row>
    <row r="12" spans="1:12" ht="15.95" customHeight="1" x14ac:dyDescent="0.25">
      <c r="A12" s="60"/>
      <c r="B12" s="9" t="s">
        <v>249</v>
      </c>
      <c r="C12" s="22"/>
      <c r="D12" s="11"/>
      <c r="E12" s="10"/>
      <c r="F12" s="10"/>
      <c r="G12" s="94"/>
      <c r="H12" s="10"/>
      <c r="I12" s="63"/>
      <c r="J12" s="58"/>
      <c r="K12" s="60"/>
      <c r="L12" s="76"/>
    </row>
    <row r="13" spans="1:12" ht="15.95" customHeight="1" x14ac:dyDescent="0.25">
      <c r="A13" s="60"/>
      <c r="B13" s="10"/>
      <c r="C13" s="117"/>
      <c r="D13" s="117" t="s">
        <v>14</v>
      </c>
      <c r="E13" s="11">
        <v>132.87</v>
      </c>
      <c r="F13" s="10" t="s">
        <v>34</v>
      </c>
      <c r="G13" s="10"/>
      <c r="H13" s="10"/>
      <c r="I13" s="63"/>
      <c r="J13" s="58"/>
      <c r="K13" s="59">
        <f>E13</f>
        <v>132.87</v>
      </c>
      <c r="L13" s="76"/>
    </row>
    <row r="14" spans="1:12" ht="15.95" customHeight="1" x14ac:dyDescent="0.25">
      <c r="A14" s="60"/>
      <c r="B14" s="10"/>
      <c r="C14" s="22"/>
      <c r="D14" s="11"/>
      <c r="E14" s="10"/>
      <c r="F14" s="10"/>
      <c r="G14" s="12"/>
      <c r="H14" s="12"/>
      <c r="I14" s="63"/>
      <c r="J14" s="58"/>
      <c r="K14" s="60"/>
      <c r="L14" s="76"/>
    </row>
    <row r="15" spans="1:12" ht="15.95" customHeight="1" x14ac:dyDescent="0.25">
      <c r="A15" s="60"/>
      <c r="B15" s="9" t="s">
        <v>250</v>
      </c>
      <c r="C15" s="22"/>
      <c r="D15" s="11"/>
      <c r="E15" s="10"/>
      <c r="F15" s="10"/>
      <c r="G15" s="94"/>
      <c r="H15" s="10"/>
      <c r="I15" s="63"/>
      <c r="J15" s="58"/>
      <c r="K15" s="60"/>
      <c r="L15" s="76"/>
    </row>
    <row r="16" spans="1:12" ht="15.95" customHeight="1" x14ac:dyDescent="0.25">
      <c r="A16" s="60"/>
      <c r="B16" s="10"/>
      <c r="C16" s="117"/>
      <c r="D16" s="117" t="s">
        <v>14</v>
      </c>
      <c r="E16" s="11">
        <v>69.09</v>
      </c>
      <c r="F16" s="10" t="s">
        <v>34</v>
      </c>
      <c r="G16" s="10"/>
      <c r="H16" s="10"/>
      <c r="I16" s="63"/>
      <c r="J16" s="58"/>
      <c r="K16" s="59">
        <f>E16</f>
        <v>69.09</v>
      </c>
      <c r="L16" s="76"/>
    </row>
    <row r="17" spans="1:12" ht="15.95" customHeight="1" x14ac:dyDescent="0.25">
      <c r="A17" s="60"/>
      <c r="B17" s="9"/>
      <c r="C17" s="22"/>
      <c r="D17" s="10"/>
      <c r="E17" s="10"/>
      <c r="F17" s="10"/>
      <c r="G17" s="10"/>
      <c r="H17" s="10"/>
      <c r="I17" s="63"/>
      <c r="J17" s="58"/>
      <c r="K17" s="60"/>
      <c r="L17" s="76"/>
    </row>
    <row r="18" spans="1:12" ht="15.95" customHeight="1" x14ac:dyDescent="0.25">
      <c r="A18" s="60"/>
      <c r="B18" s="9" t="s">
        <v>251</v>
      </c>
      <c r="C18" s="22"/>
      <c r="D18" s="11"/>
      <c r="E18" s="10"/>
      <c r="F18" s="10"/>
      <c r="G18" s="94"/>
      <c r="H18" s="10"/>
      <c r="I18" s="63"/>
      <c r="J18" s="58"/>
      <c r="K18" s="60"/>
      <c r="L18" s="76"/>
    </row>
    <row r="19" spans="1:12" ht="15.95" customHeight="1" x14ac:dyDescent="0.25">
      <c r="A19" s="60"/>
      <c r="B19" s="10"/>
      <c r="C19" s="117"/>
      <c r="D19" s="117" t="s">
        <v>14</v>
      </c>
      <c r="E19" s="11">
        <v>69.09</v>
      </c>
      <c r="F19" s="10" t="s">
        <v>34</v>
      </c>
      <c r="G19" s="10"/>
      <c r="H19" s="10"/>
      <c r="I19" s="63"/>
      <c r="J19" s="58"/>
      <c r="K19" s="59">
        <f>E19</f>
        <v>69.09</v>
      </c>
      <c r="L19" s="76"/>
    </row>
    <row r="20" spans="1:12" ht="15.95" customHeight="1" x14ac:dyDescent="0.25">
      <c r="A20" s="60"/>
      <c r="B20" s="10"/>
      <c r="C20" s="22"/>
      <c r="D20" s="11"/>
      <c r="E20" s="10"/>
      <c r="F20" s="10"/>
      <c r="G20" s="10"/>
      <c r="H20" s="10"/>
      <c r="I20" s="63"/>
      <c r="J20" s="58"/>
      <c r="K20" s="60"/>
      <c r="L20" s="76"/>
    </row>
    <row r="21" spans="1:12" ht="15.95" customHeight="1" x14ac:dyDescent="0.25">
      <c r="A21" s="60"/>
      <c r="B21" s="9" t="s">
        <v>292</v>
      </c>
      <c r="C21" s="22"/>
      <c r="D21" s="11"/>
      <c r="E21" s="10"/>
      <c r="F21" s="10"/>
      <c r="G21" s="10"/>
      <c r="H21" s="10"/>
      <c r="I21" s="63"/>
      <c r="J21" s="58"/>
      <c r="K21" s="60"/>
      <c r="L21" s="76"/>
    </row>
    <row r="22" spans="1:12" ht="15.95" customHeight="1" x14ac:dyDescent="0.25">
      <c r="A22" s="60"/>
      <c r="B22" s="10"/>
      <c r="C22" s="22"/>
      <c r="D22" s="117" t="s">
        <v>14</v>
      </c>
      <c r="E22" s="11">
        <v>30.5</v>
      </c>
      <c r="F22" s="10" t="s">
        <v>34</v>
      </c>
      <c r="G22" s="10"/>
      <c r="H22" s="10"/>
      <c r="I22" s="63"/>
      <c r="J22" s="58"/>
      <c r="K22" s="59">
        <f>E22</f>
        <v>30.5</v>
      </c>
      <c r="L22" s="76"/>
    </row>
    <row r="23" spans="1:12" ht="15.95" customHeight="1" x14ac:dyDescent="0.25">
      <c r="A23" s="60"/>
      <c r="B23" s="10"/>
      <c r="C23" s="22"/>
      <c r="D23" s="11"/>
      <c r="E23" s="10"/>
      <c r="F23" s="10"/>
      <c r="G23" s="10"/>
      <c r="H23" s="10"/>
      <c r="I23" s="63"/>
      <c r="J23" s="58"/>
      <c r="K23" s="60"/>
      <c r="L23" s="76"/>
    </row>
    <row r="24" spans="1:12" ht="15.95" customHeight="1" x14ac:dyDescent="0.25">
      <c r="A24" s="60"/>
      <c r="B24" s="10"/>
      <c r="C24" s="22"/>
      <c r="D24" s="11"/>
      <c r="E24" s="10"/>
      <c r="F24" s="10"/>
      <c r="G24" s="10"/>
      <c r="H24" s="10"/>
      <c r="I24" s="63"/>
      <c r="J24" s="58"/>
      <c r="K24" s="60"/>
      <c r="L24" s="76"/>
    </row>
    <row r="25" spans="1:12" ht="15.95" customHeight="1" x14ac:dyDescent="0.25">
      <c r="A25" s="60"/>
      <c r="B25" s="10"/>
      <c r="C25" s="22"/>
      <c r="D25" s="11"/>
      <c r="E25" s="10"/>
      <c r="F25" s="10"/>
      <c r="G25" s="10"/>
      <c r="H25" s="10"/>
      <c r="I25" s="63"/>
      <c r="J25" s="58"/>
      <c r="K25" s="60"/>
      <c r="L25" s="76"/>
    </row>
    <row r="26" spans="1:12" ht="15.95" customHeight="1" x14ac:dyDescent="0.25">
      <c r="A26" s="60"/>
      <c r="B26" s="10"/>
      <c r="C26" s="22"/>
      <c r="D26" s="11"/>
      <c r="E26" s="10"/>
      <c r="F26" s="10"/>
      <c r="G26" s="10"/>
      <c r="H26" s="10"/>
      <c r="I26" s="63"/>
      <c r="J26" s="58"/>
      <c r="K26" s="60"/>
      <c r="L26" s="76"/>
    </row>
    <row r="27" spans="1:12" ht="15.95" customHeight="1" x14ac:dyDescent="0.25">
      <c r="A27" s="60"/>
      <c r="B27" s="10"/>
      <c r="C27" s="22"/>
      <c r="D27" s="11"/>
      <c r="E27" s="10"/>
      <c r="F27" s="10"/>
      <c r="G27" s="10"/>
      <c r="H27" s="10"/>
      <c r="I27" s="63"/>
      <c r="J27" s="58"/>
      <c r="K27" s="60"/>
      <c r="L27" s="76"/>
    </row>
    <row r="28" spans="1:12" ht="15.95" customHeight="1" x14ac:dyDescent="0.25">
      <c r="A28" s="60"/>
      <c r="B28" s="10"/>
      <c r="C28" s="22"/>
      <c r="D28" s="11"/>
      <c r="E28" s="10"/>
      <c r="F28" s="10"/>
      <c r="G28" s="10"/>
      <c r="H28" s="10"/>
      <c r="I28" s="63"/>
      <c r="J28" s="58"/>
      <c r="K28" s="60"/>
      <c r="L28" s="76"/>
    </row>
    <row r="29" spans="1:12" ht="15.95" customHeight="1" x14ac:dyDescent="0.25">
      <c r="A29" s="60"/>
      <c r="B29" s="10"/>
      <c r="C29" s="22"/>
      <c r="D29" s="11"/>
      <c r="E29" s="10"/>
      <c r="F29" s="10"/>
      <c r="G29" s="12"/>
      <c r="H29" s="10"/>
      <c r="I29" s="63"/>
      <c r="J29" s="58"/>
      <c r="K29" s="60"/>
      <c r="L29" s="76"/>
    </row>
    <row r="30" spans="1:12" ht="15.95" customHeight="1" x14ac:dyDescent="0.25">
      <c r="A30" s="60"/>
      <c r="B30" s="10"/>
      <c r="C30" s="22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60"/>
      <c r="B31" s="10"/>
      <c r="C31" s="22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60"/>
      <c r="B32" s="10"/>
      <c r="C32" s="22"/>
      <c r="D32" s="11"/>
      <c r="E32" s="10"/>
      <c r="F32" s="10"/>
      <c r="G32" s="10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22"/>
      <c r="D33" s="11"/>
      <c r="E33" s="10"/>
      <c r="F33" s="10"/>
      <c r="G33" s="12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22"/>
      <c r="D34" s="11"/>
      <c r="E34" s="10"/>
      <c r="F34" s="10"/>
      <c r="G34" s="12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22"/>
      <c r="D35" s="11"/>
      <c r="E35" s="10"/>
      <c r="F35" s="10"/>
      <c r="G35" s="12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22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22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22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22"/>
      <c r="D39" s="11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22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71"/>
      <c r="B41" s="25"/>
      <c r="C41" s="25"/>
      <c r="D41" s="25"/>
      <c r="E41" s="100"/>
      <c r="F41" s="100"/>
      <c r="G41" s="97"/>
      <c r="H41" s="25"/>
      <c r="I41" s="92"/>
      <c r="J41" s="32"/>
      <c r="K41" s="71"/>
      <c r="L41" s="77"/>
    </row>
    <row r="42" spans="1:12" ht="15.95" customHeight="1" thickBot="1" x14ac:dyDescent="0.3">
      <c r="A42" s="71"/>
      <c r="B42" s="67"/>
      <c r="C42" s="67"/>
      <c r="D42" s="67"/>
      <c r="E42" s="101"/>
      <c r="F42" s="101"/>
      <c r="G42" s="98"/>
      <c r="H42" s="67"/>
      <c r="I42" s="99"/>
      <c r="J42" s="68"/>
      <c r="K42" s="71"/>
      <c r="L42" s="77"/>
    </row>
    <row r="43" spans="1:12" ht="15.95" customHeight="1" thickBot="1" x14ac:dyDescent="0.3">
      <c r="A43" s="445" t="s">
        <v>13</v>
      </c>
      <c r="B43" s="447"/>
      <c r="C43" s="447"/>
      <c r="D43" s="447"/>
      <c r="E43" s="447"/>
      <c r="F43" s="447"/>
      <c r="G43" s="447"/>
      <c r="H43" s="447"/>
      <c r="I43" s="447"/>
      <c r="J43" s="448"/>
      <c r="K43" s="79">
        <f>ROUND(SUM(K9:K42),0)</f>
        <v>434</v>
      </c>
      <c r="L43" s="80">
        <f>K43</f>
        <v>434</v>
      </c>
    </row>
  </sheetData>
  <mergeCells count="8">
    <mergeCell ref="A7:J7"/>
    <mergeCell ref="A43:J43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5" orientation="portrait" horizontalDpi="1200" verticalDpi="1200" r:id="rId1"/>
  <headerFooter>
    <oddFooter>&amp;R&amp;9Printed &amp;D &amp;T</oddFooter>
  </headerFooter>
  <rowBreaks count="1" manualBreakCount="1">
    <brk id="45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92D050"/>
    <pageSetUpPr fitToPage="1"/>
  </sheetPr>
  <dimension ref="A1:L48"/>
  <sheetViews>
    <sheetView showWhiteSpace="0" view="pageBreakPreview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150</v>
      </c>
      <c r="F1" s="121" t="s">
        <v>4</v>
      </c>
      <c r="G1" s="349">
        <v>45107</v>
      </c>
      <c r="H1" s="121" t="s">
        <v>5</v>
      </c>
      <c r="I1" s="449" t="s">
        <v>235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1+FENCE!I2</f>
        <v>33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234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67</v>
      </c>
    </row>
    <row r="6" spans="1:12" ht="20.100000000000001" customHeight="1" thickBot="1" x14ac:dyDescent="0.3">
      <c r="A6" s="129"/>
      <c r="B6" s="29"/>
      <c r="C6" s="199"/>
      <c r="D6" s="29"/>
      <c r="E6" s="29"/>
      <c r="F6" s="19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457" t="s">
        <v>47</v>
      </c>
      <c r="C9" s="104"/>
      <c r="D9" s="94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13"/>
      <c r="B10" s="458"/>
      <c r="C10" s="333"/>
      <c r="D10" s="333"/>
      <c r="E10" s="326"/>
      <c r="F10" s="333"/>
      <c r="G10" s="333"/>
      <c r="H10" s="333"/>
      <c r="I10" s="334"/>
      <c r="J10" s="144"/>
      <c r="K10" s="274"/>
      <c r="L10" s="76"/>
    </row>
    <row r="11" spans="1:12" ht="16.5" customHeight="1" x14ac:dyDescent="0.25">
      <c r="A11" s="13"/>
      <c r="B11" s="147">
        <v>4045</v>
      </c>
      <c r="C11" s="142"/>
      <c r="D11" s="142"/>
      <c r="E11" s="146"/>
      <c r="F11" s="146"/>
      <c r="G11" s="146"/>
      <c r="H11" s="325"/>
      <c r="I11" s="247"/>
      <c r="J11" s="144"/>
      <c r="K11" s="281">
        <f>B11</f>
        <v>4045</v>
      </c>
      <c r="L11" s="76"/>
    </row>
    <row r="12" spans="1:12" ht="15.95" customHeight="1" x14ac:dyDescent="0.25">
      <c r="A12" s="13"/>
      <c r="B12" s="11"/>
      <c r="C12" s="49"/>
      <c r="D12" s="197"/>
      <c r="E12" s="203"/>
      <c r="F12" s="198"/>
      <c r="G12" s="22"/>
      <c r="H12" s="28"/>
      <c r="I12" s="88"/>
      <c r="J12" s="58"/>
      <c r="K12" s="103"/>
      <c r="L12" s="76"/>
    </row>
    <row r="13" spans="1:12" ht="15.95" customHeight="1" x14ac:dyDescent="0.25">
      <c r="A13" s="13"/>
      <c r="B13" s="10"/>
      <c r="C13" s="198"/>
      <c r="D13" s="198"/>
      <c r="E13" s="204"/>
      <c r="F13" s="205"/>
      <c r="G13" s="22"/>
      <c r="H13" s="28"/>
      <c r="I13" s="88"/>
      <c r="J13" s="58"/>
      <c r="K13" s="59"/>
      <c r="L13" s="76"/>
    </row>
    <row r="14" spans="1:12" ht="15.95" customHeight="1" x14ac:dyDescent="0.25">
      <c r="A14" s="13"/>
      <c r="B14" s="10"/>
      <c r="C14" s="197"/>
      <c r="D14" s="197"/>
      <c r="E14" s="204"/>
      <c r="F14" s="205"/>
      <c r="G14" s="28"/>
      <c r="H14" s="28"/>
      <c r="I14" s="88"/>
      <c r="J14" s="58"/>
      <c r="K14" s="60"/>
      <c r="L14" s="76"/>
    </row>
    <row r="15" spans="1:12" ht="15.95" customHeight="1" x14ac:dyDescent="0.25">
      <c r="A15" s="13"/>
      <c r="B15" s="73"/>
      <c r="C15" s="197"/>
      <c r="D15" s="197"/>
      <c r="E15" s="204"/>
      <c r="F15" s="206"/>
      <c r="G15" s="28"/>
      <c r="H15" s="28"/>
      <c r="I15" s="88"/>
      <c r="J15" s="58"/>
      <c r="K15" s="60"/>
      <c r="L15" s="76"/>
    </row>
    <row r="16" spans="1:12" ht="15.75" customHeight="1" x14ac:dyDescent="0.25">
      <c r="A16" s="13"/>
      <c r="B16" s="73"/>
      <c r="C16" s="197"/>
      <c r="D16" s="117"/>
      <c r="E16" s="204"/>
      <c r="F16" s="204"/>
      <c r="G16" s="54"/>
      <c r="H16" s="54"/>
      <c r="I16" s="82"/>
      <c r="J16" s="58"/>
      <c r="K16" s="57"/>
      <c r="L16" s="76"/>
    </row>
    <row r="17" spans="1:12" ht="15.75" customHeight="1" x14ac:dyDescent="0.25">
      <c r="A17" s="13"/>
      <c r="B17" s="54"/>
      <c r="C17" s="117"/>
      <c r="D17" s="197"/>
      <c r="E17" s="207"/>
      <c r="F17" s="204"/>
      <c r="G17" s="52"/>
      <c r="H17" s="52"/>
      <c r="I17" s="63"/>
      <c r="J17" s="58"/>
      <c r="K17" s="89"/>
      <c r="L17" s="76"/>
    </row>
    <row r="18" spans="1:12" ht="15.95" customHeight="1" x14ac:dyDescent="0.25">
      <c r="A18" s="13"/>
      <c r="B18" s="11"/>
      <c r="C18" s="198"/>
      <c r="D18" s="198"/>
      <c r="E18" s="208"/>
      <c r="F18" s="198"/>
      <c r="G18" s="11"/>
      <c r="H18" s="11"/>
      <c r="I18" s="63"/>
      <c r="J18" s="58"/>
      <c r="K18" s="103"/>
      <c r="L18" s="76"/>
    </row>
    <row r="19" spans="1:12" ht="15.95" customHeight="1" x14ac:dyDescent="0.25">
      <c r="A19" s="13"/>
      <c r="B19" s="84"/>
      <c r="C19" s="197"/>
      <c r="D19" s="197"/>
      <c r="E19" s="117"/>
      <c r="F19" s="117"/>
      <c r="G19" s="11"/>
      <c r="H19" s="11"/>
      <c r="I19" s="63"/>
      <c r="J19" s="58"/>
      <c r="K19" s="60"/>
      <c r="L19" s="76"/>
    </row>
    <row r="20" spans="1:12" ht="15.95" customHeight="1" x14ac:dyDescent="0.25">
      <c r="A20" s="13"/>
      <c r="B20" s="34"/>
      <c r="C20" s="38"/>
      <c r="D20" s="197"/>
      <c r="E20" s="197"/>
      <c r="F20" s="197"/>
      <c r="G20" s="12"/>
      <c r="H20" s="12"/>
      <c r="I20" s="63"/>
      <c r="J20" s="58"/>
      <c r="K20" s="103"/>
      <c r="L20" s="76"/>
    </row>
    <row r="21" spans="1:12" ht="15.95" customHeight="1" x14ac:dyDescent="0.25">
      <c r="A21" s="13"/>
      <c r="B21" s="34"/>
      <c r="C21" s="38"/>
      <c r="D21" s="38"/>
      <c r="E21" s="38"/>
      <c r="F21" s="38"/>
      <c r="G21" s="12"/>
      <c r="H21" s="12"/>
      <c r="I21" s="63"/>
      <c r="J21" s="58"/>
      <c r="K21" s="60"/>
      <c r="L21" s="76"/>
    </row>
    <row r="22" spans="1:12" ht="15.95" customHeight="1" x14ac:dyDescent="0.25">
      <c r="A22" s="13"/>
      <c r="B22" s="73"/>
      <c r="C22" s="22"/>
      <c r="D22" s="11"/>
      <c r="E22" s="10"/>
      <c r="F22" s="10"/>
      <c r="G22" s="10"/>
      <c r="H22" s="10"/>
      <c r="I22" s="63"/>
      <c r="J22" s="58"/>
      <c r="K22" s="57"/>
      <c r="L22" s="76"/>
    </row>
    <row r="23" spans="1:12" ht="15.95" customHeight="1" x14ac:dyDescent="0.25">
      <c r="A23" s="13"/>
      <c r="B23" s="10"/>
      <c r="C23" s="22"/>
      <c r="D23" s="11"/>
      <c r="E23" s="10"/>
      <c r="F23" s="10"/>
      <c r="G23" s="12"/>
      <c r="H23" s="12"/>
      <c r="I23" s="63"/>
      <c r="J23" s="58"/>
      <c r="K23" s="59"/>
      <c r="L23" s="76"/>
    </row>
    <row r="24" spans="1:12" ht="18.75" customHeight="1" x14ac:dyDescent="0.25">
      <c r="A24" s="13"/>
      <c r="B24" s="54"/>
      <c r="C24" s="52"/>
      <c r="D24" s="87"/>
      <c r="E24" s="54"/>
      <c r="F24" s="54"/>
      <c r="G24" s="53"/>
      <c r="H24" s="53"/>
      <c r="I24" s="63"/>
      <c r="J24" s="58"/>
      <c r="K24" s="60"/>
      <c r="L24" s="76"/>
    </row>
    <row r="25" spans="1:12" ht="15.95" customHeight="1" x14ac:dyDescent="0.25">
      <c r="A25" s="13"/>
      <c r="B25" s="10"/>
      <c r="C25" s="11"/>
      <c r="D25" s="11"/>
      <c r="E25" s="10"/>
      <c r="F25" s="11"/>
      <c r="G25" s="11"/>
      <c r="H25" s="11"/>
      <c r="I25" s="63"/>
      <c r="J25" s="58"/>
      <c r="K25" s="60"/>
      <c r="L25" s="76"/>
    </row>
    <row r="26" spans="1:12" ht="15.95" customHeight="1" x14ac:dyDescent="0.25">
      <c r="A26" s="13"/>
      <c r="B26" s="10"/>
      <c r="C26" s="11"/>
      <c r="D26" s="11"/>
      <c r="E26" s="10"/>
      <c r="F26" s="11"/>
      <c r="G26" s="11"/>
      <c r="H26" s="11"/>
      <c r="I26" s="63"/>
      <c r="J26" s="58"/>
      <c r="K26" s="60"/>
      <c r="L26" s="76"/>
    </row>
    <row r="27" spans="1:12" ht="15.95" customHeight="1" x14ac:dyDescent="0.25">
      <c r="A27" s="13"/>
      <c r="B27" s="15"/>
      <c r="C27" s="11"/>
      <c r="D27" s="11"/>
      <c r="E27" s="10"/>
      <c r="F27" s="11"/>
      <c r="G27" s="11"/>
      <c r="H27" s="11"/>
      <c r="I27" s="63"/>
      <c r="J27" s="58"/>
      <c r="K27" s="60"/>
      <c r="L27" s="76"/>
    </row>
    <row r="28" spans="1:12" ht="15.95" customHeight="1" x14ac:dyDescent="0.25">
      <c r="A28" s="13"/>
      <c r="B28" s="10"/>
      <c r="C28" s="86"/>
      <c r="D28" s="30"/>
      <c r="E28" s="19"/>
      <c r="F28" s="11"/>
      <c r="G28" s="11"/>
      <c r="H28" s="30"/>
      <c r="I28" s="63"/>
      <c r="J28" s="58"/>
      <c r="K28" s="60"/>
      <c r="L28" s="76"/>
    </row>
    <row r="29" spans="1:12" ht="15.95" customHeight="1" x14ac:dyDescent="0.25">
      <c r="A29" s="13"/>
      <c r="B29" s="15"/>
      <c r="C29" s="86"/>
      <c r="D29" s="30"/>
      <c r="E29" s="19"/>
      <c r="F29" s="30"/>
      <c r="G29" s="11"/>
      <c r="H29" s="30"/>
      <c r="I29" s="63"/>
      <c r="J29" s="58"/>
      <c r="K29" s="60"/>
      <c r="L29" s="76"/>
    </row>
    <row r="30" spans="1:12" ht="15.95" customHeight="1" x14ac:dyDescent="0.25">
      <c r="A30" s="13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1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2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2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71"/>
      <c r="B46" s="10"/>
      <c r="C46" s="25"/>
      <c r="D46" s="25"/>
      <c r="E46" s="100"/>
      <c r="F46" s="100"/>
      <c r="G46" s="97"/>
      <c r="H46" s="25"/>
      <c r="I46" s="92"/>
      <c r="J46" s="32"/>
      <c r="K46" s="71"/>
      <c r="L46" s="77"/>
    </row>
    <row r="47" spans="1:12" ht="15.95" customHeight="1" thickBot="1" x14ac:dyDescent="0.3">
      <c r="A47" s="71"/>
      <c r="B47" s="67"/>
      <c r="C47" s="67"/>
      <c r="D47" s="67"/>
      <c r="E47" s="101"/>
      <c r="F47" s="101"/>
      <c r="G47" s="98"/>
      <c r="H47" s="67"/>
      <c r="I47" s="99"/>
      <c r="J47" s="68"/>
      <c r="K47" s="71"/>
      <c r="L47" s="77"/>
    </row>
    <row r="48" spans="1:12" ht="15.95" customHeight="1" thickBot="1" x14ac:dyDescent="0.3">
      <c r="A48" s="445" t="s">
        <v>13</v>
      </c>
      <c r="B48" s="446"/>
      <c r="C48" s="447"/>
      <c r="D48" s="447"/>
      <c r="E48" s="447"/>
      <c r="F48" s="447"/>
      <c r="G48" s="447"/>
      <c r="H48" s="447"/>
      <c r="I48" s="447"/>
      <c r="J48" s="448"/>
      <c r="K48" s="79">
        <f>SUM(K8:K47)</f>
        <v>4045</v>
      </c>
      <c r="L48" s="80">
        <f>K48</f>
        <v>4045</v>
      </c>
    </row>
  </sheetData>
  <mergeCells count="9">
    <mergeCell ref="A7:J7"/>
    <mergeCell ref="B9:B10"/>
    <mergeCell ref="A48:J48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L48"/>
  <sheetViews>
    <sheetView showWhiteSpace="0" view="pageBreakPreview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150</v>
      </c>
      <c r="F1" s="121" t="s">
        <v>4</v>
      </c>
      <c r="G1" s="349">
        <v>45107</v>
      </c>
      <c r="H1" s="121" t="s">
        <v>5</v>
      </c>
      <c r="I1" s="449" t="s">
        <v>217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216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92</v>
      </c>
    </row>
    <row r="6" spans="1:12" ht="20.100000000000001" customHeight="1" thickBot="1" x14ac:dyDescent="0.3">
      <c r="A6" s="129"/>
      <c r="B6" s="29"/>
      <c r="C6" s="199"/>
      <c r="D6" s="29"/>
      <c r="E6" s="29"/>
      <c r="F6" s="19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73"/>
      <c r="C9" s="104"/>
      <c r="D9" s="94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13"/>
      <c r="B10" s="73"/>
      <c r="C10" s="162" t="s">
        <v>93</v>
      </c>
      <c r="D10" s="197"/>
      <c r="E10" s="38"/>
      <c r="F10" s="38"/>
      <c r="G10" s="10"/>
      <c r="H10" s="25"/>
      <c r="I10" s="92"/>
      <c r="J10" s="58"/>
      <c r="K10" s="60"/>
      <c r="L10" s="76"/>
    </row>
    <row r="11" spans="1:12" ht="16.5" customHeight="1" x14ac:dyDescent="0.25">
      <c r="A11" s="13"/>
      <c r="B11" s="54"/>
      <c r="C11" s="49"/>
      <c r="D11" s="197"/>
      <c r="E11" s="38"/>
      <c r="F11" s="38"/>
      <c r="G11" s="54"/>
      <c r="H11" s="54"/>
      <c r="I11" s="34"/>
      <c r="J11" s="58"/>
      <c r="K11" s="60"/>
      <c r="L11" s="76"/>
    </row>
    <row r="12" spans="1:12" ht="15.95" customHeight="1" x14ac:dyDescent="0.25">
      <c r="A12" s="13"/>
      <c r="B12" s="11"/>
      <c r="C12" s="49"/>
      <c r="D12" s="197"/>
      <c r="E12" s="203"/>
      <c r="F12" s="198"/>
      <c r="G12" s="22"/>
      <c r="H12" s="28"/>
      <c r="I12" s="88"/>
      <c r="J12" s="58"/>
      <c r="K12" s="103"/>
      <c r="L12" s="76"/>
    </row>
    <row r="13" spans="1:12" ht="15.95" customHeight="1" x14ac:dyDescent="0.25">
      <c r="A13" s="13"/>
      <c r="B13" s="10"/>
      <c r="C13" s="198"/>
      <c r="D13" s="198"/>
      <c r="E13" s="204"/>
      <c r="F13" s="205"/>
      <c r="G13" s="22"/>
      <c r="H13" s="28"/>
      <c r="I13" s="88"/>
      <c r="J13" s="58"/>
      <c r="K13" s="59"/>
      <c r="L13" s="76"/>
    </row>
    <row r="14" spans="1:12" ht="15.95" customHeight="1" x14ac:dyDescent="0.25">
      <c r="A14" s="13"/>
      <c r="B14" s="10"/>
      <c r="C14" s="197"/>
      <c r="D14" s="197"/>
      <c r="E14" s="204"/>
      <c r="F14" s="205"/>
      <c r="G14" s="28"/>
      <c r="H14" s="28"/>
      <c r="I14" s="88"/>
      <c r="J14" s="58"/>
      <c r="K14" s="60"/>
      <c r="L14" s="76"/>
    </row>
    <row r="15" spans="1:12" ht="15.95" customHeight="1" x14ac:dyDescent="0.25">
      <c r="A15" s="13"/>
      <c r="B15" s="73"/>
      <c r="C15" s="197"/>
      <c r="D15" s="197"/>
      <c r="E15" s="204"/>
      <c r="F15" s="206"/>
      <c r="G15" s="28"/>
      <c r="H15" s="28"/>
      <c r="I15" s="88"/>
      <c r="J15" s="58"/>
      <c r="K15" s="60"/>
      <c r="L15" s="76"/>
    </row>
    <row r="16" spans="1:12" ht="15.75" customHeight="1" x14ac:dyDescent="0.25">
      <c r="A16" s="13"/>
      <c r="B16" s="73"/>
      <c r="C16" s="197"/>
      <c r="D16" s="117"/>
      <c r="E16" s="204"/>
      <c r="F16" s="204"/>
      <c r="G16" s="54"/>
      <c r="H16" s="54"/>
      <c r="I16" s="82"/>
      <c r="J16" s="58"/>
      <c r="K16" s="57"/>
      <c r="L16" s="76"/>
    </row>
    <row r="17" spans="1:12" ht="15.75" customHeight="1" x14ac:dyDescent="0.25">
      <c r="A17" s="13"/>
      <c r="B17" s="54"/>
      <c r="C17" s="117"/>
      <c r="D17" s="197"/>
      <c r="E17" s="207"/>
      <c r="F17" s="204"/>
      <c r="G17" s="52"/>
      <c r="H17" s="52"/>
      <c r="I17" s="63"/>
      <c r="J17" s="58"/>
      <c r="K17" s="89"/>
      <c r="L17" s="76"/>
    </row>
    <row r="18" spans="1:12" ht="15.95" customHeight="1" x14ac:dyDescent="0.25">
      <c r="A18" s="13"/>
      <c r="B18" s="11"/>
      <c r="C18" s="198"/>
      <c r="D18" s="198"/>
      <c r="E18" s="208"/>
      <c r="F18" s="198"/>
      <c r="G18" s="11"/>
      <c r="H18" s="11"/>
      <c r="I18" s="63"/>
      <c r="J18" s="58"/>
      <c r="K18" s="103"/>
      <c r="L18" s="76"/>
    </row>
    <row r="19" spans="1:12" ht="15.95" customHeight="1" x14ac:dyDescent="0.25">
      <c r="A19" s="13"/>
      <c r="B19" s="84"/>
      <c r="C19" s="197"/>
      <c r="D19" s="197"/>
      <c r="E19" s="117"/>
      <c r="F19" s="117"/>
      <c r="G19" s="11"/>
      <c r="H19" s="11"/>
      <c r="I19" s="63"/>
      <c r="J19" s="58"/>
      <c r="K19" s="60"/>
      <c r="L19" s="76"/>
    </row>
    <row r="20" spans="1:12" ht="15.95" customHeight="1" x14ac:dyDescent="0.25">
      <c r="A20" s="13"/>
      <c r="B20" s="34"/>
      <c r="C20" s="38"/>
      <c r="D20" s="197"/>
      <c r="E20" s="197"/>
      <c r="F20" s="197"/>
      <c r="G20" s="12"/>
      <c r="H20" s="12"/>
      <c r="I20" s="63"/>
      <c r="J20" s="58"/>
      <c r="K20" s="103"/>
      <c r="L20" s="76"/>
    </row>
    <row r="21" spans="1:12" ht="15.95" customHeight="1" x14ac:dyDescent="0.25">
      <c r="A21" s="13"/>
      <c r="B21" s="34"/>
      <c r="C21" s="38"/>
      <c r="D21" s="38"/>
      <c r="E21" s="38"/>
      <c r="F21" s="38"/>
      <c r="G21" s="12"/>
      <c r="H21" s="12"/>
      <c r="I21" s="63"/>
      <c r="J21" s="58"/>
      <c r="K21" s="60"/>
      <c r="L21" s="76"/>
    </row>
    <row r="22" spans="1:12" ht="15.95" customHeight="1" x14ac:dyDescent="0.25">
      <c r="A22" s="13"/>
      <c r="B22" s="73"/>
      <c r="C22" s="22"/>
      <c r="D22" s="11"/>
      <c r="E22" s="10"/>
      <c r="F22" s="10"/>
      <c r="G22" s="10"/>
      <c r="H22" s="10"/>
      <c r="I22" s="63"/>
      <c r="J22" s="58"/>
      <c r="K22" s="57"/>
      <c r="L22" s="76"/>
    </row>
    <row r="23" spans="1:12" ht="15.95" customHeight="1" x14ac:dyDescent="0.25">
      <c r="A23" s="13"/>
      <c r="B23" s="10"/>
      <c r="C23" s="22"/>
      <c r="D23" s="11"/>
      <c r="E23" s="10"/>
      <c r="F23" s="10"/>
      <c r="G23" s="12"/>
      <c r="H23" s="12"/>
      <c r="I23" s="63"/>
      <c r="J23" s="58"/>
      <c r="K23" s="59"/>
      <c r="L23" s="76"/>
    </row>
    <row r="24" spans="1:12" ht="18.75" customHeight="1" x14ac:dyDescent="0.25">
      <c r="A24" s="13"/>
      <c r="B24" s="54"/>
      <c r="C24" s="52"/>
      <c r="D24" s="87"/>
      <c r="E24" s="54"/>
      <c r="F24" s="54"/>
      <c r="G24" s="53"/>
      <c r="H24" s="53"/>
      <c r="I24" s="63"/>
      <c r="J24" s="58"/>
      <c r="K24" s="60"/>
      <c r="L24" s="76"/>
    </row>
    <row r="25" spans="1:12" ht="15.95" customHeight="1" x14ac:dyDescent="0.25">
      <c r="A25" s="13"/>
      <c r="B25" s="10"/>
      <c r="C25" s="11"/>
      <c r="D25" s="11"/>
      <c r="E25" s="10"/>
      <c r="F25" s="11"/>
      <c r="G25" s="11"/>
      <c r="H25" s="11"/>
      <c r="I25" s="63"/>
      <c r="J25" s="58"/>
      <c r="K25" s="60"/>
      <c r="L25" s="76"/>
    </row>
    <row r="26" spans="1:12" ht="15.95" customHeight="1" x14ac:dyDescent="0.25">
      <c r="A26" s="13"/>
      <c r="B26" s="10"/>
      <c r="C26" s="11"/>
      <c r="D26" s="11"/>
      <c r="E26" s="10"/>
      <c r="F26" s="11"/>
      <c r="G26" s="11"/>
      <c r="H26" s="11"/>
      <c r="I26" s="63"/>
      <c r="J26" s="58"/>
      <c r="K26" s="60"/>
      <c r="L26" s="76"/>
    </row>
    <row r="27" spans="1:12" ht="15.95" customHeight="1" x14ac:dyDescent="0.25">
      <c r="A27" s="13"/>
      <c r="B27" s="15"/>
      <c r="C27" s="11"/>
      <c r="D27" s="11"/>
      <c r="E27" s="10"/>
      <c r="F27" s="11"/>
      <c r="G27" s="11"/>
      <c r="H27" s="11"/>
      <c r="I27" s="63"/>
      <c r="J27" s="58"/>
      <c r="K27" s="60"/>
      <c r="L27" s="76"/>
    </row>
    <row r="28" spans="1:12" ht="15.95" customHeight="1" x14ac:dyDescent="0.25">
      <c r="A28" s="13"/>
      <c r="B28" s="10"/>
      <c r="C28" s="86"/>
      <c r="D28" s="30"/>
      <c r="E28" s="19"/>
      <c r="F28" s="11"/>
      <c r="G28" s="11"/>
      <c r="H28" s="30"/>
      <c r="I28" s="63"/>
      <c r="J28" s="58"/>
      <c r="K28" s="60"/>
      <c r="L28" s="76"/>
    </row>
    <row r="29" spans="1:12" ht="15.95" customHeight="1" x14ac:dyDescent="0.25">
      <c r="A29" s="13"/>
      <c r="B29" s="15"/>
      <c r="C29" s="86"/>
      <c r="D29" s="30"/>
      <c r="E29" s="19"/>
      <c r="F29" s="30"/>
      <c r="G29" s="11"/>
      <c r="H29" s="30"/>
      <c r="I29" s="63"/>
      <c r="J29" s="58"/>
      <c r="K29" s="60"/>
      <c r="L29" s="76"/>
    </row>
    <row r="30" spans="1:12" ht="15.95" customHeight="1" x14ac:dyDescent="0.25">
      <c r="A30" s="13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1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2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2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71"/>
      <c r="B46" s="10"/>
      <c r="C46" s="25"/>
      <c r="D46" s="25"/>
      <c r="E46" s="100"/>
      <c r="F46" s="100"/>
      <c r="G46" s="97"/>
      <c r="H46" s="25"/>
      <c r="I46" s="92"/>
      <c r="J46" s="32"/>
      <c r="K46" s="71"/>
      <c r="L46" s="77"/>
    </row>
    <row r="47" spans="1:12" ht="15.95" customHeight="1" thickBot="1" x14ac:dyDescent="0.3">
      <c r="A47" s="71"/>
      <c r="B47" s="67"/>
      <c r="C47" s="67"/>
      <c r="D47" s="67"/>
      <c r="E47" s="101"/>
      <c r="F47" s="101"/>
      <c r="G47" s="98"/>
      <c r="H47" s="67"/>
      <c r="I47" s="99"/>
      <c r="J47" s="68"/>
      <c r="K47" s="71"/>
      <c r="L47" s="77"/>
    </row>
    <row r="48" spans="1:12" ht="15.95" customHeight="1" thickBot="1" x14ac:dyDescent="0.3">
      <c r="A48" s="445" t="s">
        <v>13</v>
      </c>
      <c r="B48" s="446"/>
      <c r="C48" s="447"/>
      <c r="D48" s="447"/>
      <c r="E48" s="447"/>
      <c r="F48" s="447"/>
      <c r="G48" s="447"/>
      <c r="H48" s="447"/>
      <c r="I48" s="447"/>
      <c r="J48" s="448"/>
      <c r="K48" s="79">
        <f>K12+K18</f>
        <v>0</v>
      </c>
      <c r="L48" s="80">
        <f>K48</f>
        <v>0</v>
      </c>
    </row>
  </sheetData>
  <mergeCells count="8">
    <mergeCell ref="A7:J7"/>
    <mergeCell ref="A48:J48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A1:L48"/>
  <sheetViews>
    <sheetView showWhiteSpace="0" view="pageBreakPreview" zoomScale="85" zoomScaleNormal="100" zoomScaleSheetLayoutView="85" workbookViewId="0">
      <selection activeCell="C6" sqref="C6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150</v>
      </c>
      <c r="F1" s="121" t="s">
        <v>4</v>
      </c>
      <c r="G1" s="349">
        <v>45107</v>
      </c>
      <c r="H1" s="121" t="s">
        <v>5</v>
      </c>
      <c r="I1" s="449" t="s">
        <v>364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v>34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369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92</v>
      </c>
    </row>
    <row r="6" spans="1:12" ht="20.100000000000001" customHeight="1" thickBot="1" x14ac:dyDescent="0.3">
      <c r="A6" s="129"/>
      <c r="B6" s="29"/>
      <c r="C6" s="199"/>
      <c r="D6" s="29"/>
      <c r="E6" s="29"/>
      <c r="F6" s="19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73"/>
      <c r="C9" s="104"/>
      <c r="D9" s="94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13"/>
      <c r="B10" s="73"/>
      <c r="C10" s="162" t="s">
        <v>93</v>
      </c>
      <c r="D10" s="197"/>
      <c r="E10" s="38"/>
      <c r="F10" s="38"/>
      <c r="G10" s="10"/>
      <c r="H10" s="25"/>
      <c r="I10" s="92"/>
      <c r="J10" s="58"/>
      <c r="K10" s="60"/>
      <c r="L10" s="76"/>
    </row>
    <row r="11" spans="1:12" ht="16.5" customHeight="1" x14ac:dyDescent="0.25">
      <c r="A11" s="13"/>
      <c r="B11" s="54"/>
      <c r="C11" s="49"/>
      <c r="D11" s="197"/>
      <c r="E11" s="38"/>
      <c r="F11" s="38"/>
      <c r="G11" s="54"/>
      <c r="H11" s="54"/>
      <c r="I11" s="34"/>
      <c r="J11" s="58"/>
      <c r="K11" s="60"/>
      <c r="L11" s="76"/>
    </row>
    <row r="12" spans="1:12" ht="15.95" customHeight="1" x14ac:dyDescent="0.25">
      <c r="A12" s="13"/>
      <c r="B12" s="11"/>
      <c r="C12" s="49"/>
      <c r="D12" s="197"/>
      <c r="E12" s="203"/>
      <c r="F12" s="198"/>
      <c r="G12" s="22"/>
      <c r="H12" s="28"/>
      <c r="I12" s="88"/>
      <c r="J12" s="58"/>
      <c r="K12" s="103"/>
      <c r="L12" s="76"/>
    </row>
    <row r="13" spans="1:12" ht="15.95" customHeight="1" x14ac:dyDescent="0.25">
      <c r="A13" s="13"/>
      <c r="B13" s="10"/>
      <c r="C13" s="198"/>
      <c r="D13" s="198"/>
      <c r="E13" s="204"/>
      <c r="F13" s="205"/>
      <c r="G13" s="22"/>
      <c r="H13" s="28"/>
      <c r="I13" s="88"/>
      <c r="J13" s="58"/>
      <c r="K13" s="59"/>
      <c r="L13" s="76"/>
    </row>
    <row r="14" spans="1:12" ht="15.95" customHeight="1" x14ac:dyDescent="0.25">
      <c r="A14" s="13"/>
      <c r="B14" s="10"/>
      <c r="C14" s="197"/>
      <c r="D14" s="197"/>
      <c r="E14" s="204"/>
      <c r="F14" s="205"/>
      <c r="G14" s="28"/>
      <c r="H14" s="28"/>
      <c r="I14" s="88"/>
      <c r="J14" s="58"/>
      <c r="K14" s="60"/>
      <c r="L14" s="76"/>
    </row>
    <row r="15" spans="1:12" ht="15.95" customHeight="1" x14ac:dyDescent="0.25">
      <c r="A15" s="13"/>
      <c r="B15" s="73"/>
      <c r="C15" s="197"/>
      <c r="D15" s="197"/>
      <c r="E15" s="204"/>
      <c r="F15" s="206"/>
      <c r="G15" s="28"/>
      <c r="H15" s="28"/>
      <c r="I15" s="88"/>
      <c r="J15" s="58"/>
      <c r="K15" s="60"/>
      <c r="L15" s="76"/>
    </row>
    <row r="16" spans="1:12" ht="15.75" customHeight="1" x14ac:dyDescent="0.25">
      <c r="A16" s="13"/>
      <c r="B16" s="73"/>
      <c r="C16" s="197"/>
      <c r="D16" s="117"/>
      <c r="E16" s="204"/>
      <c r="F16" s="204"/>
      <c r="G16" s="54"/>
      <c r="H16" s="54"/>
      <c r="I16" s="82"/>
      <c r="J16" s="58"/>
      <c r="K16" s="57"/>
      <c r="L16" s="76"/>
    </row>
    <row r="17" spans="1:12" ht="15.75" customHeight="1" x14ac:dyDescent="0.25">
      <c r="A17" s="13"/>
      <c r="B17" s="54"/>
      <c r="C17" s="117"/>
      <c r="D17" s="197"/>
      <c r="E17" s="207"/>
      <c r="F17" s="204"/>
      <c r="G17" s="52"/>
      <c r="H17" s="52"/>
      <c r="I17" s="63"/>
      <c r="J17" s="58"/>
      <c r="K17" s="89"/>
      <c r="L17" s="76"/>
    </row>
    <row r="18" spans="1:12" ht="15.95" customHeight="1" x14ac:dyDescent="0.25">
      <c r="A18" s="13"/>
      <c r="B18" s="11"/>
      <c r="C18" s="198"/>
      <c r="D18" s="198"/>
      <c r="E18" s="208"/>
      <c r="F18" s="198"/>
      <c r="G18" s="11"/>
      <c r="H18" s="11"/>
      <c r="I18" s="63"/>
      <c r="J18" s="58"/>
      <c r="K18" s="103"/>
      <c r="L18" s="76"/>
    </row>
    <row r="19" spans="1:12" ht="15.95" customHeight="1" x14ac:dyDescent="0.25">
      <c r="A19" s="13"/>
      <c r="B19" s="84"/>
      <c r="C19" s="197"/>
      <c r="D19" s="197"/>
      <c r="E19" s="117"/>
      <c r="F19" s="117"/>
      <c r="G19" s="11"/>
      <c r="H19" s="11"/>
      <c r="I19" s="63"/>
      <c r="J19" s="58"/>
      <c r="K19" s="60"/>
      <c r="L19" s="76"/>
    </row>
    <row r="20" spans="1:12" ht="15.95" customHeight="1" x14ac:dyDescent="0.25">
      <c r="A20" s="13"/>
      <c r="B20" s="34"/>
      <c r="C20" s="38"/>
      <c r="D20" s="197"/>
      <c r="E20" s="197"/>
      <c r="F20" s="197"/>
      <c r="G20" s="12"/>
      <c r="H20" s="12"/>
      <c r="I20" s="63"/>
      <c r="J20" s="58"/>
      <c r="K20" s="103"/>
      <c r="L20" s="76"/>
    </row>
    <row r="21" spans="1:12" ht="15.95" customHeight="1" x14ac:dyDescent="0.25">
      <c r="A21" s="13"/>
      <c r="B21" s="34"/>
      <c r="C21" s="38"/>
      <c r="D21" s="38"/>
      <c r="E21" s="38"/>
      <c r="F21" s="38"/>
      <c r="G21" s="12"/>
      <c r="H21" s="12"/>
      <c r="I21" s="63"/>
      <c r="J21" s="58"/>
      <c r="K21" s="60"/>
      <c r="L21" s="76"/>
    </row>
    <row r="22" spans="1:12" ht="15.95" customHeight="1" x14ac:dyDescent="0.25">
      <c r="A22" s="13"/>
      <c r="B22" s="73"/>
      <c r="C22" s="22"/>
      <c r="D22" s="11"/>
      <c r="E22" s="10"/>
      <c r="F22" s="10"/>
      <c r="G22" s="10"/>
      <c r="H22" s="10"/>
      <c r="I22" s="63"/>
      <c r="J22" s="58"/>
      <c r="K22" s="57"/>
      <c r="L22" s="76"/>
    </row>
    <row r="23" spans="1:12" ht="15.95" customHeight="1" x14ac:dyDescent="0.25">
      <c r="A23" s="13"/>
      <c r="B23" s="10"/>
      <c r="C23" s="22"/>
      <c r="D23" s="11"/>
      <c r="E23" s="10"/>
      <c r="F23" s="10"/>
      <c r="G23" s="12"/>
      <c r="H23" s="12"/>
      <c r="I23" s="63"/>
      <c r="J23" s="58"/>
      <c r="K23" s="59"/>
      <c r="L23" s="76"/>
    </row>
    <row r="24" spans="1:12" ht="18.75" customHeight="1" x14ac:dyDescent="0.25">
      <c r="A24" s="13"/>
      <c r="B24" s="54"/>
      <c r="C24" s="52"/>
      <c r="D24" s="87"/>
      <c r="E24" s="54"/>
      <c r="F24" s="54"/>
      <c r="G24" s="53"/>
      <c r="H24" s="53"/>
      <c r="I24" s="63"/>
      <c r="J24" s="58"/>
      <c r="K24" s="60"/>
      <c r="L24" s="76"/>
    </row>
    <row r="25" spans="1:12" ht="15.95" customHeight="1" x14ac:dyDescent="0.25">
      <c r="A25" s="13"/>
      <c r="B25" s="10"/>
      <c r="C25" s="11"/>
      <c r="D25" s="11"/>
      <c r="E25" s="10"/>
      <c r="F25" s="11"/>
      <c r="G25" s="11"/>
      <c r="H25" s="11"/>
      <c r="I25" s="63"/>
      <c r="J25" s="58"/>
      <c r="K25" s="60"/>
      <c r="L25" s="76"/>
    </row>
    <row r="26" spans="1:12" ht="15.95" customHeight="1" x14ac:dyDescent="0.25">
      <c r="A26" s="13"/>
      <c r="B26" s="10"/>
      <c r="C26" s="11"/>
      <c r="D26" s="11"/>
      <c r="E26" s="10"/>
      <c r="F26" s="11"/>
      <c r="G26" s="11"/>
      <c r="H26" s="11"/>
      <c r="I26" s="63"/>
      <c r="J26" s="58"/>
      <c r="K26" s="60"/>
      <c r="L26" s="76"/>
    </row>
    <row r="27" spans="1:12" ht="15.95" customHeight="1" x14ac:dyDescent="0.25">
      <c r="A27" s="13"/>
      <c r="B27" s="15"/>
      <c r="C27" s="11"/>
      <c r="D27" s="11"/>
      <c r="E27" s="10"/>
      <c r="F27" s="11"/>
      <c r="G27" s="11"/>
      <c r="H27" s="11"/>
      <c r="I27" s="63"/>
      <c r="J27" s="58"/>
      <c r="K27" s="60"/>
      <c r="L27" s="76"/>
    </row>
    <row r="28" spans="1:12" ht="15.95" customHeight="1" x14ac:dyDescent="0.25">
      <c r="A28" s="13"/>
      <c r="B28" s="10"/>
      <c r="C28" s="86"/>
      <c r="D28" s="30"/>
      <c r="E28" s="19"/>
      <c r="F28" s="11"/>
      <c r="G28" s="11"/>
      <c r="H28" s="30"/>
      <c r="I28" s="63"/>
      <c r="J28" s="58"/>
      <c r="K28" s="60"/>
      <c r="L28" s="76"/>
    </row>
    <row r="29" spans="1:12" ht="15.95" customHeight="1" x14ac:dyDescent="0.25">
      <c r="A29" s="13"/>
      <c r="B29" s="15"/>
      <c r="C29" s="86"/>
      <c r="D29" s="30"/>
      <c r="E29" s="19"/>
      <c r="F29" s="30"/>
      <c r="G29" s="11"/>
      <c r="H29" s="30"/>
      <c r="I29" s="63"/>
      <c r="J29" s="58"/>
      <c r="K29" s="60"/>
      <c r="L29" s="76"/>
    </row>
    <row r="30" spans="1:12" ht="15.95" customHeight="1" x14ac:dyDescent="0.25">
      <c r="A30" s="13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1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2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2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71"/>
      <c r="B46" s="10"/>
      <c r="C46" s="25"/>
      <c r="D46" s="25"/>
      <c r="E46" s="100"/>
      <c r="F46" s="100"/>
      <c r="G46" s="97"/>
      <c r="H46" s="25"/>
      <c r="I46" s="92"/>
      <c r="J46" s="32"/>
      <c r="K46" s="71"/>
      <c r="L46" s="77"/>
    </row>
    <row r="47" spans="1:12" ht="15.95" customHeight="1" thickBot="1" x14ac:dyDescent="0.3">
      <c r="A47" s="71"/>
      <c r="B47" s="67"/>
      <c r="C47" s="67"/>
      <c r="D47" s="67"/>
      <c r="E47" s="101"/>
      <c r="F47" s="101"/>
      <c r="G47" s="98"/>
      <c r="H47" s="67"/>
      <c r="I47" s="99"/>
      <c r="J47" s="68"/>
      <c r="K47" s="71"/>
      <c r="L47" s="77"/>
    </row>
    <row r="48" spans="1:12" ht="15.95" customHeight="1" thickBot="1" x14ac:dyDescent="0.3">
      <c r="A48" s="445" t="s">
        <v>13</v>
      </c>
      <c r="B48" s="446"/>
      <c r="C48" s="447"/>
      <c r="D48" s="447"/>
      <c r="E48" s="447"/>
      <c r="F48" s="447"/>
      <c r="G48" s="447"/>
      <c r="H48" s="447"/>
      <c r="I48" s="447"/>
      <c r="J48" s="448"/>
      <c r="K48" s="79">
        <f>K12+K18</f>
        <v>0</v>
      </c>
      <c r="L48" s="80">
        <f>K48</f>
        <v>0</v>
      </c>
    </row>
  </sheetData>
  <mergeCells count="8">
    <mergeCell ref="A7:J7"/>
    <mergeCell ref="A48:J48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  <pageSetUpPr fitToPage="1"/>
  </sheetPr>
  <dimension ref="A1:L48"/>
  <sheetViews>
    <sheetView showWhiteSpace="0" view="pageBreakPreview" zoomScale="85" zoomScaleNormal="100" zoomScaleSheetLayoutView="85" workbookViewId="0">
      <selection activeCell="U39" sqref="U39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351">
        <v>45107</v>
      </c>
      <c r="H1" s="121" t="s">
        <v>5</v>
      </c>
      <c r="I1" s="449" t="s">
        <v>228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 t="s">
        <v>356</v>
      </c>
      <c r="F2" s="2" t="s">
        <v>4</v>
      </c>
      <c r="G2" s="56">
        <v>45134</v>
      </c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227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51</v>
      </c>
    </row>
    <row r="6" spans="1:12" ht="20.100000000000001" customHeight="1" thickBot="1" x14ac:dyDescent="0.3">
      <c r="A6" s="129"/>
      <c r="B6" s="29"/>
      <c r="C6" s="199"/>
      <c r="D6" s="29"/>
      <c r="E6" s="29"/>
      <c r="F6" s="19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73"/>
      <c r="C9" s="364" t="s">
        <v>29</v>
      </c>
      <c r="D9" s="11">
        <v>33</v>
      </c>
      <c r="E9" s="10" t="s">
        <v>51</v>
      </c>
      <c r="F9" s="10"/>
      <c r="G9" s="10"/>
      <c r="H9" s="10"/>
      <c r="I9" s="63"/>
      <c r="J9" s="58"/>
      <c r="K9" s="59">
        <f>D9</f>
        <v>33</v>
      </c>
      <c r="L9" s="76"/>
    </row>
    <row r="10" spans="1:12" ht="15.95" customHeight="1" x14ac:dyDescent="0.25">
      <c r="A10" s="13"/>
      <c r="B10" s="73"/>
      <c r="C10" s="364"/>
      <c r="D10" s="11"/>
      <c r="E10" s="9"/>
      <c r="F10" s="38"/>
      <c r="G10" s="10"/>
      <c r="H10" s="25"/>
      <c r="I10" s="92"/>
      <c r="J10" s="58"/>
      <c r="K10" s="60"/>
      <c r="L10" s="76"/>
    </row>
    <row r="11" spans="1:12" ht="16.5" customHeight="1" x14ac:dyDescent="0.25">
      <c r="A11" s="13"/>
      <c r="B11" s="54"/>
      <c r="C11" s="117"/>
      <c r="D11" s="11"/>
      <c r="E11" s="9"/>
      <c r="F11" s="38"/>
      <c r="G11" s="54"/>
      <c r="H11" s="54"/>
      <c r="I11" s="34"/>
      <c r="J11" s="58"/>
      <c r="K11" s="60"/>
      <c r="L11" s="76"/>
    </row>
    <row r="12" spans="1:12" ht="16.5" customHeight="1" x14ac:dyDescent="0.25">
      <c r="A12" s="13"/>
      <c r="B12" s="54"/>
      <c r="C12" s="117"/>
      <c r="D12" s="11"/>
      <c r="E12" s="10"/>
      <c r="F12" s="38"/>
      <c r="G12" s="54"/>
      <c r="H12" s="371"/>
      <c r="I12" s="40"/>
      <c r="J12" s="58"/>
      <c r="K12" s="60"/>
      <c r="L12" s="76"/>
    </row>
    <row r="13" spans="1:12" ht="15.95" customHeight="1" x14ac:dyDescent="0.25">
      <c r="A13" s="13"/>
      <c r="B13" s="11"/>
      <c r="C13" s="49"/>
      <c r="D13" s="11"/>
      <c r="E13" s="10"/>
      <c r="F13" s="198"/>
      <c r="G13" s="22"/>
      <c r="H13" s="28"/>
      <c r="I13" s="88"/>
      <c r="J13" s="58"/>
      <c r="K13" s="103"/>
      <c r="L13" s="76"/>
    </row>
    <row r="14" spans="1:12" ht="15.95" customHeight="1" x14ac:dyDescent="0.25">
      <c r="A14" s="13"/>
      <c r="B14" s="10"/>
      <c r="C14" s="198"/>
      <c r="D14" s="198"/>
      <c r="E14" s="204"/>
      <c r="F14" s="205"/>
      <c r="G14" s="22"/>
      <c r="H14" s="28"/>
      <c r="I14" s="88"/>
      <c r="J14" s="58"/>
      <c r="K14" s="59"/>
      <c r="L14" s="76"/>
    </row>
    <row r="15" spans="1:12" ht="15.95" customHeight="1" x14ac:dyDescent="0.25">
      <c r="A15" s="13"/>
      <c r="B15" s="10"/>
      <c r="C15" s="197"/>
      <c r="D15" s="197"/>
      <c r="E15" s="204"/>
      <c r="F15" s="205"/>
      <c r="G15" s="28"/>
      <c r="H15" s="28"/>
      <c r="I15" s="88"/>
      <c r="J15" s="58"/>
      <c r="K15" s="60"/>
      <c r="L15" s="76"/>
    </row>
    <row r="16" spans="1:12" ht="15.95" customHeight="1" x14ac:dyDescent="0.25">
      <c r="A16" s="13"/>
      <c r="B16" s="73"/>
      <c r="C16" s="197"/>
      <c r="D16" s="197"/>
      <c r="E16" s="204"/>
      <c r="F16" s="206"/>
      <c r="G16" s="28"/>
      <c r="H16" s="28"/>
      <c r="I16" s="88"/>
      <c r="J16" s="58"/>
      <c r="K16" s="60"/>
      <c r="L16" s="76"/>
    </row>
    <row r="17" spans="1:12" ht="15.75" customHeight="1" x14ac:dyDescent="0.25">
      <c r="A17" s="13"/>
      <c r="B17" s="73"/>
      <c r="C17" s="197"/>
      <c r="D17" s="117"/>
      <c r="E17" s="204"/>
      <c r="F17" s="206"/>
      <c r="G17" s="54"/>
      <c r="H17" s="54"/>
      <c r="I17" s="82"/>
      <c r="J17" s="58"/>
      <c r="K17" s="57"/>
      <c r="L17" s="76"/>
    </row>
    <row r="18" spans="1:12" ht="15.75" customHeight="1" x14ac:dyDescent="0.25">
      <c r="A18" s="13"/>
      <c r="B18" s="54"/>
      <c r="C18" s="117"/>
      <c r="D18" s="197"/>
      <c r="E18" s="207"/>
      <c r="F18" s="204"/>
      <c r="G18" s="52"/>
      <c r="H18" s="52"/>
      <c r="I18" s="63"/>
      <c r="J18" s="58"/>
      <c r="K18" s="89"/>
      <c r="L18" s="76"/>
    </row>
    <row r="19" spans="1:12" ht="15.95" customHeight="1" x14ac:dyDescent="0.25">
      <c r="A19" s="13"/>
      <c r="B19" s="11"/>
      <c r="C19" s="198"/>
      <c r="D19" s="198"/>
      <c r="E19" s="208"/>
      <c r="F19" s="198"/>
      <c r="G19" s="11"/>
      <c r="H19" s="11"/>
      <c r="I19" s="63"/>
      <c r="J19" s="58"/>
      <c r="K19" s="103"/>
      <c r="L19" s="76"/>
    </row>
    <row r="20" spans="1:12" ht="15.95" customHeight="1" x14ac:dyDescent="0.25">
      <c r="A20" s="13"/>
      <c r="B20" s="34"/>
      <c r="C20" s="38"/>
      <c r="D20" s="197"/>
      <c r="E20" s="197"/>
      <c r="F20" s="197"/>
      <c r="G20" s="12"/>
      <c r="H20" s="12"/>
      <c r="I20" s="63"/>
      <c r="J20" s="58"/>
      <c r="K20" s="103"/>
      <c r="L20" s="76"/>
    </row>
    <row r="21" spans="1:12" ht="15.95" customHeight="1" x14ac:dyDescent="0.25">
      <c r="A21" s="13"/>
      <c r="B21" s="34"/>
      <c r="C21" s="38"/>
      <c r="D21" s="38"/>
      <c r="E21" s="38"/>
      <c r="F21" s="38"/>
      <c r="G21" s="12"/>
      <c r="H21" s="12"/>
      <c r="I21" s="63"/>
      <c r="J21" s="58"/>
      <c r="K21" s="60"/>
      <c r="L21" s="76"/>
    </row>
    <row r="22" spans="1:12" ht="15.95" customHeight="1" x14ac:dyDescent="0.25">
      <c r="A22" s="13"/>
      <c r="B22" s="73"/>
      <c r="C22" s="22"/>
      <c r="D22" s="11"/>
      <c r="E22" s="10"/>
      <c r="F22" s="10"/>
      <c r="G22" s="10"/>
      <c r="H22" s="10"/>
      <c r="I22" s="63"/>
      <c r="J22" s="58"/>
      <c r="K22" s="57"/>
      <c r="L22" s="76"/>
    </row>
    <row r="23" spans="1:12" ht="15.95" customHeight="1" x14ac:dyDescent="0.25">
      <c r="A23" s="13"/>
      <c r="B23" s="10"/>
      <c r="C23" s="22"/>
      <c r="D23" s="11"/>
      <c r="E23" s="10"/>
      <c r="F23" s="10"/>
      <c r="G23" s="12"/>
      <c r="H23" s="12"/>
      <c r="I23" s="63"/>
      <c r="J23" s="58"/>
      <c r="K23" s="59"/>
      <c r="L23" s="76"/>
    </row>
    <row r="24" spans="1:12" ht="18.75" customHeight="1" x14ac:dyDescent="0.25">
      <c r="A24" s="13"/>
      <c r="B24" s="54"/>
      <c r="C24" s="52"/>
      <c r="D24" s="87"/>
      <c r="E24" s="54"/>
      <c r="F24" s="54"/>
      <c r="G24" s="53"/>
      <c r="H24" s="53"/>
      <c r="I24" s="63"/>
      <c r="J24" s="58"/>
      <c r="K24" s="60"/>
      <c r="L24" s="76"/>
    </row>
    <row r="25" spans="1:12" ht="15.95" customHeight="1" x14ac:dyDescent="0.25">
      <c r="A25" s="13"/>
      <c r="B25" s="10"/>
      <c r="C25" s="11"/>
      <c r="D25" s="11"/>
      <c r="E25" s="10"/>
      <c r="F25" s="11"/>
      <c r="G25" s="11"/>
      <c r="H25" s="11"/>
      <c r="I25" s="63"/>
      <c r="J25" s="58"/>
      <c r="K25" s="60"/>
      <c r="L25" s="76"/>
    </row>
    <row r="26" spans="1:12" ht="15.95" customHeight="1" x14ac:dyDescent="0.25">
      <c r="A26" s="13"/>
      <c r="B26" s="10"/>
      <c r="C26" s="11"/>
      <c r="D26" s="11"/>
      <c r="E26" s="10"/>
      <c r="F26" s="11"/>
      <c r="G26" s="11"/>
      <c r="H26" s="11"/>
      <c r="I26" s="63"/>
      <c r="J26" s="58"/>
      <c r="K26" s="60"/>
      <c r="L26" s="76"/>
    </row>
    <row r="27" spans="1:12" ht="15.95" customHeight="1" x14ac:dyDescent="0.25">
      <c r="A27" s="13"/>
      <c r="B27" s="15"/>
      <c r="C27" s="11"/>
      <c r="D27" s="11"/>
      <c r="E27" s="10"/>
      <c r="F27" s="11"/>
      <c r="G27" s="11"/>
      <c r="H27" s="11"/>
      <c r="I27" s="63"/>
      <c r="J27" s="58"/>
      <c r="K27" s="60"/>
      <c r="L27" s="76"/>
    </row>
    <row r="28" spans="1:12" ht="15.95" customHeight="1" x14ac:dyDescent="0.25">
      <c r="A28" s="13"/>
      <c r="B28" s="10"/>
      <c r="C28" s="86"/>
      <c r="D28" s="30"/>
      <c r="E28" s="19"/>
      <c r="F28" s="11"/>
      <c r="G28" s="11"/>
      <c r="H28" s="30"/>
      <c r="I28" s="63"/>
      <c r="J28" s="58"/>
      <c r="K28" s="60"/>
      <c r="L28" s="76"/>
    </row>
    <row r="29" spans="1:12" ht="15.95" customHeight="1" x14ac:dyDescent="0.25">
      <c r="A29" s="13"/>
      <c r="B29" s="15"/>
      <c r="C29" s="86"/>
      <c r="D29" s="30"/>
      <c r="E29" s="19"/>
      <c r="F29" s="30"/>
      <c r="G29" s="11"/>
      <c r="H29" s="30"/>
      <c r="I29" s="63"/>
      <c r="J29" s="58"/>
      <c r="K29" s="60"/>
      <c r="L29" s="76"/>
    </row>
    <row r="30" spans="1:12" ht="15.95" customHeight="1" x14ac:dyDescent="0.25">
      <c r="A30" s="13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1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2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2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71"/>
      <c r="B46" s="10"/>
      <c r="C46" s="25"/>
      <c r="D46" s="25"/>
      <c r="E46" s="100"/>
      <c r="F46" s="100"/>
      <c r="G46" s="97"/>
      <c r="H46" s="25"/>
      <c r="I46" s="92"/>
      <c r="J46" s="32"/>
      <c r="K46" s="71"/>
      <c r="L46" s="77"/>
    </row>
    <row r="47" spans="1:12" ht="15.95" customHeight="1" thickBot="1" x14ac:dyDescent="0.3">
      <c r="A47" s="71"/>
      <c r="B47" s="67"/>
      <c r="C47" s="67"/>
      <c r="D47" s="67"/>
      <c r="E47" s="101"/>
      <c r="F47" s="101"/>
      <c r="G47" s="98"/>
      <c r="H47" s="67"/>
      <c r="I47" s="99"/>
      <c r="J47" s="68"/>
      <c r="K47" s="71"/>
      <c r="L47" s="77"/>
    </row>
    <row r="48" spans="1:12" ht="15.95" customHeight="1" thickBot="1" x14ac:dyDescent="0.3">
      <c r="A48" s="445" t="s">
        <v>13</v>
      </c>
      <c r="B48" s="446"/>
      <c r="C48" s="447"/>
      <c r="D48" s="447"/>
      <c r="E48" s="447"/>
      <c r="F48" s="447"/>
      <c r="G48" s="447"/>
      <c r="H48" s="447"/>
      <c r="I48" s="447"/>
      <c r="J48" s="448"/>
      <c r="K48" s="79">
        <f>SUM(K8:K47)</f>
        <v>33</v>
      </c>
      <c r="L48" s="80">
        <f>K48</f>
        <v>33</v>
      </c>
    </row>
  </sheetData>
  <mergeCells count="8">
    <mergeCell ref="A7:J7"/>
    <mergeCell ref="A48:J48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  <pageSetUpPr fitToPage="1"/>
  </sheetPr>
  <dimension ref="A1:L43"/>
  <sheetViews>
    <sheetView showWhiteSpace="0" view="pageBreakPreview" zoomScale="85" zoomScaleNormal="100" zoomScaleSheetLayoutView="85" workbookViewId="0">
      <selection activeCell="G2" sqref="G2"/>
    </sheetView>
  </sheetViews>
  <sheetFormatPr defaultColWidth="2.85546875" defaultRowHeight="15" customHeight="1" x14ac:dyDescent="0.25"/>
  <cols>
    <col min="2" max="2" width="8.7109375" customWidth="1"/>
    <col min="3" max="3" width="7.7109375" customWidth="1"/>
    <col min="4" max="4" width="9.140625" customWidth="1"/>
    <col min="5" max="5" width="8.140625" customWidth="1"/>
    <col min="6" max="6" width="7.85546875" customWidth="1"/>
    <col min="7" max="7" width="9.42578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351">
        <v>45107</v>
      </c>
      <c r="H1" s="121" t="s">
        <v>5</v>
      </c>
      <c r="I1" s="449" t="s">
        <v>109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 t="s">
        <v>356</v>
      </c>
      <c r="F2" s="2" t="s">
        <v>4</v>
      </c>
      <c r="G2" s="56">
        <v>45134</v>
      </c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107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108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3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70"/>
      <c r="B8" s="83"/>
      <c r="C8" s="22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60"/>
      <c r="B9" s="73"/>
      <c r="C9" s="22"/>
      <c r="D9" s="11"/>
      <c r="E9" s="9"/>
      <c r="F9" s="10"/>
      <c r="G9" s="94"/>
      <c r="H9" s="10"/>
      <c r="I9" s="63"/>
      <c r="J9" s="58"/>
      <c r="K9" s="60"/>
      <c r="L9" s="76"/>
    </row>
    <row r="10" spans="1:12" ht="15.95" customHeight="1" x14ac:dyDescent="0.25">
      <c r="A10" s="60"/>
      <c r="B10" s="10"/>
      <c r="C10" s="22"/>
      <c r="D10" s="11"/>
      <c r="E10" s="10"/>
      <c r="F10" s="10"/>
      <c r="G10" s="10"/>
      <c r="H10" s="10"/>
      <c r="I10" s="63"/>
      <c r="J10" s="58"/>
      <c r="K10" s="60"/>
      <c r="L10" s="76"/>
    </row>
    <row r="11" spans="1:12" ht="15.95" customHeight="1" x14ac:dyDescent="0.25">
      <c r="A11" s="60"/>
      <c r="B11" s="10"/>
      <c r="C11" s="117"/>
      <c r="D11" s="142"/>
      <c r="E11" s="10"/>
      <c r="F11" s="10"/>
      <c r="G11" s="10"/>
      <c r="H11" s="10"/>
      <c r="I11" s="63"/>
      <c r="J11" s="58"/>
      <c r="K11" s="59"/>
      <c r="L11" s="76"/>
    </row>
    <row r="12" spans="1:12" ht="15.95" customHeight="1" x14ac:dyDescent="0.25">
      <c r="A12" s="60"/>
      <c r="B12" s="10"/>
      <c r="C12" s="117"/>
      <c r="D12" s="146"/>
      <c r="E12" s="10"/>
      <c r="F12" s="10"/>
      <c r="G12" s="10"/>
      <c r="H12" s="10"/>
      <c r="I12" s="63"/>
      <c r="J12" s="58"/>
      <c r="K12" s="60"/>
      <c r="L12" s="76"/>
    </row>
    <row r="13" spans="1:12" ht="15.95" customHeight="1" x14ac:dyDescent="0.25">
      <c r="A13" s="60"/>
      <c r="B13" s="10"/>
      <c r="C13" s="117"/>
      <c r="D13" s="146"/>
      <c r="E13" s="10"/>
      <c r="F13" s="10"/>
      <c r="G13" s="10"/>
      <c r="H13" s="10"/>
      <c r="I13" s="63"/>
      <c r="J13" s="58"/>
      <c r="K13" s="60"/>
      <c r="L13" s="76"/>
    </row>
    <row r="14" spans="1:12" ht="15.95" customHeight="1" x14ac:dyDescent="0.25">
      <c r="A14" s="60"/>
      <c r="B14" s="10"/>
      <c r="C14" s="117"/>
      <c r="D14" s="11"/>
      <c r="E14" s="10"/>
      <c r="F14" s="10"/>
      <c r="G14" s="12"/>
      <c r="H14" s="12"/>
      <c r="I14" s="63"/>
      <c r="J14" s="58"/>
      <c r="K14" s="60"/>
      <c r="L14" s="76"/>
    </row>
    <row r="15" spans="1:12" ht="15.95" customHeight="1" x14ac:dyDescent="0.25">
      <c r="A15" s="60"/>
      <c r="B15" s="10"/>
      <c r="C15" s="117"/>
      <c r="D15" s="142"/>
      <c r="E15" s="10"/>
      <c r="F15" s="10"/>
      <c r="G15" s="10"/>
      <c r="H15" s="10"/>
      <c r="I15" s="63"/>
      <c r="J15" s="58"/>
      <c r="K15" s="59"/>
      <c r="L15" s="76"/>
    </row>
    <row r="16" spans="1:12" ht="15.95" customHeight="1" x14ac:dyDescent="0.25">
      <c r="A16" s="60"/>
      <c r="B16" s="10"/>
      <c r="C16" s="22"/>
      <c r="D16" s="11"/>
      <c r="E16" s="10"/>
      <c r="F16" s="10"/>
      <c r="G16" s="10"/>
      <c r="H16" s="10"/>
      <c r="I16" s="63"/>
      <c r="J16" s="58"/>
      <c r="K16" s="60"/>
      <c r="L16" s="76"/>
    </row>
    <row r="17" spans="1:12" ht="15.95" customHeight="1" x14ac:dyDescent="0.25">
      <c r="A17" s="60"/>
      <c r="B17" s="10"/>
      <c r="C17" s="22"/>
      <c r="D17" s="11"/>
      <c r="E17" s="10"/>
      <c r="F17" s="10"/>
      <c r="G17" s="10"/>
      <c r="H17" s="10"/>
      <c r="I17" s="63"/>
      <c r="J17" s="58"/>
      <c r="K17" s="60"/>
      <c r="L17" s="76"/>
    </row>
    <row r="18" spans="1:12" ht="15.95" customHeight="1" x14ac:dyDescent="0.25">
      <c r="A18" s="60"/>
      <c r="B18" s="10"/>
      <c r="C18" s="22"/>
      <c r="D18" s="11"/>
      <c r="E18" s="10"/>
      <c r="F18" s="10"/>
      <c r="G18" s="10"/>
      <c r="H18" s="10"/>
      <c r="I18" s="63"/>
      <c r="J18" s="58"/>
      <c r="K18" s="60"/>
      <c r="L18" s="76"/>
    </row>
    <row r="19" spans="1:12" ht="15.95" customHeight="1" x14ac:dyDescent="0.25">
      <c r="A19" s="60"/>
      <c r="B19" s="10"/>
      <c r="C19" s="22"/>
      <c r="D19" s="11"/>
      <c r="E19" s="10"/>
      <c r="F19" s="10"/>
      <c r="G19" s="10"/>
      <c r="H19" s="10"/>
      <c r="I19" s="63"/>
      <c r="J19" s="58"/>
      <c r="K19" s="60"/>
      <c r="L19" s="76"/>
    </row>
    <row r="20" spans="1:12" ht="15.95" customHeight="1" x14ac:dyDescent="0.25">
      <c r="A20" s="60"/>
      <c r="B20" s="73"/>
      <c r="C20" s="22"/>
      <c r="D20" s="11"/>
      <c r="E20" s="9"/>
      <c r="F20" s="10"/>
      <c r="G20" s="94"/>
      <c r="H20" s="10"/>
      <c r="I20" s="63"/>
      <c r="J20" s="58"/>
      <c r="K20" s="60"/>
      <c r="L20" s="76"/>
    </row>
    <row r="21" spans="1:12" ht="15.95" customHeight="1" x14ac:dyDescent="0.25">
      <c r="A21" s="60"/>
      <c r="B21" s="10"/>
      <c r="C21" s="22"/>
      <c r="D21" s="11"/>
      <c r="E21" s="10"/>
      <c r="F21" s="10"/>
      <c r="G21" s="10"/>
      <c r="H21" s="10"/>
      <c r="I21" s="63"/>
      <c r="J21" s="58"/>
      <c r="K21" s="60"/>
      <c r="L21" s="76"/>
    </row>
    <row r="22" spans="1:12" ht="15.95" customHeight="1" x14ac:dyDescent="0.25">
      <c r="A22" s="60"/>
      <c r="B22" s="10"/>
      <c r="C22" s="117"/>
      <c r="D22" s="142"/>
      <c r="E22" s="10"/>
      <c r="F22" s="10"/>
      <c r="G22" s="10"/>
      <c r="H22" s="10"/>
      <c r="I22" s="63"/>
      <c r="J22" s="58"/>
      <c r="K22" s="59"/>
      <c r="L22" s="76"/>
    </row>
    <row r="23" spans="1:12" ht="15.95" customHeight="1" x14ac:dyDescent="0.25">
      <c r="A23" s="60"/>
      <c r="B23" s="10"/>
      <c r="C23" s="117"/>
      <c r="D23" s="146"/>
      <c r="E23" s="10"/>
      <c r="F23" s="10"/>
      <c r="G23" s="10"/>
      <c r="H23" s="10"/>
      <c r="I23" s="63"/>
      <c r="J23" s="58"/>
      <c r="K23" s="60"/>
      <c r="L23" s="76"/>
    </row>
    <row r="24" spans="1:12" ht="15.95" customHeight="1" x14ac:dyDescent="0.25">
      <c r="A24" s="60"/>
      <c r="B24" s="10"/>
      <c r="C24" s="117"/>
      <c r="D24" s="146"/>
      <c r="E24" s="10"/>
      <c r="F24" s="10"/>
      <c r="G24" s="10"/>
      <c r="H24" s="10"/>
      <c r="I24" s="63"/>
      <c r="J24" s="58"/>
      <c r="K24" s="60"/>
      <c r="L24" s="76"/>
    </row>
    <row r="25" spans="1:12" ht="15.95" customHeight="1" x14ac:dyDescent="0.25">
      <c r="A25" s="60"/>
      <c r="B25" s="10"/>
      <c r="C25" s="117"/>
      <c r="D25" s="11"/>
      <c r="E25" s="10"/>
      <c r="F25" s="10"/>
      <c r="G25" s="12"/>
      <c r="H25" s="12"/>
      <c r="I25" s="63"/>
      <c r="J25" s="58"/>
      <c r="K25" s="60"/>
      <c r="L25" s="76"/>
    </row>
    <row r="26" spans="1:12" ht="15.95" customHeight="1" x14ac:dyDescent="0.25">
      <c r="A26" s="60"/>
      <c r="B26" s="10"/>
      <c r="C26" s="117"/>
      <c r="D26" s="142"/>
      <c r="E26" s="10"/>
      <c r="F26" s="10"/>
      <c r="G26" s="10"/>
      <c r="H26" s="10"/>
      <c r="I26" s="63"/>
      <c r="J26" s="58"/>
      <c r="K26" s="59"/>
      <c r="L26" s="76"/>
    </row>
    <row r="27" spans="1:12" ht="15.95" customHeight="1" x14ac:dyDescent="0.25">
      <c r="A27" s="60"/>
      <c r="B27" s="10"/>
      <c r="C27" s="22"/>
      <c r="D27" s="11"/>
      <c r="E27" s="10"/>
      <c r="F27" s="10"/>
      <c r="G27" s="10"/>
      <c r="H27" s="10"/>
      <c r="I27" s="63"/>
      <c r="J27" s="58"/>
      <c r="K27" s="60"/>
      <c r="L27" s="76"/>
    </row>
    <row r="28" spans="1:12" ht="15.95" customHeight="1" x14ac:dyDescent="0.25">
      <c r="A28" s="60"/>
      <c r="B28" s="10"/>
      <c r="C28" s="22"/>
      <c r="D28" s="11"/>
      <c r="E28" s="10"/>
      <c r="F28" s="10"/>
      <c r="G28" s="10"/>
      <c r="H28" s="10"/>
      <c r="I28" s="63"/>
      <c r="J28" s="58"/>
      <c r="K28" s="60"/>
      <c r="L28" s="76"/>
    </row>
    <row r="29" spans="1:12" ht="15.95" customHeight="1" x14ac:dyDescent="0.25">
      <c r="A29" s="60"/>
      <c r="B29" s="10"/>
      <c r="C29" s="22"/>
      <c r="D29" s="11"/>
      <c r="E29" s="10"/>
      <c r="F29" s="10"/>
      <c r="G29" s="12"/>
      <c r="H29" s="10"/>
      <c r="I29" s="63"/>
      <c r="J29" s="58"/>
      <c r="K29" s="60"/>
      <c r="L29" s="76"/>
    </row>
    <row r="30" spans="1:12" ht="15.95" customHeight="1" x14ac:dyDescent="0.25">
      <c r="A30" s="60"/>
      <c r="B30" s="10"/>
      <c r="C30" s="22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60"/>
      <c r="B31" s="10"/>
      <c r="C31" s="22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60"/>
      <c r="B32" s="10"/>
      <c r="C32" s="22"/>
      <c r="D32" s="11"/>
      <c r="E32" s="10"/>
      <c r="F32" s="10"/>
      <c r="G32" s="10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22"/>
      <c r="D33" s="11"/>
      <c r="E33" s="10"/>
      <c r="F33" s="10"/>
      <c r="G33" s="12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22"/>
      <c r="D34" s="11"/>
      <c r="E34" s="10"/>
      <c r="F34" s="10"/>
      <c r="G34" s="12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22"/>
      <c r="D35" s="11"/>
      <c r="E35" s="10"/>
      <c r="F35" s="10"/>
      <c r="G35" s="12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22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22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22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22"/>
      <c r="D39" s="11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22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71"/>
      <c r="B41" s="25"/>
      <c r="C41" s="25"/>
      <c r="D41" s="25"/>
      <c r="E41" s="100"/>
      <c r="F41" s="100"/>
      <c r="G41" s="97"/>
      <c r="H41" s="25"/>
      <c r="I41" s="92"/>
      <c r="J41" s="32"/>
      <c r="K41" s="71"/>
      <c r="L41" s="77"/>
    </row>
    <row r="42" spans="1:12" ht="15.95" customHeight="1" thickBot="1" x14ac:dyDescent="0.3">
      <c r="A42" s="71"/>
      <c r="B42" s="67"/>
      <c r="C42" s="67"/>
      <c r="D42" s="67"/>
      <c r="E42" s="101"/>
      <c r="F42" s="101"/>
      <c r="G42" s="98"/>
      <c r="H42" s="67"/>
      <c r="I42" s="99"/>
      <c r="J42" s="68"/>
      <c r="K42" s="71"/>
      <c r="L42" s="77"/>
    </row>
    <row r="43" spans="1:12" ht="15.95" customHeight="1" thickBot="1" x14ac:dyDescent="0.3">
      <c r="A43" s="445" t="s">
        <v>13</v>
      </c>
      <c r="B43" s="447"/>
      <c r="C43" s="447"/>
      <c r="D43" s="447"/>
      <c r="E43" s="447"/>
      <c r="F43" s="447"/>
      <c r="G43" s="447"/>
      <c r="H43" s="447"/>
      <c r="I43" s="447"/>
      <c r="J43" s="448"/>
      <c r="K43" s="79">
        <f>SUM(K9:K42)</f>
        <v>0</v>
      </c>
      <c r="L43" s="80">
        <f>K43</f>
        <v>0</v>
      </c>
    </row>
  </sheetData>
  <mergeCells count="8">
    <mergeCell ref="A7:J7"/>
    <mergeCell ref="A43:J43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5" orientation="portrait" horizontalDpi="1200" verticalDpi="1200" r:id="rId1"/>
  <headerFooter>
    <oddFooter>&amp;R&amp;9Printed &amp;D &amp;T</oddFooter>
  </headerFooter>
  <rowBreaks count="1" manualBreakCount="1">
    <brk id="45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  <pageSetUpPr fitToPage="1"/>
  </sheetPr>
  <dimension ref="A1:L43"/>
  <sheetViews>
    <sheetView showWhiteSpace="0" view="pageBreakPreview" zoomScale="85" zoomScaleNormal="100" zoomScaleSheetLayoutView="85" workbookViewId="0">
      <selection activeCell="G2" sqref="G2"/>
    </sheetView>
  </sheetViews>
  <sheetFormatPr defaultColWidth="2.85546875" defaultRowHeight="15" customHeight="1" x14ac:dyDescent="0.25"/>
  <cols>
    <col min="2" max="2" width="8.7109375" customWidth="1"/>
    <col min="3" max="3" width="7.7109375" customWidth="1"/>
    <col min="4" max="4" width="9.140625" customWidth="1"/>
    <col min="5" max="5" width="8.140625" customWidth="1"/>
    <col min="6" max="6" width="7.85546875" customWidth="1"/>
    <col min="7" max="7" width="9.42578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229</v>
      </c>
      <c r="F1" s="121" t="s">
        <v>4</v>
      </c>
      <c r="G1" s="351">
        <v>45107</v>
      </c>
      <c r="H1" s="121" t="s">
        <v>5</v>
      </c>
      <c r="I1" s="449" t="s">
        <v>282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 t="s">
        <v>356</v>
      </c>
      <c r="F2" s="2" t="s">
        <v>4</v>
      </c>
      <c r="G2" s="56">
        <v>45134</v>
      </c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78" t="s">
        <v>218</v>
      </c>
      <c r="G4" s="478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283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67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3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70"/>
      <c r="B8" s="83"/>
      <c r="C8" s="22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60"/>
      <c r="B9" s="73" t="s">
        <v>243</v>
      </c>
      <c r="C9" s="117"/>
      <c r="D9" s="146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60"/>
      <c r="B10" s="10"/>
      <c r="C10" s="117" t="s">
        <v>65</v>
      </c>
      <c r="D10" s="142">
        <v>234</v>
      </c>
      <c r="E10" s="10" t="s">
        <v>66</v>
      </c>
      <c r="F10" s="10"/>
      <c r="G10" s="10"/>
      <c r="H10" s="10"/>
      <c r="I10" s="63"/>
      <c r="J10" s="58"/>
      <c r="K10" s="59"/>
      <c r="L10" s="76"/>
    </row>
    <row r="11" spans="1:12" ht="15.95" customHeight="1" x14ac:dyDescent="0.25">
      <c r="A11" s="60"/>
      <c r="B11" s="10"/>
      <c r="C11" s="117" t="s">
        <v>65</v>
      </c>
      <c r="D11" s="11">
        <f>D10/9</f>
        <v>26</v>
      </c>
      <c r="E11" s="10" t="s">
        <v>67</v>
      </c>
      <c r="F11" s="10"/>
      <c r="G11" s="12"/>
      <c r="H11" s="12"/>
      <c r="I11" s="63"/>
      <c r="J11" s="58"/>
      <c r="K11" s="59">
        <f>D11</f>
        <v>26</v>
      </c>
      <c r="L11" s="76"/>
    </row>
    <row r="12" spans="1:12" ht="15.95" customHeight="1" x14ac:dyDescent="0.25">
      <c r="A12" s="60"/>
      <c r="B12" s="10"/>
      <c r="C12" s="117"/>
      <c r="D12" s="142"/>
      <c r="E12" s="10"/>
      <c r="F12" s="10"/>
      <c r="G12" s="10"/>
      <c r="H12" s="10"/>
      <c r="I12" s="63"/>
      <c r="J12" s="58"/>
      <c r="K12" s="59" t="s">
        <v>287</v>
      </c>
      <c r="L12" s="76"/>
    </row>
    <row r="13" spans="1:12" ht="15.95" customHeight="1" x14ac:dyDescent="0.25">
      <c r="A13" s="60"/>
      <c r="B13" s="10"/>
      <c r="C13" s="117"/>
      <c r="D13" s="11"/>
      <c r="E13" s="10"/>
      <c r="F13" s="10"/>
      <c r="G13" s="10"/>
      <c r="H13" s="10"/>
      <c r="I13" s="63"/>
      <c r="J13" s="58"/>
      <c r="K13" s="59"/>
      <c r="L13" s="76"/>
    </row>
    <row r="14" spans="1:12" ht="15.95" customHeight="1" x14ac:dyDescent="0.25">
      <c r="A14" s="60"/>
      <c r="B14" s="10"/>
      <c r="C14" s="117"/>
      <c r="D14" s="11"/>
      <c r="E14" s="10"/>
      <c r="F14" s="10"/>
      <c r="G14" s="12"/>
      <c r="H14" s="12"/>
      <c r="I14" s="63"/>
      <c r="J14" s="58"/>
      <c r="K14" s="60"/>
      <c r="L14" s="76"/>
    </row>
    <row r="15" spans="1:12" ht="15.95" customHeight="1" x14ac:dyDescent="0.25">
      <c r="A15" s="60"/>
      <c r="B15" s="10"/>
      <c r="C15" s="117"/>
      <c r="D15" s="142"/>
      <c r="E15" s="10"/>
      <c r="F15" s="10"/>
      <c r="G15" s="10"/>
      <c r="H15" s="10"/>
      <c r="I15" s="63"/>
      <c r="J15" s="58"/>
      <c r="K15" s="59"/>
      <c r="L15" s="76"/>
    </row>
    <row r="16" spans="1:12" ht="15.95" customHeight="1" x14ac:dyDescent="0.25">
      <c r="A16" s="60"/>
      <c r="B16" s="10"/>
      <c r="C16" s="22"/>
      <c r="D16" s="11"/>
      <c r="E16" s="10"/>
      <c r="F16" s="10"/>
      <c r="G16" s="10"/>
      <c r="H16" s="10"/>
      <c r="I16" s="63"/>
      <c r="J16" s="58"/>
      <c r="K16" s="60"/>
      <c r="L16" s="76"/>
    </row>
    <row r="17" spans="1:12" ht="15.95" customHeight="1" x14ac:dyDescent="0.25">
      <c r="A17" s="60"/>
      <c r="B17" s="10"/>
      <c r="C17" s="22"/>
      <c r="D17" s="11"/>
      <c r="E17" s="10"/>
      <c r="F17" s="10"/>
      <c r="G17" s="10"/>
      <c r="H17" s="10"/>
      <c r="I17" s="63"/>
      <c r="J17" s="58"/>
      <c r="K17" s="60"/>
      <c r="L17" s="76"/>
    </row>
    <row r="18" spans="1:12" ht="15.95" customHeight="1" x14ac:dyDescent="0.25">
      <c r="A18" s="60"/>
      <c r="B18" s="10"/>
      <c r="C18" s="22"/>
      <c r="D18" s="11"/>
      <c r="E18" s="10"/>
      <c r="F18" s="10"/>
      <c r="G18" s="10"/>
      <c r="H18" s="10"/>
      <c r="I18" s="63"/>
      <c r="J18" s="58"/>
      <c r="K18" s="60"/>
      <c r="L18" s="76"/>
    </row>
    <row r="19" spans="1:12" ht="15.95" customHeight="1" x14ac:dyDescent="0.25">
      <c r="A19" s="60"/>
      <c r="B19" s="10"/>
      <c r="C19" s="22"/>
      <c r="D19" s="11"/>
      <c r="E19" s="10"/>
      <c r="F19" s="10"/>
      <c r="G19" s="10"/>
      <c r="H19" s="10"/>
      <c r="I19" s="63"/>
      <c r="J19" s="58"/>
      <c r="K19" s="60"/>
      <c r="L19" s="76"/>
    </row>
    <row r="20" spans="1:12" ht="15.95" customHeight="1" x14ac:dyDescent="0.25">
      <c r="A20" s="60"/>
      <c r="B20" s="73"/>
      <c r="C20" s="22"/>
      <c r="D20" s="11"/>
      <c r="E20" s="9"/>
      <c r="F20" s="10"/>
      <c r="G20" s="94"/>
      <c r="H20" s="10"/>
      <c r="I20" s="63"/>
      <c r="J20" s="58"/>
      <c r="K20" s="60"/>
      <c r="L20" s="76"/>
    </row>
    <row r="21" spans="1:12" ht="15.95" customHeight="1" x14ac:dyDescent="0.25">
      <c r="A21" s="60"/>
      <c r="B21" s="10"/>
      <c r="C21" s="22"/>
      <c r="D21" s="11"/>
      <c r="E21" s="10"/>
      <c r="F21" s="10"/>
      <c r="G21" s="10"/>
      <c r="H21" s="10"/>
      <c r="I21" s="63"/>
      <c r="J21" s="58"/>
      <c r="K21" s="60"/>
      <c r="L21" s="76"/>
    </row>
    <row r="22" spans="1:12" ht="15.95" customHeight="1" x14ac:dyDescent="0.25">
      <c r="A22" s="60"/>
      <c r="B22" s="10"/>
      <c r="C22" s="117"/>
      <c r="D22" s="142"/>
      <c r="E22" s="10"/>
      <c r="F22" s="10"/>
      <c r="G22" s="10"/>
      <c r="H22" s="10"/>
      <c r="I22" s="63"/>
      <c r="J22" s="58"/>
      <c r="K22" s="59"/>
      <c r="L22" s="76"/>
    </row>
    <row r="23" spans="1:12" ht="15.95" customHeight="1" x14ac:dyDescent="0.25">
      <c r="A23" s="60"/>
      <c r="B23" s="10"/>
      <c r="C23" s="117"/>
      <c r="D23" s="146"/>
      <c r="E23" s="10"/>
      <c r="F23" s="10"/>
      <c r="G23" s="10"/>
      <c r="H23" s="10"/>
      <c r="I23" s="63"/>
      <c r="J23" s="58"/>
      <c r="K23" s="60"/>
      <c r="L23" s="76"/>
    </row>
    <row r="24" spans="1:12" ht="15.95" customHeight="1" x14ac:dyDescent="0.25">
      <c r="A24" s="60"/>
      <c r="B24" s="10"/>
      <c r="C24" s="117"/>
      <c r="D24" s="146"/>
      <c r="E24" s="10"/>
      <c r="F24" s="10"/>
      <c r="G24" s="10"/>
      <c r="H24" s="10"/>
      <c r="I24" s="63"/>
      <c r="J24" s="58"/>
      <c r="K24" s="60"/>
      <c r="L24" s="76"/>
    </row>
    <row r="25" spans="1:12" ht="15.95" customHeight="1" x14ac:dyDescent="0.25">
      <c r="A25" s="60"/>
      <c r="B25" s="10"/>
      <c r="C25" s="117"/>
      <c r="D25" s="11"/>
      <c r="E25" s="10"/>
      <c r="F25" s="10"/>
      <c r="G25" s="12"/>
      <c r="H25" s="12"/>
      <c r="I25" s="63"/>
      <c r="J25" s="58"/>
      <c r="K25" s="60"/>
      <c r="L25" s="76"/>
    </row>
    <row r="26" spans="1:12" ht="15.95" customHeight="1" x14ac:dyDescent="0.25">
      <c r="A26" s="60"/>
      <c r="B26" s="10"/>
      <c r="C26" s="117"/>
      <c r="D26" s="142"/>
      <c r="E26" s="10"/>
      <c r="F26" s="10"/>
      <c r="G26" s="10"/>
      <c r="H26" s="10"/>
      <c r="I26" s="63"/>
      <c r="J26" s="58"/>
      <c r="K26" s="59"/>
      <c r="L26" s="76"/>
    </row>
    <row r="27" spans="1:12" ht="15.95" customHeight="1" x14ac:dyDescent="0.25">
      <c r="A27" s="60"/>
      <c r="B27" s="10"/>
      <c r="C27" s="22"/>
      <c r="D27" s="11"/>
      <c r="E27" s="10"/>
      <c r="F27" s="10"/>
      <c r="G27" s="10"/>
      <c r="H27" s="10"/>
      <c r="I27" s="63"/>
      <c r="J27" s="58"/>
      <c r="K27" s="60"/>
      <c r="L27" s="76"/>
    </row>
    <row r="28" spans="1:12" ht="15.95" customHeight="1" x14ac:dyDescent="0.25">
      <c r="A28" s="60"/>
      <c r="B28" s="10"/>
      <c r="C28" s="22"/>
      <c r="D28" s="11"/>
      <c r="E28" s="10"/>
      <c r="F28" s="10"/>
      <c r="G28" s="10"/>
      <c r="H28" s="10"/>
      <c r="I28" s="63"/>
      <c r="J28" s="58"/>
      <c r="K28" s="60"/>
      <c r="L28" s="76"/>
    </row>
    <row r="29" spans="1:12" ht="15.95" customHeight="1" x14ac:dyDescent="0.25">
      <c r="A29" s="60"/>
      <c r="B29" s="10"/>
      <c r="C29" s="22"/>
      <c r="D29" s="11"/>
      <c r="E29" s="10"/>
      <c r="F29" s="10"/>
      <c r="G29" s="12"/>
      <c r="H29" s="10"/>
      <c r="I29" s="63"/>
      <c r="J29" s="58"/>
      <c r="K29" s="60"/>
      <c r="L29" s="76"/>
    </row>
    <row r="30" spans="1:12" ht="15.95" customHeight="1" x14ac:dyDescent="0.25">
      <c r="A30" s="60"/>
      <c r="B30" s="10"/>
      <c r="C30" s="22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60"/>
      <c r="B31" s="10"/>
      <c r="C31" s="22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60"/>
      <c r="B32" s="10"/>
      <c r="C32" s="22"/>
      <c r="D32" s="11"/>
      <c r="E32" s="10"/>
      <c r="F32" s="10"/>
      <c r="G32" s="10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22"/>
      <c r="D33" s="11"/>
      <c r="E33" s="10"/>
      <c r="F33" s="10"/>
      <c r="G33" s="12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22"/>
      <c r="D34" s="11"/>
      <c r="E34" s="10"/>
      <c r="F34" s="10"/>
      <c r="G34" s="12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22"/>
      <c r="D35" s="11"/>
      <c r="E35" s="10"/>
      <c r="F35" s="10"/>
      <c r="G35" s="12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22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22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22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22"/>
      <c r="D39" s="11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22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71"/>
      <c r="B41" s="25"/>
      <c r="C41" s="25"/>
      <c r="D41" s="25"/>
      <c r="E41" s="100"/>
      <c r="F41" s="100"/>
      <c r="G41" s="97"/>
      <c r="H41" s="25"/>
      <c r="I41" s="92"/>
      <c r="J41" s="32"/>
      <c r="K41" s="71"/>
      <c r="L41" s="77"/>
    </row>
    <row r="42" spans="1:12" ht="15.95" customHeight="1" thickBot="1" x14ac:dyDescent="0.3">
      <c r="A42" s="71"/>
      <c r="B42" s="67"/>
      <c r="C42" s="67"/>
      <c r="D42" s="67"/>
      <c r="E42" s="101"/>
      <c r="F42" s="101"/>
      <c r="G42" s="98"/>
      <c r="H42" s="67"/>
      <c r="I42" s="99"/>
      <c r="J42" s="68"/>
      <c r="K42" s="71"/>
      <c r="L42" s="77"/>
    </row>
    <row r="43" spans="1:12" ht="15.95" customHeight="1" thickBot="1" x14ac:dyDescent="0.3">
      <c r="A43" s="445" t="s">
        <v>13</v>
      </c>
      <c r="B43" s="447"/>
      <c r="C43" s="447"/>
      <c r="D43" s="447"/>
      <c r="E43" s="447"/>
      <c r="F43" s="447"/>
      <c r="G43" s="447"/>
      <c r="H43" s="447"/>
      <c r="I43" s="447"/>
      <c r="J43" s="448"/>
      <c r="K43" s="79">
        <f>ROUNDUP(SUM(K9:K42),0)</f>
        <v>26</v>
      </c>
      <c r="L43" s="80">
        <f>K43</f>
        <v>26</v>
      </c>
    </row>
  </sheetData>
  <mergeCells count="8">
    <mergeCell ref="A7:J7"/>
    <mergeCell ref="A43:J43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5" orientation="portrait" horizontalDpi="1200" verticalDpi="1200" r:id="rId1"/>
  <headerFooter>
    <oddFooter>&amp;R&amp;9Printed &amp;D &amp;T</oddFooter>
  </headerFooter>
  <rowBreaks count="1" manualBreakCount="1">
    <brk id="45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  <pageSetUpPr fitToPage="1"/>
  </sheetPr>
  <dimension ref="A1:L43"/>
  <sheetViews>
    <sheetView showWhiteSpace="0" view="pageBreakPreview" zoomScale="85" zoomScaleNormal="100" zoomScaleSheetLayoutView="85" workbookViewId="0">
      <selection activeCell="G2" sqref="G2"/>
    </sheetView>
  </sheetViews>
  <sheetFormatPr defaultColWidth="2.85546875" defaultRowHeight="15" customHeight="1" x14ac:dyDescent="0.25"/>
  <cols>
    <col min="2" max="2" width="8.7109375" customWidth="1"/>
    <col min="3" max="3" width="7.7109375" customWidth="1"/>
    <col min="4" max="4" width="9.140625" customWidth="1"/>
    <col min="5" max="5" width="8.140625" customWidth="1"/>
    <col min="6" max="6" width="7.85546875" customWidth="1"/>
    <col min="7" max="7" width="9.42578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229</v>
      </c>
      <c r="F1" s="121" t="s">
        <v>4</v>
      </c>
      <c r="G1" s="351">
        <v>45107</v>
      </c>
      <c r="H1" s="121" t="s">
        <v>5</v>
      </c>
      <c r="I1" s="449" t="s">
        <v>284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 t="s">
        <v>356</v>
      </c>
      <c r="F2" s="2" t="s">
        <v>4</v>
      </c>
      <c r="G2" s="56">
        <v>45134</v>
      </c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78" t="s">
        <v>218</v>
      </c>
      <c r="G4" s="478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286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84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3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70"/>
      <c r="B8" s="83"/>
      <c r="C8" s="22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60"/>
      <c r="B9" s="73" t="s">
        <v>243</v>
      </c>
      <c r="C9" s="117"/>
      <c r="D9" s="146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60"/>
      <c r="B10" s="10"/>
      <c r="C10" s="117" t="s">
        <v>65</v>
      </c>
      <c r="D10" s="142">
        <v>234</v>
      </c>
      <c r="E10" s="10" t="s">
        <v>66</v>
      </c>
      <c r="F10" s="10"/>
      <c r="G10" s="10"/>
      <c r="H10" s="10"/>
      <c r="I10" s="63"/>
      <c r="J10" s="58"/>
      <c r="K10" s="59"/>
      <c r="L10" s="76"/>
    </row>
    <row r="11" spans="1:12" ht="15.95" customHeight="1" x14ac:dyDescent="0.25">
      <c r="A11" s="60"/>
      <c r="B11" s="10"/>
      <c r="C11" s="117" t="s">
        <v>242</v>
      </c>
      <c r="D11" s="11">
        <v>4</v>
      </c>
      <c r="E11" s="10" t="s">
        <v>285</v>
      </c>
      <c r="F11" s="10"/>
      <c r="G11" s="12"/>
      <c r="H11" s="12"/>
      <c r="I11" s="63"/>
      <c r="J11" s="58"/>
      <c r="K11" s="60"/>
      <c r="L11" s="76"/>
    </row>
    <row r="12" spans="1:12" ht="15.95" customHeight="1" x14ac:dyDescent="0.25">
      <c r="A12" s="60"/>
      <c r="B12" s="10"/>
      <c r="C12" s="117" t="s">
        <v>168</v>
      </c>
      <c r="D12" s="142">
        <f>D10*D11/12</f>
        <v>78</v>
      </c>
      <c r="E12" s="10" t="s">
        <v>108</v>
      </c>
      <c r="F12" s="10"/>
      <c r="G12" s="10"/>
      <c r="H12" s="10"/>
      <c r="I12" s="63"/>
      <c r="J12" s="58"/>
      <c r="K12" s="59"/>
      <c r="L12" s="76"/>
    </row>
    <row r="13" spans="1:12" ht="15.95" customHeight="1" x14ac:dyDescent="0.25">
      <c r="A13" s="60"/>
      <c r="B13" s="10"/>
      <c r="C13" s="117" t="s">
        <v>168</v>
      </c>
      <c r="D13" s="11">
        <f>D12/27</f>
        <v>2.8888888888888888</v>
      </c>
      <c r="E13" s="10" t="s">
        <v>84</v>
      </c>
      <c r="F13" s="10"/>
      <c r="G13" s="10"/>
      <c r="H13" s="10"/>
      <c r="I13" s="63"/>
      <c r="J13" s="58"/>
      <c r="K13" s="59">
        <f>D13</f>
        <v>2.8888888888888888</v>
      </c>
      <c r="L13" s="76"/>
    </row>
    <row r="14" spans="1:12" ht="15.95" customHeight="1" x14ac:dyDescent="0.25">
      <c r="A14" s="60"/>
      <c r="B14" s="10"/>
      <c r="C14" s="117"/>
      <c r="D14" s="11"/>
      <c r="E14" s="10"/>
      <c r="F14" s="10"/>
      <c r="G14" s="12"/>
      <c r="H14" s="12"/>
      <c r="I14" s="63"/>
      <c r="J14" s="58"/>
      <c r="K14" s="60"/>
      <c r="L14" s="76"/>
    </row>
    <row r="15" spans="1:12" ht="15.95" customHeight="1" x14ac:dyDescent="0.25">
      <c r="A15" s="60"/>
      <c r="B15" s="10"/>
      <c r="C15" s="117"/>
      <c r="D15" s="142"/>
      <c r="E15" s="10"/>
      <c r="F15" s="10"/>
      <c r="G15" s="10"/>
      <c r="H15" s="10"/>
      <c r="I15" s="63"/>
      <c r="J15" s="58"/>
      <c r="K15" s="59"/>
      <c r="L15" s="76"/>
    </row>
    <row r="16" spans="1:12" ht="15.95" customHeight="1" x14ac:dyDescent="0.25">
      <c r="A16" s="60"/>
      <c r="B16" s="10"/>
      <c r="C16" s="22"/>
      <c r="D16" s="11"/>
      <c r="E16" s="10"/>
      <c r="F16" s="10"/>
      <c r="G16" s="10"/>
      <c r="H16" s="10"/>
      <c r="I16" s="63"/>
      <c r="J16" s="58"/>
      <c r="K16" s="60"/>
      <c r="L16" s="76"/>
    </row>
    <row r="17" spans="1:12" ht="15.95" customHeight="1" x14ac:dyDescent="0.25">
      <c r="A17" s="60"/>
      <c r="B17" s="10"/>
      <c r="C17" s="22"/>
      <c r="D17" s="11"/>
      <c r="E17" s="10"/>
      <c r="F17" s="10"/>
      <c r="G17" s="10"/>
      <c r="H17" s="10"/>
      <c r="I17" s="63"/>
      <c r="J17" s="58"/>
      <c r="K17" s="60"/>
      <c r="L17" s="76"/>
    </row>
    <row r="18" spans="1:12" ht="15.95" customHeight="1" x14ac:dyDescent="0.25">
      <c r="A18" s="60"/>
      <c r="B18" s="10"/>
      <c r="C18" s="22"/>
      <c r="D18" s="11"/>
      <c r="E18" s="10"/>
      <c r="F18" s="10"/>
      <c r="G18" s="10"/>
      <c r="H18" s="10"/>
      <c r="I18" s="63"/>
      <c r="J18" s="58"/>
      <c r="K18" s="60"/>
      <c r="L18" s="76"/>
    </row>
    <row r="19" spans="1:12" ht="15.95" customHeight="1" x14ac:dyDescent="0.25">
      <c r="A19" s="60"/>
      <c r="B19" s="10"/>
      <c r="C19" s="22"/>
      <c r="D19" s="11"/>
      <c r="E19" s="10"/>
      <c r="F19" s="10"/>
      <c r="G19" s="10"/>
      <c r="H19" s="10"/>
      <c r="I19" s="63"/>
      <c r="J19" s="58"/>
      <c r="K19" s="60"/>
      <c r="L19" s="76"/>
    </row>
    <row r="20" spans="1:12" ht="15.95" customHeight="1" x14ac:dyDescent="0.25">
      <c r="A20" s="60"/>
      <c r="B20" s="73"/>
      <c r="C20" s="22"/>
      <c r="D20" s="11"/>
      <c r="E20" s="9"/>
      <c r="F20" s="10"/>
      <c r="G20" s="94"/>
      <c r="H20" s="10"/>
      <c r="I20" s="63"/>
      <c r="J20" s="58"/>
      <c r="K20" s="60"/>
      <c r="L20" s="76"/>
    </row>
    <row r="21" spans="1:12" ht="15.95" customHeight="1" x14ac:dyDescent="0.25">
      <c r="A21" s="60"/>
      <c r="B21" s="10"/>
      <c r="C21" s="22"/>
      <c r="D21" s="11"/>
      <c r="E21" s="10"/>
      <c r="F21" s="10"/>
      <c r="G21" s="10"/>
      <c r="H21" s="10"/>
      <c r="I21" s="63"/>
      <c r="J21" s="58"/>
      <c r="K21" s="60"/>
      <c r="L21" s="76"/>
    </row>
    <row r="22" spans="1:12" ht="15.95" customHeight="1" x14ac:dyDescent="0.25">
      <c r="A22" s="60"/>
      <c r="B22" s="10"/>
      <c r="C22" s="117"/>
      <c r="D22" s="142"/>
      <c r="E22" s="10"/>
      <c r="F22" s="10"/>
      <c r="G22" s="10"/>
      <c r="H22" s="10"/>
      <c r="I22" s="63"/>
      <c r="J22" s="58"/>
      <c r="K22" s="59"/>
      <c r="L22" s="76"/>
    </row>
    <row r="23" spans="1:12" ht="15.95" customHeight="1" x14ac:dyDescent="0.25">
      <c r="A23" s="60"/>
      <c r="B23" s="10"/>
      <c r="C23" s="117"/>
      <c r="D23" s="146"/>
      <c r="E23" s="10"/>
      <c r="F23" s="10"/>
      <c r="G23" s="10"/>
      <c r="H23" s="10"/>
      <c r="I23" s="63"/>
      <c r="J23" s="58"/>
      <c r="K23" s="60"/>
      <c r="L23" s="76"/>
    </row>
    <row r="24" spans="1:12" ht="15.95" customHeight="1" x14ac:dyDescent="0.25">
      <c r="A24" s="60"/>
      <c r="B24" s="10"/>
      <c r="C24" s="117"/>
      <c r="D24" s="146"/>
      <c r="E24" s="10"/>
      <c r="F24" s="10"/>
      <c r="G24" s="10"/>
      <c r="H24" s="10"/>
      <c r="I24" s="63"/>
      <c r="J24" s="58"/>
      <c r="K24" s="60"/>
      <c r="L24" s="76"/>
    </row>
    <row r="25" spans="1:12" ht="15.95" customHeight="1" x14ac:dyDescent="0.25">
      <c r="A25" s="60"/>
      <c r="B25" s="10"/>
      <c r="C25" s="117"/>
      <c r="D25" s="11"/>
      <c r="E25" s="10"/>
      <c r="F25" s="10"/>
      <c r="G25" s="12"/>
      <c r="H25" s="12"/>
      <c r="I25" s="63"/>
      <c r="J25" s="58"/>
      <c r="K25" s="60"/>
      <c r="L25" s="76"/>
    </row>
    <row r="26" spans="1:12" ht="15.95" customHeight="1" x14ac:dyDescent="0.25">
      <c r="A26" s="60"/>
      <c r="B26" s="10"/>
      <c r="C26" s="117"/>
      <c r="D26" s="142"/>
      <c r="E26" s="10"/>
      <c r="F26" s="10"/>
      <c r="G26" s="10"/>
      <c r="H26" s="10"/>
      <c r="I26" s="63"/>
      <c r="J26" s="58"/>
      <c r="K26" s="59"/>
      <c r="L26" s="76"/>
    </row>
    <row r="27" spans="1:12" ht="15.95" customHeight="1" x14ac:dyDescent="0.25">
      <c r="A27" s="60"/>
      <c r="B27" s="10"/>
      <c r="C27" s="22"/>
      <c r="D27" s="11"/>
      <c r="E27" s="10"/>
      <c r="F27" s="10"/>
      <c r="G27" s="10"/>
      <c r="H27" s="10"/>
      <c r="I27" s="63"/>
      <c r="J27" s="58"/>
      <c r="K27" s="60"/>
      <c r="L27" s="76"/>
    </row>
    <row r="28" spans="1:12" ht="15.95" customHeight="1" x14ac:dyDescent="0.25">
      <c r="A28" s="60"/>
      <c r="B28" s="10"/>
      <c r="C28" s="22"/>
      <c r="D28" s="11"/>
      <c r="E28" s="10"/>
      <c r="F28" s="10"/>
      <c r="G28" s="10"/>
      <c r="H28" s="10"/>
      <c r="I28" s="63"/>
      <c r="J28" s="58"/>
      <c r="K28" s="60"/>
      <c r="L28" s="76"/>
    </row>
    <row r="29" spans="1:12" ht="15.95" customHeight="1" x14ac:dyDescent="0.25">
      <c r="A29" s="60"/>
      <c r="B29" s="10"/>
      <c r="C29" s="22"/>
      <c r="D29" s="11"/>
      <c r="E29" s="10"/>
      <c r="F29" s="10"/>
      <c r="G29" s="12"/>
      <c r="H29" s="10"/>
      <c r="I29" s="63"/>
      <c r="J29" s="58"/>
      <c r="K29" s="60"/>
      <c r="L29" s="76"/>
    </row>
    <row r="30" spans="1:12" ht="15.95" customHeight="1" x14ac:dyDescent="0.25">
      <c r="A30" s="60"/>
      <c r="B30" s="10"/>
      <c r="C30" s="22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60"/>
      <c r="B31" s="10"/>
      <c r="C31" s="22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60"/>
      <c r="B32" s="10"/>
      <c r="C32" s="22"/>
      <c r="D32" s="11"/>
      <c r="E32" s="10"/>
      <c r="F32" s="10"/>
      <c r="G32" s="10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22"/>
      <c r="D33" s="11"/>
      <c r="E33" s="10"/>
      <c r="F33" s="10"/>
      <c r="G33" s="12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22"/>
      <c r="D34" s="11"/>
      <c r="E34" s="10"/>
      <c r="F34" s="10"/>
      <c r="G34" s="12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22"/>
      <c r="D35" s="11"/>
      <c r="E35" s="10"/>
      <c r="F35" s="10"/>
      <c r="G35" s="12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22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22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22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22"/>
      <c r="D39" s="11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22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71"/>
      <c r="B41" s="25"/>
      <c r="C41" s="25"/>
      <c r="D41" s="25"/>
      <c r="E41" s="100"/>
      <c r="F41" s="100"/>
      <c r="G41" s="97"/>
      <c r="H41" s="25"/>
      <c r="I41" s="92"/>
      <c r="J41" s="32"/>
      <c r="K41" s="71"/>
      <c r="L41" s="77"/>
    </row>
    <row r="42" spans="1:12" ht="15.95" customHeight="1" thickBot="1" x14ac:dyDescent="0.3">
      <c r="A42" s="71"/>
      <c r="B42" s="67"/>
      <c r="C42" s="67"/>
      <c r="D42" s="67"/>
      <c r="E42" s="101"/>
      <c r="F42" s="101"/>
      <c r="G42" s="98"/>
      <c r="H42" s="67"/>
      <c r="I42" s="99"/>
      <c r="J42" s="68"/>
      <c r="K42" s="71"/>
      <c r="L42" s="77"/>
    </row>
    <row r="43" spans="1:12" ht="15.95" customHeight="1" thickBot="1" x14ac:dyDescent="0.3">
      <c r="A43" s="445" t="s">
        <v>13</v>
      </c>
      <c r="B43" s="447"/>
      <c r="C43" s="447"/>
      <c r="D43" s="447"/>
      <c r="E43" s="447"/>
      <c r="F43" s="447"/>
      <c r="G43" s="447"/>
      <c r="H43" s="447"/>
      <c r="I43" s="447"/>
      <c r="J43" s="448"/>
      <c r="K43" s="79">
        <f>ROUNDUP(SUM(K9:K42),0)</f>
        <v>3</v>
      </c>
      <c r="L43" s="80">
        <f>K43</f>
        <v>3</v>
      </c>
    </row>
  </sheetData>
  <mergeCells count="8">
    <mergeCell ref="A7:J7"/>
    <mergeCell ref="A43:J43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5" orientation="portrait" horizontalDpi="1200" verticalDpi="1200" r:id="rId1"/>
  <headerFooter>
    <oddFooter>&amp;R&amp;9Printed &amp;D &amp;T</oddFooter>
  </headerFooter>
  <rowBreaks count="1" manualBreakCount="1">
    <brk id="45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C1:G4"/>
  <sheetViews>
    <sheetView workbookViewId="0">
      <selection activeCell="I4" sqref="I4:L4"/>
    </sheetView>
  </sheetViews>
  <sheetFormatPr defaultRowHeight="15" x14ac:dyDescent="0.25"/>
  <sheetData>
    <row r="1" spans="3:7" x14ac:dyDescent="0.25">
      <c r="G1" s="262">
        <v>44847</v>
      </c>
    </row>
    <row r="4" spans="3:7" x14ac:dyDescent="0.25">
      <c r="C4">
        <v>108774</v>
      </c>
      <c r="F4" s="354" t="s">
        <v>218</v>
      </c>
    </row>
  </sheetData>
  <pageMargins left="0.7" right="0.7" top="0.75" bottom="0.75" header="0.3" footer="0.3"/>
  <pageSetup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  <pageSetUpPr fitToPage="1"/>
  </sheetPr>
  <dimension ref="A1:L43"/>
  <sheetViews>
    <sheetView showWhiteSpace="0" view="pageBreakPreview" zoomScale="85" zoomScaleNormal="100" zoomScaleSheetLayoutView="85" workbookViewId="0">
      <selection activeCell="AJ31" sqref="AJ31"/>
    </sheetView>
  </sheetViews>
  <sheetFormatPr defaultColWidth="2.85546875" defaultRowHeight="15" customHeight="1" x14ac:dyDescent="0.25"/>
  <cols>
    <col min="2" max="2" width="8.7109375" customWidth="1"/>
    <col min="3" max="3" width="7.7109375" customWidth="1"/>
    <col min="4" max="4" width="9.140625" customWidth="1"/>
    <col min="5" max="5" width="8.140625" customWidth="1"/>
    <col min="6" max="6" width="7.85546875" customWidth="1"/>
    <col min="7" max="7" width="9.42578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229</v>
      </c>
      <c r="F1" s="121" t="s">
        <v>4</v>
      </c>
      <c r="G1" s="351">
        <v>44855</v>
      </c>
      <c r="H1" s="121" t="s">
        <v>5</v>
      </c>
      <c r="I1" s="449" t="s">
        <v>277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78" t="s">
        <v>218</v>
      </c>
      <c r="G4" s="478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278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66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3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70"/>
      <c r="B8" s="83"/>
      <c r="C8" s="22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60"/>
      <c r="B9" s="73"/>
      <c r="C9" s="22"/>
      <c r="D9" s="11"/>
      <c r="E9" s="9"/>
      <c r="F9" s="10"/>
      <c r="G9" s="94"/>
      <c r="H9" s="10"/>
      <c r="I9" s="63"/>
      <c r="J9" s="58"/>
      <c r="K9" s="60"/>
      <c r="L9" s="76"/>
    </row>
    <row r="10" spans="1:12" ht="15.95" customHeight="1" x14ac:dyDescent="0.25">
      <c r="A10" s="60"/>
      <c r="B10" s="10"/>
      <c r="C10" s="117"/>
      <c r="D10" s="11"/>
      <c r="E10" s="10"/>
      <c r="F10" s="10"/>
      <c r="G10" s="10"/>
      <c r="H10" s="10"/>
      <c r="I10" s="63"/>
      <c r="J10" s="58"/>
      <c r="K10" s="59"/>
      <c r="L10" s="76"/>
    </row>
    <row r="11" spans="1:12" ht="15.95" customHeight="1" x14ac:dyDescent="0.25">
      <c r="A11" s="60"/>
      <c r="B11" s="10"/>
      <c r="C11" s="117"/>
      <c r="D11" s="142"/>
      <c r="E11" s="10"/>
      <c r="F11" s="10"/>
      <c r="G11" s="10"/>
      <c r="H11" s="10"/>
      <c r="I11" s="63"/>
      <c r="J11" s="58"/>
      <c r="K11" s="59"/>
      <c r="L11" s="76"/>
    </row>
    <row r="12" spans="1:12" ht="15.95" customHeight="1" x14ac:dyDescent="0.25">
      <c r="A12" s="60"/>
      <c r="B12" s="73"/>
      <c r="C12" s="117"/>
      <c r="D12" s="146"/>
      <c r="E12" s="10"/>
      <c r="F12" s="10"/>
      <c r="G12" s="10"/>
      <c r="H12" s="10"/>
      <c r="I12" s="63"/>
      <c r="J12" s="58"/>
      <c r="K12" s="60"/>
      <c r="L12" s="76"/>
    </row>
    <row r="13" spans="1:12" ht="15.95" customHeight="1" x14ac:dyDescent="0.25">
      <c r="A13" s="60"/>
      <c r="B13" s="10"/>
      <c r="C13" s="117"/>
      <c r="D13" s="11"/>
      <c r="E13" s="10"/>
      <c r="F13" s="10"/>
      <c r="G13" s="10"/>
      <c r="H13" s="10"/>
      <c r="I13" s="63"/>
      <c r="J13" s="58"/>
      <c r="K13" s="59"/>
      <c r="L13" s="76"/>
    </row>
    <row r="14" spans="1:12" ht="15.95" customHeight="1" x14ac:dyDescent="0.25">
      <c r="A14" s="60"/>
      <c r="B14" s="10"/>
      <c r="C14" s="117"/>
      <c r="D14" s="11"/>
      <c r="E14" s="10"/>
      <c r="F14" s="10"/>
      <c r="G14" s="12"/>
      <c r="H14" s="12"/>
      <c r="I14" s="63"/>
      <c r="J14" s="58"/>
      <c r="K14" s="60"/>
      <c r="L14" s="76"/>
    </row>
    <row r="15" spans="1:12" ht="15.95" customHeight="1" x14ac:dyDescent="0.25">
      <c r="A15" s="60"/>
      <c r="B15" s="10"/>
      <c r="C15" s="117"/>
      <c r="D15" s="142"/>
      <c r="E15" s="10"/>
      <c r="F15" s="10"/>
      <c r="G15" s="10"/>
      <c r="H15" s="10"/>
      <c r="I15" s="63"/>
      <c r="J15" s="58"/>
      <c r="K15" s="59"/>
      <c r="L15" s="76"/>
    </row>
    <row r="16" spans="1:12" ht="15.95" customHeight="1" x14ac:dyDescent="0.25">
      <c r="A16" s="60"/>
      <c r="B16" s="10"/>
      <c r="C16" s="22"/>
      <c r="D16" s="11"/>
      <c r="E16" s="10"/>
      <c r="F16" s="10"/>
      <c r="G16" s="10"/>
      <c r="H16" s="10"/>
      <c r="I16" s="63"/>
      <c r="J16" s="58"/>
      <c r="K16" s="60"/>
      <c r="L16" s="76"/>
    </row>
    <row r="17" spans="1:12" ht="15.95" customHeight="1" x14ac:dyDescent="0.25">
      <c r="A17" s="60"/>
      <c r="B17" s="10"/>
      <c r="C17" s="22"/>
      <c r="D17" s="11"/>
      <c r="E17" s="10"/>
      <c r="F17" s="10"/>
      <c r="G17" s="10"/>
      <c r="H17" s="10"/>
      <c r="I17" s="63"/>
      <c r="J17" s="58"/>
      <c r="K17" s="60"/>
      <c r="L17" s="76"/>
    </row>
    <row r="18" spans="1:12" ht="15.95" customHeight="1" x14ac:dyDescent="0.25">
      <c r="A18" s="60"/>
      <c r="B18" s="10"/>
      <c r="C18" s="22"/>
      <c r="D18" s="11"/>
      <c r="E18" s="10"/>
      <c r="F18" s="10"/>
      <c r="G18" s="10"/>
      <c r="H18" s="10"/>
      <c r="I18" s="63"/>
      <c r="J18" s="58"/>
      <c r="K18" s="60"/>
      <c r="L18" s="76"/>
    </row>
    <row r="19" spans="1:12" ht="15.95" customHeight="1" x14ac:dyDescent="0.25">
      <c r="A19" s="60"/>
      <c r="B19" s="10"/>
      <c r="C19" s="22"/>
      <c r="D19" s="11"/>
      <c r="E19" s="10"/>
      <c r="F19" s="10"/>
      <c r="G19" s="10"/>
      <c r="H19" s="10"/>
      <c r="I19" s="63"/>
      <c r="J19" s="58"/>
      <c r="K19" s="60"/>
      <c r="L19" s="76"/>
    </row>
    <row r="20" spans="1:12" ht="15.95" customHeight="1" x14ac:dyDescent="0.25">
      <c r="A20" s="60"/>
      <c r="B20" s="73"/>
      <c r="C20" s="22"/>
      <c r="D20" s="11"/>
      <c r="E20" s="9"/>
      <c r="F20" s="10"/>
      <c r="G20" s="94"/>
      <c r="H20" s="10"/>
      <c r="I20" s="63"/>
      <c r="J20" s="58"/>
      <c r="K20" s="60"/>
      <c r="L20" s="76"/>
    </row>
    <row r="21" spans="1:12" ht="15.95" customHeight="1" x14ac:dyDescent="0.25">
      <c r="A21" s="60"/>
      <c r="B21" s="10"/>
      <c r="C21" s="22"/>
      <c r="D21" s="11"/>
      <c r="E21" s="10"/>
      <c r="F21" s="10"/>
      <c r="G21" s="10"/>
      <c r="H21" s="10"/>
      <c r="I21" s="63"/>
      <c r="J21" s="58"/>
      <c r="K21" s="60"/>
      <c r="L21" s="76"/>
    </row>
    <row r="22" spans="1:12" ht="15.95" customHeight="1" x14ac:dyDescent="0.25">
      <c r="A22" s="60"/>
      <c r="B22" s="10"/>
      <c r="C22" s="117"/>
      <c r="D22" s="142"/>
      <c r="E22" s="10"/>
      <c r="F22" s="10"/>
      <c r="G22" s="10"/>
      <c r="H22" s="10"/>
      <c r="I22" s="63"/>
      <c r="J22" s="58"/>
      <c r="K22" s="59"/>
      <c r="L22" s="76"/>
    </row>
    <row r="23" spans="1:12" ht="15.95" customHeight="1" x14ac:dyDescent="0.25">
      <c r="A23" s="60"/>
      <c r="B23" s="10"/>
      <c r="C23" s="117"/>
      <c r="D23" s="146"/>
      <c r="E23" s="10"/>
      <c r="F23" s="10"/>
      <c r="G23" s="10"/>
      <c r="H23" s="10"/>
      <c r="I23" s="63"/>
      <c r="J23" s="58"/>
      <c r="K23" s="60"/>
      <c r="L23" s="76"/>
    </row>
    <row r="24" spans="1:12" ht="15.95" customHeight="1" x14ac:dyDescent="0.25">
      <c r="A24" s="60"/>
      <c r="B24" s="10"/>
      <c r="C24" s="117"/>
      <c r="D24" s="146"/>
      <c r="E24" s="10"/>
      <c r="F24" s="10"/>
      <c r="G24" s="10"/>
      <c r="H24" s="10"/>
      <c r="I24" s="63"/>
      <c r="J24" s="58"/>
      <c r="K24" s="60"/>
      <c r="L24" s="76"/>
    </row>
    <row r="25" spans="1:12" ht="15.95" customHeight="1" x14ac:dyDescent="0.25">
      <c r="A25" s="60"/>
      <c r="B25" s="10"/>
      <c r="C25" s="117"/>
      <c r="D25" s="11"/>
      <c r="E25" s="10"/>
      <c r="F25" s="10"/>
      <c r="G25" s="12"/>
      <c r="H25" s="12"/>
      <c r="I25" s="63"/>
      <c r="J25" s="58"/>
      <c r="K25" s="60"/>
      <c r="L25" s="76"/>
    </row>
    <row r="26" spans="1:12" ht="15.95" customHeight="1" x14ac:dyDescent="0.25">
      <c r="A26" s="60"/>
      <c r="B26" s="10"/>
      <c r="C26" s="117"/>
      <c r="D26" s="142"/>
      <c r="E26" s="10"/>
      <c r="F26" s="10"/>
      <c r="G26" s="10"/>
      <c r="H26" s="10"/>
      <c r="I26" s="63"/>
      <c r="J26" s="58"/>
      <c r="K26" s="59"/>
      <c r="L26" s="76"/>
    </row>
    <row r="27" spans="1:12" ht="15.95" customHeight="1" x14ac:dyDescent="0.25">
      <c r="A27" s="60"/>
      <c r="B27" s="10"/>
      <c r="C27" s="22"/>
      <c r="D27" s="11"/>
      <c r="E27" s="10"/>
      <c r="F27" s="10"/>
      <c r="G27" s="10"/>
      <c r="H27" s="10"/>
      <c r="I27" s="63"/>
      <c r="J27" s="58"/>
      <c r="K27" s="60"/>
      <c r="L27" s="76"/>
    </row>
    <row r="28" spans="1:12" ht="15.95" customHeight="1" x14ac:dyDescent="0.25">
      <c r="A28" s="60"/>
      <c r="B28" s="10"/>
      <c r="C28" s="22"/>
      <c r="D28" s="11"/>
      <c r="E28" s="10"/>
      <c r="F28" s="10"/>
      <c r="G28" s="10"/>
      <c r="H28" s="10"/>
      <c r="I28" s="63"/>
      <c r="J28" s="58"/>
      <c r="K28" s="60"/>
      <c r="L28" s="76"/>
    </row>
    <row r="29" spans="1:12" ht="15.95" customHeight="1" x14ac:dyDescent="0.25">
      <c r="A29" s="60"/>
      <c r="B29" s="10"/>
      <c r="C29" s="22"/>
      <c r="D29" s="11"/>
      <c r="E29" s="10"/>
      <c r="F29" s="10"/>
      <c r="G29" s="12"/>
      <c r="H29" s="10"/>
      <c r="I29" s="63"/>
      <c r="J29" s="58"/>
      <c r="K29" s="60"/>
      <c r="L29" s="76"/>
    </row>
    <row r="30" spans="1:12" ht="15.95" customHeight="1" x14ac:dyDescent="0.25">
      <c r="A30" s="60"/>
      <c r="B30" s="10"/>
      <c r="C30" s="22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60"/>
      <c r="B31" s="10"/>
      <c r="C31" s="22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60"/>
      <c r="B32" s="10"/>
      <c r="C32" s="22"/>
      <c r="D32" s="11"/>
      <c r="E32" s="10"/>
      <c r="F32" s="10"/>
      <c r="G32" s="10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22"/>
      <c r="D33" s="11"/>
      <c r="E33" s="10"/>
      <c r="F33" s="10"/>
      <c r="G33" s="12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22"/>
      <c r="D34" s="11"/>
      <c r="E34" s="10"/>
      <c r="F34" s="10"/>
      <c r="G34" s="12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22"/>
      <c r="D35" s="11"/>
      <c r="E35" s="10"/>
      <c r="F35" s="10"/>
      <c r="G35" s="12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22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22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22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22"/>
      <c r="D39" s="11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22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71"/>
      <c r="B41" s="25"/>
      <c r="C41" s="25"/>
      <c r="D41" s="25"/>
      <c r="E41" s="100"/>
      <c r="F41" s="100"/>
      <c r="G41" s="97"/>
      <c r="H41" s="25"/>
      <c r="I41" s="92"/>
      <c r="J41" s="32"/>
      <c r="K41" s="71"/>
      <c r="L41" s="77"/>
    </row>
    <row r="42" spans="1:12" ht="15.95" customHeight="1" thickBot="1" x14ac:dyDescent="0.3">
      <c r="A42" s="71"/>
      <c r="B42" s="67"/>
      <c r="C42" s="67"/>
      <c r="D42" s="67"/>
      <c r="E42" s="101"/>
      <c r="F42" s="101"/>
      <c r="G42" s="98"/>
      <c r="H42" s="67"/>
      <c r="I42" s="99"/>
      <c r="J42" s="68"/>
      <c r="K42" s="71"/>
      <c r="L42" s="77"/>
    </row>
    <row r="43" spans="1:12" ht="15.95" customHeight="1" thickBot="1" x14ac:dyDescent="0.3">
      <c r="A43" s="445" t="s">
        <v>13</v>
      </c>
      <c r="B43" s="447"/>
      <c r="C43" s="447"/>
      <c r="D43" s="447"/>
      <c r="E43" s="447"/>
      <c r="F43" s="447"/>
      <c r="G43" s="447"/>
      <c r="H43" s="447"/>
      <c r="I43" s="447"/>
      <c r="J43" s="448"/>
      <c r="K43" s="79">
        <f>ROUNDUP(SUM(K9:K42),0)</f>
        <v>0</v>
      </c>
      <c r="L43" s="80">
        <f>K43</f>
        <v>0</v>
      </c>
    </row>
  </sheetData>
  <mergeCells count="8">
    <mergeCell ref="A7:J7"/>
    <mergeCell ref="A43:J43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5" orientation="portrait" horizontalDpi="1200" verticalDpi="1200" r:id="rId1"/>
  <headerFooter>
    <oddFooter>&amp;R&amp;9Printed &amp;D &amp;T</oddFooter>
  </headerFooter>
  <rowBreaks count="1" manualBreakCount="1">
    <brk id="45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FF0000"/>
    <pageSetUpPr fitToPage="1"/>
  </sheetPr>
  <dimension ref="A1:L43"/>
  <sheetViews>
    <sheetView showWhiteSpace="0" view="pageBreakPreview" zoomScale="85" zoomScaleNormal="100" zoomScaleSheetLayoutView="85" workbookViewId="0">
      <selection activeCell="AJ31" sqref="AJ31"/>
    </sheetView>
  </sheetViews>
  <sheetFormatPr defaultColWidth="2.85546875" defaultRowHeight="15" customHeight="1" x14ac:dyDescent="0.25"/>
  <cols>
    <col min="2" max="2" width="8.7109375" customWidth="1"/>
    <col min="3" max="3" width="7.7109375" customWidth="1"/>
    <col min="4" max="4" width="9.140625" customWidth="1"/>
    <col min="5" max="5" width="8.140625" customWidth="1"/>
    <col min="6" max="6" width="7.85546875" customWidth="1"/>
    <col min="7" max="7" width="9.42578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229</v>
      </c>
      <c r="F1" s="121" t="s">
        <v>4</v>
      </c>
      <c r="G1" s="351">
        <v>44855</v>
      </c>
      <c r="H1" s="121" t="s">
        <v>5</v>
      </c>
      <c r="I1" s="449" t="s">
        <v>288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78" t="s">
        <v>218</v>
      </c>
      <c r="G4" s="478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290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34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3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70"/>
      <c r="B8" s="83"/>
      <c r="C8" s="22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60"/>
      <c r="B9" s="73" t="s">
        <v>243</v>
      </c>
      <c r="C9" s="117"/>
      <c r="D9" s="146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60"/>
      <c r="B10" s="10"/>
      <c r="C10" s="117" t="s">
        <v>14</v>
      </c>
      <c r="D10" s="142">
        <f>37.19+4.74</f>
        <v>41.93</v>
      </c>
      <c r="E10" s="10" t="s">
        <v>34</v>
      </c>
      <c r="F10" s="10"/>
      <c r="G10" s="10"/>
      <c r="H10" s="10"/>
      <c r="I10" s="63"/>
      <c r="J10" s="58"/>
      <c r="K10" s="59"/>
      <c r="L10" s="76"/>
    </row>
    <row r="11" spans="1:12" ht="15.95" customHeight="1" x14ac:dyDescent="0.25">
      <c r="A11" s="60"/>
      <c r="B11" s="10"/>
      <c r="C11" s="117" t="s">
        <v>289</v>
      </c>
      <c r="D11" s="11">
        <v>2</v>
      </c>
      <c r="E11" s="10" t="s">
        <v>51</v>
      </c>
      <c r="F11" s="10"/>
      <c r="G11" s="12"/>
      <c r="H11" s="12"/>
      <c r="I11" s="63"/>
      <c r="J11" s="58"/>
      <c r="K11" s="60"/>
      <c r="L11" s="76"/>
    </row>
    <row r="12" spans="1:12" ht="15.95" customHeight="1" x14ac:dyDescent="0.25">
      <c r="A12" s="60"/>
      <c r="B12" s="10"/>
      <c r="C12" s="117" t="s">
        <v>50</v>
      </c>
      <c r="D12" s="142">
        <f>D10*D11</f>
        <v>83.86</v>
      </c>
      <c r="E12" s="10" t="s">
        <v>34</v>
      </c>
      <c r="F12" s="10"/>
      <c r="G12" s="10"/>
      <c r="H12" s="10"/>
      <c r="I12" s="63"/>
      <c r="J12" s="58"/>
      <c r="K12" s="59">
        <f>D12</f>
        <v>83.86</v>
      </c>
      <c r="L12" s="76"/>
    </row>
    <row r="13" spans="1:12" ht="15.95" customHeight="1" x14ac:dyDescent="0.25">
      <c r="A13" s="60"/>
      <c r="B13" s="10"/>
      <c r="C13" s="117"/>
      <c r="D13" s="11"/>
      <c r="E13" s="10"/>
      <c r="F13" s="10"/>
      <c r="G13" s="10"/>
      <c r="H13" s="10"/>
      <c r="I13" s="63"/>
      <c r="J13" s="58"/>
      <c r="K13" s="59"/>
      <c r="L13" s="76"/>
    </row>
    <row r="14" spans="1:12" ht="15.95" customHeight="1" x14ac:dyDescent="0.25">
      <c r="A14" s="60"/>
      <c r="B14" s="10"/>
      <c r="C14" s="117"/>
      <c r="D14" s="11"/>
      <c r="E14" s="10"/>
      <c r="F14" s="10"/>
      <c r="G14" s="12"/>
      <c r="H14" s="12"/>
      <c r="I14" s="63"/>
      <c r="J14" s="58"/>
      <c r="K14" s="60"/>
      <c r="L14" s="76"/>
    </row>
    <row r="15" spans="1:12" ht="15.95" customHeight="1" x14ac:dyDescent="0.25">
      <c r="A15" s="60"/>
      <c r="B15" s="10"/>
      <c r="C15" s="117"/>
      <c r="D15" s="142"/>
      <c r="E15" s="10"/>
      <c r="F15" s="10"/>
      <c r="G15" s="10"/>
      <c r="H15" s="10"/>
      <c r="I15" s="63"/>
      <c r="J15" s="58"/>
      <c r="K15" s="59"/>
      <c r="L15" s="76"/>
    </row>
    <row r="16" spans="1:12" ht="15.95" customHeight="1" x14ac:dyDescent="0.25">
      <c r="A16" s="60"/>
      <c r="B16" s="10"/>
      <c r="C16" s="22"/>
      <c r="D16" s="11"/>
      <c r="E16" s="10"/>
      <c r="F16" s="10"/>
      <c r="G16" s="10"/>
      <c r="H16" s="10"/>
      <c r="I16" s="63"/>
      <c r="J16" s="58"/>
      <c r="K16" s="60"/>
      <c r="L16" s="76"/>
    </row>
    <row r="17" spans="1:12" ht="15.95" customHeight="1" x14ac:dyDescent="0.25">
      <c r="A17" s="60"/>
      <c r="B17" s="10"/>
      <c r="C17" s="22"/>
      <c r="D17" s="11"/>
      <c r="E17" s="10"/>
      <c r="F17" s="10"/>
      <c r="G17" s="10"/>
      <c r="H17" s="10"/>
      <c r="I17" s="63"/>
      <c r="J17" s="58"/>
      <c r="K17" s="60"/>
      <c r="L17" s="76"/>
    </row>
    <row r="18" spans="1:12" ht="15.95" customHeight="1" x14ac:dyDescent="0.25">
      <c r="A18" s="60"/>
      <c r="B18" s="10"/>
      <c r="C18" s="22"/>
      <c r="D18" s="11"/>
      <c r="E18" s="10"/>
      <c r="F18" s="10"/>
      <c r="G18" s="10"/>
      <c r="H18" s="10"/>
      <c r="I18" s="63"/>
      <c r="J18" s="58"/>
      <c r="K18" s="60"/>
      <c r="L18" s="76"/>
    </row>
    <row r="19" spans="1:12" ht="15.95" customHeight="1" x14ac:dyDescent="0.25">
      <c r="A19" s="60"/>
      <c r="B19" s="10"/>
      <c r="C19" s="22"/>
      <c r="D19" s="11"/>
      <c r="E19" s="10"/>
      <c r="F19" s="10"/>
      <c r="G19" s="10"/>
      <c r="H19" s="10"/>
      <c r="I19" s="63"/>
      <c r="J19" s="58"/>
      <c r="K19" s="60"/>
      <c r="L19" s="76"/>
    </row>
    <row r="20" spans="1:12" ht="15.95" customHeight="1" x14ac:dyDescent="0.25">
      <c r="A20" s="60"/>
      <c r="B20" s="73"/>
      <c r="C20" s="22"/>
      <c r="D20" s="11"/>
      <c r="E20" s="9"/>
      <c r="F20" s="10"/>
      <c r="G20" s="94"/>
      <c r="H20" s="10"/>
      <c r="I20" s="63"/>
      <c r="J20" s="58"/>
      <c r="K20" s="60"/>
      <c r="L20" s="76"/>
    </row>
    <row r="21" spans="1:12" ht="15.95" customHeight="1" x14ac:dyDescent="0.25">
      <c r="A21" s="60"/>
      <c r="B21" s="10"/>
      <c r="C21" s="22"/>
      <c r="D21" s="11"/>
      <c r="E21" s="10"/>
      <c r="F21" s="10"/>
      <c r="G21" s="10"/>
      <c r="H21" s="10"/>
      <c r="I21" s="63"/>
      <c r="J21" s="58"/>
      <c r="K21" s="60"/>
      <c r="L21" s="76"/>
    </row>
    <row r="22" spans="1:12" ht="15.95" customHeight="1" x14ac:dyDescent="0.25">
      <c r="A22" s="60"/>
      <c r="B22" s="10"/>
      <c r="C22" s="117"/>
      <c r="D22" s="142"/>
      <c r="E22" s="10"/>
      <c r="F22" s="10"/>
      <c r="G22" s="10"/>
      <c r="H22" s="10"/>
      <c r="I22" s="63"/>
      <c r="J22" s="58"/>
      <c r="K22" s="59"/>
      <c r="L22" s="76"/>
    </row>
    <row r="23" spans="1:12" ht="15.95" customHeight="1" x14ac:dyDescent="0.25">
      <c r="A23" s="60"/>
      <c r="B23" s="10"/>
      <c r="C23" s="117"/>
      <c r="D23" s="146"/>
      <c r="E23" s="10"/>
      <c r="F23" s="10"/>
      <c r="G23" s="10"/>
      <c r="H23" s="10"/>
      <c r="I23" s="63"/>
      <c r="J23" s="58"/>
      <c r="K23" s="60"/>
      <c r="L23" s="76"/>
    </row>
    <row r="24" spans="1:12" ht="15.95" customHeight="1" x14ac:dyDescent="0.25">
      <c r="A24" s="60"/>
      <c r="B24" s="10"/>
      <c r="C24" s="117"/>
      <c r="D24" s="146"/>
      <c r="E24" s="10"/>
      <c r="F24" s="10"/>
      <c r="G24" s="10"/>
      <c r="H24" s="10"/>
      <c r="I24" s="63"/>
      <c r="J24" s="58"/>
      <c r="K24" s="60"/>
      <c r="L24" s="76"/>
    </row>
    <row r="25" spans="1:12" ht="15.95" customHeight="1" x14ac:dyDescent="0.25">
      <c r="A25" s="60"/>
      <c r="B25" s="10"/>
      <c r="C25" s="117"/>
      <c r="D25" s="11"/>
      <c r="E25" s="10"/>
      <c r="F25" s="10"/>
      <c r="G25" s="12"/>
      <c r="H25" s="12"/>
      <c r="I25" s="63"/>
      <c r="J25" s="58"/>
      <c r="K25" s="60"/>
      <c r="L25" s="76"/>
    </row>
    <row r="26" spans="1:12" ht="15.95" customHeight="1" x14ac:dyDescent="0.25">
      <c r="A26" s="60"/>
      <c r="B26" s="10"/>
      <c r="C26" s="117"/>
      <c r="D26" s="142"/>
      <c r="E26" s="10"/>
      <c r="F26" s="10"/>
      <c r="G26" s="10"/>
      <c r="H26" s="10"/>
      <c r="I26" s="63"/>
      <c r="J26" s="58"/>
      <c r="K26" s="59"/>
      <c r="L26" s="76"/>
    </row>
    <row r="27" spans="1:12" ht="15.95" customHeight="1" x14ac:dyDescent="0.25">
      <c r="A27" s="60"/>
      <c r="B27" s="10"/>
      <c r="C27" s="22"/>
      <c r="D27" s="11"/>
      <c r="E27" s="10"/>
      <c r="F27" s="10"/>
      <c r="G27" s="10"/>
      <c r="H27" s="10"/>
      <c r="I27" s="63"/>
      <c r="J27" s="58"/>
      <c r="K27" s="60"/>
      <c r="L27" s="76"/>
    </row>
    <row r="28" spans="1:12" ht="15.95" customHeight="1" x14ac:dyDescent="0.25">
      <c r="A28" s="60"/>
      <c r="B28" s="10"/>
      <c r="C28" s="22"/>
      <c r="D28" s="11"/>
      <c r="E28" s="10"/>
      <c r="F28" s="10"/>
      <c r="G28" s="10"/>
      <c r="H28" s="10"/>
      <c r="I28" s="63"/>
      <c r="J28" s="58"/>
      <c r="K28" s="60"/>
      <c r="L28" s="76"/>
    </row>
    <row r="29" spans="1:12" ht="15.95" customHeight="1" x14ac:dyDescent="0.25">
      <c r="A29" s="60"/>
      <c r="B29" s="10"/>
      <c r="C29" s="22"/>
      <c r="D29" s="11"/>
      <c r="E29" s="10"/>
      <c r="F29" s="10"/>
      <c r="G29" s="12"/>
      <c r="H29" s="10"/>
      <c r="I29" s="63"/>
      <c r="J29" s="58"/>
      <c r="K29" s="60"/>
      <c r="L29" s="76"/>
    </row>
    <row r="30" spans="1:12" ht="15.95" customHeight="1" x14ac:dyDescent="0.25">
      <c r="A30" s="60"/>
      <c r="B30" s="10"/>
      <c r="C30" s="22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60"/>
      <c r="B31" s="10"/>
      <c r="C31" s="22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60"/>
      <c r="B32" s="10"/>
      <c r="C32" s="22"/>
      <c r="D32" s="11"/>
      <c r="E32" s="10"/>
      <c r="F32" s="10"/>
      <c r="G32" s="10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22"/>
      <c r="D33" s="11"/>
      <c r="E33" s="10"/>
      <c r="F33" s="10"/>
      <c r="G33" s="12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22"/>
      <c r="D34" s="11"/>
      <c r="E34" s="10"/>
      <c r="F34" s="10"/>
      <c r="G34" s="12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22"/>
      <c r="D35" s="11"/>
      <c r="E35" s="10"/>
      <c r="F35" s="10"/>
      <c r="G35" s="12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22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22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22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22"/>
      <c r="D39" s="11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22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71"/>
      <c r="B41" s="25"/>
      <c r="C41" s="25"/>
      <c r="D41" s="25"/>
      <c r="E41" s="100"/>
      <c r="F41" s="100"/>
      <c r="G41" s="97"/>
      <c r="H41" s="25"/>
      <c r="I41" s="92"/>
      <c r="J41" s="32"/>
      <c r="K41" s="71"/>
      <c r="L41" s="77"/>
    </row>
    <row r="42" spans="1:12" ht="15.95" customHeight="1" thickBot="1" x14ac:dyDescent="0.3">
      <c r="A42" s="71"/>
      <c r="B42" s="67"/>
      <c r="C42" s="67"/>
      <c r="D42" s="67"/>
      <c r="E42" s="101"/>
      <c r="F42" s="101"/>
      <c r="G42" s="98"/>
      <c r="H42" s="67"/>
      <c r="I42" s="99"/>
      <c r="J42" s="68"/>
      <c r="K42" s="71"/>
      <c r="L42" s="77"/>
    </row>
    <row r="43" spans="1:12" ht="15.95" customHeight="1" thickBot="1" x14ac:dyDescent="0.3">
      <c r="A43" s="445" t="s">
        <v>13</v>
      </c>
      <c r="B43" s="447"/>
      <c r="C43" s="447"/>
      <c r="D43" s="447"/>
      <c r="E43" s="447"/>
      <c r="F43" s="447"/>
      <c r="G43" s="447"/>
      <c r="H43" s="447"/>
      <c r="I43" s="447"/>
      <c r="J43" s="448"/>
      <c r="K43" s="79">
        <f>ROUNDUP(SUM(K9:K42),0)</f>
        <v>84</v>
      </c>
      <c r="L43" s="80">
        <f>K43</f>
        <v>84</v>
      </c>
    </row>
  </sheetData>
  <mergeCells count="8">
    <mergeCell ref="A7:J7"/>
    <mergeCell ref="A43:J43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5" orientation="portrait" horizontalDpi="1200" verticalDpi="1200" r:id="rId1"/>
  <headerFooter>
    <oddFooter>&amp;R&amp;9Printed &amp;D &amp;T</oddFooter>
  </headerFooter>
  <rowBreaks count="1" manualBreakCount="1">
    <brk id="45" max="1638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FF0000"/>
  </sheetPr>
  <dimension ref="A1:L48"/>
  <sheetViews>
    <sheetView showWhiteSpace="0" zoomScaleNormal="100" zoomScaleSheetLayoutView="85" workbookViewId="0">
      <selection activeCell="AJ31" sqref="AJ31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122">
        <v>44847</v>
      </c>
      <c r="H1" s="121" t="s">
        <v>5</v>
      </c>
      <c r="I1" s="449" t="s">
        <v>156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155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67</v>
      </c>
    </row>
    <row r="6" spans="1:12" ht="20.100000000000001" customHeight="1" thickBot="1" x14ac:dyDescent="0.3">
      <c r="A6" s="129"/>
      <c r="B6" s="29"/>
      <c r="C6" s="199"/>
      <c r="D6" s="29"/>
      <c r="E6" s="29"/>
      <c r="F6" s="19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73"/>
      <c r="C9" s="104"/>
      <c r="D9" s="94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13"/>
      <c r="B10" s="73"/>
      <c r="C10" s="162"/>
      <c r="D10" s="197"/>
      <c r="E10" s="38"/>
      <c r="F10" s="38"/>
      <c r="G10" s="10"/>
      <c r="H10" s="25"/>
      <c r="I10" s="92"/>
      <c r="J10" s="58"/>
      <c r="K10" s="60"/>
      <c r="L10" s="76"/>
    </row>
    <row r="11" spans="1:12" ht="16.5" customHeight="1" x14ac:dyDescent="0.25">
      <c r="A11" s="13"/>
      <c r="B11" s="54"/>
      <c r="C11" s="49"/>
      <c r="D11" s="197"/>
      <c r="E11" s="38"/>
      <c r="F11" s="38"/>
      <c r="G11" s="54"/>
      <c r="H11" s="54"/>
      <c r="I11" s="34"/>
      <c r="J11" s="58"/>
      <c r="K11" s="60"/>
      <c r="L11" s="76"/>
    </row>
    <row r="12" spans="1:12" ht="15.95" customHeight="1" x14ac:dyDescent="0.25">
      <c r="A12" s="13"/>
      <c r="B12" s="11"/>
      <c r="C12" s="49"/>
      <c r="D12" s="197"/>
      <c r="E12" s="203"/>
      <c r="F12" s="198"/>
      <c r="G12" s="22"/>
      <c r="H12" s="28"/>
      <c r="I12" s="88"/>
      <c r="J12" s="58"/>
      <c r="K12" s="103"/>
      <c r="L12" s="76"/>
    </row>
    <row r="13" spans="1:12" ht="15.95" customHeight="1" x14ac:dyDescent="0.25">
      <c r="A13" s="13"/>
      <c r="B13" s="10"/>
      <c r="C13" s="198"/>
      <c r="D13" s="198" t="s">
        <v>97</v>
      </c>
      <c r="E13" s="204">
        <v>42</v>
      </c>
      <c r="F13" s="205" t="s">
        <v>34</v>
      </c>
      <c r="G13" s="22"/>
      <c r="H13" s="28"/>
      <c r="I13" s="88"/>
      <c r="J13" s="58"/>
      <c r="K13" s="59"/>
      <c r="L13" s="76"/>
    </row>
    <row r="14" spans="1:12" ht="15.95" customHeight="1" x14ac:dyDescent="0.25">
      <c r="A14" s="13"/>
      <c r="B14" s="10"/>
      <c r="C14" s="197"/>
      <c r="D14" s="197" t="s">
        <v>98</v>
      </c>
      <c r="E14" s="204">
        <v>19</v>
      </c>
      <c r="F14" s="205" t="s">
        <v>34</v>
      </c>
      <c r="G14" s="28"/>
      <c r="H14" s="28"/>
      <c r="I14" s="88"/>
      <c r="J14" s="58"/>
      <c r="K14" s="60"/>
      <c r="L14" s="76"/>
    </row>
    <row r="15" spans="1:12" ht="15.95" customHeight="1" x14ac:dyDescent="0.25">
      <c r="A15" s="13"/>
      <c r="B15" s="73"/>
      <c r="C15" s="197"/>
      <c r="D15" s="197" t="s">
        <v>94</v>
      </c>
      <c r="E15" s="204">
        <f>E13*E14</f>
        <v>798</v>
      </c>
      <c r="F15" s="206" t="s">
        <v>66</v>
      </c>
      <c r="G15" s="28"/>
      <c r="H15" s="28"/>
      <c r="I15" s="88"/>
      <c r="J15" s="58"/>
      <c r="K15" s="60"/>
      <c r="L15" s="76"/>
    </row>
    <row r="16" spans="1:12" ht="15.75" customHeight="1" x14ac:dyDescent="0.25">
      <c r="A16" s="13"/>
      <c r="B16" s="73"/>
      <c r="C16" s="197"/>
      <c r="D16" s="117" t="s">
        <v>163</v>
      </c>
      <c r="E16" s="204">
        <f>E15/9</f>
        <v>88.666666666666671</v>
      </c>
      <c r="F16" s="206" t="s">
        <v>67</v>
      </c>
      <c r="G16" s="54"/>
      <c r="H16" s="54"/>
      <c r="I16" s="82"/>
      <c r="J16" s="58"/>
      <c r="K16" s="57"/>
      <c r="L16" s="76"/>
    </row>
    <row r="17" spans="1:12" ht="15.75" customHeight="1" x14ac:dyDescent="0.25">
      <c r="A17" s="13"/>
      <c r="B17" s="54"/>
      <c r="C17" s="117"/>
      <c r="D17" s="197"/>
      <c r="E17" s="207"/>
      <c r="F17" s="204"/>
      <c r="G17" s="52"/>
      <c r="H17" s="52"/>
      <c r="I17" s="63"/>
      <c r="J17" s="58"/>
      <c r="K17" s="89"/>
      <c r="L17" s="76"/>
    </row>
    <row r="18" spans="1:12" ht="15.95" customHeight="1" x14ac:dyDescent="0.25">
      <c r="A18" s="13"/>
      <c r="B18" s="11"/>
      <c r="C18" s="198"/>
      <c r="D18" s="198"/>
      <c r="E18" s="208"/>
      <c r="F18" s="198"/>
      <c r="G18" s="11"/>
      <c r="H18" s="11"/>
      <c r="I18" s="63"/>
      <c r="J18" s="58"/>
      <c r="K18" s="103"/>
      <c r="L18" s="76"/>
    </row>
    <row r="19" spans="1:12" ht="15.95" customHeight="1" x14ac:dyDescent="0.25">
      <c r="A19" s="13"/>
      <c r="B19" s="84"/>
      <c r="C19" s="197"/>
      <c r="D19" s="197"/>
      <c r="E19" s="117"/>
      <c r="F19" s="117"/>
      <c r="G19" s="11"/>
      <c r="H19" s="11"/>
      <c r="I19" s="63"/>
      <c r="J19" s="58"/>
      <c r="K19" s="60"/>
      <c r="L19" s="76"/>
    </row>
    <row r="20" spans="1:12" ht="15.95" customHeight="1" x14ac:dyDescent="0.25">
      <c r="A20" s="13"/>
      <c r="B20" s="34"/>
      <c r="C20" s="38"/>
      <c r="D20" s="197"/>
      <c r="E20" s="197"/>
      <c r="F20" s="197"/>
      <c r="G20" s="12"/>
      <c r="H20" s="12"/>
      <c r="I20" s="63"/>
      <c r="J20" s="58"/>
      <c r="K20" s="103"/>
      <c r="L20" s="76"/>
    </row>
    <row r="21" spans="1:12" ht="15.95" customHeight="1" x14ac:dyDescent="0.25">
      <c r="A21" s="13"/>
      <c r="B21" s="34"/>
      <c r="C21" s="38"/>
      <c r="D21" s="38"/>
      <c r="E21" s="38"/>
      <c r="F21" s="38"/>
      <c r="G21" s="12"/>
      <c r="H21" s="12"/>
      <c r="I21" s="63"/>
      <c r="J21" s="58"/>
      <c r="K21" s="60"/>
      <c r="L21" s="76"/>
    </row>
    <row r="22" spans="1:12" ht="15.95" customHeight="1" x14ac:dyDescent="0.25">
      <c r="A22" s="13"/>
      <c r="B22" s="73"/>
      <c r="C22" s="22"/>
      <c r="D22" s="11"/>
      <c r="E22" s="10"/>
      <c r="F22" s="10"/>
      <c r="G22" s="10"/>
      <c r="H22" s="10"/>
      <c r="I22" s="63"/>
      <c r="J22" s="58"/>
      <c r="K22" s="57"/>
      <c r="L22" s="76"/>
    </row>
    <row r="23" spans="1:12" ht="15.95" customHeight="1" x14ac:dyDescent="0.25">
      <c r="A23" s="13"/>
      <c r="B23" s="10"/>
      <c r="C23" s="22"/>
      <c r="D23" s="11"/>
      <c r="E23" s="10"/>
      <c r="F23" s="10"/>
      <c r="G23" s="12"/>
      <c r="H23" s="12"/>
      <c r="I23" s="63"/>
      <c r="J23" s="58"/>
      <c r="K23" s="59"/>
      <c r="L23" s="76"/>
    </row>
    <row r="24" spans="1:12" ht="18.75" customHeight="1" x14ac:dyDescent="0.25">
      <c r="A24" s="13"/>
      <c r="B24" s="54"/>
      <c r="C24" s="52"/>
      <c r="D24" s="87"/>
      <c r="E24" s="54"/>
      <c r="F24" s="54"/>
      <c r="G24" s="53"/>
      <c r="H24" s="53"/>
      <c r="I24" s="63"/>
      <c r="J24" s="58"/>
      <c r="K24" s="60"/>
      <c r="L24" s="76"/>
    </row>
    <row r="25" spans="1:12" ht="15.95" customHeight="1" x14ac:dyDescent="0.25">
      <c r="A25" s="13"/>
      <c r="B25" s="10"/>
      <c r="C25" s="11"/>
      <c r="D25" s="11"/>
      <c r="E25" s="10"/>
      <c r="F25" s="11"/>
      <c r="G25" s="11"/>
      <c r="H25" s="11"/>
      <c r="I25" s="63"/>
      <c r="J25" s="58"/>
      <c r="K25" s="60"/>
      <c r="L25" s="76"/>
    </row>
    <row r="26" spans="1:12" ht="15.95" customHeight="1" x14ac:dyDescent="0.25">
      <c r="A26" s="13"/>
      <c r="B26" s="10"/>
      <c r="C26" s="11"/>
      <c r="D26" s="11"/>
      <c r="E26" s="10"/>
      <c r="F26" s="11"/>
      <c r="G26" s="11"/>
      <c r="H26" s="11"/>
      <c r="I26" s="63"/>
      <c r="J26" s="58"/>
      <c r="K26" s="60"/>
      <c r="L26" s="76"/>
    </row>
    <row r="27" spans="1:12" ht="15.95" customHeight="1" x14ac:dyDescent="0.25">
      <c r="A27" s="13"/>
      <c r="B27" s="15"/>
      <c r="C27" s="11"/>
      <c r="D27" s="11"/>
      <c r="E27" s="10"/>
      <c r="F27" s="11"/>
      <c r="G27" s="11"/>
      <c r="H27" s="11"/>
      <c r="I27" s="63"/>
      <c r="J27" s="58"/>
      <c r="K27" s="60"/>
      <c r="L27" s="76"/>
    </row>
    <row r="28" spans="1:12" ht="15.95" customHeight="1" x14ac:dyDescent="0.25">
      <c r="A28" s="13"/>
      <c r="B28" s="10"/>
      <c r="C28" s="86"/>
      <c r="D28" s="30"/>
      <c r="E28" s="19"/>
      <c r="F28" s="11"/>
      <c r="G28" s="11"/>
      <c r="H28" s="30"/>
      <c r="I28" s="63"/>
      <c r="J28" s="58"/>
      <c r="K28" s="60"/>
      <c r="L28" s="76"/>
    </row>
    <row r="29" spans="1:12" ht="15.95" customHeight="1" x14ac:dyDescent="0.25">
      <c r="A29" s="13"/>
      <c r="B29" s="15"/>
      <c r="C29" s="86"/>
      <c r="D29" s="30"/>
      <c r="E29" s="19"/>
      <c r="F29" s="30"/>
      <c r="G29" s="11"/>
      <c r="H29" s="30"/>
      <c r="I29" s="63"/>
      <c r="J29" s="58"/>
      <c r="K29" s="60"/>
      <c r="L29" s="76"/>
    </row>
    <row r="30" spans="1:12" ht="15.95" customHeight="1" x14ac:dyDescent="0.25">
      <c r="A30" s="13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1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2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2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71"/>
      <c r="B46" s="10"/>
      <c r="C46" s="25"/>
      <c r="D46" s="25"/>
      <c r="E46" s="100"/>
      <c r="F46" s="100"/>
      <c r="G46" s="97"/>
      <c r="H46" s="25"/>
      <c r="I46" s="92"/>
      <c r="J46" s="32"/>
      <c r="K46" s="71"/>
      <c r="L46" s="77"/>
    </row>
    <row r="47" spans="1:12" ht="15.95" customHeight="1" thickBot="1" x14ac:dyDescent="0.3">
      <c r="A47" s="71"/>
      <c r="B47" s="67"/>
      <c r="C47" s="67"/>
      <c r="D47" s="67"/>
      <c r="E47" s="101"/>
      <c r="F47" s="101"/>
      <c r="G47" s="98"/>
      <c r="H47" s="67"/>
      <c r="I47" s="99"/>
      <c r="J47" s="68"/>
      <c r="K47" s="71"/>
      <c r="L47" s="77"/>
    </row>
    <row r="48" spans="1:12" ht="15.95" customHeight="1" thickBot="1" x14ac:dyDescent="0.3">
      <c r="A48" s="445" t="s">
        <v>13</v>
      </c>
      <c r="B48" s="446"/>
      <c r="C48" s="447"/>
      <c r="D48" s="447"/>
      <c r="E48" s="447"/>
      <c r="F48" s="447"/>
      <c r="G48" s="447"/>
      <c r="H48" s="447"/>
      <c r="I48" s="447"/>
      <c r="J48" s="448"/>
      <c r="K48" s="79">
        <f>K12+K18</f>
        <v>0</v>
      </c>
      <c r="L48" s="80">
        <f>E16</f>
        <v>88.666666666666671</v>
      </c>
    </row>
  </sheetData>
  <mergeCells count="8">
    <mergeCell ref="A7:J7"/>
    <mergeCell ref="A48:J48"/>
    <mergeCell ref="I1:J1"/>
    <mergeCell ref="I2:J2"/>
    <mergeCell ref="C4:D4"/>
    <mergeCell ref="F4:G4"/>
    <mergeCell ref="I4:L4"/>
    <mergeCell ref="C5:J5"/>
  </mergeCells>
  <pageMargins left="0.75" right="0" top="0.5" bottom="0.25" header="0.5" footer="0.25"/>
  <pageSetup scale="91" fitToHeight="2" orientation="portrait" r:id="rId1"/>
  <headerFooter>
    <oddFooter>&amp;L&amp;9&amp;Z&amp;F&amp;R&amp;9Printed &amp;D &amp;T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FF0000"/>
  </sheetPr>
  <dimension ref="A1:L48"/>
  <sheetViews>
    <sheetView showWhiteSpace="0" zoomScaleNormal="100" zoomScaleSheetLayoutView="85" workbookViewId="0">
      <selection activeCell="AJ31" sqref="AJ31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122">
        <v>44847</v>
      </c>
      <c r="H1" s="121" t="s">
        <v>5</v>
      </c>
      <c r="I1" s="449" t="s">
        <v>54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56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92</v>
      </c>
    </row>
    <row r="6" spans="1:12" ht="20.100000000000001" customHeight="1" thickBot="1" x14ac:dyDescent="0.3">
      <c r="A6" s="129"/>
      <c r="B6" s="29"/>
      <c r="C6" s="199"/>
      <c r="D6" s="29"/>
      <c r="E6" s="29"/>
      <c r="F6" s="19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73"/>
      <c r="C9" s="104"/>
      <c r="D9" s="94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13"/>
      <c r="B10" s="73"/>
      <c r="C10" s="22" t="s">
        <v>93</v>
      </c>
      <c r="D10" s="11"/>
      <c r="E10" s="10"/>
      <c r="F10" s="10"/>
      <c r="G10" s="10"/>
      <c r="H10" s="25"/>
      <c r="I10" s="92"/>
      <c r="J10" s="58"/>
      <c r="K10" s="60"/>
      <c r="L10" s="76"/>
    </row>
    <row r="11" spans="1:12" ht="16.5" customHeight="1" x14ac:dyDescent="0.25">
      <c r="A11" s="13"/>
      <c r="B11" s="54"/>
      <c r="C11" s="54"/>
      <c r="D11" s="54"/>
      <c r="E11" s="52"/>
      <c r="F11" s="54"/>
      <c r="G11" s="54"/>
      <c r="H11" s="54"/>
      <c r="I11" s="34"/>
      <c r="J11" s="58"/>
      <c r="K11" s="60"/>
      <c r="L11" s="76"/>
    </row>
    <row r="12" spans="1:12" ht="15.95" customHeight="1" x14ac:dyDescent="0.25">
      <c r="A12" s="13"/>
      <c r="B12" s="11"/>
      <c r="C12" s="11"/>
      <c r="D12" s="11"/>
      <c r="E12" s="22"/>
      <c r="F12" s="22"/>
      <c r="G12" s="22"/>
      <c r="H12" s="28"/>
      <c r="I12" s="88"/>
      <c r="J12" s="58"/>
      <c r="K12" s="103"/>
      <c r="L12" s="76"/>
    </row>
    <row r="13" spans="1:12" ht="15.95" customHeight="1" x14ac:dyDescent="0.25">
      <c r="A13" s="13"/>
      <c r="B13" s="10"/>
      <c r="C13" s="11"/>
      <c r="D13" s="11"/>
      <c r="E13" s="22"/>
      <c r="F13" s="22"/>
      <c r="G13" s="22"/>
      <c r="H13" s="28"/>
      <c r="I13" s="88"/>
      <c r="J13" s="58"/>
      <c r="K13" s="59"/>
      <c r="L13" s="76"/>
    </row>
    <row r="14" spans="1:12" ht="15.95" customHeight="1" x14ac:dyDescent="0.25">
      <c r="A14" s="13"/>
      <c r="B14" s="10"/>
      <c r="C14" s="11"/>
      <c r="D14" s="11"/>
      <c r="E14" s="22"/>
      <c r="F14" s="22"/>
      <c r="G14" s="28"/>
      <c r="H14" s="28"/>
      <c r="I14" s="88"/>
      <c r="J14" s="58"/>
      <c r="K14" s="60"/>
      <c r="L14" s="76"/>
    </row>
    <row r="15" spans="1:12" ht="15.95" customHeight="1" x14ac:dyDescent="0.25">
      <c r="A15" s="13"/>
      <c r="B15" s="73"/>
      <c r="C15" s="22"/>
      <c r="D15" s="94"/>
      <c r="E15" s="10"/>
      <c r="F15" s="10"/>
      <c r="G15" s="28"/>
      <c r="H15" s="28"/>
      <c r="I15" s="88"/>
      <c r="J15" s="58"/>
      <c r="K15" s="60"/>
      <c r="L15" s="76"/>
    </row>
    <row r="16" spans="1:12" ht="15.75" customHeight="1" x14ac:dyDescent="0.25">
      <c r="A16" s="13"/>
      <c r="B16" s="73"/>
      <c r="C16" s="22"/>
      <c r="D16" s="11"/>
      <c r="E16" s="10"/>
      <c r="F16" s="10"/>
      <c r="G16" s="54"/>
      <c r="H16" s="54"/>
      <c r="I16" s="82"/>
      <c r="J16" s="58"/>
      <c r="K16" s="57"/>
      <c r="L16" s="76"/>
    </row>
    <row r="17" spans="1:12" ht="15.75" customHeight="1" x14ac:dyDescent="0.25">
      <c r="A17" s="13"/>
      <c r="B17" s="54"/>
      <c r="C17" s="54"/>
      <c r="D17" s="54"/>
      <c r="E17" s="52"/>
      <c r="F17" s="54"/>
      <c r="G17" s="52"/>
      <c r="H17" s="52"/>
      <c r="I17" s="63"/>
      <c r="J17" s="58"/>
      <c r="K17" s="89"/>
      <c r="L17" s="76"/>
    </row>
    <row r="18" spans="1:12" ht="15.95" customHeight="1" x14ac:dyDescent="0.25">
      <c r="A18" s="13"/>
      <c r="B18" s="11"/>
      <c r="C18" s="11"/>
      <c r="D18" s="11"/>
      <c r="E18" s="22"/>
      <c r="F18" s="22"/>
      <c r="G18" s="11"/>
      <c r="H18" s="11"/>
      <c r="I18" s="63"/>
      <c r="J18" s="58"/>
      <c r="K18" s="103"/>
      <c r="L18" s="76"/>
    </row>
    <row r="19" spans="1:12" ht="15.95" customHeight="1" x14ac:dyDescent="0.25">
      <c r="A19" s="13"/>
      <c r="B19" s="84"/>
      <c r="C19" s="10"/>
      <c r="D19" s="11"/>
      <c r="E19" s="11"/>
      <c r="F19" s="11"/>
      <c r="G19" s="11"/>
      <c r="H19" s="11"/>
      <c r="I19" s="63"/>
      <c r="J19" s="58"/>
      <c r="K19" s="60"/>
      <c r="L19" s="76"/>
    </row>
    <row r="20" spans="1:12" ht="15.95" customHeight="1" x14ac:dyDescent="0.25">
      <c r="A20" s="13"/>
      <c r="B20" s="34"/>
      <c r="C20" s="34"/>
      <c r="D20" s="34"/>
      <c r="E20" s="34"/>
      <c r="F20" s="34"/>
      <c r="G20" s="12"/>
      <c r="H20" s="12"/>
      <c r="I20" s="63"/>
      <c r="J20" s="58"/>
      <c r="K20" s="103"/>
      <c r="L20" s="76"/>
    </row>
    <row r="21" spans="1:12" ht="15.95" customHeight="1" x14ac:dyDescent="0.25">
      <c r="A21" s="13"/>
      <c r="B21" s="34"/>
      <c r="C21" s="34"/>
      <c r="D21" s="34"/>
      <c r="E21" s="34"/>
      <c r="F21" s="34"/>
      <c r="G21" s="12"/>
      <c r="H21" s="12"/>
      <c r="I21" s="63"/>
      <c r="J21" s="58"/>
      <c r="K21" s="60"/>
      <c r="L21" s="76"/>
    </row>
    <row r="22" spans="1:12" ht="15.95" customHeight="1" x14ac:dyDescent="0.25">
      <c r="A22" s="13"/>
      <c r="B22" s="73"/>
      <c r="C22" s="22"/>
      <c r="D22" s="11"/>
      <c r="E22" s="10"/>
      <c r="F22" s="10"/>
      <c r="G22" s="10"/>
      <c r="H22" s="10"/>
      <c r="I22" s="63"/>
      <c r="J22" s="58"/>
      <c r="K22" s="57"/>
      <c r="L22" s="76"/>
    </row>
    <row r="23" spans="1:12" ht="15.95" customHeight="1" x14ac:dyDescent="0.25">
      <c r="A23" s="13"/>
      <c r="B23" s="10"/>
      <c r="C23" s="22"/>
      <c r="D23" s="11"/>
      <c r="E23" s="10"/>
      <c r="F23" s="10"/>
      <c r="G23" s="12"/>
      <c r="H23" s="12"/>
      <c r="I23" s="63"/>
      <c r="J23" s="58"/>
      <c r="K23" s="59"/>
      <c r="L23" s="76"/>
    </row>
    <row r="24" spans="1:12" ht="18.75" customHeight="1" x14ac:dyDescent="0.25">
      <c r="A24" s="13"/>
      <c r="B24" s="54"/>
      <c r="C24" s="52"/>
      <c r="D24" s="87"/>
      <c r="E24" s="54"/>
      <c r="F24" s="54"/>
      <c r="G24" s="53"/>
      <c r="H24" s="53"/>
      <c r="I24" s="63"/>
      <c r="J24" s="58"/>
      <c r="K24" s="60"/>
      <c r="L24" s="76"/>
    </row>
    <row r="25" spans="1:12" ht="15.95" customHeight="1" x14ac:dyDescent="0.25">
      <c r="A25" s="13"/>
      <c r="B25" s="10"/>
      <c r="C25" s="11"/>
      <c r="D25" s="11"/>
      <c r="E25" s="10"/>
      <c r="F25" s="11"/>
      <c r="G25" s="11"/>
      <c r="H25" s="11"/>
      <c r="I25" s="63"/>
      <c r="J25" s="58"/>
      <c r="K25" s="60"/>
      <c r="L25" s="76"/>
    </row>
    <row r="26" spans="1:12" ht="15.95" customHeight="1" x14ac:dyDescent="0.25">
      <c r="A26" s="13"/>
      <c r="B26" s="10"/>
      <c r="C26" s="11"/>
      <c r="D26" s="11"/>
      <c r="E26" s="10"/>
      <c r="F26" s="11"/>
      <c r="G26" s="11"/>
      <c r="H26" s="11"/>
      <c r="I26" s="63"/>
      <c r="J26" s="58"/>
      <c r="K26" s="60"/>
      <c r="L26" s="76"/>
    </row>
    <row r="27" spans="1:12" ht="15.95" customHeight="1" x14ac:dyDescent="0.25">
      <c r="A27" s="13"/>
      <c r="B27" s="15"/>
      <c r="C27" s="11"/>
      <c r="D27" s="11"/>
      <c r="E27" s="10"/>
      <c r="F27" s="11"/>
      <c r="G27" s="11"/>
      <c r="H27" s="11"/>
      <c r="I27" s="63"/>
      <c r="J27" s="58"/>
      <c r="K27" s="60"/>
      <c r="L27" s="76"/>
    </row>
    <row r="28" spans="1:12" ht="15.95" customHeight="1" x14ac:dyDescent="0.25">
      <c r="A28" s="13"/>
      <c r="B28" s="10"/>
      <c r="C28" s="86"/>
      <c r="D28" s="30"/>
      <c r="E28" s="19"/>
      <c r="F28" s="11"/>
      <c r="G28" s="11"/>
      <c r="H28" s="30"/>
      <c r="I28" s="63"/>
      <c r="J28" s="58"/>
      <c r="K28" s="60"/>
      <c r="L28" s="76"/>
    </row>
    <row r="29" spans="1:12" ht="15.95" customHeight="1" x14ac:dyDescent="0.25">
      <c r="A29" s="13"/>
      <c r="B29" s="15"/>
      <c r="C29" s="86"/>
      <c r="D29" s="30"/>
      <c r="E29" s="19"/>
      <c r="F29" s="30"/>
      <c r="G29" s="11"/>
      <c r="H29" s="30"/>
      <c r="I29" s="63"/>
      <c r="J29" s="58"/>
      <c r="K29" s="60"/>
      <c r="L29" s="76"/>
    </row>
    <row r="30" spans="1:12" ht="15.95" customHeight="1" x14ac:dyDescent="0.25">
      <c r="A30" s="13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1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2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2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71"/>
      <c r="B46" s="10"/>
      <c r="C46" s="25"/>
      <c r="D46" s="25"/>
      <c r="E46" s="100"/>
      <c r="F46" s="100"/>
      <c r="G46" s="97"/>
      <c r="H46" s="25"/>
      <c r="I46" s="92"/>
      <c r="J46" s="32"/>
      <c r="K46" s="71"/>
      <c r="L46" s="77"/>
    </row>
    <row r="47" spans="1:12" ht="15.95" customHeight="1" thickBot="1" x14ac:dyDescent="0.3">
      <c r="A47" s="71"/>
      <c r="B47" s="67"/>
      <c r="C47" s="67"/>
      <c r="D47" s="67"/>
      <c r="E47" s="101"/>
      <c r="F47" s="101"/>
      <c r="G47" s="98"/>
      <c r="H47" s="67"/>
      <c r="I47" s="99"/>
      <c r="J47" s="68"/>
      <c r="K47" s="71"/>
      <c r="L47" s="77"/>
    </row>
    <row r="48" spans="1:12" ht="15.95" customHeight="1" thickBot="1" x14ac:dyDescent="0.3">
      <c r="A48" s="445" t="s">
        <v>13</v>
      </c>
      <c r="B48" s="446"/>
      <c r="C48" s="447"/>
      <c r="D48" s="447"/>
      <c r="E48" s="447"/>
      <c r="F48" s="447"/>
      <c r="G48" s="447"/>
      <c r="H48" s="447"/>
      <c r="I48" s="447"/>
      <c r="J48" s="448"/>
      <c r="K48" s="79">
        <f>K12+K18</f>
        <v>0</v>
      </c>
      <c r="L48" s="80">
        <f>K48</f>
        <v>0</v>
      </c>
    </row>
  </sheetData>
  <mergeCells count="8">
    <mergeCell ref="A7:J7"/>
    <mergeCell ref="A48:J48"/>
    <mergeCell ref="I1:J1"/>
    <mergeCell ref="I2:J2"/>
    <mergeCell ref="C4:D4"/>
    <mergeCell ref="F4:G4"/>
    <mergeCell ref="I4:L4"/>
    <mergeCell ref="C5:J5"/>
  </mergeCells>
  <pageMargins left="0.75" right="0" top="0.5" bottom="0.25" header="0.5" footer="0.25"/>
  <pageSetup scale="91" fitToHeight="2" orientation="portrait" horizontalDpi="1200" verticalDpi="1200" r:id="rId1"/>
  <headerFooter>
    <oddFooter>&amp;L&amp;9&amp;Z&amp;F&amp;R&amp;9Printed 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L48"/>
  <sheetViews>
    <sheetView showWhiteSpace="0" view="pageBreakPreview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150</v>
      </c>
      <c r="F1" s="121" t="s">
        <v>4</v>
      </c>
      <c r="G1" s="349">
        <v>45107</v>
      </c>
      <c r="H1" s="121" t="s">
        <v>5</v>
      </c>
      <c r="I1" s="449" t="s">
        <v>231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1+'STR REMOVED'!I2:J2</f>
        <v>2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230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84</v>
      </c>
    </row>
    <row r="6" spans="1:12" ht="20.100000000000001" customHeight="1" thickBot="1" x14ac:dyDescent="0.3">
      <c r="A6" s="129"/>
      <c r="B6" s="29"/>
      <c r="C6" s="199"/>
      <c r="D6" s="29"/>
      <c r="E6" s="29"/>
      <c r="F6" s="19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457" t="s">
        <v>52</v>
      </c>
      <c r="C9" s="104"/>
      <c r="D9" s="94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13"/>
      <c r="B10" s="458"/>
      <c r="C10" s="333"/>
      <c r="D10" s="333"/>
      <c r="E10" s="326"/>
      <c r="F10" s="333"/>
      <c r="G10" s="333"/>
      <c r="H10" s="333"/>
      <c r="I10" s="334"/>
      <c r="J10" s="144"/>
      <c r="K10" s="274"/>
      <c r="L10" s="76"/>
    </row>
    <row r="11" spans="1:12" ht="16.5" customHeight="1" x14ac:dyDescent="0.25">
      <c r="A11" s="13"/>
      <c r="B11" s="147">
        <v>2650</v>
      </c>
      <c r="C11" s="271" t="s">
        <v>355</v>
      </c>
      <c r="D11" s="142"/>
      <c r="E11" s="146"/>
      <c r="F11" s="146"/>
      <c r="G11" s="146"/>
      <c r="H11" s="325"/>
      <c r="I11" s="247"/>
      <c r="J11" s="144"/>
      <c r="K11" s="281">
        <f>B11</f>
        <v>2650</v>
      </c>
      <c r="L11" s="76"/>
    </row>
    <row r="12" spans="1:12" ht="15.95" customHeight="1" x14ac:dyDescent="0.25">
      <c r="A12" s="13"/>
      <c r="B12" s="11"/>
      <c r="C12" s="49"/>
      <c r="D12" s="197"/>
      <c r="E12" s="203"/>
      <c r="F12" s="198"/>
      <c r="G12" s="22"/>
      <c r="H12" s="28"/>
      <c r="I12" s="88"/>
      <c r="J12" s="58"/>
      <c r="K12" s="103"/>
      <c r="L12" s="76"/>
    </row>
    <row r="13" spans="1:12" ht="15.95" customHeight="1" x14ac:dyDescent="0.25">
      <c r="A13" s="13"/>
      <c r="B13" s="10"/>
      <c r="C13" s="198"/>
      <c r="D13" s="198"/>
      <c r="E13" s="204"/>
      <c r="F13" s="205"/>
      <c r="G13" s="22"/>
      <c r="H13" s="28"/>
      <c r="I13" s="88"/>
      <c r="J13" s="58"/>
      <c r="K13" s="59"/>
      <c r="L13" s="76"/>
    </row>
    <row r="14" spans="1:12" ht="15.95" customHeight="1" x14ac:dyDescent="0.25">
      <c r="A14" s="13"/>
      <c r="B14" s="10"/>
      <c r="C14" s="197"/>
      <c r="D14" s="197"/>
      <c r="E14" s="204"/>
      <c r="F14" s="205"/>
      <c r="G14" s="28"/>
      <c r="H14" s="28"/>
      <c r="I14" s="88"/>
      <c r="J14" s="58"/>
      <c r="K14" s="60"/>
      <c r="L14" s="76"/>
    </row>
    <row r="15" spans="1:12" ht="15.95" customHeight="1" x14ac:dyDescent="0.25">
      <c r="A15" s="13"/>
      <c r="B15" s="73"/>
      <c r="C15" s="197"/>
      <c r="D15" s="197"/>
      <c r="E15" s="204"/>
      <c r="F15" s="206"/>
      <c r="G15" s="28"/>
      <c r="H15" s="28"/>
      <c r="I15" s="88"/>
      <c r="J15" s="58"/>
      <c r="K15" s="60"/>
      <c r="L15" s="76"/>
    </row>
    <row r="16" spans="1:12" ht="15.75" customHeight="1" x14ac:dyDescent="0.25">
      <c r="A16" s="13"/>
      <c r="B16" s="73"/>
      <c r="C16" s="197"/>
      <c r="D16" s="117"/>
      <c r="E16" s="204"/>
      <c r="F16" s="204"/>
      <c r="G16" s="54"/>
      <c r="H16" s="54"/>
      <c r="I16" s="82"/>
      <c r="J16" s="58"/>
      <c r="K16" s="57"/>
      <c r="L16" s="76"/>
    </row>
    <row r="17" spans="1:12" ht="15.75" customHeight="1" x14ac:dyDescent="0.25">
      <c r="A17" s="13"/>
      <c r="B17" s="54"/>
      <c r="C17" s="117"/>
      <c r="D17" s="197"/>
      <c r="E17" s="207"/>
      <c r="F17" s="204"/>
      <c r="G17" s="52"/>
      <c r="H17" s="52"/>
      <c r="I17" s="63"/>
      <c r="J17" s="58"/>
      <c r="K17" s="89"/>
      <c r="L17" s="76"/>
    </row>
    <row r="18" spans="1:12" ht="15.95" customHeight="1" x14ac:dyDescent="0.25">
      <c r="A18" s="13"/>
      <c r="B18" s="11"/>
      <c r="C18" s="198"/>
      <c r="D18" s="198"/>
      <c r="E18" s="208"/>
      <c r="F18" s="198"/>
      <c r="G18" s="11"/>
      <c r="H18" s="11"/>
      <c r="I18" s="63"/>
      <c r="J18" s="58"/>
      <c r="K18" s="103"/>
      <c r="L18" s="76"/>
    </row>
    <row r="19" spans="1:12" ht="15.95" customHeight="1" x14ac:dyDescent="0.25">
      <c r="A19" s="13"/>
      <c r="B19" s="84"/>
      <c r="C19" s="197"/>
      <c r="D19" s="197"/>
      <c r="E19" s="117"/>
      <c r="F19" s="117"/>
      <c r="G19" s="11"/>
      <c r="H19" s="11"/>
      <c r="I19" s="63"/>
      <c r="J19" s="58"/>
      <c r="K19" s="60"/>
      <c r="L19" s="76"/>
    </row>
    <row r="20" spans="1:12" ht="15.95" customHeight="1" x14ac:dyDescent="0.25">
      <c r="A20" s="13"/>
      <c r="B20" s="34"/>
      <c r="C20" s="38"/>
      <c r="D20" s="197"/>
      <c r="E20" s="197"/>
      <c r="F20" s="197"/>
      <c r="G20" s="12"/>
      <c r="H20" s="12"/>
      <c r="I20" s="63"/>
      <c r="J20" s="58"/>
      <c r="K20" s="103"/>
      <c r="L20" s="76"/>
    </row>
    <row r="21" spans="1:12" ht="15.95" customHeight="1" x14ac:dyDescent="0.25">
      <c r="A21" s="13"/>
      <c r="B21" s="34"/>
      <c r="C21" s="38"/>
      <c r="D21" s="38"/>
      <c r="E21" s="38"/>
      <c r="F21" s="38"/>
      <c r="G21" s="12"/>
      <c r="H21" s="12"/>
      <c r="I21" s="63"/>
      <c r="J21" s="58"/>
      <c r="K21" s="60"/>
      <c r="L21" s="76"/>
    </row>
    <row r="22" spans="1:12" ht="15.95" customHeight="1" x14ac:dyDescent="0.25">
      <c r="A22" s="13"/>
      <c r="B22" s="73"/>
      <c r="C22" s="22"/>
      <c r="D22" s="11"/>
      <c r="E22" s="10"/>
      <c r="F22" s="10"/>
      <c r="G22" s="10"/>
      <c r="H22" s="10"/>
      <c r="I22" s="63"/>
      <c r="J22" s="58"/>
      <c r="K22" s="57"/>
      <c r="L22" s="76"/>
    </row>
    <row r="23" spans="1:12" ht="15.95" customHeight="1" x14ac:dyDescent="0.25">
      <c r="A23" s="13"/>
      <c r="B23" s="10"/>
      <c r="C23" s="22"/>
      <c r="D23" s="11"/>
      <c r="E23" s="10"/>
      <c r="F23" s="10"/>
      <c r="G23" s="12"/>
      <c r="H23" s="12"/>
      <c r="I23" s="63"/>
      <c r="J23" s="58"/>
      <c r="K23" s="59"/>
      <c r="L23" s="76"/>
    </row>
    <row r="24" spans="1:12" ht="18.75" customHeight="1" x14ac:dyDescent="0.25">
      <c r="A24" s="13"/>
      <c r="B24" s="54"/>
      <c r="C24" s="52"/>
      <c r="D24" s="87"/>
      <c r="E24" s="54"/>
      <c r="F24" s="54"/>
      <c r="G24" s="53"/>
      <c r="H24" s="53"/>
      <c r="I24" s="63"/>
      <c r="J24" s="58"/>
      <c r="K24" s="60"/>
      <c r="L24" s="76"/>
    </row>
    <row r="25" spans="1:12" ht="15.95" customHeight="1" x14ac:dyDescent="0.25">
      <c r="A25" s="13"/>
      <c r="B25" s="10"/>
      <c r="C25" s="11"/>
      <c r="D25" s="11"/>
      <c r="E25" s="10"/>
      <c r="F25" s="11"/>
      <c r="G25" s="11"/>
      <c r="H25" s="11"/>
      <c r="I25" s="63"/>
      <c r="J25" s="58"/>
      <c r="K25" s="60"/>
      <c r="L25" s="76"/>
    </row>
    <row r="26" spans="1:12" ht="15.95" customHeight="1" x14ac:dyDescent="0.25">
      <c r="A26" s="13"/>
      <c r="B26" s="10"/>
      <c r="C26" s="11"/>
      <c r="D26" s="11"/>
      <c r="E26" s="10"/>
      <c r="F26" s="11"/>
      <c r="G26" s="11"/>
      <c r="H26" s="11"/>
      <c r="I26" s="63"/>
      <c r="J26" s="58"/>
      <c r="K26" s="60"/>
      <c r="L26" s="76"/>
    </row>
    <row r="27" spans="1:12" ht="15.95" customHeight="1" x14ac:dyDescent="0.25">
      <c r="A27" s="13"/>
      <c r="B27" s="15"/>
      <c r="C27" s="11"/>
      <c r="D27" s="11"/>
      <c r="E27" s="10"/>
      <c r="F27" s="11"/>
      <c r="G27" s="11"/>
      <c r="H27" s="11"/>
      <c r="I27" s="63"/>
      <c r="J27" s="58"/>
      <c r="K27" s="60"/>
      <c r="L27" s="76"/>
    </row>
    <row r="28" spans="1:12" ht="15.95" customHeight="1" x14ac:dyDescent="0.25">
      <c r="A28" s="13"/>
      <c r="B28" s="10"/>
      <c r="C28" s="86"/>
      <c r="D28" s="30"/>
      <c r="E28" s="19"/>
      <c r="F28" s="11"/>
      <c r="G28" s="11"/>
      <c r="H28" s="30"/>
      <c r="I28" s="63"/>
      <c r="J28" s="58"/>
      <c r="K28" s="60"/>
      <c r="L28" s="76"/>
    </row>
    <row r="29" spans="1:12" ht="15.95" customHeight="1" x14ac:dyDescent="0.25">
      <c r="A29" s="13"/>
      <c r="B29" s="15"/>
      <c r="C29" s="86"/>
      <c r="D29" s="30"/>
      <c r="E29" s="19"/>
      <c r="F29" s="30"/>
      <c r="G29" s="11"/>
      <c r="H29" s="30"/>
      <c r="I29" s="63"/>
      <c r="J29" s="58"/>
      <c r="K29" s="60"/>
      <c r="L29" s="76"/>
    </row>
    <row r="30" spans="1:12" ht="15.95" customHeight="1" x14ac:dyDescent="0.25">
      <c r="A30" s="13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1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2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2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71"/>
      <c r="B46" s="10"/>
      <c r="C46" s="25"/>
      <c r="D46" s="25"/>
      <c r="E46" s="100"/>
      <c r="F46" s="100"/>
      <c r="G46" s="97"/>
      <c r="H46" s="25"/>
      <c r="I46" s="92"/>
      <c r="J46" s="32"/>
      <c r="K46" s="71"/>
      <c r="L46" s="77"/>
    </row>
    <row r="47" spans="1:12" ht="15.95" customHeight="1" thickBot="1" x14ac:dyDescent="0.3">
      <c r="A47" s="71"/>
      <c r="B47" s="67"/>
      <c r="C47" s="67"/>
      <c r="D47" s="67"/>
      <c r="E47" s="101"/>
      <c r="F47" s="101"/>
      <c r="G47" s="98"/>
      <c r="H47" s="67"/>
      <c r="I47" s="99"/>
      <c r="J47" s="68"/>
      <c r="K47" s="71"/>
      <c r="L47" s="77"/>
    </row>
    <row r="48" spans="1:12" ht="15.95" customHeight="1" thickBot="1" x14ac:dyDescent="0.3">
      <c r="A48" s="445" t="s">
        <v>13</v>
      </c>
      <c r="B48" s="446"/>
      <c r="C48" s="447"/>
      <c r="D48" s="447"/>
      <c r="E48" s="447"/>
      <c r="F48" s="447"/>
      <c r="G48" s="447"/>
      <c r="H48" s="447"/>
      <c r="I48" s="447"/>
      <c r="J48" s="448"/>
      <c r="K48" s="79">
        <f>SUM(K8:K47)</f>
        <v>2650</v>
      </c>
      <c r="L48" s="80">
        <f>K48</f>
        <v>2650</v>
      </c>
    </row>
  </sheetData>
  <mergeCells count="9">
    <mergeCell ref="A7:J7"/>
    <mergeCell ref="A48:J48"/>
    <mergeCell ref="B9:B10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FF0000"/>
  </sheetPr>
  <dimension ref="A1:L46"/>
  <sheetViews>
    <sheetView showWhiteSpace="0" zoomScaleNormal="100" zoomScaleSheetLayoutView="85" workbookViewId="0">
      <selection activeCell="AJ31" sqref="AJ31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122">
        <v>44847</v>
      </c>
      <c r="H1" s="121" t="s">
        <v>5</v>
      </c>
      <c r="I1" s="449" t="s">
        <v>124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122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34</v>
      </c>
    </row>
    <row r="6" spans="1:12" ht="20.100000000000001" customHeight="1" thickBot="1" x14ac:dyDescent="0.3">
      <c r="A6" s="129"/>
      <c r="B6" s="29"/>
      <c r="C6" s="29"/>
      <c r="D6" s="29"/>
      <c r="E6" s="29"/>
      <c r="F6" s="2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73" t="s">
        <v>19</v>
      </c>
      <c r="C9" s="104"/>
      <c r="D9" s="94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13"/>
      <c r="B10" s="73"/>
      <c r="C10" s="104"/>
      <c r="D10" s="94"/>
      <c r="E10" s="38" t="s">
        <v>114</v>
      </c>
      <c r="F10" s="10">
        <f>'HP10X42 DRIV.'!B17</f>
        <v>35</v>
      </c>
      <c r="G10" s="9" t="s">
        <v>17</v>
      </c>
      <c r="H10" s="25"/>
      <c r="I10" s="92"/>
      <c r="J10" s="58"/>
      <c r="K10" s="60"/>
      <c r="L10" s="76"/>
    </row>
    <row r="11" spans="1:12" ht="15.95" customHeight="1" x14ac:dyDescent="0.25">
      <c r="A11" s="13"/>
      <c r="B11" s="73"/>
      <c r="C11" s="104"/>
      <c r="D11" s="94"/>
      <c r="E11" s="38" t="s">
        <v>116</v>
      </c>
      <c r="F11" s="10">
        <v>5</v>
      </c>
      <c r="G11" s="9" t="s">
        <v>17</v>
      </c>
      <c r="H11" s="25"/>
      <c r="I11" s="92"/>
      <c r="J11" s="58"/>
      <c r="K11" s="60"/>
      <c r="L11" s="76"/>
    </row>
    <row r="12" spans="1:12" ht="15.95" customHeight="1" x14ac:dyDescent="0.25">
      <c r="A12" s="13"/>
      <c r="B12" s="73"/>
      <c r="C12" s="104"/>
      <c r="D12" s="94"/>
      <c r="E12" s="38" t="s">
        <v>117</v>
      </c>
      <c r="F12" s="10">
        <f>F11+F10</f>
        <v>40</v>
      </c>
      <c r="G12" s="9" t="s">
        <v>17</v>
      </c>
      <c r="H12" s="25"/>
      <c r="I12" s="92"/>
      <c r="J12" s="58"/>
      <c r="K12" s="60"/>
      <c r="L12" s="76"/>
    </row>
    <row r="13" spans="1:12" ht="15.95" customHeight="1" x14ac:dyDescent="0.25">
      <c r="A13" s="13"/>
      <c r="B13" s="73"/>
      <c r="C13" s="22"/>
      <c r="D13" s="11"/>
      <c r="E13" s="10"/>
      <c r="F13" s="10"/>
      <c r="G13" s="9"/>
      <c r="H13" s="25"/>
      <c r="I13" s="92"/>
      <c r="J13" s="58"/>
      <c r="K13" s="60"/>
      <c r="L13" s="76"/>
    </row>
    <row r="14" spans="1:12" ht="47.25" customHeight="1" thickBot="1" x14ac:dyDescent="0.3">
      <c r="A14" s="13"/>
      <c r="B14" s="55" t="s">
        <v>35</v>
      </c>
      <c r="C14" s="55" t="s">
        <v>36</v>
      </c>
      <c r="D14" s="55" t="s">
        <v>37</v>
      </c>
      <c r="E14" s="52"/>
      <c r="F14" s="54"/>
      <c r="G14" s="54"/>
      <c r="H14" s="54"/>
      <c r="I14" s="34"/>
      <c r="J14" s="58"/>
      <c r="K14" s="60"/>
      <c r="L14" s="76"/>
    </row>
    <row r="15" spans="1:12" ht="15.95" customHeight="1" x14ac:dyDescent="0.25">
      <c r="A15" s="13"/>
      <c r="B15" s="30">
        <f>F12</f>
        <v>40</v>
      </c>
      <c r="C15" s="88">
        <f>'HP10X42 DRIV.'!C17</f>
        <v>9</v>
      </c>
      <c r="D15" s="30">
        <f>B15*C15</f>
        <v>360</v>
      </c>
      <c r="E15" s="22"/>
      <c r="F15" s="22"/>
      <c r="G15" s="22"/>
      <c r="H15" s="28"/>
      <c r="I15" s="88"/>
      <c r="J15" s="58"/>
      <c r="K15" s="103">
        <f>D15</f>
        <v>360</v>
      </c>
      <c r="L15" s="76"/>
    </row>
    <row r="16" spans="1:12" ht="15.95" customHeight="1" x14ac:dyDescent="0.25">
      <c r="A16" s="13"/>
      <c r="B16" s="10"/>
      <c r="C16" s="11"/>
      <c r="D16" s="11"/>
      <c r="E16" s="22"/>
      <c r="F16" s="22"/>
      <c r="G16" s="22"/>
      <c r="H16" s="28"/>
      <c r="I16" s="88"/>
      <c r="J16" s="58"/>
      <c r="K16" s="59"/>
      <c r="L16" s="76"/>
    </row>
    <row r="17" spans="1:12" ht="15.95" customHeight="1" x14ac:dyDescent="0.25">
      <c r="A17" s="13"/>
      <c r="B17" s="10"/>
      <c r="C17" s="11"/>
      <c r="D17" s="11"/>
      <c r="E17" s="22"/>
      <c r="F17" s="22"/>
      <c r="G17" s="28"/>
      <c r="H17" s="28"/>
      <c r="I17" s="88"/>
      <c r="J17" s="58"/>
      <c r="K17" s="60"/>
      <c r="L17" s="76"/>
    </row>
    <row r="18" spans="1:12" ht="15.95" customHeight="1" x14ac:dyDescent="0.25">
      <c r="A18" s="13"/>
      <c r="B18" s="73" t="s">
        <v>20</v>
      </c>
      <c r="C18" s="104"/>
      <c r="D18" s="94"/>
      <c r="E18" s="10"/>
      <c r="F18" s="10"/>
      <c r="G18" s="10"/>
      <c r="H18" s="10"/>
      <c r="I18" s="63"/>
      <c r="J18" s="58"/>
      <c r="K18" s="60"/>
      <c r="L18" s="76"/>
    </row>
    <row r="19" spans="1:12" ht="15.95" customHeight="1" x14ac:dyDescent="0.25">
      <c r="A19" s="13"/>
      <c r="B19" s="73"/>
      <c r="C19" s="104"/>
      <c r="D19" s="94"/>
      <c r="E19" s="38" t="s">
        <v>114</v>
      </c>
      <c r="F19" s="10">
        <f>'HP10X42 DRIV.'!B28</f>
        <v>25</v>
      </c>
      <c r="G19" s="9" t="s">
        <v>17</v>
      </c>
      <c r="H19" s="25"/>
      <c r="I19" s="92"/>
      <c r="J19" s="58"/>
      <c r="K19" s="60"/>
      <c r="L19" s="76"/>
    </row>
    <row r="20" spans="1:12" ht="15.95" customHeight="1" x14ac:dyDescent="0.25">
      <c r="A20" s="13"/>
      <c r="B20" s="73"/>
      <c r="C20" s="104"/>
      <c r="D20" s="94"/>
      <c r="E20" s="38" t="s">
        <v>116</v>
      </c>
      <c r="F20" s="10">
        <v>5</v>
      </c>
      <c r="G20" s="9" t="s">
        <v>17</v>
      </c>
      <c r="H20" s="25"/>
      <c r="I20" s="92"/>
      <c r="J20" s="58"/>
      <c r="K20" s="60"/>
      <c r="L20" s="76"/>
    </row>
    <row r="21" spans="1:12" ht="15.95" customHeight="1" x14ac:dyDescent="0.25">
      <c r="A21" s="13"/>
      <c r="B21" s="73"/>
      <c r="C21" s="104"/>
      <c r="D21" s="94"/>
      <c r="E21" s="38" t="s">
        <v>117</v>
      </c>
      <c r="F21" s="10">
        <f>F20+F19</f>
        <v>30</v>
      </c>
      <c r="G21" s="9" t="s">
        <v>17</v>
      </c>
      <c r="H21" s="25"/>
      <c r="I21" s="92"/>
      <c r="J21" s="58"/>
      <c r="K21" s="60"/>
      <c r="L21" s="76"/>
    </row>
    <row r="22" spans="1:12" ht="15.95" customHeight="1" x14ac:dyDescent="0.25">
      <c r="A22" s="13"/>
      <c r="B22" s="73"/>
      <c r="C22" s="22"/>
      <c r="D22" s="11"/>
      <c r="E22" s="10"/>
      <c r="F22" s="10"/>
      <c r="G22" s="9"/>
      <c r="H22" s="25"/>
      <c r="I22" s="92"/>
      <c r="J22" s="58"/>
      <c r="K22" s="60"/>
      <c r="L22" s="76"/>
    </row>
    <row r="23" spans="1:12" ht="47.25" customHeight="1" thickBot="1" x14ac:dyDescent="0.3">
      <c r="A23" s="13"/>
      <c r="B23" s="55" t="s">
        <v>35</v>
      </c>
      <c r="C23" s="55" t="s">
        <v>36</v>
      </c>
      <c r="D23" s="55" t="s">
        <v>37</v>
      </c>
      <c r="E23" s="52"/>
      <c r="F23" s="54"/>
      <c r="G23" s="54"/>
      <c r="H23" s="54"/>
      <c r="I23" s="34"/>
      <c r="J23" s="58"/>
      <c r="K23" s="60"/>
      <c r="L23" s="76"/>
    </row>
    <row r="24" spans="1:12" ht="15.95" customHeight="1" x14ac:dyDescent="0.25">
      <c r="A24" s="13"/>
      <c r="B24" s="30">
        <f>F21</f>
        <v>30</v>
      </c>
      <c r="C24" s="88">
        <f>'HP10X42 DRIV.'!C28</f>
        <v>9</v>
      </c>
      <c r="D24" s="30">
        <f>B24*C24</f>
        <v>270</v>
      </c>
      <c r="E24" s="22"/>
      <c r="F24" s="22"/>
      <c r="G24" s="22"/>
      <c r="H24" s="28"/>
      <c r="I24" s="88"/>
      <c r="J24" s="58"/>
      <c r="K24" s="103">
        <f>D24</f>
        <v>270</v>
      </c>
      <c r="L24" s="76"/>
    </row>
    <row r="25" spans="1:12" ht="15.95" customHeight="1" x14ac:dyDescent="0.25">
      <c r="A25" s="13"/>
      <c r="B25" s="73"/>
      <c r="C25" s="22"/>
      <c r="D25" s="11"/>
      <c r="E25" s="10"/>
      <c r="F25" s="10"/>
      <c r="G25" s="10"/>
      <c r="H25" s="10"/>
      <c r="I25" s="63"/>
      <c r="J25" s="58"/>
      <c r="K25" s="57"/>
      <c r="L25" s="76"/>
    </row>
    <row r="26" spans="1:12" ht="15.95" customHeight="1" x14ac:dyDescent="0.25">
      <c r="A26" s="13"/>
      <c r="B26" s="10"/>
      <c r="C26" s="22"/>
      <c r="D26" s="11"/>
      <c r="E26" s="10"/>
      <c r="F26" s="10"/>
      <c r="G26" s="12"/>
      <c r="H26" s="12"/>
      <c r="I26" s="63"/>
      <c r="J26" s="58"/>
      <c r="K26" s="59"/>
      <c r="L26" s="76"/>
    </row>
    <row r="27" spans="1:12" ht="18.75" customHeight="1" x14ac:dyDescent="0.25">
      <c r="A27" s="13"/>
      <c r="B27" s="54"/>
      <c r="C27" s="52"/>
      <c r="D27" s="87"/>
      <c r="E27" s="54"/>
      <c r="F27" s="54"/>
      <c r="G27" s="53"/>
      <c r="H27" s="53"/>
      <c r="I27" s="63"/>
      <c r="J27" s="58"/>
      <c r="K27" s="60"/>
      <c r="L27" s="76"/>
    </row>
    <row r="28" spans="1:12" ht="15.95" customHeight="1" x14ac:dyDescent="0.25">
      <c r="A28" s="13"/>
      <c r="B28" s="10"/>
      <c r="C28" s="11"/>
      <c r="D28" s="11"/>
      <c r="E28" s="10"/>
      <c r="F28" s="11"/>
      <c r="G28" s="11"/>
      <c r="H28" s="11"/>
      <c r="I28" s="63"/>
      <c r="J28" s="58"/>
      <c r="K28" s="60"/>
      <c r="L28" s="76"/>
    </row>
    <row r="29" spans="1:12" ht="15.95" customHeight="1" x14ac:dyDescent="0.25">
      <c r="A29" s="13"/>
      <c r="B29" s="10"/>
      <c r="C29" s="11"/>
      <c r="D29" s="11"/>
      <c r="E29" s="10"/>
      <c r="F29" s="11"/>
      <c r="G29" s="11"/>
      <c r="H29" s="11"/>
      <c r="I29" s="63"/>
      <c r="J29" s="58"/>
      <c r="K29" s="60"/>
      <c r="L29" s="76"/>
    </row>
    <row r="30" spans="1:12" ht="15.95" customHeight="1" x14ac:dyDescent="0.25">
      <c r="A30" s="13"/>
      <c r="B30" s="15"/>
      <c r="C30" s="11"/>
      <c r="D30" s="11"/>
      <c r="E30" s="10"/>
      <c r="F30" s="11"/>
      <c r="G30" s="11"/>
      <c r="H30" s="11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1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2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2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2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2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0"/>
      <c r="H43" s="10"/>
      <c r="I43" s="63"/>
      <c r="J43" s="58"/>
      <c r="K43" s="60"/>
      <c r="L43" s="76"/>
    </row>
    <row r="44" spans="1:12" ht="15.95" customHeight="1" x14ac:dyDescent="0.25">
      <c r="A44" s="71"/>
      <c r="B44" s="10"/>
      <c r="C44" s="25"/>
      <c r="D44" s="25"/>
      <c r="E44" s="100"/>
      <c r="F44" s="100"/>
      <c r="G44" s="97"/>
      <c r="H44" s="25"/>
      <c r="I44" s="92"/>
      <c r="J44" s="32"/>
      <c r="K44" s="71"/>
      <c r="L44" s="77"/>
    </row>
    <row r="45" spans="1:12" ht="15.95" customHeight="1" thickBot="1" x14ac:dyDescent="0.3">
      <c r="A45" s="71"/>
      <c r="B45" s="67"/>
      <c r="C45" s="67"/>
      <c r="D45" s="67"/>
      <c r="E45" s="101"/>
      <c r="F45" s="101"/>
      <c r="G45" s="98"/>
      <c r="H45" s="67"/>
      <c r="I45" s="99"/>
      <c r="J45" s="68"/>
      <c r="K45" s="71"/>
      <c r="L45" s="77"/>
    </row>
    <row r="46" spans="1:12" ht="15.95" customHeight="1" thickBot="1" x14ac:dyDescent="0.3">
      <c r="A46" s="445" t="s">
        <v>13</v>
      </c>
      <c r="B46" s="446"/>
      <c r="C46" s="446"/>
      <c r="D46" s="446"/>
      <c r="E46" s="446"/>
      <c r="F46" s="446"/>
      <c r="G46" s="446"/>
      <c r="H46" s="446"/>
      <c r="I46" s="446"/>
      <c r="J46" s="479"/>
      <c r="K46" s="79">
        <f>SUM(K8:K45)</f>
        <v>630</v>
      </c>
      <c r="L46" s="80">
        <f>K46</f>
        <v>630</v>
      </c>
    </row>
  </sheetData>
  <mergeCells count="8">
    <mergeCell ref="A7:J7"/>
    <mergeCell ref="A46:J46"/>
    <mergeCell ref="I1:J1"/>
    <mergeCell ref="I2:J2"/>
    <mergeCell ref="C4:D4"/>
    <mergeCell ref="F4:G4"/>
    <mergeCell ref="I4:L4"/>
    <mergeCell ref="C5:J5"/>
  </mergeCells>
  <pageMargins left="0.75" right="0" top="0.5" bottom="0.25" header="0.5" footer="0.25"/>
  <pageSetup scale="91" fitToHeight="2" orientation="portrait" horizontalDpi="1200" verticalDpi="1200" r:id="rId1"/>
  <headerFooter>
    <oddFooter>&amp;L&amp;9&amp;Z&amp;F&amp;R&amp;9Printed &amp;D &amp;T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0000"/>
  </sheetPr>
  <dimension ref="A1:L46"/>
  <sheetViews>
    <sheetView showWhiteSpace="0" zoomScaleNormal="100" zoomScaleSheetLayoutView="85" workbookViewId="0">
      <selection activeCell="AJ31" sqref="AJ31"/>
    </sheetView>
  </sheetViews>
  <sheetFormatPr defaultColWidth="2.85546875" defaultRowHeight="15" customHeight="1" x14ac:dyDescent="0.25"/>
  <cols>
    <col min="2" max="2" width="9.5703125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122">
        <v>44847</v>
      </c>
      <c r="H1" s="121" t="s">
        <v>5</v>
      </c>
      <c r="I1" s="449" t="s">
        <v>125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123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34</v>
      </c>
    </row>
    <row r="6" spans="1:12" ht="20.100000000000001" customHeight="1" thickBot="1" x14ac:dyDescent="0.3">
      <c r="A6" s="129"/>
      <c r="B6" s="29"/>
      <c r="C6" s="29"/>
      <c r="D6" s="29"/>
      <c r="E6" s="29"/>
      <c r="F6" s="2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73" t="s">
        <v>19</v>
      </c>
      <c r="C9" s="104"/>
      <c r="D9" s="94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13"/>
      <c r="B10" s="73"/>
      <c r="C10" s="104"/>
      <c r="D10" s="197" t="s">
        <v>112</v>
      </c>
      <c r="E10" s="10">
        <v>860.75</v>
      </c>
      <c r="F10" s="10"/>
      <c r="G10" s="10"/>
      <c r="H10" s="25"/>
      <c r="I10" s="92"/>
      <c r="J10" s="58"/>
      <c r="K10" s="60"/>
      <c r="L10" s="76"/>
    </row>
    <row r="11" spans="1:12" ht="15.95" customHeight="1" x14ac:dyDescent="0.25">
      <c r="A11" s="13"/>
      <c r="B11" s="73"/>
      <c r="C11" s="104"/>
      <c r="D11" s="197" t="s">
        <v>148</v>
      </c>
      <c r="E11" s="10">
        <v>829.3</v>
      </c>
      <c r="F11" s="9" t="s">
        <v>149</v>
      </c>
      <c r="G11" s="10"/>
      <c r="H11" s="25"/>
      <c r="I11" s="92"/>
      <c r="J11" s="58"/>
      <c r="K11" s="60"/>
      <c r="L11" s="76"/>
    </row>
    <row r="12" spans="1:12" ht="15.95" customHeight="1" x14ac:dyDescent="0.25">
      <c r="A12" s="13"/>
      <c r="B12" s="73"/>
      <c r="C12" s="104"/>
      <c r="D12" s="197" t="s">
        <v>113</v>
      </c>
      <c r="E12" s="10">
        <v>2</v>
      </c>
      <c r="F12" s="9" t="s">
        <v>17</v>
      </c>
      <c r="G12" s="10"/>
      <c r="H12" s="25"/>
      <c r="I12" s="92"/>
      <c r="J12" s="58"/>
      <c r="K12" s="60"/>
      <c r="L12" s="76"/>
    </row>
    <row r="13" spans="1:12" ht="15.95" customHeight="1" x14ac:dyDescent="0.25">
      <c r="A13" s="13"/>
      <c r="B13" s="73"/>
      <c r="C13" s="104"/>
      <c r="D13" s="197" t="s">
        <v>114</v>
      </c>
      <c r="E13" s="10">
        <f>E10-E11+E12</f>
        <v>33.450000000000045</v>
      </c>
      <c r="F13" s="9" t="s">
        <v>17</v>
      </c>
      <c r="G13" s="10"/>
      <c r="H13" s="25"/>
      <c r="I13" s="92"/>
      <c r="J13" s="58"/>
      <c r="K13" s="60"/>
      <c r="L13" s="76"/>
    </row>
    <row r="14" spans="1:12" ht="15.95" customHeight="1" x14ac:dyDescent="0.25">
      <c r="A14" s="13"/>
      <c r="B14" s="73"/>
      <c r="C14" s="104"/>
      <c r="D14" s="197" t="s">
        <v>115</v>
      </c>
      <c r="E14" s="10">
        <v>35</v>
      </c>
      <c r="F14" s="9" t="s">
        <v>17</v>
      </c>
      <c r="G14" s="10"/>
      <c r="H14" s="25"/>
      <c r="I14" s="92"/>
      <c r="J14" s="58"/>
      <c r="K14" s="60"/>
      <c r="L14" s="76"/>
    </row>
    <row r="15" spans="1:12" ht="15.95" customHeight="1" x14ac:dyDescent="0.25">
      <c r="A15" s="13"/>
      <c r="B15" s="73"/>
      <c r="C15" s="22"/>
      <c r="D15" s="197"/>
      <c r="E15" s="10"/>
      <c r="F15" s="10"/>
      <c r="G15" s="10"/>
      <c r="H15" s="25"/>
      <c r="I15" s="92"/>
      <c r="J15" s="58"/>
      <c r="K15" s="60"/>
      <c r="L15" s="76"/>
    </row>
    <row r="16" spans="1:12" ht="47.25" customHeight="1" thickBot="1" x14ac:dyDescent="0.3">
      <c r="A16" s="13"/>
      <c r="B16" s="55" t="s">
        <v>39</v>
      </c>
      <c r="C16" s="55" t="s">
        <v>36</v>
      </c>
      <c r="D16" s="55" t="s">
        <v>38</v>
      </c>
      <c r="E16" s="52"/>
      <c r="F16" s="54"/>
      <c r="G16" s="54"/>
      <c r="H16" s="54"/>
      <c r="I16" s="34"/>
      <c r="J16" s="58"/>
      <c r="K16" s="60"/>
      <c r="L16" s="76"/>
    </row>
    <row r="17" spans="1:12" ht="15.95" customHeight="1" x14ac:dyDescent="0.25">
      <c r="A17" s="13"/>
      <c r="B17" s="30">
        <f>E14</f>
        <v>35</v>
      </c>
      <c r="C17" s="88">
        <v>9</v>
      </c>
      <c r="D17" s="30">
        <f>B17*C17</f>
        <v>315</v>
      </c>
      <c r="E17" s="22"/>
      <c r="F17" s="22"/>
      <c r="G17" s="22"/>
      <c r="H17" s="28"/>
      <c r="I17" s="88"/>
      <c r="J17" s="58"/>
      <c r="K17" s="103">
        <f>D17</f>
        <v>315</v>
      </c>
      <c r="L17" s="76"/>
    </row>
    <row r="18" spans="1:12" ht="15.95" customHeight="1" x14ac:dyDescent="0.25">
      <c r="A18" s="13"/>
      <c r="B18" s="10"/>
      <c r="C18" s="11"/>
      <c r="D18" s="11"/>
      <c r="E18" s="22"/>
      <c r="F18" s="22"/>
      <c r="G18" s="22"/>
      <c r="H18" s="28"/>
      <c r="I18" s="88"/>
      <c r="J18" s="58"/>
      <c r="K18" s="59"/>
      <c r="L18" s="76"/>
    </row>
    <row r="19" spans="1:12" ht="15.95" customHeight="1" x14ac:dyDescent="0.25">
      <c r="A19" s="13"/>
      <c r="B19" s="10"/>
      <c r="C19" s="11"/>
      <c r="D19" s="11"/>
      <c r="E19" s="22"/>
      <c r="F19" s="22"/>
      <c r="G19" s="28"/>
      <c r="H19" s="28"/>
      <c r="I19" s="88"/>
      <c r="J19" s="58"/>
      <c r="K19" s="60"/>
      <c r="L19" s="76"/>
    </row>
    <row r="20" spans="1:12" ht="15.95" customHeight="1" x14ac:dyDescent="0.25">
      <c r="A20" s="13"/>
      <c r="B20" s="73" t="s">
        <v>20</v>
      </c>
      <c r="C20" s="104"/>
      <c r="D20" s="94"/>
      <c r="E20" s="10"/>
      <c r="F20" s="10"/>
      <c r="G20" s="10"/>
      <c r="H20" s="10"/>
      <c r="I20" s="63"/>
      <c r="J20" s="58"/>
      <c r="K20" s="60"/>
      <c r="L20" s="76"/>
    </row>
    <row r="21" spans="1:12" ht="15.95" customHeight="1" x14ac:dyDescent="0.25">
      <c r="A21" s="13"/>
      <c r="B21" s="73"/>
      <c r="C21" s="104"/>
      <c r="D21" s="197" t="s">
        <v>112</v>
      </c>
      <c r="E21" s="10">
        <v>855</v>
      </c>
      <c r="F21" s="10"/>
      <c r="G21" s="10"/>
      <c r="H21" s="25"/>
      <c r="I21" s="92"/>
      <c r="J21" s="58"/>
      <c r="K21" s="60"/>
      <c r="L21" s="76"/>
    </row>
    <row r="22" spans="1:12" ht="15.95" customHeight="1" x14ac:dyDescent="0.25">
      <c r="A22" s="13"/>
      <c r="B22" s="73"/>
      <c r="C22" s="104"/>
      <c r="D22" s="197" t="s">
        <v>148</v>
      </c>
      <c r="E22" s="10">
        <v>836.3</v>
      </c>
      <c r="F22" s="9" t="s">
        <v>149</v>
      </c>
      <c r="G22" s="10"/>
      <c r="H22" s="25"/>
      <c r="I22" s="92"/>
      <c r="J22" s="58"/>
      <c r="K22" s="60"/>
      <c r="L22" s="76"/>
    </row>
    <row r="23" spans="1:12" ht="15.95" customHeight="1" x14ac:dyDescent="0.25">
      <c r="A23" s="13"/>
      <c r="B23" s="73"/>
      <c r="C23" s="104"/>
      <c r="D23" s="197" t="s">
        <v>113</v>
      </c>
      <c r="E23" s="10">
        <v>2</v>
      </c>
      <c r="F23" s="9" t="s">
        <v>17</v>
      </c>
      <c r="G23" s="10"/>
      <c r="H23" s="25"/>
      <c r="I23" s="92"/>
      <c r="J23" s="58"/>
      <c r="K23" s="60"/>
      <c r="L23" s="76"/>
    </row>
    <row r="24" spans="1:12" ht="15.95" customHeight="1" x14ac:dyDescent="0.25">
      <c r="A24" s="13"/>
      <c r="B24" s="73"/>
      <c r="C24" s="104"/>
      <c r="D24" s="197" t="s">
        <v>114</v>
      </c>
      <c r="E24" s="10">
        <f>E21-E22+E23</f>
        <v>20.700000000000045</v>
      </c>
      <c r="F24" s="9" t="s">
        <v>17</v>
      </c>
      <c r="G24" s="10"/>
      <c r="H24" s="25"/>
      <c r="I24" s="92"/>
      <c r="J24" s="58"/>
      <c r="K24" s="60"/>
      <c r="L24" s="76"/>
    </row>
    <row r="25" spans="1:12" ht="15.95" customHeight="1" x14ac:dyDescent="0.25">
      <c r="A25" s="13"/>
      <c r="B25" s="73"/>
      <c r="C25" s="104"/>
      <c r="D25" s="197" t="s">
        <v>115</v>
      </c>
      <c r="E25" s="10">
        <v>25</v>
      </c>
      <c r="F25" s="9" t="s">
        <v>17</v>
      </c>
      <c r="G25" s="10"/>
      <c r="H25" s="25"/>
      <c r="I25" s="92"/>
      <c r="J25" s="58"/>
      <c r="K25" s="60"/>
      <c r="L25" s="76"/>
    </row>
    <row r="26" spans="1:12" ht="15.95" customHeight="1" x14ac:dyDescent="0.25">
      <c r="A26" s="13"/>
      <c r="B26" s="73"/>
      <c r="C26" s="22"/>
      <c r="D26" s="197"/>
      <c r="E26" s="10"/>
      <c r="F26" s="10"/>
      <c r="G26" s="10"/>
      <c r="H26" s="25"/>
      <c r="I26" s="92"/>
      <c r="J26" s="58"/>
      <c r="K26" s="60"/>
      <c r="L26" s="76"/>
    </row>
    <row r="27" spans="1:12" ht="47.25" customHeight="1" thickBot="1" x14ac:dyDescent="0.3">
      <c r="A27" s="13"/>
      <c r="B27" s="55" t="s">
        <v>39</v>
      </c>
      <c r="C27" s="55" t="s">
        <v>36</v>
      </c>
      <c r="D27" s="55" t="s">
        <v>38</v>
      </c>
      <c r="E27" s="52"/>
      <c r="F27" s="54"/>
      <c r="G27" s="54"/>
      <c r="H27" s="54"/>
      <c r="I27" s="34"/>
      <c r="J27" s="58"/>
      <c r="K27" s="60"/>
      <c r="L27" s="76"/>
    </row>
    <row r="28" spans="1:12" ht="15.95" customHeight="1" x14ac:dyDescent="0.25">
      <c r="A28" s="13"/>
      <c r="B28" s="30">
        <f>E25</f>
        <v>25</v>
      </c>
      <c r="C28" s="88">
        <v>9</v>
      </c>
      <c r="D28" s="30">
        <f>B28*C28</f>
        <v>225</v>
      </c>
      <c r="E28" s="22"/>
      <c r="F28" s="22"/>
      <c r="G28" s="22"/>
      <c r="H28" s="28"/>
      <c r="I28" s="88"/>
      <c r="J28" s="58"/>
      <c r="K28" s="103">
        <f>D28</f>
        <v>225</v>
      </c>
      <c r="L28" s="76"/>
    </row>
    <row r="29" spans="1:12" ht="18.75" customHeight="1" x14ac:dyDescent="0.25">
      <c r="A29" s="13"/>
      <c r="B29" s="54"/>
      <c r="C29" s="52"/>
      <c r="D29" s="87"/>
      <c r="E29" s="54"/>
      <c r="F29" s="54"/>
      <c r="G29" s="53"/>
      <c r="H29" s="53"/>
      <c r="I29" s="63"/>
      <c r="J29" s="58"/>
      <c r="K29" s="60"/>
      <c r="L29" s="76"/>
    </row>
    <row r="30" spans="1:12" ht="15.95" customHeight="1" x14ac:dyDescent="0.25">
      <c r="A30" s="13"/>
      <c r="B30" s="10"/>
      <c r="C30" s="11"/>
      <c r="D30" s="11"/>
      <c r="E30" s="10"/>
      <c r="F30" s="11"/>
      <c r="G30" s="11"/>
      <c r="H30" s="11"/>
      <c r="I30" s="63"/>
      <c r="J30" s="58"/>
      <c r="K30" s="60"/>
      <c r="L30" s="76"/>
    </row>
    <row r="31" spans="1:12" ht="15.95" customHeight="1" x14ac:dyDescent="0.25">
      <c r="A31" s="13"/>
      <c r="B31" s="10"/>
      <c r="C31" s="11"/>
      <c r="D31" s="11"/>
      <c r="E31" s="10"/>
      <c r="F31" s="11"/>
      <c r="G31" s="11"/>
      <c r="H31" s="11"/>
      <c r="I31" s="63"/>
      <c r="J31" s="58"/>
      <c r="K31" s="60"/>
      <c r="L31" s="76"/>
    </row>
    <row r="32" spans="1:12" ht="15.95" customHeight="1" x14ac:dyDescent="0.25">
      <c r="A32" s="13"/>
      <c r="B32" s="15"/>
      <c r="C32" s="11"/>
      <c r="D32" s="11"/>
      <c r="E32" s="10"/>
      <c r="F32" s="11"/>
      <c r="G32" s="11"/>
      <c r="H32" s="11"/>
      <c r="I32" s="63"/>
      <c r="J32" s="58"/>
      <c r="K32" s="60"/>
      <c r="L32" s="76"/>
    </row>
    <row r="33" spans="1:12" ht="15.95" customHeight="1" x14ac:dyDescent="0.25">
      <c r="A33" s="13"/>
      <c r="B33" s="10"/>
      <c r="C33" s="86"/>
      <c r="D33" s="30"/>
      <c r="E33" s="19"/>
      <c r="F33" s="11"/>
      <c r="G33" s="11"/>
      <c r="H33" s="30"/>
      <c r="I33" s="63"/>
      <c r="J33" s="58"/>
      <c r="K33" s="60"/>
      <c r="L33" s="76"/>
    </row>
    <row r="34" spans="1:12" ht="15.95" customHeight="1" x14ac:dyDescent="0.25">
      <c r="A34" s="13"/>
      <c r="B34" s="10"/>
      <c r="C34" s="104"/>
      <c r="D34" s="11"/>
      <c r="E34" s="10"/>
      <c r="F34" s="10"/>
      <c r="G34" s="10"/>
      <c r="H34" s="11"/>
      <c r="I34" s="63"/>
      <c r="J34" s="58"/>
      <c r="K34" s="60"/>
      <c r="L34" s="76"/>
    </row>
    <row r="35" spans="1:12" ht="15.95" customHeight="1" x14ac:dyDescent="0.25">
      <c r="A35" s="13"/>
      <c r="B35" s="10"/>
      <c r="C35" s="104"/>
      <c r="D35" s="11"/>
      <c r="E35" s="10"/>
      <c r="F35" s="10"/>
      <c r="G35" s="12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2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2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2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0"/>
      <c r="H43" s="10"/>
      <c r="I43" s="63"/>
      <c r="J43" s="58"/>
      <c r="K43" s="60"/>
      <c r="L43" s="76"/>
    </row>
    <row r="44" spans="1:12" ht="15.95" customHeight="1" x14ac:dyDescent="0.25">
      <c r="A44" s="71"/>
      <c r="B44" s="10"/>
      <c r="C44" s="25"/>
      <c r="D44" s="25"/>
      <c r="E44" s="100"/>
      <c r="F44" s="100"/>
      <c r="G44" s="97"/>
      <c r="H44" s="25"/>
      <c r="I44" s="92"/>
      <c r="J44" s="32"/>
      <c r="K44" s="71"/>
      <c r="L44" s="77"/>
    </row>
    <row r="45" spans="1:12" ht="15.95" customHeight="1" thickBot="1" x14ac:dyDescent="0.3">
      <c r="A45" s="71"/>
      <c r="B45" s="67"/>
      <c r="C45" s="67"/>
      <c r="D45" s="67"/>
      <c r="E45" s="101"/>
      <c r="F45" s="101"/>
      <c r="G45" s="98"/>
      <c r="H45" s="67"/>
      <c r="I45" s="99"/>
      <c r="J45" s="68"/>
      <c r="K45" s="71"/>
      <c r="L45" s="77"/>
    </row>
    <row r="46" spans="1:12" ht="15.95" customHeight="1" thickBot="1" x14ac:dyDescent="0.3">
      <c r="A46" s="445" t="s">
        <v>13</v>
      </c>
      <c r="B46" s="446"/>
      <c r="C46" s="447"/>
      <c r="D46" s="447"/>
      <c r="E46" s="447"/>
      <c r="F46" s="447"/>
      <c r="G46" s="447"/>
      <c r="H46" s="447"/>
      <c r="I46" s="447"/>
      <c r="J46" s="448"/>
      <c r="K46" s="79">
        <f>SUM(K9:K45)</f>
        <v>540</v>
      </c>
      <c r="L46" s="80">
        <f>K46</f>
        <v>540</v>
      </c>
    </row>
  </sheetData>
  <mergeCells count="8">
    <mergeCell ref="A7:J7"/>
    <mergeCell ref="A46:J46"/>
    <mergeCell ref="I1:J1"/>
    <mergeCell ref="I2:J2"/>
    <mergeCell ref="C4:D4"/>
    <mergeCell ref="F4:G4"/>
    <mergeCell ref="I4:L4"/>
    <mergeCell ref="C5:J5"/>
  </mergeCells>
  <pageMargins left="0.75" right="0" top="0.5" bottom="0.25" header="0.5" footer="0.25"/>
  <pageSetup scale="91" fitToHeight="2" orientation="portrait" horizontalDpi="1200" verticalDpi="1200" r:id="rId1"/>
  <headerFooter>
    <oddFooter>&amp;L&amp;9&amp;Z&amp;F&amp;R&amp;9Printed &amp;D &amp;T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0000"/>
  </sheetPr>
  <dimension ref="A1:L52"/>
  <sheetViews>
    <sheetView showWhiteSpace="0" view="pageBreakPreview" zoomScaleNormal="100" zoomScaleSheetLayoutView="100" workbookViewId="0">
      <selection activeCell="AJ31" sqref="AJ31"/>
    </sheetView>
  </sheetViews>
  <sheetFormatPr defaultColWidth="2.85546875" defaultRowHeight="15" customHeight="1" x14ac:dyDescent="0.25"/>
  <cols>
    <col min="2" max="2" width="9.5703125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122">
        <v>44847</v>
      </c>
      <c r="H1" s="121" t="s">
        <v>5</v>
      </c>
      <c r="I1" s="449" t="s">
        <v>105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104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67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25"/>
      <c r="B9" s="19"/>
      <c r="C9" s="104"/>
      <c r="D9" s="128"/>
      <c r="E9" s="148"/>
      <c r="F9" s="10"/>
      <c r="G9" s="10"/>
      <c r="H9" s="10"/>
      <c r="I9" s="63"/>
      <c r="J9" s="58"/>
      <c r="K9" s="6"/>
      <c r="L9" s="75"/>
    </row>
    <row r="10" spans="1:12" ht="15.95" customHeight="1" x14ac:dyDescent="0.25">
      <c r="A10" s="13"/>
      <c r="B10" s="73" t="s">
        <v>19</v>
      </c>
      <c r="C10" s="107"/>
      <c r="D10" s="127"/>
      <c r="E10" s="150"/>
      <c r="F10" s="10"/>
      <c r="G10" s="10"/>
      <c r="H10" s="10"/>
      <c r="I10" s="63"/>
      <c r="J10" s="58"/>
      <c r="K10" s="60"/>
      <c r="L10" s="76"/>
    </row>
    <row r="11" spans="1:12" ht="15.95" customHeight="1" x14ac:dyDescent="0.25">
      <c r="A11" s="13"/>
      <c r="B11" s="38" t="s">
        <v>14</v>
      </c>
      <c r="C11" s="11">
        <v>16.399999999999999</v>
      </c>
      <c r="D11" s="104" t="s">
        <v>17</v>
      </c>
      <c r="E11" s="321" t="s">
        <v>187</v>
      </c>
      <c r="F11" s="10"/>
      <c r="G11" s="10"/>
      <c r="H11" s="10"/>
      <c r="I11" s="63"/>
      <c r="J11" s="58"/>
      <c r="K11" s="60"/>
      <c r="L11" s="76"/>
    </row>
    <row r="12" spans="1:12" ht="15.95" customHeight="1" x14ac:dyDescent="0.25">
      <c r="A12" s="60"/>
      <c r="B12" s="38" t="s">
        <v>15</v>
      </c>
      <c r="C12" s="104">
        <v>41.2</v>
      </c>
      <c r="D12" s="11" t="s">
        <v>17</v>
      </c>
      <c r="E12" s="148"/>
      <c r="F12" s="10"/>
      <c r="G12" s="10"/>
      <c r="H12" s="10"/>
      <c r="I12" s="63"/>
      <c r="J12" s="58"/>
      <c r="K12" s="60"/>
      <c r="L12" s="76"/>
    </row>
    <row r="13" spans="1:12" ht="15.95" customHeight="1" x14ac:dyDescent="0.25">
      <c r="A13" s="60"/>
      <c r="B13" s="38"/>
      <c r="C13" s="104"/>
      <c r="D13" s="11"/>
      <c r="E13" s="148"/>
      <c r="F13" s="10"/>
      <c r="G13" s="10"/>
      <c r="H13" s="10"/>
      <c r="I13" s="63"/>
      <c r="J13" s="58"/>
      <c r="K13" s="60"/>
      <c r="L13" s="76"/>
    </row>
    <row r="14" spans="1:12" ht="15.95" customHeight="1" x14ac:dyDescent="0.25">
      <c r="A14" s="60"/>
      <c r="B14" s="38" t="s">
        <v>65</v>
      </c>
      <c r="C14" s="160">
        <f>C11*C12</f>
        <v>675.68</v>
      </c>
      <c r="D14" s="11" t="s">
        <v>66</v>
      </c>
      <c r="E14" s="148"/>
      <c r="F14" s="10"/>
      <c r="G14" s="10"/>
      <c r="H14" s="10"/>
      <c r="I14" s="63"/>
      <c r="J14" s="58"/>
      <c r="K14" s="57"/>
      <c r="L14" s="76"/>
    </row>
    <row r="15" spans="1:12" ht="15.95" customHeight="1" x14ac:dyDescent="0.25">
      <c r="A15" s="60"/>
      <c r="B15" s="38" t="s">
        <v>65</v>
      </c>
      <c r="C15" s="160">
        <f>ROUNDUP(C14/9,0)</f>
        <v>76</v>
      </c>
      <c r="D15" s="11" t="s">
        <v>67</v>
      </c>
      <c r="E15" s="148"/>
      <c r="F15" s="10"/>
      <c r="G15" s="10"/>
      <c r="H15" s="10"/>
      <c r="I15" s="63"/>
      <c r="J15" s="189"/>
      <c r="K15" s="57">
        <f>C15</f>
        <v>76</v>
      </c>
      <c r="L15" s="76"/>
    </row>
    <row r="16" spans="1:12" ht="15.95" customHeight="1" x14ac:dyDescent="0.25">
      <c r="A16" s="60"/>
      <c r="B16" s="38"/>
      <c r="C16" s="104"/>
      <c r="D16" s="104"/>
      <c r="E16" s="148"/>
      <c r="F16" s="10"/>
      <c r="G16" s="10"/>
      <c r="H16" s="10"/>
      <c r="I16" s="63"/>
      <c r="J16" s="58"/>
      <c r="K16" s="60"/>
      <c r="L16" s="76"/>
    </row>
    <row r="17" spans="1:12" ht="15.95" customHeight="1" x14ac:dyDescent="0.25">
      <c r="A17" s="60"/>
      <c r="B17" s="10"/>
      <c r="C17" s="104"/>
      <c r="D17" s="17"/>
      <c r="E17" s="150"/>
      <c r="F17" s="10"/>
      <c r="G17" s="10"/>
      <c r="H17" s="10"/>
      <c r="I17" s="63"/>
      <c r="J17" s="58"/>
      <c r="K17" s="60"/>
      <c r="L17" s="76"/>
    </row>
    <row r="18" spans="1:12" ht="15.95" customHeight="1" x14ac:dyDescent="0.25">
      <c r="A18" s="60"/>
      <c r="B18" s="10"/>
      <c r="C18" s="104"/>
      <c r="D18" s="11"/>
      <c r="E18" s="10"/>
      <c r="F18" s="10"/>
      <c r="G18" s="10"/>
      <c r="H18" s="10"/>
      <c r="I18" s="63"/>
      <c r="J18" s="58"/>
      <c r="K18" s="60"/>
      <c r="L18" s="76"/>
    </row>
    <row r="19" spans="1:12" ht="15.95" customHeight="1" x14ac:dyDescent="0.25">
      <c r="A19" s="60"/>
      <c r="B19" s="73" t="s">
        <v>20</v>
      </c>
      <c r="C19" s="107"/>
      <c r="D19" s="127"/>
      <c r="E19" s="150"/>
      <c r="F19" s="10"/>
      <c r="G19" s="10"/>
      <c r="H19" s="10"/>
      <c r="I19" s="63"/>
      <c r="J19" s="58"/>
      <c r="K19" s="60"/>
      <c r="L19" s="76"/>
    </row>
    <row r="20" spans="1:12" ht="15.95" customHeight="1" x14ac:dyDescent="0.25">
      <c r="A20" s="60"/>
      <c r="B20" s="38" t="s">
        <v>14</v>
      </c>
      <c r="C20" s="11">
        <v>13.2</v>
      </c>
      <c r="D20" s="104" t="s">
        <v>17</v>
      </c>
      <c r="E20" s="321" t="s">
        <v>187</v>
      </c>
      <c r="F20" s="10"/>
      <c r="G20" s="10"/>
      <c r="H20" s="10"/>
      <c r="I20" s="63"/>
      <c r="J20" s="58"/>
      <c r="K20" s="60"/>
      <c r="L20" s="76"/>
    </row>
    <row r="21" spans="1:12" ht="15.95" customHeight="1" x14ac:dyDescent="0.25">
      <c r="A21" s="60"/>
      <c r="B21" s="38" t="s">
        <v>15</v>
      </c>
      <c r="C21" s="104">
        <v>41.2</v>
      </c>
      <c r="D21" s="11" t="s">
        <v>17</v>
      </c>
      <c r="E21" s="148"/>
      <c r="F21" s="10"/>
      <c r="G21" s="10"/>
      <c r="H21" s="10"/>
      <c r="I21" s="63"/>
      <c r="J21" s="58"/>
      <c r="K21" s="60"/>
      <c r="L21" s="76"/>
    </row>
    <row r="22" spans="1:12" ht="15.95" customHeight="1" x14ac:dyDescent="0.25">
      <c r="A22" s="60"/>
      <c r="B22" s="38"/>
      <c r="C22" s="104"/>
      <c r="D22" s="11"/>
      <c r="E22" s="148"/>
      <c r="F22" s="10"/>
      <c r="G22" s="10"/>
      <c r="H22" s="10"/>
      <c r="I22" s="63"/>
      <c r="J22" s="58"/>
      <c r="K22" s="60"/>
      <c r="L22" s="76"/>
    </row>
    <row r="23" spans="1:12" ht="15.95" customHeight="1" x14ac:dyDescent="0.25">
      <c r="A23" s="60"/>
      <c r="B23" s="38" t="s">
        <v>65</v>
      </c>
      <c r="C23" s="160">
        <f>C20*C21</f>
        <v>543.84</v>
      </c>
      <c r="D23" s="11" t="s">
        <v>66</v>
      </c>
      <c r="E23" s="148"/>
      <c r="F23" s="10"/>
      <c r="G23" s="10"/>
      <c r="H23" s="10"/>
      <c r="I23" s="63"/>
      <c r="J23" s="58"/>
      <c r="K23" s="57"/>
      <c r="L23" s="76"/>
    </row>
    <row r="24" spans="1:12" ht="15.95" customHeight="1" x14ac:dyDescent="0.25">
      <c r="A24" s="60"/>
      <c r="B24" s="38" t="s">
        <v>65</v>
      </c>
      <c r="C24" s="160">
        <f>ROUNDUP(C23/9,0)</f>
        <v>61</v>
      </c>
      <c r="D24" s="11" t="s">
        <v>67</v>
      </c>
      <c r="E24" s="148"/>
      <c r="F24" s="10"/>
      <c r="G24" s="10"/>
      <c r="H24" s="10"/>
      <c r="I24" s="63"/>
      <c r="J24" s="189"/>
      <c r="K24" s="57">
        <f>C24</f>
        <v>61</v>
      </c>
      <c r="L24" s="76"/>
    </row>
    <row r="25" spans="1:12" ht="15.95" customHeight="1" x14ac:dyDescent="0.25">
      <c r="A25" s="60"/>
      <c r="B25" s="10"/>
      <c r="C25" s="104"/>
      <c r="D25" s="11"/>
      <c r="E25" s="10"/>
      <c r="F25" s="10"/>
      <c r="G25" s="10"/>
      <c r="H25" s="10"/>
      <c r="I25" s="63"/>
      <c r="J25" s="58"/>
      <c r="K25" s="60"/>
      <c r="L25" s="76"/>
    </row>
    <row r="26" spans="1:12" ht="15.95" customHeight="1" x14ac:dyDescent="0.25">
      <c r="A26" s="60"/>
      <c r="B26" s="10"/>
      <c r="C26" s="104"/>
      <c r="D26" s="11"/>
      <c r="E26" s="10"/>
      <c r="F26" s="10"/>
      <c r="G26" s="10"/>
      <c r="H26" s="10"/>
      <c r="I26" s="63"/>
      <c r="J26" s="58"/>
      <c r="K26" s="60"/>
      <c r="L26" s="76"/>
    </row>
    <row r="27" spans="1:12" ht="15.95" customHeight="1" x14ac:dyDescent="0.25">
      <c r="A27" s="60"/>
      <c r="B27" s="10"/>
      <c r="C27" s="104"/>
      <c r="D27" s="11"/>
      <c r="E27" s="10"/>
      <c r="F27" s="10"/>
      <c r="G27" s="10"/>
      <c r="H27" s="10"/>
      <c r="I27" s="63"/>
      <c r="J27" s="58"/>
      <c r="K27" s="60"/>
      <c r="L27" s="76"/>
    </row>
    <row r="28" spans="1:12" ht="15.95" customHeight="1" x14ac:dyDescent="0.25">
      <c r="A28" s="60"/>
      <c r="B28" s="10"/>
      <c r="C28" s="104"/>
      <c r="D28" s="11"/>
      <c r="E28" s="10"/>
      <c r="F28" s="10"/>
      <c r="G28" s="10"/>
      <c r="H28" s="10"/>
      <c r="I28" s="63"/>
      <c r="J28" s="58"/>
      <c r="K28" s="60"/>
      <c r="L28" s="76"/>
    </row>
    <row r="29" spans="1:12" ht="15.95" customHeight="1" x14ac:dyDescent="0.25">
      <c r="A29" s="60"/>
      <c r="B29" s="10"/>
      <c r="C29" s="104"/>
      <c r="D29" s="11"/>
      <c r="E29" s="10"/>
      <c r="F29" s="10"/>
      <c r="G29" s="10"/>
      <c r="H29" s="10"/>
      <c r="I29" s="63"/>
      <c r="J29" s="58"/>
      <c r="K29" s="60"/>
      <c r="L29" s="76"/>
    </row>
    <row r="30" spans="1:12" ht="15.95" customHeight="1" x14ac:dyDescent="0.25">
      <c r="A30" s="60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60"/>
      <c r="B31" s="10"/>
      <c r="C31" s="104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60"/>
      <c r="B32" s="10"/>
      <c r="C32" s="104"/>
      <c r="D32" s="11"/>
      <c r="E32" s="10"/>
      <c r="F32" s="10"/>
      <c r="G32" s="10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0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0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0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0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0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60"/>
      <c r="B46" s="10"/>
      <c r="C46" s="104"/>
      <c r="D46" s="11"/>
      <c r="E46" s="10"/>
      <c r="F46" s="10"/>
      <c r="G46" s="10"/>
      <c r="H46" s="10"/>
      <c r="I46" s="63"/>
      <c r="J46" s="58"/>
      <c r="K46" s="60"/>
      <c r="L46" s="76"/>
    </row>
    <row r="47" spans="1:12" ht="15.95" customHeight="1" x14ac:dyDescent="0.25">
      <c r="A47" s="60"/>
      <c r="B47" s="10"/>
      <c r="C47" s="104"/>
      <c r="D47" s="11"/>
      <c r="E47" s="10"/>
      <c r="F47" s="10"/>
      <c r="G47" s="10"/>
      <c r="H47" s="10"/>
      <c r="I47" s="63"/>
      <c r="J47" s="58"/>
      <c r="K47" s="60"/>
      <c r="L47" s="76"/>
    </row>
    <row r="48" spans="1:12" ht="15.95" customHeight="1" x14ac:dyDescent="0.25">
      <c r="A48" s="60"/>
      <c r="B48" s="10"/>
      <c r="C48" s="104"/>
      <c r="D48" s="11"/>
      <c r="E48" s="10"/>
      <c r="F48" s="10"/>
      <c r="G48" s="10"/>
      <c r="H48" s="10"/>
      <c r="I48" s="63"/>
      <c r="J48" s="58"/>
      <c r="K48" s="60"/>
      <c r="L48" s="76"/>
    </row>
    <row r="49" spans="1:12" ht="15.95" customHeight="1" x14ac:dyDescent="0.25">
      <c r="A49" s="60"/>
      <c r="B49" s="10"/>
      <c r="C49" s="104"/>
      <c r="D49" s="11"/>
      <c r="E49" s="10"/>
      <c r="F49" s="10"/>
      <c r="G49" s="10"/>
      <c r="H49" s="10"/>
      <c r="I49" s="63"/>
      <c r="J49" s="58"/>
      <c r="K49" s="60"/>
      <c r="L49" s="76"/>
    </row>
    <row r="50" spans="1:12" ht="15.95" customHeight="1" x14ac:dyDescent="0.25">
      <c r="A50" s="71"/>
      <c r="B50" s="10"/>
      <c r="C50" s="25"/>
      <c r="D50" s="25"/>
      <c r="E50" s="100"/>
      <c r="F50" s="100"/>
      <c r="G50" s="97"/>
      <c r="H50" s="25"/>
      <c r="I50" s="92"/>
      <c r="J50" s="32"/>
      <c r="K50" s="71"/>
      <c r="L50" s="77"/>
    </row>
    <row r="51" spans="1:12" ht="15.95" customHeight="1" thickBot="1" x14ac:dyDescent="0.3">
      <c r="A51" s="71"/>
      <c r="B51" s="67"/>
      <c r="C51" s="67"/>
      <c r="D51" s="67"/>
      <c r="E51" s="101"/>
      <c r="F51" s="101"/>
      <c r="G51" s="98"/>
      <c r="H51" s="67"/>
      <c r="I51" s="99"/>
      <c r="J51" s="68"/>
      <c r="K51" s="71"/>
      <c r="L51" s="77"/>
    </row>
    <row r="52" spans="1:12" ht="15.95" customHeight="1" thickBot="1" x14ac:dyDescent="0.3">
      <c r="A52" s="445" t="s">
        <v>13</v>
      </c>
      <c r="B52" s="446"/>
      <c r="C52" s="447"/>
      <c r="D52" s="447"/>
      <c r="E52" s="447"/>
      <c r="F52" s="447"/>
      <c r="G52" s="447"/>
      <c r="H52" s="447"/>
      <c r="I52" s="447"/>
      <c r="J52" s="448"/>
      <c r="K52" s="79">
        <f>SUM(K10:K51)</f>
        <v>137</v>
      </c>
      <c r="L52" s="80">
        <f>K52</f>
        <v>137</v>
      </c>
    </row>
  </sheetData>
  <mergeCells count="8">
    <mergeCell ref="A7:J7"/>
    <mergeCell ref="A52:J52"/>
    <mergeCell ref="I1:J1"/>
    <mergeCell ref="I2:J2"/>
    <mergeCell ref="C4:D4"/>
    <mergeCell ref="F4:G4"/>
    <mergeCell ref="I4:L4"/>
    <mergeCell ref="C5:J5"/>
  </mergeCells>
  <pageMargins left="0.75" right="0" top="0.5" bottom="0.25" header="0.5" footer="0.25"/>
  <pageSetup scale="88" fitToHeight="2" orientation="portrait" horizontalDpi="1200" verticalDpi="1200" r:id="rId1"/>
  <headerFooter>
    <oddFooter>&amp;L&amp;9&amp;Z&amp;F&amp;R&amp;9Printed &amp;D &amp;T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FF0000"/>
  </sheetPr>
  <dimension ref="A1:L52"/>
  <sheetViews>
    <sheetView showWhiteSpace="0" view="pageBreakPreview" zoomScaleNormal="100" zoomScaleSheetLayoutView="100" workbookViewId="0">
      <selection activeCell="AJ31" sqref="AJ31"/>
    </sheetView>
  </sheetViews>
  <sheetFormatPr defaultColWidth="2.85546875" defaultRowHeight="15" customHeight="1" x14ac:dyDescent="0.25"/>
  <cols>
    <col min="2" max="2" width="9.5703125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122">
        <v>44847</v>
      </c>
      <c r="H1" s="121" t="s">
        <v>5</v>
      </c>
      <c r="I1" s="449" t="s">
        <v>151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152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84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25"/>
      <c r="B9" s="19"/>
      <c r="C9" s="104"/>
      <c r="D9" s="128"/>
      <c r="E9" s="148"/>
      <c r="F9" s="10"/>
      <c r="G9" s="10"/>
      <c r="H9" s="10"/>
      <c r="I9" s="63"/>
      <c r="J9" s="58"/>
      <c r="K9" s="6"/>
      <c r="L9" s="75"/>
    </row>
    <row r="10" spans="1:12" ht="15.95" customHeight="1" x14ac:dyDescent="0.25">
      <c r="A10" s="13"/>
      <c r="B10" s="73" t="s">
        <v>19</v>
      </c>
      <c r="C10" s="107"/>
      <c r="D10" s="127"/>
      <c r="E10" s="150"/>
      <c r="F10" s="10"/>
      <c r="G10" s="10"/>
      <c r="H10" s="10"/>
      <c r="I10" s="63"/>
      <c r="J10" s="58"/>
      <c r="K10" s="60"/>
      <c r="L10" s="76"/>
    </row>
    <row r="11" spans="1:12" ht="15.95" customHeight="1" x14ac:dyDescent="0.25">
      <c r="A11" s="13"/>
      <c r="B11" s="38" t="s">
        <v>14</v>
      </c>
      <c r="C11" s="11">
        <v>123.5</v>
      </c>
      <c r="D11" s="104" t="s">
        <v>17</v>
      </c>
      <c r="E11" s="148"/>
      <c r="F11" s="10"/>
      <c r="G11" s="10"/>
      <c r="H11" s="10"/>
      <c r="I11" s="63"/>
      <c r="J11" s="58"/>
      <c r="K11" s="60"/>
      <c r="L11" s="76"/>
    </row>
    <row r="12" spans="1:12" ht="15.95" customHeight="1" x14ac:dyDescent="0.25">
      <c r="A12" s="60"/>
      <c r="B12" s="38" t="s">
        <v>15</v>
      </c>
      <c r="C12" s="128">
        <v>15.78</v>
      </c>
      <c r="D12" s="11" t="s">
        <v>17</v>
      </c>
      <c r="E12" s="321" t="s">
        <v>187</v>
      </c>
      <c r="F12" s="10"/>
      <c r="G12" s="10"/>
      <c r="H12" s="10"/>
      <c r="I12" s="63"/>
      <c r="J12" s="58"/>
      <c r="K12" s="60"/>
      <c r="L12" s="76"/>
    </row>
    <row r="13" spans="1:12" ht="15.95" customHeight="1" x14ac:dyDescent="0.25">
      <c r="A13" s="60"/>
      <c r="B13" s="38"/>
      <c r="C13" s="104"/>
      <c r="D13" s="11"/>
      <c r="E13" s="148"/>
      <c r="F13" s="10"/>
      <c r="G13" s="10"/>
      <c r="H13" s="10"/>
      <c r="I13" s="63"/>
      <c r="J13" s="58"/>
      <c r="K13" s="60"/>
      <c r="L13" s="76"/>
    </row>
    <row r="14" spans="1:12" ht="15.95" customHeight="1" x14ac:dyDescent="0.25">
      <c r="A14" s="60"/>
      <c r="B14" s="38" t="s">
        <v>65</v>
      </c>
      <c r="C14" s="160">
        <f>C11*C12</f>
        <v>1948.83</v>
      </c>
      <c r="D14" s="11" t="s">
        <v>66</v>
      </c>
      <c r="E14" s="148"/>
      <c r="F14" s="10"/>
      <c r="G14" s="10"/>
      <c r="H14" s="10"/>
      <c r="I14" s="63"/>
      <c r="J14" s="58"/>
      <c r="K14" s="57"/>
      <c r="L14" s="76"/>
    </row>
    <row r="15" spans="1:12" ht="15.95" customHeight="1" x14ac:dyDescent="0.25">
      <c r="A15" s="60"/>
      <c r="B15" s="38" t="s">
        <v>65</v>
      </c>
      <c r="C15" s="160">
        <f>ROUNDUP(C14/9,0)</f>
        <v>217</v>
      </c>
      <c r="D15" s="11" t="s">
        <v>67</v>
      </c>
      <c r="E15" s="148"/>
      <c r="F15" s="10"/>
      <c r="G15" s="10"/>
      <c r="H15" s="10"/>
      <c r="I15" s="63"/>
      <c r="J15" s="189"/>
      <c r="K15" s="57">
        <f>C15</f>
        <v>217</v>
      </c>
      <c r="L15" s="76"/>
    </row>
    <row r="16" spans="1:12" ht="15.95" customHeight="1" x14ac:dyDescent="0.25">
      <c r="A16" s="60"/>
      <c r="B16" s="38"/>
      <c r="C16" s="104"/>
      <c r="D16" s="104"/>
      <c r="E16" s="148"/>
      <c r="F16" s="10"/>
      <c r="G16" s="10"/>
      <c r="H16" s="10"/>
      <c r="I16" s="63"/>
      <c r="J16" s="58"/>
      <c r="K16" s="60"/>
      <c r="L16" s="76"/>
    </row>
    <row r="17" spans="1:12" ht="15.95" customHeight="1" x14ac:dyDescent="0.25">
      <c r="A17" s="60"/>
      <c r="B17" s="10"/>
      <c r="C17" s="104"/>
      <c r="D17" s="17"/>
      <c r="E17" s="150"/>
      <c r="F17" s="10"/>
      <c r="G17" s="10"/>
      <c r="H17" s="10"/>
      <c r="I17" s="63"/>
      <c r="J17" s="58"/>
      <c r="K17" s="60"/>
      <c r="L17" s="76"/>
    </row>
    <row r="18" spans="1:12" ht="15.95" customHeight="1" x14ac:dyDescent="0.25">
      <c r="A18" s="60"/>
      <c r="B18" s="10"/>
      <c r="C18" s="104"/>
      <c r="D18" s="11"/>
      <c r="E18" s="10"/>
      <c r="F18" s="10"/>
      <c r="G18" s="10"/>
      <c r="H18" s="10"/>
      <c r="I18" s="63"/>
      <c r="J18" s="58"/>
      <c r="K18" s="60"/>
      <c r="L18" s="76"/>
    </row>
    <row r="19" spans="1:12" ht="15.95" customHeight="1" x14ac:dyDescent="0.25">
      <c r="A19" s="60"/>
      <c r="B19" s="73" t="s">
        <v>20</v>
      </c>
      <c r="C19" s="107"/>
      <c r="D19" s="127"/>
      <c r="E19" s="150"/>
      <c r="F19" s="10"/>
      <c r="G19" s="10"/>
      <c r="H19" s="10"/>
      <c r="I19" s="63"/>
      <c r="J19" s="58"/>
      <c r="K19" s="60"/>
      <c r="L19" s="76"/>
    </row>
    <row r="20" spans="1:12" ht="15.95" customHeight="1" x14ac:dyDescent="0.25">
      <c r="A20" s="60"/>
      <c r="B20" s="38" t="s">
        <v>14</v>
      </c>
      <c r="C20" s="11">
        <v>88.6</v>
      </c>
      <c r="D20" s="104" t="s">
        <v>17</v>
      </c>
      <c r="E20" s="148"/>
      <c r="F20" s="10"/>
      <c r="G20" s="10"/>
      <c r="H20" s="10"/>
      <c r="I20" s="63"/>
      <c r="J20" s="58"/>
      <c r="K20" s="60"/>
      <c r="L20" s="76"/>
    </row>
    <row r="21" spans="1:12" ht="15.95" customHeight="1" x14ac:dyDescent="0.25">
      <c r="A21" s="60"/>
      <c r="B21" s="38" t="s">
        <v>15</v>
      </c>
      <c r="C21" s="104">
        <v>18.100000000000001</v>
      </c>
      <c r="D21" s="11" t="s">
        <v>17</v>
      </c>
      <c r="E21" s="321" t="s">
        <v>187</v>
      </c>
      <c r="F21" s="10"/>
      <c r="G21" s="10"/>
      <c r="H21" s="10"/>
      <c r="I21" s="63"/>
      <c r="J21" s="58"/>
      <c r="K21" s="60"/>
      <c r="L21" s="76"/>
    </row>
    <row r="22" spans="1:12" ht="15.95" customHeight="1" x14ac:dyDescent="0.25">
      <c r="A22" s="60"/>
      <c r="B22" s="38"/>
      <c r="C22" s="104"/>
      <c r="D22" s="11"/>
      <c r="E22" s="148"/>
      <c r="F22" s="10"/>
      <c r="G22" s="10"/>
      <c r="H22" s="10"/>
      <c r="I22" s="63"/>
      <c r="J22" s="58"/>
      <c r="K22" s="60"/>
      <c r="L22" s="76"/>
    </row>
    <row r="23" spans="1:12" ht="15.95" customHeight="1" x14ac:dyDescent="0.25">
      <c r="A23" s="60"/>
      <c r="B23" s="38" t="s">
        <v>65</v>
      </c>
      <c r="C23" s="160">
        <f>C20*C21</f>
        <v>1603.66</v>
      </c>
      <c r="D23" s="11" t="s">
        <v>66</v>
      </c>
      <c r="E23" s="148"/>
      <c r="F23" s="10"/>
      <c r="G23" s="10"/>
      <c r="H23" s="10"/>
      <c r="I23" s="63"/>
      <c r="J23" s="58"/>
      <c r="K23" s="57"/>
      <c r="L23" s="76"/>
    </row>
    <row r="24" spans="1:12" ht="15.95" customHeight="1" x14ac:dyDescent="0.25">
      <c r="A24" s="60"/>
      <c r="B24" s="38" t="s">
        <v>65</v>
      </c>
      <c r="C24" s="160">
        <f>ROUNDUP(C23/9,0)</f>
        <v>179</v>
      </c>
      <c r="D24" s="11" t="s">
        <v>67</v>
      </c>
      <c r="E24" s="148"/>
      <c r="F24" s="10"/>
      <c r="G24" s="10"/>
      <c r="H24" s="10"/>
      <c r="I24" s="63"/>
      <c r="J24" s="189"/>
      <c r="K24" s="57">
        <f>C24</f>
        <v>179</v>
      </c>
      <c r="L24" s="76"/>
    </row>
    <row r="25" spans="1:12" ht="15.95" customHeight="1" x14ac:dyDescent="0.25">
      <c r="A25" s="60"/>
      <c r="B25" s="10"/>
      <c r="C25" s="104"/>
      <c r="D25" s="11"/>
      <c r="E25" s="10"/>
      <c r="F25" s="10"/>
      <c r="G25" s="10"/>
      <c r="H25" s="10"/>
      <c r="I25" s="63"/>
      <c r="J25" s="58"/>
      <c r="K25" s="60"/>
      <c r="L25" s="76"/>
    </row>
    <row r="26" spans="1:12" ht="15.95" customHeight="1" x14ac:dyDescent="0.25">
      <c r="A26" s="60"/>
      <c r="B26" s="10"/>
      <c r="C26" s="104"/>
      <c r="D26" s="11"/>
      <c r="E26" s="10"/>
      <c r="F26" s="10"/>
      <c r="G26" s="10"/>
      <c r="H26" s="10"/>
      <c r="I26" s="63"/>
      <c r="J26" s="58"/>
      <c r="K26" s="60"/>
      <c r="L26" s="76"/>
    </row>
    <row r="27" spans="1:12" ht="15.95" customHeight="1" x14ac:dyDescent="0.25">
      <c r="A27" s="60"/>
      <c r="B27" s="10"/>
      <c r="C27" s="104"/>
      <c r="D27" s="11"/>
      <c r="E27" s="10"/>
      <c r="F27" s="10"/>
      <c r="G27" s="10"/>
      <c r="H27" s="10"/>
      <c r="I27" s="63"/>
      <c r="J27" s="58"/>
      <c r="K27" s="60"/>
      <c r="L27" s="76"/>
    </row>
    <row r="28" spans="1:12" ht="15.95" customHeight="1" x14ac:dyDescent="0.25">
      <c r="A28" s="60"/>
      <c r="B28" s="10"/>
      <c r="C28" s="104"/>
      <c r="D28" s="11"/>
      <c r="E28" s="10"/>
      <c r="F28" s="10"/>
      <c r="G28" s="10"/>
      <c r="H28" s="10"/>
      <c r="I28" s="63"/>
      <c r="J28" s="58"/>
      <c r="K28" s="60"/>
      <c r="L28" s="76"/>
    </row>
    <row r="29" spans="1:12" ht="15.95" customHeight="1" x14ac:dyDescent="0.25">
      <c r="A29" s="60"/>
      <c r="B29" s="10"/>
      <c r="C29" s="104"/>
      <c r="D29" s="11"/>
      <c r="E29" s="10"/>
      <c r="F29" s="10"/>
      <c r="G29" s="10"/>
      <c r="H29" s="10"/>
      <c r="I29" s="63"/>
      <c r="J29" s="58"/>
      <c r="K29" s="60"/>
      <c r="L29" s="76"/>
    </row>
    <row r="30" spans="1:12" ht="15.95" customHeight="1" x14ac:dyDescent="0.25">
      <c r="A30" s="60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60"/>
      <c r="B31" s="10"/>
      <c r="C31" s="104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60"/>
      <c r="B32" s="10"/>
      <c r="C32" s="104"/>
      <c r="D32" s="11"/>
      <c r="E32" s="10"/>
      <c r="F32" s="10"/>
      <c r="G32" s="10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0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0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0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0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0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60"/>
      <c r="B46" s="10"/>
      <c r="C46" s="104"/>
      <c r="D46" s="11"/>
      <c r="E46" s="10"/>
      <c r="F46" s="10"/>
      <c r="G46" s="10"/>
      <c r="H46" s="10"/>
      <c r="I46" s="63"/>
      <c r="J46" s="58"/>
      <c r="K46" s="60"/>
      <c r="L46" s="76"/>
    </row>
    <row r="47" spans="1:12" ht="15.95" customHeight="1" x14ac:dyDescent="0.25">
      <c r="A47" s="60"/>
      <c r="B47" s="10"/>
      <c r="C47" s="104"/>
      <c r="D47" s="11"/>
      <c r="E47" s="10"/>
      <c r="F47" s="10"/>
      <c r="G47" s="10"/>
      <c r="H47" s="10"/>
      <c r="I47" s="63"/>
      <c r="J47" s="58"/>
      <c r="K47" s="60"/>
      <c r="L47" s="76"/>
    </row>
    <row r="48" spans="1:12" ht="15.95" customHeight="1" x14ac:dyDescent="0.25">
      <c r="A48" s="60"/>
      <c r="B48" s="10"/>
      <c r="C48" s="104"/>
      <c r="D48" s="11"/>
      <c r="E48" s="10"/>
      <c r="F48" s="10"/>
      <c r="G48" s="10"/>
      <c r="H48" s="10"/>
      <c r="I48" s="63"/>
      <c r="J48" s="58"/>
      <c r="K48" s="60"/>
      <c r="L48" s="76"/>
    </row>
    <row r="49" spans="1:12" ht="15.95" customHeight="1" x14ac:dyDescent="0.25">
      <c r="A49" s="60"/>
      <c r="B49" s="10"/>
      <c r="C49" s="104"/>
      <c r="D49" s="11"/>
      <c r="E49" s="10"/>
      <c r="F49" s="10"/>
      <c r="G49" s="10"/>
      <c r="H49" s="10"/>
      <c r="I49" s="63"/>
      <c r="J49" s="58"/>
      <c r="K49" s="60"/>
      <c r="L49" s="76"/>
    </row>
    <row r="50" spans="1:12" ht="15.95" customHeight="1" x14ac:dyDescent="0.25">
      <c r="A50" s="71"/>
      <c r="B50" s="10"/>
      <c r="C50" s="25"/>
      <c r="D50" s="25"/>
      <c r="E50" s="100"/>
      <c r="F50" s="100"/>
      <c r="G50" s="97"/>
      <c r="H50" s="25"/>
      <c r="I50" s="92"/>
      <c r="J50" s="32"/>
      <c r="K50" s="71"/>
      <c r="L50" s="77"/>
    </row>
    <row r="51" spans="1:12" ht="15.95" customHeight="1" thickBot="1" x14ac:dyDescent="0.3">
      <c r="A51" s="71"/>
      <c r="B51" s="67"/>
      <c r="C51" s="67"/>
      <c r="D51" s="67"/>
      <c r="E51" s="101"/>
      <c r="F51" s="101"/>
      <c r="G51" s="98"/>
      <c r="H51" s="67"/>
      <c r="I51" s="99"/>
      <c r="J51" s="68"/>
      <c r="K51" s="71"/>
      <c r="L51" s="77"/>
    </row>
    <row r="52" spans="1:12" ht="15.95" customHeight="1" thickBot="1" x14ac:dyDescent="0.3">
      <c r="A52" s="445" t="s">
        <v>13</v>
      </c>
      <c r="B52" s="446"/>
      <c r="C52" s="447"/>
      <c r="D52" s="447"/>
      <c r="E52" s="447"/>
      <c r="F52" s="447"/>
      <c r="G52" s="447"/>
      <c r="H52" s="447"/>
      <c r="I52" s="447"/>
      <c r="J52" s="448"/>
      <c r="K52" s="79">
        <f>SUM(K10:K51)</f>
        <v>396</v>
      </c>
      <c r="L52" s="80">
        <f>K52</f>
        <v>396</v>
      </c>
    </row>
  </sheetData>
  <mergeCells count="8">
    <mergeCell ref="A7:J7"/>
    <mergeCell ref="A52:J52"/>
    <mergeCell ref="I1:J1"/>
    <mergeCell ref="I2:J2"/>
    <mergeCell ref="C4:D4"/>
    <mergeCell ref="F4:G4"/>
    <mergeCell ref="I4:L4"/>
    <mergeCell ref="C5:J5"/>
  </mergeCells>
  <pageMargins left="0.75" right="0" top="0.5" bottom="0.25" header="0.5" footer="0.25"/>
  <pageSetup scale="88" fitToHeight="2" orientation="portrait" horizontalDpi="1200" verticalDpi="1200" r:id="rId1"/>
  <headerFooter>
    <oddFooter>&amp;L&amp;9&amp;Z&amp;F&amp;R&amp;9Printed &amp;D &amp;T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FF0000"/>
  </sheetPr>
  <dimension ref="A1:L52"/>
  <sheetViews>
    <sheetView showWhiteSpace="0" view="pageBreakPreview" zoomScale="110" zoomScaleNormal="100" zoomScaleSheetLayoutView="110" workbookViewId="0">
      <selection activeCell="AJ31" sqref="AJ31"/>
    </sheetView>
  </sheetViews>
  <sheetFormatPr defaultColWidth="2.85546875" defaultRowHeight="15" customHeight="1" x14ac:dyDescent="0.25"/>
  <cols>
    <col min="2" max="2" width="9.5703125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122">
        <v>44847</v>
      </c>
      <c r="H1" s="121" t="s">
        <v>5</v>
      </c>
      <c r="I1" s="449" t="s">
        <v>164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165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84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25"/>
      <c r="B9" s="19"/>
      <c r="C9" s="104"/>
      <c r="D9" s="128"/>
      <c r="E9" s="148"/>
      <c r="F9" s="10"/>
      <c r="G9" s="10"/>
      <c r="H9" s="10"/>
      <c r="I9" s="63"/>
      <c r="J9" s="58"/>
      <c r="K9" s="6"/>
      <c r="L9" s="75"/>
    </row>
    <row r="10" spans="1:12" ht="15.95" customHeight="1" x14ac:dyDescent="0.25">
      <c r="A10" s="13"/>
      <c r="B10" s="73"/>
      <c r="C10" s="107"/>
      <c r="D10" s="127"/>
      <c r="E10" s="150"/>
      <c r="F10" s="10"/>
      <c r="G10" s="10"/>
      <c r="H10" s="10"/>
      <c r="I10" s="63"/>
      <c r="J10" s="58"/>
      <c r="K10" s="60"/>
      <c r="L10" s="76"/>
    </row>
    <row r="11" spans="1:12" ht="15.95" customHeight="1" x14ac:dyDescent="0.25">
      <c r="A11" s="13"/>
      <c r="B11" s="38" t="s">
        <v>14</v>
      </c>
      <c r="C11" s="11">
        <v>10</v>
      </c>
      <c r="D11" s="104" t="s">
        <v>17</v>
      </c>
      <c r="E11" s="148"/>
      <c r="F11" s="10"/>
      <c r="G11" s="10"/>
      <c r="H11" s="10"/>
      <c r="I11" s="63"/>
      <c r="J11" s="58"/>
      <c r="K11" s="60"/>
      <c r="L11" s="76"/>
    </row>
    <row r="12" spans="1:12" ht="15.95" customHeight="1" x14ac:dyDescent="0.25">
      <c r="A12" s="60"/>
      <c r="B12" s="38" t="s">
        <v>15</v>
      </c>
      <c r="C12" s="104">
        <v>11</v>
      </c>
      <c r="D12" s="11" t="s">
        <v>17</v>
      </c>
      <c r="E12" s="148"/>
      <c r="F12" s="10"/>
      <c r="G12" s="10"/>
      <c r="H12" s="10"/>
      <c r="I12" s="63"/>
      <c r="J12" s="58"/>
      <c r="K12" s="60"/>
      <c r="L12" s="76"/>
    </row>
    <row r="13" spans="1:12" ht="15.95" customHeight="1" x14ac:dyDescent="0.25">
      <c r="A13" s="60"/>
      <c r="B13" s="38" t="s">
        <v>166</v>
      </c>
      <c r="C13" s="104">
        <v>2.6</v>
      </c>
      <c r="D13" s="11" t="s">
        <v>17</v>
      </c>
      <c r="E13" s="148"/>
      <c r="F13" s="10"/>
      <c r="G13" s="10"/>
      <c r="H13" s="10"/>
      <c r="I13" s="63"/>
      <c r="J13" s="58"/>
      <c r="K13" s="60"/>
      <c r="L13" s="76"/>
    </row>
    <row r="14" spans="1:12" ht="15.95" customHeight="1" x14ac:dyDescent="0.25">
      <c r="A14" s="60"/>
      <c r="B14" s="38"/>
      <c r="C14" s="160"/>
      <c r="D14" s="11"/>
      <c r="E14" s="148"/>
      <c r="F14" s="10"/>
      <c r="G14" s="348" t="s">
        <v>204</v>
      </c>
      <c r="H14" s="10"/>
      <c r="I14" s="63"/>
      <c r="J14" s="58"/>
      <c r="K14" s="57"/>
      <c r="L14" s="76"/>
    </row>
    <row r="15" spans="1:12" ht="15.95" customHeight="1" x14ac:dyDescent="0.25">
      <c r="A15" s="60"/>
      <c r="B15" s="38" t="s">
        <v>167</v>
      </c>
      <c r="C15" s="160">
        <f>C12*C13/2</f>
        <v>14.3</v>
      </c>
      <c r="D15" s="11" t="s">
        <v>83</v>
      </c>
      <c r="E15" s="148"/>
      <c r="F15" s="348" t="s">
        <v>204</v>
      </c>
      <c r="G15" s="10"/>
      <c r="H15" s="348" t="s">
        <v>204</v>
      </c>
      <c r="I15" s="63"/>
      <c r="J15" s="189"/>
      <c r="K15" s="57"/>
      <c r="L15" s="76"/>
    </row>
    <row r="16" spans="1:12" ht="15.95" customHeight="1" x14ac:dyDescent="0.25">
      <c r="A16" s="60"/>
      <c r="B16" s="38"/>
      <c r="C16" s="104"/>
      <c r="D16" s="104"/>
      <c r="E16" s="148"/>
      <c r="F16" s="10"/>
      <c r="G16" s="10"/>
      <c r="H16" s="10"/>
      <c r="I16" s="63"/>
      <c r="J16" s="58"/>
      <c r="K16" s="60"/>
      <c r="L16" s="76"/>
    </row>
    <row r="17" spans="1:12" ht="15.95" customHeight="1" x14ac:dyDescent="0.25">
      <c r="A17" s="60"/>
      <c r="B17" s="38" t="s">
        <v>168</v>
      </c>
      <c r="C17" s="160">
        <f>C11*C15</f>
        <v>143</v>
      </c>
      <c r="D17" s="11" t="s">
        <v>169</v>
      </c>
      <c r="E17" s="150"/>
      <c r="F17" s="348" t="s">
        <v>204</v>
      </c>
      <c r="G17" s="10"/>
      <c r="H17" s="348" t="s">
        <v>204</v>
      </c>
      <c r="I17" s="63"/>
      <c r="J17" s="58"/>
      <c r="K17" s="60"/>
      <c r="L17" s="76"/>
    </row>
    <row r="18" spans="1:12" ht="15.95" customHeight="1" x14ac:dyDescent="0.25">
      <c r="A18" s="60"/>
      <c r="B18" s="38" t="s">
        <v>163</v>
      </c>
      <c r="C18" s="160">
        <f>C17/27</f>
        <v>5.2962962962962967</v>
      </c>
      <c r="D18" s="11" t="s">
        <v>171</v>
      </c>
      <c r="E18" s="10"/>
      <c r="F18" s="10"/>
      <c r="G18" s="10"/>
      <c r="H18" s="10"/>
      <c r="I18" s="63"/>
      <c r="J18" s="58"/>
      <c r="K18" s="60"/>
      <c r="L18" s="76"/>
    </row>
    <row r="19" spans="1:12" ht="15.95" customHeight="1" x14ac:dyDescent="0.25">
      <c r="A19" s="60"/>
      <c r="B19" s="73"/>
      <c r="C19" s="107"/>
      <c r="D19" s="127"/>
      <c r="E19" s="150"/>
      <c r="F19" s="10"/>
      <c r="G19" s="348" t="s">
        <v>204</v>
      </c>
      <c r="H19" s="10"/>
      <c r="I19" s="63"/>
      <c r="J19" s="58"/>
      <c r="K19" s="60"/>
      <c r="L19" s="76"/>
    </row>
    <row r="20" spans="1:12" ht="15.95" customHeight="1" x14ac:dyDescent="0.25">
      <c r="A20" s="60"/>
      <c r="B20" s="38" t="s">
        <v>170</v>
      </c>
      <c r="C20" s="11">
        <f>ROUNDUP(C18,0)</f>
        <v>6</v>
      </c>
      <c r="D20" s="11" t="s">
        <v>171</v>
      </c>
      <c r="E20" s="148"/>
      <c r="F20" s="10"/>
      <c r="G20" s="10"/>
      <c r="H20" s="10"/>
      <c r="I20" s="63"/>
      <c r="J20" s="58"/>
      <c r="K20" s="59">
        <f>C20</f>
        <v>6</v>
      </c>
      <c r="L20" s="76"/>
    </row>
    <row r="21" spans="1:12" ht="15.95" customHeight="1" x14ac:dyDescent="0.25">
      <c r="A21" s="60"/>
      <c r="B21" s="38"/>
      <c r="C21" s="104"/>
      <c r="D21" s="11"/>
      <c r="E21" s="148"/>
      <c r="F21" s="10"/>
      <c r="G21" s="10"/>
      <c r="H21" s="10"/>
      <c r="I21" s="63"/>
      <c r="J21" s="58"/>
      <c r="K21" s="60"/>
      <c r="L21" s="76"/>
    </row>
    <row r="22" spans="1:12" ht="15.95" customHeight="1" x14ac:dyDescent="0.25">
      <c r="A22" s="60"/>
      <c r="B22" s="38"/>
      <c r="C22" s="104"/>
      <c r="D22" s="11"/>
      <c r="E22" s="148"/>
      <c r="F22" s="10"/>
      <c r="G22" s="10"/>
      <c r="H22" s="10"/>
      <c r="I22" s="63"/>
      <c r="J22" s="58"/>
      <c r="K22" s="60"/>
      <c r="L22" s="76"/>
    </row>
    <row r="23" spans="1:12" ht="15.95" customHeight="1" x14ac:dyDescent="0.25">
      <c r="A23" s="60"/>
      <c r="B23" s="38"/>
      <c r="C23" s="160"/>
      <c r="D23" s="11"/>
      <c r="E23" s="148"/>
      <c r="F23" s="10"/>
      <c r="G23" s="10"/>
      <c r="H23" s="10"/>
      <c r="I23" s="63"/>
      <c r="J23" s="58"/>
      <c r="K23" s="57"/>
      <c r="L23" s="76"/>
    </row>
    <row r="24" spans="1:12" ht="15.95" customHeight="1" x14ac:dyDescent="0.25">
      <c r="A24" s="60"/>
      <c r="B24" s="38"/>
      <c r="C24" s="160"/>
      <c r="D24" s="11"/>
      <c r="E24" s="148"/>
      <c r="F24" s="10"/>
      <c r="G24" s="10"/>
      <c r="H24" s="10"/>
      <c r="I24" s="63"/>
      <c r="J24" s="189"/>
      <c r="K24" s="57"/>
      <c r="L24" s="76"/>
    </row>
    <row r="25" spans="1:12" ht="15.95" customHeight="1" x14ac:dyDescent="0.25">
      <c r="A25" s="60"/>
      <c r="B25" s="10"/>
      <c r="C25" s="104"/>
      <c r="D25" s="11"/>
      <c r="E25" s="10"/>
      <c r="F25" s="10"/>
      <c r="G25" s="10"/>
      <c r="H25" s="10"/>
      <c r="I25" s="63"/>
      <c r="J25" s="58"/>
      <c r="K25" s="60"/>
      <c r="L25" s="76"/>
    </row>
    <row r="26" spans="1:12" ht="15.95" customHeight="1" x14ac:dyDescent="0.25">
      <c r="A26" s="60"/>
      <c r="B26" s="10"/>
      <c r="C26" s="104"/>
      <c r="D26" s="11"/>
      <c r="E26" s="10"/>
      <c r="F26" s="10"/>
      <c r="G26" s="10"/>
      <c r="H26" s="10"/>
      <c r="I26" s="63"/>
      <c r="J26" s="58"/>
      <c r="K26" s="60"/>
      <c r="L26" s="76"/>
    </row>
    <row r="27" spans="1:12" ht="15.95" customHeight="1" x14ac:dyDescent="0.25">
      <c r="A27" s="60"/>
      <c r="B27" s="10"/>
      <c r="C27" s="104"/>
      <c r="D27" s="11"/>
      <c r="E27" s="10"/>
      <c r="F27" s="10"/>
      <c r="G27" s="10"/>
      <c r="H27" s="10"/>
      <c r="I27" s="63"/>
      <c r="J27" s="58"/>
      <c r="K27" s="60"/>
      <c r="L27" s="76"/>
    </row>
    <row r="28" spans="1:12" ht="15.95" customHeight="1" x14ac:dyDescent="0.25">
      <c r="A28" s="60"/>
      <c r="B28" s="10"/>
      <c r="C28" s="104"/>
      <c r="D28" s="11"/>
      <c r="E28" s="10"/>
      <c r="F28" s="10"/>
      <c r="G28" s="10"/>
      <c r="H28" s="10"/>
      <c r="I28" s="63"/>
      <c r="J28" s="58"/>
      <c r="K28" s="60"/>
      <c r="L28" s="76"/>
    </row>
    <row r="29" spans="1:12" ht="15.95" customHeight="1" x14ac:dyDescent="0.25">
      <c r="A29" s="60"/>
      <c r="B29" s="10"/>
      <c r="C29" s="104"/>
      <c r="D29" s="11"/>
      <c r="E29" s="10"/>
      <c r="F29" s="10"/>
      <c r="G29" s="10"/>
      <c r="H29" s="10"/>
      <c r="I29" s="63"/>
      <c r="J29" s="58"/>
      <c r="K29" s="60"/>
      <c r="L29" s="76"/>
    </row>
    <row r="30" spans="1:12" ht="15.95" customHeight="1" x14ac:dyDescent="0.25">
      <c r="A30" s="60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60"/>
      <c r="B31" s="10"/>
      <c r="C31" s="104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60"/>
      <c r="B32" s="10"/>
      <c r="C32" s="104"/>
      <c r="D32" s="11"/>
      <c r="E32" s="10"/>
      <c r="F32" s="10"/>
      <c r="G32" s="10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0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0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0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0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0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60"/>
      <c r="B46" s="10"/>
      <c r="C46" s="104"/>
      <c r="D46" s="11"/>
      <c r="E46" s="10"/>
      <c r="F46" s="10"/>
      <c r="G46" s="10"/>
      <c r="H46" s="10"/>
      <c r="I46" s="63"/>
      <c r="J46" s="58"/>
      <c r="K46" s="60"/>
      <c r="L46" s="76"/>
    </row>
    <row r="47" spans="1:12" ht="15.95" customHeight="1" x14ac:dyDescent="0.25">
      <c r="A47" s="60"/>
      <c r="B47" s="10"/>
      <c r="C47" s="104"/>
      <c r="D47" s="11"/>
      <c r="E47" s="10"/>
      <c r="F47" s="10"/>
      <c r="G47" s="10"/>
      <c r="H47" s="10"/>
      <c r="I47" s="63"/>
      <c r="J47" s="58"/>
      <c r="K47" s="60"/>
      <c r="L47" s="76"/>
    </row>
    <row r="48" spans="1:12" ht="15.95" customHeight="1" x14ac:dyDescent="0.25">
      <c r="A48" s="60"/>
      <c r="B48" s="10"/>
      <c r="C48" s="104"/>
      <c r="D48" s="11"/>
      <c r="E48" s="10"/>
      <c r="F48" s="10"/>
      <c r="G48" s="10"/>
      <c r="H48" s="10"/>
      <c r="I48" s="63"/>
      <c r="J48" s="58"/>
      <c r="K48" s="60"/>
      <c r="L48" s="76"/>
    </row>
    <row r="49" spans="1:12" ht="15.95" customHeight="1" x14ac:dyDescent="0.25">
      <c r="A49" s="60"/>
      <c r="B49" s="10"/>
      <c r="C49" s="104"/>
      <c r="D49" s="11"/>
      <c r="E49" s="10"/>
      <c r="F49" s="10"/>
      <c r="G49" s="10"/>
      <c r="H49" s="10"/>
      <c r="I49" s="63"/>
      <c r="J49" s="58"/>
      <c r="K49" s="60"/>
      <c r="L49" s="76"/>
    </row>
    <row r="50" spans="1:12" ht="15.95" customHeight="1" x14ac:dyDescent="0.25">
      <c r="A50" s="71"/>
      <c r="B50" s="10"/>
      <c r="C50" s="25"/>
      <c r="D50" s="25"/>
      <c r="E50" s="100"/>
      <c r="F50" s="100"/>
      <c r="G50" s="97"/>
      <c r="H50" s="25"/>
      <c r="I50" s="92"/>
      <c r="J50" s="32"/>
      <c r="K50" s="71"/>
      <c r="L50" s="77"/>
    </row>
    <row r="51" spans="1:12" ht="15.95" customHeight="1" thickBot="1" x14ac:dyDescent="0.3">
      <c r="A51" s="71"/>
      <c r="B51" s="67"/>
      <c r="C51" s="67"/>
      <c r="D51" s="67"/>
      <c r="E51" s="101"/>
      <c r="F51" s="101"/>
      <c r="G51" s="98"/>
      <c r="H51" s="67"/>
      <c r="I51" s="99"/>
      <c r="J51" s="68"/>
      <c r="K51" s="71"/>
      <c r="L51" s="77"/>
    </row>
    <row r="52" spans="1:12" ht="15.95" customHeight="1" thickBot="1" x14ac:dyDescent="0.3">
      <c r="A52" s="445" t="s">
        <v>13</v>
      </c>
      <c r="B52" s="446"/>
      <c r="C52" s="447"/>
      <c r="D52" s="447"/>
      <c r="E52" s="447"/>
      <c r="F52" s="447"/>
      <c r="G52" s="447"/>
      <c r="H52" s="447"/>
      <c r="I52" s="447"/>
      <c r="J52" s="448"/>
      <c r="K52" s="79">
        <f>SUM(K10:K51)</f>
        <v>6</v>
      </c>
      <c r="L52" s="80">
        <f>K52</f>
        <v>6</v>
      </c>
    </row>
  </sheetData>
  <mergeCells count="8">
    <mergeCell ref="A7:J7"/>
    <mergeCell ref="A52:J52"/>
    <mergeCell ref="I1:J1"/>
    <mergeCell ref="I2:J2"/>
    <mergeCell ref="C4:D4"/>
    <mergeCell ref="F4:G4"/>
    <mergeCell ref="I4:L4"/>
    <mergeCell ref="C5:J5"/>
  </mergeCells>
  <pageMargins left="0.75" right="0" top="0.5" bottom="0.25" header="0.5" footer="0.25"/>
  <pageSetup scale="88" fitToHeight="2" orientation="portrait" horizontalDpi="1200" verticalDpi="1200" r:id="rId1"/>
  <headerFooter>
    <oddFooter>&amp;L&amp;9&amp;Z&amp;F&amp;R&amp;9Printed &amp;D &amp;T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FF0000"/>
  </sheetPr>
  <dimension ref="A1:L50"/>
  <sheetViews>
    <sheetView zoomScaleNormal="100" zoomScaleSheetLayoutView="85" workbookViewId="0">
      <selection activeCell="AJ31" sqref="AJ31"/>
    </sheetView>
  </sheetViews>
  <sheetFormatPr defaultColWidth="2.85546875" defaultRowHeight="15" customHeight="1" x14ac:dyDescent="0.25"/>
  <cols>
    <col min="1" max="1" width="2.5703125" customWidth="1"/>
    <col min="2" max="2" width="8.7109375" customWidth="1"/>
    <col min="3" max="3" width="9" customWidth="1"/>
    <col min="4" max="4" width="10.28515625" customWidth="1"/>
    <col min="5" max="5" width="8.7109375" customWidth="1"/>
    <col min="6" max="6" width="7.85546875" customWidth="1"/>
    <col min="7" max="7" width="9.42578125" customWidth="1"/>
    <col min="8" max="8" width="10.7109375" customWidth="1"/>
    <col min="9" max="9" width="8.5703125" customWidth="1"/>
    <col min="10" max="10" width="8.28515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122">
        <v>45034</v>
      </c>
      <c r="H1" s="121" t="s">
        <v>5</v>
      </c>
      <c r="I1" s="449" t="s">
        <v>325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65" t="s">
        <v>324</v>
      </c>
      <c r="D5" s="465"/>
      <c r="E5" s="465"/>
      <c r="F5" s="465"/>
      <c r="G5" s="465"/>
      <c r="H5" s="465"/>
      <c r="I5" s="465"/>
      <c r="J5" s="465"/>
      <c r="K5" s="111" t="s">
        <v>8</v>
      </c>
      <c r="L5" s="113" t="s">
        <v>66</v>
      </c>
    </row>
    <row r="6" spans="1:12" ht="20.100000000000001" customHeight="1" thickBot="1" x14ac:dyDescent="0.3">
      <c r="A6" s="129"/>
      <c r="B6" s="29"/>
      <c r="C6" s="29"/>
      <c r="D6" s="29"/>
      <c r="E6" s="29"/>
      <c r="F6" s="29"/>
      <c r="G6" s="29"/>
      <c r="H6" s="29"/>
      <c r="I6" s="29"/>
      <c r="J6" s="29"/>
      <c r="K6" s="29"/>
      <c r="L6" s="155"/>
    </row>
    <row r="7" spans="1:12" ht="1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105" t="s">
        <v>12</v>
      </c>
      <c r="L7" s="74" t="s">
        <v>13</v>
      </c>
    </row>
    <row r="8" spans="1:12" ht="15.95" customHeight="1" x14ac:dyDescent="0.25">
      <c r="A8" s="64"/>
      <c r="B8" s="40"/>
      <c r="C8" s="40"/>
      <c r="D8" s="40"/>
      <c r="E8" s="40"/>
      <c r="F8" s="40"/>
      <c r="G8" s="40"/>
      <c r="H8" s="40"/>
      <c r="I8" s="8"/>
      <c r="J8" s="8"/>
      <c r="K8" s="7"/>
      <c r="L8" s="75"/>
    </row>
    <row r="9" spans="1:12" ht="15.95" customHeight="1" x14ac:dyDescent="0.25">
      <c r="A9" s="64"/>
      <c r="B9" s="73"/>
      <c r="C9" s="49"/>
      <c r="D9" s="35"/>
      <c r="E9" s="15"/>
      <c r="F9" s="33"/>
      <c r="G9" s="34"/>
      <c r="H9" s="18"/>
      <c r="I9" s="18"/>
      <c r="J9" s="43"/>
      <c r="K9" s="58"/>
      <c r="L9" s="76"/>
    </row>
    <row r="10" spans="1:12" ht="15.95" customHeight="1" x14ac:dyDescent="0.25">
      <c r="A10" s="64"/>
      <c r="B10" s="73"/>
      <c r="C10" s="22"/>
      <c r="D10" s="22"/>
      <c r="E10" s="10"/>
      <c r="F10" s="35"/>
      <c r="G10" s="22"/>
      <c r="H10" s="22"/>
      <c r="I10" s="22"/>
      <c r="J10" s="43"/>
      <c r="K10" s="58"/>
      <c r="L10" s="76"/>
    </row>
    <row r="11" spans="1:12" ht="15.95" customHeight="1" x14ac:dyDescent="0.25">
      <c r="A11" s="64"/>
      <c r="B11" s="35"/>
      <c r="C11" s="35"/>
      <c r="D11" s="15"/>
      <c r="E11" s="35"/>
      <c r="F11" s="15"/>
      <c r="G11" s="18"/>
      <c r="H11" s="18"/>
      <c r="I11" s="18" t="s">
        <v>50</v>
      </c>
      <c r="J11" s="43"/>
      <c r="K11" s="58"/>
      <c r="L11" s="76"/>
    </row>
    <row r="12" spans="1:12" ht="15.95" customHeight="1" x14ac:dyDescent="0.25">
      <c r="A12" s="64"/>
      <c r="B12" s="254"/>
      <c r="C12" s="254"/>
      <c r="D12" s="255"/>
      <c r="E12" s="256"/>
      <c r="F12" s="256"/>
      <c r="G12" s="256"/>
      <c r="H12" s="256"/>
      <c r="I12" s="256" t="s">
        <v>16</v>
      </c>
      <c r="J12" s="43"/>
      <c r="K12" s="58"/>
      <c r="L12" s="76"/>
    </row>
    <row r="13" spans="1:12" ht="15.95" customHeight="1" x14ac:dyDescent="0.25">
      <c r="A13" s="64"/>
      <c r="B13" s="209"/>
      <c r="C13" s="480" t="s">
        <v>320</v>
      </c>
      <c r="D13" s="481"/>
      <c r="E13" s="481"/>
      <c r="F13" s="481"/>
      <c r="G13" s="481"/>
      <c r="H13" s="482"/>
      <c r="I13" s="209">
        <v>12640</v>
      </c>
      <c r="J13" s="253"/>
      <c r="K13" s="58"/>
      <c r="L13" s="76"/>
    </row>
    <row r="14" spans="1:12" ht="15.95" customHeight="1" x14ac:dyDescent="0.25">
      <c r="A14" s="64"/>
      <c r="B14" s="209"/>
      <c r="C14" s="480" t="s">
        <v>321</v>
      </c>
      <c r="D14" s="481"/>
      <c r="E14" s="481"/>
      <c r="F14" s="481"/>
      <c r="G14" s="481"/>
      <c r="H14" s="482"/>
      <c r="I14" s="209">
        <v>6256</v>
      </c>
      <c r="J14" s="253"/>
      <c r="K14" s="58"/>
      <c r="L14" s="76"/>
    </row>
    <row r="15" spans="1:12" ht="15.95" customHeight="1" x14ac:dyDescent="0.25">
      <c r="A15" s="64"/>
      <c r="B15" s="209"/>
      <c r="C15" s="480" t="s">
        <v>322</v>
      </c>
      <c r="D15" s="481"/>
      <c r="E15" s="481"/>
      <c r="F15" s="481"/>
      <c r="G15" s="481"/>
      <c r="H15" s="482"/>
      <c r="I15" s="209">
        <v>556</v>
      </c>
      <c r="J15" s="253"/>
      <c r="K15" s="58"/>
      <c r="L15" s="76"/>
    </row>
    <row r="16" spans="1:12" ht="15.95" customHeight="1" x14ac:dyDescent="0.25">
      <c r="A16" s="392"/>
      <c r="B16" s="394"/>
      <c r="C16" s="394"/>
      <c r="D16" s="395"/>
      <c r="E16" s="395"/>
      <c r="F16" s="396"/>
      <c r="G16" s="394"/>
      <c r="H16" s="397"/>
      <c r="I16" s="394"/>
      <c r="J16" s="253"/>
      <c r="K16" s="58"/>
      <c r="L16" s="76"/>
    </row>
    <row r="17" spans="1:12" ht="15.95" customHeight="1" x14ac:dyDescent="0.25">
      <c r="A17" s="392"/>
      <c r="B17" s="63"/>
      <c r="C17" s="63"/>
      <c r="D17" s="11"/>
      <c r="E17" s="11"/>
      <c r="F17" s="22"/>
      <c r="G17" s="63"/>
      <c r="H17" s="10"/>
      <c r="I17" s="63"/>
      <c r="J17" s="253"/>
      <c r="K17" s="153"/>
      <c r="L17" s="76"/>
    </row>
    <row r="18" spans="1:12" ht="15.95" customHeight="1" x14ac:dyDescent="0.25">
      <c r="A18" s="392"/>
      <c r="B18" s="63"/>
      <c r="C18" s="63"/>
      <c r="D18" s="11"/>
      <c r="E18" s="11"/>
      <c r="F18" s="22"/>
      <c r="G18" s="63"/>
      <c r="H18" s="10"/>
      <c r="I18" s="63"/>
      <c r="J18" s="253"/>
      <c r="K18" s="58"/>
      <c r="L18" s="76"/>
    </row>
    <row r="19" spans="1:12" ht="15.95" customHeight="1" x14ac:dyDescent="0.25">
      <c r="A19" s="64"/>
      <c r="B19" s="393"/>
      <c r="C19" s="28"/>
      <c r="D19" s="28"/>
      <c r="E19" s="251"/>
      <c r="F19" s="251"/>
      <c r="G19" s="251"/>
      <c r="H19" s="252" t="s">
        <v>61</v>
      </c>
      <c r="I19" s="259">
        <f>SUM(I13:I18)</f>
        <v>19452</v>
      </c>
      <c r="J19" s="43"/>
      <c r="K19" s="58"/>
      <c r="L19" s="76"/>
    </row>
    <row r="20" spans="1:12" ht="15.95" customHeight="1" x14ac:dyDescent="0.25">
      <c r="A20" s="64"/>
      <c r="B20" s="152"/>
      <c r="C20" s="28"/>
      <c r="D20" s="28"/>
      <c r="E20" s="251"/>
      <c r="F20" s="251"/>
      <c r="G20" s="251"/>
      <c r="H20" s="252"/>
      <c r="I20" s="104"/>
      <c r="J20" s="43"/>
      <c r="K20" s="58"/>
      <c r="L20" s="76"/>
    </row>
    <row r="21" spans="1:12" ht="15.95" customHeight="1" x14ac:dyDescent="0.25">
      <c r="A21" s="64"/>
      <c r="B21" s="10"/>
      <c r="C21" s="28"/>
      <c r="D21" s="28"/>
      <c r="E21" s="251"/>
      <c r="F21" s="251"/>
      <c r="G21" s="251"/>
      <c r="H21" s="257" t="s">
        <v>326</v>
      </c>
      <c r="I21" s="258">
        <v>0.15</v>
      </c>
      <c r="J21" s="43"/>
      <c r="K21" s="58"/>
      <c r="L21" s="76"/>
    </row>
    <row r="22" spans="1:12" ht="15.95" customHeight="1" x14ac:dyDescent="0.25">
      <c r="A22" s="64"/>
      <c r="B22" s="9"/>
      <c r="C22" s="22"/>
      <c r="D22" s="22"/>
      <c r="E22" s="10"/>
      <c r="F22" s="63"/>
      <c r="G22" s="63"/>
      <c r="H22" s="22" t="s">
        <v>119</v>
      </c>
      <c r="I22" s="63">
        <f>(1+I21)*I19</f>
        <v>22369.8</v>
      </c>
      <c r="J22" s="43"/>
      <c r="K22" s="47">
        <f>I22</f>
        <v>22369.8</v>
      </c>
      <c r="L22" s="76"/>
    </row>
    <row r="23" spans="1:12" ht="15.95" customHeight="1" x14ac:dyDescent="0.25">
      <c r="A23" s="64"/>
      <c r="B23" s="9"/>
      <c r="C23" s="22"/>
      <c r="D23" s="22"/>
      <c r="E23" s="10"/>
      <c r="F23" s="10"/>
      <c r="G23" s="63"/>
      <c r="H23" s="12"/>
      <c r="I23" s="12"/>
      <c r="J23" s="43"/>
      <c r="K23" s="58"/>
      <c r="L23" s="76"/>
    </row>
    <row r="24" spans="1:12" ht="15.95" customHeight="1" x14ac:dyDescent="0.25">
      <c r="A24" s="13"/>
      <c r="B24" s="9"/>
      <c r="C24" s="22"/>
      <c r="D24" s="22"/>
      <c r="E24" s="10" t="s">
        <v>83</v>
      </c>
      <c r="F24" s="35" t="s">
        <v>323</v>
      </c>
      <c r="G24" s="106"/>
      <c r="H24" s="22"/>
      <c r="I24" s="22"/>
      <c r="J24" s="43"/>
      <c r="K24" s="47"/>
      <c r="L24" s="76"/>
    </row>
    <row r="25" spans="1:12" ht="15.95" customHeight="1" x14ac:dyDescent="0.25">
      <c r="A25" s="13"/>
      <c r="B25" s="9"/>
      <c r="C25" s="22"/>
      <c r="D25" s="117" t="s">
        <v>327</v>
      </c>
      <c r="E25" s="63">
        <f>K22</f>
        <v>22369.8</v>
      </c>
      <c r="F25" s="398">
        <v>30</v>
      </c>
      <c r="G25" s="84">
        <f>E25*F25</f>
        <v>671094</v>
      </c>
      <c r="H25" s="12"/>
      <c r="I25" s="12"/>
      <c r="J25" s="43"/>
      <c r="K25" s="58"/>
      <c r="L25" s="76"/>
    </row>
    <row r="26" spans="1:12" ht="15.95" customHeight="1" x14ac:dyDescent="0.25">
      <c r="A26" s="13"/>
      <c r="B26" s="9"/>
      <c r="C26" s="22"/>
      <c r="D26" s="22"/>
      <c r="E26" s="63"/>
      <c r="F26" s="398"/>
      <c r="G26" s="34"/>
      <c r="H26" s="12"/>
      <c r="I26" s="12"/>
      <c r="J26" s="43"/>
      <c r="K26" s="58"/>
      <c r="L26" s="76"/>
    </row>
    <row r="27" spans="1:12" ht="15.95" customHeight="1" x14ac:dyDescent="0.25">
      <c r="A27" s="16"/>
      <c r="B27" s="10"/>
      <c r="C27" s="22"/>
      <c r="D27" s="22"/>
      <c r="E27" s="63"/>
      <c r="F27" s="22"/>
      <c r="G27" s="34"/>
      <c r="H27" s="22"/>
      <c r="I27" s="22"/>
      <c r="J27" s="43"/>
      <c r="K27" s="58"/>
      <c r="L27" s="76"/>
    </row>
    <row r="28" spans="1:12" ht="15.95" customHeight="1" x14ac:dyDescent="0.25">
      <c r="A28" s="16"/>
      <c r="B28" s="10"/>
      <c r="C28" s="22"/>
      <c r="D28" s="22"/>
      <c r="E28" s="10"/>
      <c r="F28" s="22"/>
      <c r="G28" s="22"/>
      <c r="H28" s="22"/>
      <c r="I28" s="22"/>
      <c r="J28" s="32"/>
      <c r="K28" s="58"/>
      <c r="L28" s="76"/>
    </row>
    <row r="29" spans="1:12" ht="15.95" customHeight="1" x14ac:dyDescent="0.25">
      <c r="A29" s="16"/>
      <c r="B29" s="10"/>
      <c r="C29" s="22"/>
      <c r="D29" s="22"/>
      <c r="E29" s="10"/>
      <c r="F29" s="22" t="s">
        <v>50</v>
      </c>
      <c r="G29" s="399">
        <f>SUM(G25:G27)</f>
        <v>671094</v>
      </c>
      <c r="H29" s="22"/>
      <c r="I29" s="22"/>
      <c r="J29" s="32"/>
      <c r="K29" s="58"/>
      <c r="L29" s="76"/>
    </row>
    <row r="30" spans="1:12" ht="15.95" customHeight="1" x14ac:dyDescent="0.25">
      <c r="A30" s="16"/>
      <c r="B30" s="10"/>
      <c r="C30" s="22"/>
      <c r="D30" s="22"/>
      <c r="E30" s="10"/>
      <c r="F30" s="22"/>
      <c r="G30" s="22"/>
      <c r="H30" s="22"/>
      <c r="I30" s="22"/>
      <c r="J30" s="32"/>
      <c r="K30" s="58"/>
      <c r="L30" s="76"/>
    </row>
    <row r="31" spans="1:12" ht="15.95" customHeight="1" x14ac:dyDescent="0.25">
      <c r="A31" s="16"/>
      <c r="B31" s="10"/>
      <c r="C31" s="22"/>
      <c r="D31" s="22"/>
      <c r="E31" s="10"/>
      <c r="F31" s="22"/>
      <c r="G31" s="22"/>
      <c r="H31" s="22"/>
      <c r="I31" s="22"/>
      <c r="J31" s="32"/>
      <c r="K31" s="58"/>
      <c r="L31" s="76"/>
    </row>
    <row r="32" spans="1:12" ht="15.95" customHeight="1" x14ac:dyDescent="0.25">
      <c r="A32" s="13"/>
      <c r="B32" s="10"/>
      <c r="C32" s="22"/>
      <c r="D32" s="22"/>
      <c r="E32" s="10"/>
      <c r="F32" s="22"/>
      <c r="G32" s="22"/>
      <c r="H32" s="22"/>
      <c r="I32" s="22"/>
      <c r="J32" s="32"/>
      <c r="K32" s="58"/>
      <c r="L32" s="76"/>
    </row>
    <row r="33" spans="1:12" ht="15.95" customHeight="1" x14ac:dyDescent="0.25">
      <c r="A33" s="13"/>
      <c r="B33" s="10"/>
      <c r="C33" s="22"/>
      <c r="D33" s="22"/>
      <c r="E33" s="10"/>
      <c r="F33" s="22"/>
      <c r="G33" s="22"/>
      <c r="H33" s="22"/>
      <c r="I33" s="22"/>
      <c r="J33" s="32"/>
      <c r="K33" s="58"/>
      <c r="L33" s="76"/>
    </row>
    <row r="34" spans="1:12" ht="15.95" customHeight="1" x14ac:dyDescent="0.25">
      <c r="A34" s="13"/>
      <c r="B34" s="10"/>
      <c r="C34" s="22"/>
      <c r="D34" s="22"/>
      <c r="E34" s="10"/>
      <c r="F34" s="22"/>
      <c r="G34" s="22"/>
      <c r="H34" s="22"/>
      <c r="I34" s="22"/>
      <c r="J34" s="32"/>
      <c r="K34" s="58"/>
      <c r="L34" s="76"/>
    </row>
    <row r="35" spans="1:12" ht="15.95" customHeight="1" x14ac:dyDescent="0.25">
      <c r="A35" s="13"/>
      <c r="B35" s="34"/>
      <c r="C35" s="34"/>
      <c r="D35" s="34"/>
      <c r="E35" s="34"/>
      <c r="F35" s="34"/>
      <c r="G35" s="34"/>
      <c r="H35" s="34"/>
      <c r="I35" s="34"/>
      <c r="J35" s="32"/>
      <c r="K35" s="58"/>
      <c r="L35" s="76"/>
    </row>
    <row r="36" spans="1:12" ht="15.95" customHeight="1" x14ac:dyDescent="0.25">
      <c r="A36" s="13"/>
      <c r="B36" s="34"/>
      <c r="C36" s="34"/>
      <c r="D36" s="34"/>
      <c r="E36" s="34"/>
      <c r="F36" s="34"/>
      <c r="G36" s="34"/>
      <c r="H36" s="34"/>
      <c r="I36" s="34"/>
      <c r="J36" s="32"/>
      <c r="K36" s="58"/>
      <c r="L36" s="76"/>
    </row>
    <row r="37" spans="1:12" ht="15.95" customHeight="1" x14ac:dyDescent="0.25">
      <c r="A37" s="13"/>
      <c r="B37" s="10"/>
      <c r="C37" s="20"/>
      <c r="D37" s="11"/>
      <c r="E37" s="15"/>
      <c r="F37" s="15"/>
      <c r="G37" s="15"/>
      <c r="H37" s="12"/>
      <c r="I37" s="12"/>
      <c r="J37" s="32"/>
      <c r="K37" s="58"/>
      <c r="L37" s="76"/>
    </row>
    <row r="38" spans="1:12" ht="15.95" customHeight="1" x14ac:dyDescent="0.25">
      <c r="A38" s="13"/>
      <c r="B38" s="15"/>
      <c r="C38" s="35"/>
      <c r="D38" s="35"/>
      <c r="E38" s="15"/>
      <c r="F38" s="33"/>
      <c r="G38" s="34"/>
      <c r="H38" s="18"/>
      <c r="I38" s="18"/>
      <c r="J38" s="32"/>
      <c r="K38" s="58"/>
      <c r="L38" s="76"/>
    </row>
    <row r="39" spans="1:12" ht="15.95" customHeight="1" x14ac:dyDescent="0.25">
      <c r="A39" s="16"/>
      <c r="B39" s="10"/>
      <c r="C39" s="22"/>
      <c r="D39" s="22"/>
      <c r="E39" s="10"/>
      <c r="F39" s="22"/>
      <c r="G39" s="22"/>
      <c r="H39" s="22"/>
      <c r="I39" s="22"/>
      <c r="J39" s="32"/>
      <c r="K39" s="58"/>
      <c r="L39" s="76"/>
    </row>
    <row r="40" spans="1:12" ht="15.95" customHeight="1" x14ac:dyDescent="0.25">
      <c r="A40" s="13"/>
      <c r="B40" s="10"/>
      <c r="C40" s="22"/>
      <c r="D40" s="22"/>
      <c r="E40" s="10"/>
      <c r="F40" s="22"/>
      <c r="G40" s="22"/>
      <c r="H40" s="22"/>
      <c r="I40" s="22"/>
      <c r="J40" s="32"/>
      <c r="K40" s="58"/>
      <c r="L40" s="76"/>
    </row>
    <row r="41" spans="1:12" ht="15.95" customHeight="1" x14ac:dyDescent="0.25">
      <c r="A41" s="13"/>
      <c r="B41" s="10"/>
      <c r="C41" s="22"/>
      <c r="D41" s="22"/>
      <c r="E41" s="10"/>
      <c r="F41" s="22"/>
      <c r="G41" s="22"/>
      <c r="H41" s="22"/>
      <c r="I41" s="22"/>
      <c r="J41" s="32"/>
      <c r="K41" s="58"/>
      <c r="L41" s="76"/>
    </row>
    <row r="42" spans="1:12" ht="15.95" customHeight="1" x14ac:dyDescent="0.25">
      <c r="A42" s="13"/>
      <c r="B42" s="10"/>
      <c r="C42" s="22"/>
      <c r="D42" s="22"/>
      <c r="E42" s="10"/>
      <c r="F42" s="22"/>
      <c r="G42" s="22"/>
      <c r="H42" s="22"/>
      <c r="I42" s="22"/>
      <c r="J42" s="32"/>
      <c r="K42" s="58"/>
      <c r="L42" s="76"/>
    </row>
    <row r="43" spans="1:12" ht="15.95" customHeight="1" x14ac:dyDescent="0.25">
      <c r="A43" s="13"/>
      <c r="B43" s="10"/>
      <c r="C43" s="22"/>
      <c r="D43" s="22"/>
      <c r="E43" s="10"/>
      <c r="F43" s="22"/>
      <c r="G43" s="22"/>
      <c r="H43" s="22"/>
      <c r="I43" s="22"/>
      <c r="J43" s="32"/>
      <c r="K43" s="58"/>
      <c r="L43" s="76"/>
    </row>
    <row r="44" spans="1:12" ht="15.95" customHeight="1" x14ac:dyDescent="0.25">
      <c r="A44" s="13"/>
      <c r="B44" s="10"/>
      <c r="C44" s="20"/>
      <c r="D44" s="11"/>
      <c r="E44" s="10"/>
      <c r="F44" s="10"/>
      <c r="G44" s="10"/>
      <c r="H44" s="12"/>
      <c r="I44" s="10"/>
      <c r="J44" s="32"/>
      <c r="K44" s="58"/>
      <c r="L44" s="76"/>
    </row>
    <row r="45" spans="1:12" ht="15.95" customHeight="1" x14ac:dyDescent="0.25">
      <c r="A45" s="13"/>
      <c r="B45" s="10"/>
      <c r="C45" s="20"/>
      <c r="D45" s="11"/>
      <c r="E45" s="10"/>
      <c r="F45" s="10"/>
      <c r="G45" s="10"/>
      <c r="H45" s="12"/>
      <c r="I45" s="10"/>
      <c r="J45" s="32"/>
      <c r="K45" s="58"/>
      <c r="L45" s="76"/>
    </row>
    <row r="46" spans="1:12" ht="15.95" customHeight="1" x14ac:dyDescent="0.25">
      <c r="A46" s="13"/>
      <c r="B46" s="15"/>
      <c r="C46" s="15"/>
      <c r="D46" s="15"/>
      <c r="E46" s="11"/>
      <c r="F46" s="11"/>
      <c r="G46" s="10"/>
      <c r="H46" s="12"/>
      <c r="I46" s="10"/>
      <c r="J46" s="32"/>
      <c r="K46" s="58"/>
      <c r="L46" s="76"/>
    </row>
    <row r="47" spans="1:12" ht="15.95" customHeight="1" x14ac:dyDescent="0.25">
      <c r="A47" s="13"/>
      <c r="B47" s="15"/>
      <c r="C47" s="15"/>
      <c r="D47" s="15"/>
      <c r="E47" s="11"/>
      <c r="F47" s="11"/>
      <c r="G47" s="10"/>
      <c r="H47" s="12"/>
      <c r="I47" s="10"/>
      <c r="J47" s="32"/>
      <c r="K47" s="58"/>
      <c r="L47" s="76"/>
    </row>
    <row r="48" spans="1:12" ht="15.95" customHeight="1" x14ac:dyDescent="0.25">
      <c r="A48" s="13"/>
      <c r="B48" s="10"/>
      <c r="C48" s="20"/>
      <c r="D48" s="11"/>
      <c r="E48" s="10"/>
      <c r="F48" s="10"/>
      <c r="G48" s="10"/>
      <c r="H48" s="10"/>
      <c r="I48" s="10"/>
      <c r="J48" s="32"/>
      <c r="K48" s="58"/>
      <c r="L48" s="76"/>
    </row>
    <row r="49" spans="1:12" ht="15.95" customHeight="1" thickBot="1" x14ac:dyDescent="0.3">
      <c r="A49" s="95"/>
      <c r="B49" s="67"/>
      <c r="C49" s="23"/>
      <c r="D49" s="24"/>
      <c r="E49" s="25"/>
      <c r="F49" s="25"/>
      <c r="G49" s="25"/>
      <c r="H49" s="25"/>
      <c r="I49" s="25"/>
      <c r="J49" s="61"/>
      <c r="K49" s="31"/>
      <c r="L49" s="77"/>
    </row>
    <row r="50" spans="1:12" ht="15.95" customHeight="1" thickBot="1" x14ac:dyDescent="0.3">
      <c r="A50" s="445" t="s">
        <v>13</v>
      </c>
      <c r="B50" s="446"/>
      <c r="C50" s="447"/>
      <c r="D50" s="447"/>
      <c r="E50" s="447"/>
      <c r="F50" s="447"/>
      <c r="G50" s="447"/>
      <c r="H50" s="447"/>
      <c r="I50" s="447"/>
      <c r="J50" s="448"/>
      <c r="K50" s="79"/>
      <c r="L50" s="80"/>
    </row>
  </sheetData>
  <mergeCells count="10">
    <mergeCell ref="A50:J50"/>
    <mergeCell ref="I1:J1"/>
    <mergeCell ref="I2:J2"/>
    <mergeCell ref="C4:D4"/>
    <mergeCell ref="F4:G4"/>
    <mergeCell ref="I4:L4"/>
    <mergeCell ref="C5:J5"/>
    <mergeCell ref="C13:H13"/>
    <mergeCell ref="C14:H14"/>
    <mergeCell ref="C15:H15"/>
  </mergeCells>
  <pageMargins left="0.75" right="0" top="0.5" bottom="0.25" header="0.5" footer="0.25"/>
  <pageSetup scale="91" orientation="portrait" horizontalDpi="1200" verticalDpi="1200" r:id="rId1"/>
  <headerFooter>
    <oddFooter>&amp;L&amp;9&amp;Z&amp;F&amp;R&amp;9Printed &amp;D &amp;T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FF0000"/>
  </sheetPr>
  <dimension ref="A1:L49"/>
  <sheetViews>
    <sheetView zoomScaleNormal="100" zoomScaleSheetLayoutView="85" workbookViewId="0">
      <selection activeCell="AJ31" sqref="AJ31"/>
    </sheetView>
  </sheetViews>
  <sheetFormatPr defaultColWidth="2.85546875" defaultRowHeight="15" customHeight="1" x14ac:dyDescent="0.25"/>
  <cols>
    <col min="1" max="1" width="2.5703125" customWidth="1"/>
    <col min="2" max="2" width="8.7109375" customWidth="1"/>
    <col min="3" max="3" width="9" customWidth="1"/>
    <col min="4" max="4" width="10.28515625" customWidth="1"/>
    <col min="5" max="5" width="8.7109375" customWidth="1"/>
    <col min="6" max="6" width="7.85546875" customWidth="1"/>
    <col min="7" max="7" width="9.42578125" customWidth="1"/>
    <col min="8" max="8" width="10.7109375" customWidth="1"/>
    <col min="9" max="9" width="8.5703125" customWidth="1"/>
    <col min="10" max="10" width="8.28515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122">
        <v>44847</v>
      </c>
      <c r="H1" s="121" t="s">
        <v>5</v>
      </c>
      <c r="I1" s="449" t="s">
        <v>101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65" t="s">
        <v>102</v>
      </c>
      <c r="D5" s="465"/>
      <c r="E5" s="465"/>
      <c r="F5" s="465"/>
      <c r="G5" s="465"/>
      <c r="H5" s="465"/>
      <c r="I5" s="465"/>
      <c r="J5" s="465"/>
      <c r="K5" s="111" t="s">
        <v>8</v>
      </c>
      <c r="L5" s="113" t="s">
        <v>66</v>
      </c>
    </row>
    <row r="6" spans="1:12" ht="20.100000000000001" customHeight="1" thickBot="1" x14ac:dyDescent="0.3">
      <c r="A6" s="129"/>
      <c r="B6" s="29"/>
      <c r="C6" s="29"/>
      <c r="D6" s="29"/>
      <c r="E6" s="29"/>
      <c r="F6" s="29"/>
      <c r="G6" s="29"/>
      <c r="H6" s="29"/>
      <c r="I6" s="29"/>
      <c r="J6" s="29"/>
      <c r="K6" s="29"/>
      <c r="L6" s="155"/>
    </row>
    <row r="7" spans="1:12" ht="1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105" t="s">
        <v>12</v>
      </c>
      <c r="L7" s="74" t="s">
        <v>13</v>
      </c>
    </row>
    <row r="8" spans="1:12" ht="15.95" customHeight="1" x14ac:dyDescent="0.25">
      <c r="A8" s="64"/>
      <c r="B8" s="40"/>
      <c r="C8" s="40"/>
      <c r="D8" s="40"/>
      <c r="E8" s="40"/>
      <c r="F8" s="40"/>
      <c r="G8" s="40"/>
      <c r="H8" s="40"/>
      <c r="I8" s="8"/>
      <c r="J8" s="8"/>
      <c r="K8" s="7"/>
      <c r="L8" s="75"/>
    </row>
    <row r="9" spans="1:12" ht="15.95" customHeight="1" x14ac:dyDescent="0.25">
      <c r="A9" s="64"/>
      <c r="B9" s="73"/>
      <c r="C9" s="22"/>
      <c r="D9" s="35"/>
      <c r="E9" s="15"/>
      <c r="F9" s="33"/>
      <c r="G9" s="34"/>
      <c r="H9" s="18"/>
      <c r="I9" s="18"/>
      <c r="J9" s="43"/>
      <c r="K9" s="58"/>
      <c r="L9" s="76"/>
    </row>
    <row r="10" spans="1:12" ht="15.95" customHeight="1" x14ac:dyDescent="0.25">
      <c r="A10" s="64"/>
      <c r="B10" s="73"/>
      <c r="C10" s="22"/>
      <c r="D10" s="22"/>
      <c r="E10" s="10"/>
      <c r="F10" s="22"/>
      <c r="G10" s="22"/>
      <c r="H10" s="22"/>
      <c r="I10" s="22"/>
      <c r="J10" s="43"/>
      <c r="K10" s="58"/>
      <c r="L10" s="76"/>
    </row>
    <row r="11" spans="1:12" ht="15.95" customHeight="1" x14ac:dyDescent="0.25">
      <c r="A11" s="64"/>
      <c r="B11" s="15"/>
      <c r="C11" s="35"/>
      <c r="D11" s="35"/>
      <c r="E11" s="15"/>
      <c r="F11" s="33"/>
      <c r="G11" s="34"/>
      <c r="H11" s="18"/>
      <c r="I11" s="18"/>
      <c r="J11" s="43"/>
      <c r="K11" s="58"/>
      <c r="L11" s="76"/>
    </row>
    <row r="12" spans="1:12" ht="15.95" customHeight="1" x14ac:dyDescent="0.25">
      <c r="A12" s="64"/>
      <c r="B12" s="10"/>
      <c r="C12" s="63"/>
      <c r="D12" s="63" t="s">
        <v>131</v>
      </c>
      <c r="E12" s="10"/>
      <c r="F12" s="22"/>
      <c r="G12" s="22"/>
      <c r="H12" s="22"/>
      <c r="I12" s="22"/>
      <c r="J12" s="43"/>
      <c r="K12" s="58"/>
      <c r="L12" s="76"/>
    </row>
    <row r="13" spans="1:12" ht="15.95" customHeight="1" x14ac:dyDescent="0.25">
      <c r="A13" s="64"/>
      <c r="B13" s="10"/>
      <c r="C13" s="63"/>
      <c r="D13" s="63"/>
      <c r="E13" s="15"/>
      <c r="F13" s="33"/>
      <c r="G13" s="34"/>
      <c r="H13" s="18"/>
      <c r="I13" s="18"/>
      <c r="J13" s="43"/>
      <c r="K13" s="58"/>
      <c r="L13" s="76"/>
    </row>
    <row r="14" spans="1:12" ht="15.95" customHeight="1" x14ac:dyDescent="0.25">
      <c r="A14" s="64"/>
      <c r="B14" s="10"/>
      <c r="C14" s="63"/>
      <c r="D14" s="63"/>
      <c r="E14" s="10"/>
      <c r="F14" s="22"/>
      <c r="G14" s="22"/>
      <c r="H14" s="22"/>
      <c r="I14" s="22"/>
      <c r="J14" s="43"/>
      <c r="K14" s="58"/>
      <c r="L14" s="76"/>
    </row>
    <row r="15" spans="1:12" ht="15.95" customHeight="1" x14ac:dyDescent="0.25">
      <c r="A15" s="64"/>
      <c r="B15" s="10"/>
      <c r="C15" s="63"/>
      <c r="D15" s="63"/>
      <c r="E15" s="15"/>
      <c r="F15" s="33"/>
      <c r="G15" s="34"/>
      <c r="H15" s="18"/>
      <c r="I15" s="18"/>
      <c r="J15" s="43"/>
      <c r="K15" s="58"/>
      <c r="L15" s="76"/>
    </row>
    <row r="16" spans="1:12" ht="15.95" customHeight="1" x14ac:dyDescent="0.25">
      <c r="A16" s="64"/>
      <c r="B16" s="10"/>
      <c r="C16" s="63"/>
      <c r="D16" s="63"/>
      <c r="E16" s="10"/>
      <c r="F16" s="22"/>
      <c r="G16" s="22"/>
      <c r="H16" s="22"/>
      <c r="I16" s="22"/>
      <c r="J16" s="43"/>
      <c r="K16" s="58"/>
      <c r="L16" s="76"/>
    </row>
    <row r="17" spans="1:12" ht="15.95" customHeight="1" x14ac:dyDescent="0.25">
      <c r="A17" s="64"/>
      <c r="B17" s="15"/>
      <c r="C17" s="35"/>
      <c r="D17" s="106"/>
      <c r="E17" s="15"/>
      <c r="F17" s="33"/>
      <c r="G17" s="34"/>
      <c r="H17" s="18"/>
      <c r="I17" s="18"/>
      <c r="J17" s="43"/>
      <c r="K17" s="153"/>
      <c r="L17" s="76"/>
    </row>
    <row r="18" spans="1:12" ht="15.95" customHeight="1" x14ac:dyDescent="0.25">
      <c r="A18" s="64"/>
      <c r="B18" s="10"/>
      <c r="C18" s="22"/>
      <c r="D18" s="22"/>
      <c r="E18" s="10"/>
      <c r="F18" s="22"/>
      <c r="G18" s="22"/>
      <c r="H18" s="22"/>
      <c r="I18" s="22"/>
      <c r="J18" s="43"/>
      <c r="K18" s="58"/>
      <c r="L18" s="76"/>
    </row>
    <row r="19" spans="1:12" ht="15.95" customHeight="1" x14ac:dyDescent="0.25">
      <c r="A19" s="64"/>
      <c r="B19" s="15"/>
      <c r="C19" s="35"/>
      <c r="D19" s="35"/>
      <c r="E19" s="15"/>
      <c r="F19" s="33"/>
      <c r="G19" s="34"/>
      <c r="H19" s="18"/>
      <c r="I19" s="18"/>
      <c r="J19" s="43"/>
      <c r="K19" s="58"/>
      <c r="L19" s="76"/>
    </row>
    <row r="20" spans="1:12" ht="15.95" customHeight="1" x14ac:dyDescent="0.25">
      <c r="A20" s="64"/>
      <c r="B20" s="73"/>
      <c r="C20" s="22"/>
      <c r="D20" s="22"/>
      <c r="E20" s="10"/>
      <c r="F20" s="22"/>
      <c r="G20" s="22"/>
      <c r="H20" s="22"/>
      <c r="I20" s="22"/>
      <c r="J20" s="43"/>
      <c r="K20" s="58"/>
      <c r="L20" s="76"/>
    </row>
    <row r="21" spans="1:12" ht="15.95" customHeight="1" x14ac:dyDescent="0.25">
      <c r="A21" s="64"/>
      <c r="B21" s="10"/>
      <c r="C21" s="22"/>
      <c r="D21" s="22"/>
      <c r="E21" s="15"/>
      <c r="F21" s="15"/>
      <c r="G21" s="15"/>
      <c r="H21" s="12"/>
      <c r="I21" s="12"/>
      <c r="J21" s="43"/>
      <c r="K21" s="58"/>
      <c r="L21" s="76"/>
    </row>
    <row r="22" spans="1:12" ht="15.95" customHeight="1" x14ac:dyDescent="0.25">
      <c r="A22" s="64"/>
      <c r="B22" s="9"/>
      <c r="C22" s="22"/>
      <c r="D22" s="22"/>
      <c r="E22" s="10"/>
      <c r="F22" s="63"/>
      <c r="G22" s="63"/>
      <c r="H22" s="22"/>
      <c r="I22" s="22"/>
      <c r="J22" s="43"/>
      <c r="K22" s="58"/>
      <c r="L22" s="76"/>
    </row>
    <row r="23" spans="1:12" ht="15.95" customHeight="1" x14ac:dyDescent="0.25">
      <c r="A23" s="64"/>
      <c r="B23" s="9"/>
      <c r="C23" s="22"/>
      <c r="D23" s="22"/>
      <c r="E23" s="10"/>
      <c r="F23" s="10"/>
      <c r="G23" s="63"/>
      <c r="H23" s="12"/>
      <c r="I23" s="12"/>
      <c r="J23" s="43"/>
      <c r="K23" s="58"/>
      <c r="L23" s="76"/>
    </row>
    <row r="24" spans="1:12" ht="15.95" customHeight="1" x14ac:dyDescent="0.25">
      <c r="A24" s="13"/>
      <c r="B24" s="9"/>
      <c r="C24" s="22"/>
      <c r="D24" s="22"/>
      <c r="E24" s="10"/>
      <c r="F24" s="35"/>
      <c r="G24" s="106"/>
      <c r="H24" s="22"/>
      <c r="I24" s="22"/>
      <c r="J24" s="43"/>
      <c r="K24" s="47"/>
      <c r="L24" s="76"/>
    </row>
    <row r="25" spans="1:12" ht="15.95" customHeight="1" x14ac:dyDescent="0.25">
      <c r="A25" s="13"/>
      <c r="B25" s="9"/>
      <c r="C25" s="22"/>
      <c r="D25" s="22"/>
      <c r="E25" s="10"/>
      <c r="F25" s="20"/>
      <c r="G25" s="34"/>
      <c r="H25" s="12"/>
      <c r="I25" s="12"/>
      <c r="J25" s="43"/>
      <c r="K25" s="58"/>
      <c r="L25" s="76"/>
    </row>
    <row r="26" spans="1:12" ht="15.95" customHeight="1" x14ac:dyDescent="0.25">
      <c r="A26" s="16"/>
      <c r="B26" s="10"/>
      <c r="C26" s="22"/>
      <c r="D26" s="22"/>
      <c r="E26" s="10"/>
      <c r="F26" s="22"/>
      <c r="G26" s="22"/>
      <c r="H26" s="22"/>
      <c r="I26" s="22"/>
      <c r="J26" s="43"/>
      <c r="K26" s="58"/>
      <c r="L26" s="76"/>
    </row>
    <row r="27" spans="1:12" ht="15.95" customHeight="1" x14ac:dyDescent="0.25">
      <c r="A27" s="16"/>
      <c r="B27" s="10"/>
      <c r="C27" s="22"/>
      <c r="D27" s="22"/>
      <c r="E27" s="10"/>
      <c r="F27" s="22"/>
      <c r="G27" s="22"/>
      <c r="H27" s="22"/>
      <c r="I27" s="22"/>
      <c r="J27" s="32"/>
      <c r="K27" s="58"/>
      <c r="L27" s="76"/>
    </row>
    <row r="28" spans="1:12" ht="15.95" customHeight="1" x14ac:dyDescent="0.25">
      <c r="A28" s="16"/>
      <c r="B28" s="10"/>
      <c r="C28" s="22"/>
      <c r="D28" s="22"/>
      <c r="E28" s="10"/>
      <c r="F28" s="22"/>
      <c r="G28" s="22"/>
      <c r="H28" s="22"/>
      <c r="I28" s="22"/>
      <c r="J28" s="32"/>
      <c r="K28" s="58"/>
      <c r="L28" s="76"/>
    </row>
    <row r="29" spans="1:12" ht="15.95" customHeight="1" x14ac:dyDescent="0.25">
      <c r="A29" s="16"/>
      <c r="B29" s="10"/>
      <c r="C29" s="22"/>
      <c r="D29" s="22"/>
      <c r="E29" s="10"/>
      <c r="F29" s="22"/>
      <c r="G29" s="22"/>
      <c r="H29" s="22"/>
      <c r="I29" s="22"/>
      <c r="J29" s="32"/>
      <c r="K29" s="58"/>
      <c r="L29" s="76"/>
    </row>
    <row r="30" spans="1:12" ht="15.95" customHeight="1" x14ac:dyDescent="0.25">
      <c r="A30" s="16"/>
      <c r="B30" s="10"/>
      <c r="C30" s="22"/>
      <c r="D30" s="22"/>
      <c r="E30" s="10"/>
      <c r="F30" s="22"/>
      <c r="G30" s="22"/>
      <c r="H30" s="22"/>
      <c r="I30" s="22"/>
      <c r="J30" s="32"/>
      <c r="K30" s="58"/>
      <c r="L30" s="76"/>
    </row>
    <row r="31" spans="1:12" ht="15.95" customHeight="1" x14ac:dyDescent="0.25">
      <c r="A31" s="13"/>
      <c r="B31" s="10"/>
      <c r="C31" s="22"/>
      <c r="D31" s="22"/>
      <c r="E31" s="10"/>
      <c r="F31" s="22"/>
      <c r="G31" s="22"/>
      <c r="H31" s="22"/>
      <c r="I31" s="22"/>
      <c r="J31" s="32"/>
      <c r="K31" s="58"/>
      <c r="L31" s="76"/>
    </row>
    <row r="32" spans="1:12" ht="15.95" customHeight="1" x14ac:dyDescent="0.25">
      <c r="A32" s="13"/>
      <c r="B32" s="10"/>
      <c r="C32" s="22"/>
      <c r="D32" s="22"/>
      <c r="E32" s="10"/>
      <c r="F32" s="22"/>
      <c r="G32" s="22"/>
      <c r="H32" s="22"/>
      <c r="I32" s="22"/>
      <c r="J32" s="32"/>
      <c r="K32" s="58"/>
      <c r="L32" s="76"/>
    </row>
    <row r="33" spans="1:12" ht="15.95" customHeight="1" x14ac:dyDescent="0.25">
      <c r="A33" s="13"/>
      <c r="B33" s="10"/>
      <c r="C33" s="22"/>
      <c r="D33" s="22"/>
      <c r="E33" s="10"/>
      <c r="F33" s="22"/>
      <c r="G33" s="22"/>
      <c r="H33" s="22"/>
      <c r="I33" s="22"/>
      <c r="J33" s="32"/>
      <c r="K33" s="58"/>
      <c r="L33" s="76"/>
    </row>
    <row r="34" spans="1:12" ht="15.95" customHeight="1" x14ac:dyDescent="0.25">
      <c r="A34" s="13"/>
      <c r="B34" s="34"/>
      <c r="C34" s="34"/>
      <c r="D34" s="34"/>
      <c r="E34" s="34"/>
      <c r="F34" s="34"/>
      <c r="G34" s="34"/>
      <c r="H34" s="34"/>
      <c r="I34" s="34"/>
      <c r="J34" s="32"/>
      <c r="K34" s="58"/>
      <c r="L34" s="76"/>
    </row>
    <row r="35" spans="1:12" ht="15.95" customHeight="1" x14ac:dyDescent="0.25">
      <c r="A35" s="13"/>
      <c r="B35" s="34"/>
      <c r="C35" s="34"/>
      <c r="D35" s="34"/>
      <c r="E35" s="34"/>
      <c r="F35" s="34"/>
      <c r="G35" s="34"/>
      <c r="H35" s="34"/>
      <c r="I35" s="34"/>
      <c r="J35" s="32"/>
      <c r="K35" s="58"/>
      <c r="L35" s="76"/>
    </row>
    <row r="36" spans="1:12" ht="15.95" customHeight="1" x14ac:dyDescent="0.25">
      <c r="A36" s="13"/>
      <c r="B36" s="10"/>
      <c r="C36" s="20"/>
      <c r="D36" s="11"/>
      <c r="E36" s="15"/>
      <c r="F36" s="15"/>
      <c r="G36" s="15"/>
      <c r="H36" s="12"/>
      <c r="I36" s="12"/>
      <c r="J36" s="32"/>
      <c r="K36" s="58"/>
      <c r="L36" s="76"/>
    </row>
    <row r="37" spans="1:12" ht="15.95" customHeight="1" x14ac:dyDescent="0.25">
      <c r="A37" s="13"/>
      <c r="B37" s="15"/>
      <c r="C37" s="35"/>
      <c r="D37" s="35"/>
      <c r="E37" s="15"/>
      <c r="F37" s="33"/>
      <c r="G37" s="34"/>
      <c r="H37" s="18"/>
      <c r="I37" s="18"/>
      <c r="J37" s="32"/>
      <c r="K37" s="58"/>
      <c r="L37" s="76"/>
    </row>
    <row r="38" spans="1:12" ht="15.95" customHeight="1" x14ac:dyDescent="0.25">
      <c r="A38" s="16"/>
      <c r="B38" s="10"/>
      <c r="C38" s="22"/>
      <c r="D38" s="22"/>
      <c r="E38" s="10"/>
      <c r="F38" s="22"/>
      <c r="G38" s="22"/>
      <c r="H38" s="22"/>
      <c r="I38" s="22"/>
      <c r="J38" s="32"/>
      <c r="K38" s="58"/>
      <c r="L38" s="76"/>
    </row>
    <row r="39" spans="1:12" ht="15.95" customHeight="1" x14ac:dyDescent="0.25">
      <c r="A39" s="13"/>
      <c r="B39" s="10"/>
      <c r="C39" s="22"/>
      <c r="D39" s="22"/>
      <c r="E39" s="10"/>
      <c r="F39" s="22"/>
      <c r="G39" s="22"/>
      <c r="H39" s="22"/>
      <c r="I39" s="22"/>
      <c r="J39" s="32"/>
      <c r="K39" s="58"/>
      <c r="L39" s="76"/>
    </row>
    <row r="40" spans="1:12" ht="15.95" customHeight="1" x14ac:dyDescent="0.25">
      <c r="A40" s="13"/>
      <c r="B40" s="10"/>
      <c r="C40" s="22"/>
      <c r="D40" s="22"/>
      <c r="E40" s="10"/>
      <c r="F40" s="22"/>
      <c r="G40" s="22"/>
      <c r="H40" s="22"/>
      <c r="I40" s="22"/>
      <c r="J40" s="32"/>
      <c r="K40" s="58"/>
      <c r="L40" s="76"/>
    </row>
    <row r="41" spans="1:12" ht="15.95" customHeight="1" x14ac:dyDescent="0.25">
      <c r="A41" s="13"/>
      <c r="B41" s="10"/>
      <c r="C41" s="22"/>
      <c r="D41" s="22"/>
      <c r="E41" s="10"/>
      <c r="F41" s="22"/>
      <c r="G41" s="22"/>
      <c r="H41" s="22"/>
      <c r="I41" s="22"/>
      <c r="J41" s="32"/>
      <c r="K41" s="58"/>
      <c r="L41" s="76"/>
    </row>
    <row r="42" spans="1:12" ht="15.95" customHeight="1" x14ac:dyDescent="0.25">
      <c r="A42" s="13"/>
      <c r="B42" s="10"/>
      <c r="C42" s="22"/>
      <c r="D42" s="22"/>
      <c r="E42" s="10"/>
      <c r="F42" s="22"/>
      <c r="G42" s="22"/>
      <c r="H42" s="22"/>
      <c r="I42" s="22"/>
      <c r="J42" s="32"/>
      <c r="K42" s="58"/>
      <c r="L42" s="76"/>
    </row>
    <row r="43" spans="1:12" ht="15.95" customHeight="1" x14ac:dyDescent="0.25">
      <c r="A43" s="13"/>
      <c r="B43" s="10"/>
      <c r="C43" s="20"/>
      <c r="D43" s="11"/>
      <c r="E43" s="10"/>
      <c r="F43" s="10"/>
      <c r="G43" s="10"/>
      <c r="H43" s="12"/>
      <c r="I43" s="10"/>
      <c r="J43" s="32"/>
      <c r="K43" s="58"/>
      <c r="L43" s="76"/>
    </row>
    <row r="44" spans="1:12" ht="15.95" customHeight="1" x14ac:dyDescent="0.25">
      <c r="A44" s="13"/>
      <c r="B44" s="10"/>
      <c r="C44" s="20"/>
      <c r="D44" s="11"/>
      <c r="E44" s="10"/>
      <c r="F44" s="10"/>
      <c r="G44" s="10"/>
      <c r="H44" s="12"/>
      <c r="I44" s="10"/>
      <c r="J44" s="32"/>
      <c r="K44" s="58"/>
      <c r="L44" s="76"/>
    </row>
    <row r="45" spans="1:12" ht="15.95" customHeight="1" x14ac:dyDescent="0.25">
      <c r="A45" s="13"/>
      <c r="B45" s="15"/>
      <c r="C45" s="15"/>
      <c r="D45" s="15"/>
      <c r="E45" s="11"/>
      <c r="F45" s="11"/>
      <c r="G45" s="10"/>
      <c r="H45" s="12"/>
      <c r="I45" s="10"/>
      <c r="J45" s="32"/>
      <c r="K45" s="58"/>
      <c r="L45" s="76"/>
    </row>
    <row r="46" spans="1:12" ht="15.95" customHeight="1" x14ac:dyDescent="0.25">
      <c r="A46" s="13"/>
      <c r="B46" s="15"/>
      <c r="C46" s="15"/>
      <c r="D46" s="15"/>
      <c r="E46" s="11"/>
      <c r="F46" s="11"/>
      <c r="G46" s="10"/>
      <c r="H46" s="12"/>
      <c r="I46" s="10"/>
      <c r="J46" s="32"/>
      <c r="K46" s="58"/>
      <c r="L46" s="76"/>
    </row>
    <row r="47" spans="1:12" ht="15.95" customHeight="1" x14ac:dyDescent="0.25">
      <c r="A47" s="13"/>
      <c r="B47" s="10"/>
      <c r="C47" s="20"/>
      <c r="D47" s="11"/>
      <c r="E47" s="10"/>
      <c r="F47" s="10"/>
      <c r="G47" s="10"/>
      <c r="H47" s="10"/>
      <c r="I47" s="10"/>
      <c r="J47" s="32"/>
      <c r="K47" s="58"/>
      <c r="L47" s="76"/>
    </row>
    <row r="48" spans="1:12" ht="15.95" customHeight="1" thickBot="1" x14ac:dyDescent="0.3">
      <c r="A48" s="95"/>
      <c r="B48" s="67"/>
      <c r="C48" s="23"/>
      <c r="D48" s="24"/>
      <c r="E48" s="25"/>
      <c r="F48" s="25"/>
      <c r="G48" s="25"/>
      <c r="H48" s="25"/>
      <c r="I48" s="25"/>
      <c r="J48" s="61"/>
      <c r="K48" s="31"/>
      <c r="L48" s="77"/>
    </row>
    <row r="49" spans="1:12" ht="15.95" customHeight="1" thickBot="1" x14ac:dyDescent="0.3">
      <c r="A49" s="445" t="s">
        <v>13</v>
      </c>
      <c r="B49" s="446"/>
      <c r="C49" s="447"/>
      <c r="D49" s="447"/>
      <c r="E49" s="447"/>
      <c r="F49" s="447"/>
      <c r="G49" s="447"/>
      <c r="H49" s="447"/>
      <c r="I49" s="447"/>
      <c r="J49" s="448"/>
      <c r="K49" s="79"/>
      <c r="L49" s="80" t="s">
        <v>55</v>
      </c>
    </row>
  </sheetData>
  <mergeCells count="7">
    <mergeCell ref="A49:J49"/>
    <mergeCell ref="I1:J1"/>
    <mergeCell ref="I2:J2"/>
    <mergeCell ref="C4:D4"/>
    <mergeCell ref="F4:G4"/>
    <mergeCell ref="I4:L4"/>
    <mergeCell ref="C5:J5"/>
  </mergeCells>
  <pageMargins left="0.75" right="0" top="0.5" bottom="0.25" header="0.5" footer="0.25"/>
  <pageSetup scale="91" orientation="portrait" horizontalDpi="1200" verticalDpi="1200" r:id="rId1"/>
  <headerFooter>
    <oddFooter>&amp;L&amp;9&amp;Z&amp;F&amp;R&amp;9Printed &amp;D &amp;T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FF0000"/>
  </sheetPr>
  <dimension ref="A1:L48"/>
  <sheetViews>
    <sheetView showWhiteSpace="0" zoomScaleNormal="100" zoomScaleSheetLayoutView="85" workbookViewId="0">
      <selection activeCell="AJ31" sqref="AJ31"/>
    </sheetView>
  </sheetViews>
  <sheetFormatPr defaultColWidth="2.85546875" defaultRowHeight="15" customHeight="1" x14ac:dyDescent="0.25"/>
  <cols>
    <col min="2" max="2" width="8.7109375" customWidth="1"/>
    <col min="3" max="3" width="7.7109375" customWidth="1"/>
    <col min="4" max="4" width="9.855468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351">
        <v>44847</v>
      </c>
      <c r="H1" s="121" t="s">
        <v>5</v>
      </c>
      <c r="I1" s="449" t="s">
        <v>147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100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84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73" t="s">
        <v>79</v>
      </c>
      <c r="C9" s="104"/>
      <c r="D9" s="176"/>
      <c r="E9" s="10"/>
      <c r="F9" s="10"/>
      <c r="G9" s="10"/>
      <c r="H9" s="10"/>
      <c r="I9" s="63"/>
      <c r="J9" s="58"/>
      <c r="K9" s="60"/>
      <c r="L9" s="76"/>
    </row>
    <row r="10" spans="1:12" ht="32.25" customHeight="1" thickBot="1" x14ac:dyDescent="0.3">
      <c r="A10" s="13"/>
      <c r="B10" s="10"/>
      <c r="C10" s="177"/>
      <c r="D10" s="178"/>
      <c r="E10" s="179" t="s">
        <v>80</v>
      </c>
      <c r="F10" s="55" t="s">
        <v>30</v>
      </c>
      <c r="G10" s="180" t="s">
        <v>26</v>
      </c>
      <c r="H10" s="180" t="s">
        <v>32</v>
      </c>
      <c r="I10" s="63"/>
      <c r="J10" s="58"/>
      <c r="K10" s="60"/>
      <c r="L10" s="76"/>
    </row>
    <row r="11" spans="1:12" ht="15.95" customHeight="1" x14ac:dyDescent="0.25">
      <c r="A11" s="13"/>
      <c r="B11" s="9" t="s">
        <v>81</v>
      </c>
      <c r="C11" s="181"/>
      <c r="D11" s="34"/>
      <c r="E11" s="182">
        <v>4.08</v>
      </c>
      <c r="F11" s="28">
        <v>148.83000000000001</v>
      </c>
      <c r="G11" s="28">
        <f>E11*F11</f>
        <v>607.22640000000001</v>
      </c>
      <c r="H11" s="10"/>
      <c r="I11" s="63"/>
      <c r="J11" s="58"/>
      <c r="K11" s="60"/>
      <c r="L11" s="76"/>
    </row>
    <row r="12" spans="1:12" ht="15.95" customHeight="1" x14ac:dyDescent="0.25">
      <c r="A12" s="13"/>
      <c r="B12" s="9" t="s">
        <v>82</v>
      </c>
      <c r="C12" s="102"/>
      <c r="D12" s="183"/>
      <c r="E12" s="182">
        <v>4.08</v>
      </c>
      <c r="F12" s="22">
        <v>149.1</v>
      </c>
      <c r="G12" s="28">
        <f>E12*F12</f>
        <v>608.32799999999997</v>
      </c>
      <c r="H12" s="10"/>
      <c r="I12" s="63"/>
      <c r="J12" s="58"/>
      <c r="K12" s="59"/>
      <c r="L12" s="76"/>
    </row>
    <row r="13" spans="1:12" ht="15.95" customHeight="1" x14ac:dyDescent="0.25">
      <c r="A13" s="13"/>
      <c r="B13" s="34"/>
      <c r="C13" s="39"/>
      <c r="D13" s="34"/>
      <c r="E13" s="41"/>
      <c r="F13" s="34"/>
      <c r="G13" s="34"/>
      <c r="H13" s="10"/>
      <c r="I13" s="63"/>
      <c r="J13" s="58"/>
      <c r="K13" s="60"/>
      <c r="L13" s="76"/>
    </row>
    <row r="14" spans="1:12" ht="15.95" customHeight="1" x14ac:dyDescent="0.25">
      <c r="A14" s="13"/>
      <c r="B14" s="34"/>
      <c r="C14" s="39"/>
      <c r="D14" s="34"/>
      <c r="E14" s="41"/>
      <c r="F14" s="34" t="s">
        <v>21</v>
      </c>
      <c r="G14" s="22">
        <f>SUM(G11:G12)</f>
        <v>1215.5544</v>
      </c>
      <c r="H14" s="22">
        <f>ROUNDUP(G14/27,0)</f>
        <v>46</v>
      </c>
      <c r="I14" s="63"/>
      <c r="J14" s="58"/>
      <c r="K14" s="103">
        <f>H14</f>
        <v>46</v>
      </c>
      <c r="L14" s="76"/>
    </row>
    <row r="15" spans="1:12" ht="15.75" customHeight="1" x14ac:dyDescent="0.25">
      <c r="A15" s="13"/>
      <c r="B15" s="45"/>
      <c r="C15" s="45"/>
      <c r="D15" s="45"/>
      <c r="E15" s="34"/>
      <c r="F15" s="34"/>
      <c r="G15" s="54"/>
      <c r="H15" s="52"/>
      <c r="I15" s="82"/>
      <c r="J15" s="58"/>
      <c r="K15" s="57"/>
      <c r="L15" s="76"/>
    </row>
    <row r="16" spans="1:12" ht="15.95" customHeight="1" x14ac:dyDescent="0.25">
      <c r="A16" s="13"/>
      <c r="B16" s="34"/>
      <c r="C16" s="11"/>
      <c r="D16" s="11"/>
      <c r="E16" s="10"/>
      <c r="F16" s="11"/>
      <c r="G16" s="11"/>
      <c r="H16" s="22"/>
      <c r="I16" s="63"/>
      <c r="J16" s="58"/>
      <c r="K16" s="60"/>
      <c r="L16" s="76"/>
    </row>
    <row r="17" spans="1:12" ht="15.95" customHeight="1" x14ac:dyDescent="0.25">
      <c r="A17" s="13"/>
      <c r="B17" s="34"/>
      <c r="C17" s="104"/>
      <c r="D17" s="11"/>
      <c r="E17" s="10"/>
      <c r="F17" s="10"/>
      <c r="G17" s="10"/>
      <c r="H17" s="22"/>
      <c r="I17" s="63"/>
      <c r="J17" s="58"/>
      <c r="K17" s="59"/>
      <c r="L17" s="76"/>
    </row>
    <row r="18" spans="1:12" ht="15.95" customHeight="1" x14ac:dyDescent="0.25">
      <c r="A18" s="13"/>
      <c r="B18" s="305" t="s">
        <v>138</v>
      </c>
      <c r="C18" s="54"/>
      <c r="D18" s="54"/>
      <c r="E18" s="54"/>
      <c r="F18" s="54"/>
      <c r="G18" s="54"/>
      <c r="H18" s="52"/>
      <c r="I18" s="63"/>
      <c r="J18" s="58"/>
      <c r="K18" s="89"/>
      <c r="L18" s="76"/>
    </row>
    <row r="19" spans="1:12" ht="30" customHeight="1" thickBot="1" x14ac:dyDescent="0.3">
      <c r="A19" s="13"/>
      <c r="B19" s="306"/>
      <c r="C19" s="10"/>
      <c r="E19" s="81" t="s">
        <v>80</v>
      </c>
      <c r="F19" s="55" t="s">
        <v>30</v>
      </c>
      <c r="G19" s="180" t="s">
        <v>26</v>
      </c>
      <c r="H19" s="180" t="s">
        <v>32</v>
      </c>
      <c r="I19" s="63"/>
      <c r="J19" s="58"/>
      <c r="K19" s="60"/>
      <c r="L19" s="76"/>
    </row>
    <row r="20" spans="1:12" ht="15.95" customHeight="1" x14ac:dyDescent="0.25">
      <c r="A20" s="13"/>
      <c r="B20" s="306" t="s">
        <v>139</v>
      </c>
      <c r="C20" s="10"/>
      <c r="D20" s="11"/>
      <c r="E20" s="22">
        <v>4.08</v>
      </c>
      <c r="F20" s="11">
        <f>10+11.25/12</f>
        <v>10.9375</v>
      </c>
      <c r="G20" s="11">
        <f t="shared" ref="G20:G25" si="0">E20*F20</f>
        <v>44.625</v>
      </c>
      <c r="H20" s="22"/>
      <c r="I20" s="63"/>
      <c r="J20" s="58"/>
      <c r="K20" s="60"/>
      <c r="L20" s="76"/>
    </row>
    <row r="21" spans="1:12" ht="15.95" customHeight="1" x14ac:dyDescent="0.25">
      <c r="A21" s="13"/>
      <c r="B21" s="306" t="s">
        <v>140</v>
      </c>
      <c r="C21" s="10"/>
      <c r="D21" s="11"/>
      <c r="E21" s="22">
        <f>AVERAGE(E20,E22)</f>
        <v>3.6995</v>
      </c>
      <c r="F21" s="11">
        <v>10</v>
      </c>
      <c r="G21" s="11">
        <f t="shared" si="0"/>
        <v>36.994999999999997</v>
      </c>
      <c r="H21" s="22"/>
      <c r="I21" s="63"/>
      <c r="J21" s="58"/>
      <c r="K21" s="60"/>
      <c r="L21" s="76"/>
    </row>
    <row r="22" spans="1:12" ht="15.95" customHeight="1" x14ac:dyDescent="0.25">
      <c r="A22" s="13"/>
      <c r="B22" s="34" t="s">
        <v>141</v>
      </c>
      <c r="C22" s="34"/>
      <c r="D22" s="34"/>
      <c r="E22" s="22">
        <v>3.319</v>
      </c>
      <c r="F22" s="11">
        <v>4</v>
      </c>
      <c r="G22" s="11">
        <f t="shared" si="0"/>
        <v>13.276</v>
      </c>
      <c r="H22" s="22"/>
      <c r="I22" s="63"/>
      <c r="J22" s="58"/>
      <c r="K22" s="60"/>
      <c r="L22" s="76"/>
    </row>
    <row r="23" spans="1:12" ht="15.95" customHeight="1" x14ac:dyDescent="0.25">
      <c r="A23" s="13"/>
      <c r="B23" s="306" t="s">
        <v>143</v>
      </c>
      <c r="C23" s="10"/>
      <c r="D23" s="11"/>
      <c r="E23" s="22">
        <v>4.08</v>
      </c>
      <c r="F23" s="11">
        <f>10+8/12</f>
        <v>10.666666666666666</v>
      </c>
      <c r="G23" s="11">
        <f t="shared" si="0"/>
        <v>43.519999999999996</v>
      </c>
      <c r="H23" s="22"/>
      <c r="I23" s="63"/>
      <c r="J23" s="58"/>
      <c r="K23" s="60"/>
      <c r="L23" s="76"/>
    </row>
    <row r="24" spans="1:12" ht="15.95" customHeight="1" x14ac:dyDescent="0.25">
      <c r="A24" s="13"/>
      <c r="B24" s="306" t="s">
        <v>144</v>
      </c>
      <c r="C24" s="10"/>
      <c r="D24" s="11"/>
      <c r="E24" s="22">
        <f>AVERAGE(E23,E25)</f>
        <v>3.6995</v>
      </c>
      <c r="F24" s="11">
        <v>10</v>
      </c>
      <c r="G24" s="11">
        <f t="shared" si="0"/>
        <v>36.994999999999997</v>
      </c>
      <c r="H24" s="22"/>
      <c r="I24" s="63"/>
      <c r="J24" s="58"/>
      <c r="K24" s="60"/>
      <c r="L24" s="76"/>
    </row>
    <row r="25" spans="1:12" ht="15.95" customHeight="1" x14ac:dyDescent="0.25">
      <c r="A25" s="13"/>
      <c r="B25" s="34" t="s">
        <v>145</v>
      </c>
      <c r="C25" s="34"/>
      <c r="D25" s="34"/>
      <c r="E25" s="22">
        <v>3.319</v>
      </c>
      <c r="F25" s="11">
        <v>4</v>
      </c>
      <c r="G25" s="11">
        <f t="shared" si="0"/>
        <v>13.276</v>
      </c>
      <c r="H25" s="22"/>
      <c r="I25" s="63"/>
      <c r="J25" s="58"/>
      <c r="K25" s="60"/>
      <c r="L25" s="76"/>
    </row>
    <row r="26" spans="1:12" ht="15.95" customHeight="1" x14ac:dyDescent="0.25">
      <c r="A26" s="13"/>
      <c r="B26" s="34"/>
      <c r="C26" s="34"/>
      <c r="D26" s="34"/>
      <c r="E26" s="34"/>
      <c r="F26" s="34"/>
      <c r="G26" s="12"/>
      <c r="H26" s="22"/>
      <c r="I26" s="63"/>
      <c r="J26" s="58"/>
      <c r="K26" s="60"/>
      <c r="L26" s="76"/>
    </row>
    <row r="27" spans="1:12" ht="15.95" customHeight="1" x14ac:dyDescent="0.25">
      <c r="A27" s="13"/>
      <c r="B27" s="34"/>
      <c r="C27" s="34"/>
      <c r="D27" s="34"/>
      <c r="E27" s="34"/>
      <c r="F27" s="34" t="s">
        <v>21</v>
      </c>
      <c r="G27" s="22">
        <f>SUM(G20:G25)</f>
        <v>188.68700000000001</v>
      </c>
      <c r="H27" s="22">
        <f>ROUNDUP(G27/27,0)</f>
        <v>7</v>
      </c>
      <c r="I27" s="63"/>
      <c r="J27" s="58"/>
      <c r="K27" s="103">
        <f>H27</f>
        <v>7</v>
      </c>
      <c r="L27" s="76"/>
    </row>
    <row r="28" spans="1:12" ht="15.95" customHeight="1" x14ac:dyDescent="0.25">
      <c r="A28" s="13"/>
      <c r="B28" s="34"/>
      <c r="C28" s="11"/>
      <c r="D28" s="11"/>
      <c r="E28" s="10"/>
      <c r="F28" s="11"/>
      <c r="G28" s="11"/>
      <c r="H28" s="22"/>
      <c r="I28" s="63"/>
      <c r="J28" s="58"/>
      <c r="K28" s="60"/>
      <c r="L28" s="76"/>
    </row>
    <row r="29" spans="1:12" ht="15.95" customHeight="1" x14ac:dyDescent="0.25">
      <c r="A29" s="13"/>
      <c r="B29" s="305" t="s">
        <v>142</v>
      </c>
      <c r="C29" s="54"/>
      <c r="D29" s="54"/>
      <c r="E29" s="54"/>
      <c r="F29" s="54"/>
      <c r="G29" s="54"/>
      <c r="H29" s="22"/>
      <c r="I29" s="63"/>
      <c r="J29" s="58"/>
      <c r="K29" s="60"/>
      <c r="L29" s="76"/>
    </row>
    <row r="30" spans="1:12" ht="31.5" customHeight="1" thickBot="1" x14ac:dyDescent="0.3">
      <c r="A30" s="13"/>
      <c r="B30" s="306"/>
      <c r="C30" s="10"/>
      <c r="E30" s="81" t="s">
        <v>80</v>
      </c>
      <c r="F30" s="55" t="s">
        <v>30</v>
      </c>
      <c r="G30" s="180" t="s">
        <v>26</v>
      </c>
      <c r="H30" s="180" t="s">
        <v>32</v>
      </c>
      <c r="I30" s="63"/>
      <c r="J30" s="58"/>
      <c r="K30" s="60"/>
      <c r="L30" s="76"/>
    </row>
    <row r="31" spans="1:12" ht="15.95" customHeight="1" x14ac:dyDescent="0.25">
      <c r="A31" s="13"/>
      <c r="B31" s="306" t="s">
        <v>139</v>
      </c>
      <c r="C31" s="10"/>
      <c r="D31" s="11"/>
      <c r="E31" s="22">
        <v>4.08</v>
      </c>
      <c r="F31" s="11">
        <f>11+5.75/12</f>
        <v>11.479166666666666</v>
      </c>
      <c r="G31" s="11">
        <f t="shared" ref="G31:G36" si="1">E31*F31</f>
        <v>46.835000000000001</v>
      </c>
      <c r="H31" s="28"/>
      <c r="I31" s="63"/>
      <c r="J31" s="58"/>
      <c r="K31" s="60"/>
      <c r="L31" s="76"/>
    </row>
    <row r="32" spans="1:12" ht="15.95" customHeight="1" x14ac:dyDescent="0.25">
      <c r="A32" s="13"/>
      <c r="B32" s="306" t="s">
        <v>140</v>
      </c>
      <c r="C32" s="10"/>
      <c r="D32" s="11"/>
      <c r="E32" s="22">
        <f>AVERAGE(E31,E33)</f>
        <v>3.6995</v>
      </c>
      <c r="F32" s="11">
        <v>10</v>
      </c>
      <c r="G32" s="11">
        <f t="shared" si="1"/>
        <v>36.994999999999997</v>
      </c>
      <c r="H32" s="28"/>
      <c r="I32" s="63"/>
      <c r="J32" s="58"/>
      <c r="K32" s="60"/>
      <c r="L32" s="76"/>
    </row>
    <row r="33" spans="1:12" ht="15.95" customHeight="1" x14ac:dyDescent="0.25">
      <c r="A33" s="13"/>
      <c r="B33" s="34" t="s">
        <v>141</v>
      </c>
      <c r="C33" s="34"/>
      <c r="D33" s="34"/>
      <c r="E33" s="22">
        <v>3.319</v>
      </c>
      <c r="F33" s="11">
        <v>4</v>
      </c>
      <c r="G33" s="11">
        <f t="shared" si="1"/>
        <v>13.276</v>
      </c>
      <c r="H33" s="28"/>
      <c r="I33" s="63"/>
      <c r="J33" s="58"/>
      <c r="K33" s="60"/>
      <c r="L33" s="76"/>
    </row>
    <row r="34" spans="1:12" ht="15.95" customHeight="1" x14ac:dyDescent="0.25">
      <c r="A34" s="13"/>
      <c r="B34" s="306" t="s">
        <v>143</v>
      </c>
      <c r="C34" s="10"/>
      <c r="D34" s="11"/>
      <c r="E34" s="22">
        <v>4.08</v>
      </c>
      <c r="F34" s="11">
        <f>10+6.625/12</f>
        <v>10.552083333333334</v>
      </c>
      <c r="G34" s="11">
        <f t="shared" si="1"/>
        <v>43.052500000000002</v>
      </c>
      <c r="H34" s="28"/>
      <c r="I34" s="63"/>
      <c r="J34" s="58"/>
      <c r="K34" s="60"/>
      <c r="L34" s="76"/>
    </row>
    <row r="35" spans="1:12" ht="15.95" customHeight="1" x14ac:dyDescent="0.25">
      <c r="A35" s="13"/>
      <c r="B35" s="306" t="s">
        <v>144</v>
      </c>
      <c r="C35" s="10"/>
      <c r="D35" s="11"/>
      <c r="E35" s="22">
        <f>AVERAGE(E34,E36)</f>
        <v>3.6995</v>
      </c>
      <c r="F35" s="11">
        <v>10</v>
      </c>
      <c r="G35" s="11">
        <f t="shared" si="1"/>
        <v>36.994999999999997</v>
      </c>
      <c r="H35" s="28"/>
      <c r="I35" s="63"/>
      <c r="J35" s="58"/>
      <c r="K35" s="60"/>
      <c r="L35" s="76"/>
    </row>
    <row r="36" spans="1:12" ht="15.95" customHeight="1" x14ac:dyDescent="0.25">
      <c r="A36" s="13"/>
      <c r="B36" s="34" t="s">
        <v>145</v>
      </c>
      <c r="C36" s="34"/>
      <c r="D36" s="34"/>
      <c r="E36" s="22">
        <v>3.319</v>
      </c>
      <c r="F36" s="11">
        <v>4</v>
      </c>
      <c r="G36" s="11">
        <f t="shared" si="1"/>
        <v>13.276</v>
      </c>
      <c r="H36" s="22"/>
      <c r="I36" s="63"/>
      <c r="J36" s="58"/>
      <c r="K36" s="60"/>
      <c r="L36" s="76"/>
    </row>
    <row r="37" spans="1:12" ht="15.95" customHeight="1" x14ac:dyDescent="0.25">
      <c r="A37" s="13"/>
      <c r="B37" s="34"/>
      <c r="C37" s="34"/>
      <c r="D37" s="34"/>
      <c r="E37" s="34"/>
      <c r="F37" s="34"/>
      <c r="G37" s="12"/>
      <c r="H37" s="22"/>
      <c r="I37" s="63"/>
      <c r="J37" s="58"/>
      <c r="K37" s="60"/>
      <c r="L37" s="76"/>
    </row>
    <row r="38" spans="1:12" ht="15.95" customHeight="1" x14ac:dyDescent="0.25">
      <c r="A38" s="13"/>
      <c r="B38" s="34"/>
      <c r="C38" s="34"/>
      <c r="D38" s="34"/>
      <c r="E38" s="34"/>
      <c r="F38" s="34" t="s">
        <v>21</v>
      </c>
      <c r="G38" s="22">
        <f>SUM(G31:G36)</f>
        <v>190.42950000000002</v>
      </c>
      <c r="H38" s="22">
        <f>ROUNDUP(G38/27,0)</f>
        <v>8</v>
      </c>
      <c r="I38" s="63"/>
      <c r="J38" s="58"/>
      <c r="K38" s="103">
        <f>H38</f>
        <v>8</v>
      </c>
      <c r="L38" s="76"/>
    </row>
    <row r="39" spans="1:12" ht="15.95" customHeight="1" x14ac:dyDescent="0.25">
      <c r="A39" s="13"/>
      <c r="B39" s="34"/>
      <c r="C39" s="104"/>
      <c r="D39" s="11"/>
      <c r="E39" s="10"/>
      <c r="F39" s="10"/>
      <c r="G39" s="10"/>
      <c r="H39" s="22"/>
      <c r="I39" s="63"/>
      <c r="J39" s="58"/>
      <c r="K39" s="59"/>
      <c r="L39" s="76"/>
    </row>
    <row r="40" spans="1:12" ht="15.95" customHeight="1" x14ac:dyDescent="0.25">
      <c r="A40" s="13"/>
      <c r="B40" s="34"/>
      <c r="C40" s="104"/>
      <c r="D40" s="11"/>
      <c r="E40" s="10"/>
      <c r="F40" s="10"/>
      <c r="G40" s="10"/>
      <c r="H40" s="22"/>
      <c r="I40" s="63"/>
      <c r="J40" s="58"/>
      <c r="K40" s="59"/>
      <c r="L40" s="76"/>
    </row>
    <row r="41" spans="1:12" ht="15.95" customHeight="1" x14ac:dyDescent="0.25">
      <c r="A41" s="13"/>
      <c r="B41" s="34"/>
      <c r="C41" s="104"/>
      <c r="D41" s="11"/>
      <c r="E41" s="10"/>
      <c r="F41" s="10"/>
      <c r="G41" s="10"/>
      <c r="H41" s="22"/>
      <c r="I41" s="63"/>
      <c r="J41" s="58"/>
      <c r="K41" s="59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71"/>
      <c r="B46" s="10"/>
      <c r="C46" s="25"/>
      <c r="D46" s="25"/>
      <c r="E46" s="100"/>
      <c r="F46" s="100"/>
      <c r="G46" s="97"/>
      <c r="H46" s="25"/>
      <c r="I46" s="92"/>
      <c r="J46" s="32"/>
      <c r="K46" s="71"/>
      <c r="L46" s="77"/>
    </row>
    <row r="47" spans="1:12" ht="15.95" customHeight="1" thickBot="1" x14ac:dyDescent="0.3">
      <c r="A47" s="71"/>
      <c r="B47" s="67"/>
      <c r="C47" s="67"/>
      <c r="D47" s="67"/>
      <c r="E47" s="101"/>
      <c r="F47" s="101"/>
      <c r="G47" s="98"/>
      <c r="H47" s="67"/>
      <c r="I47" s="99"/>
      <c r="J47" s="68"/>
      <c r="K47" s="71"/>
      <c r="L47" s="77"/>
    </row>
    <row r="48" spans="1:12" ht="15.95" customHeight="1" thickBot="1" x14ac:dyDescent="0.3">
      <c r="A48" s="445" t="s">
        <v>13</v>
      </c>
      <c r="B48" s="446"/>
      <c r="C48" s="447"/>
      <c r="D48" s="447"/>
      <c r="E48" s="447"/>
      <c r="F48" s="447"/>
      <c r="G48" s="447"/>
      <c r="H48" s="447"/>
      <c r="I48" s="447"/>
      <c r="J48" s="448"/>
      <c r="K48" s="79">
        <f>SUM(K8:K47)</f>
        <v>61</v>
      </c>
      <c r="L48" s="80">
        <f>K48</f>
        <v>61</v>
      </c>
    </row>
  </sheetData>
  <mergeCells count="8">
    <mergeCell ref="A7:J7"/>
    <mergeCell ref="A48:J48"/>
    <mergeCell ref="I1:J1"/>
    <mergeCell ref="I2:J2"/>
    <mergeCell ref="C4:D4"/>
    <mergeCell ref="F4:G4"/>
    <mergeCell ref="I4:L4"/>
    <mergeCell ref="C5:J5"/>
  </mergeCells>
  <pageMargins left="0.75" right="0" top="0.5" bottom="0.25" header="0.5" footer="0.25"/>
  <pageSetup scale="91" fitToHeight="2" orientation="portrait" horizontalDpi="1200" verticalDpi="1200" r:id="rId1"/>
  <headerFooter>
    <oddFooter>&amp;L&amp;9&amp;Z&amp;F&amp;R&amp;9Printed &amp;D &amp;T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FF0000"/>
  </sheetPr>
  <dimension ref="A1:L49"/>
  <sheetViews>
    <sheetView showWhiteSpace="0" topLeftCell="A16" zoomScaleNormal="100" zoomScaleSheetLayoutView="85" workbookViewId="0">
      <selection activeCell="AJ31" sqref="AJ31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351">
        <v>44847</v>
      </c>
      <c r="H1" s="121" t="s">
        <v>5</v>
      </c>
      <c r="I1" s="449" t="s">
        <v>58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59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66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73"/>
      <c r="C9" s="104"/>
      <c r="D9" s="94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13"/>
      <c r="B10" s="231"/>
      <c r="C10" s="223"/>
      <c r="D10" s="211"/>
      <c r="E10" s="222"/>
      <c r="F10" s="222"/>
      <c r="G10" s="222"/>
      <c r="H10" s="216"/>
      <c r="I10" s="237"/>
      <c r="J10" s="221"/>
      <c r="K10" s="217"/>
      <c r="L10" s="76"/>
    </row>
    <row r="11" spans="1:12" ht="16.5" customHeight="1" x14ac:dyDescent="0.25">
      <c r="A11" s="13"/>
      <c r="B11" s="276" t="s">
        <v>19</v>
      </c>
      <c r="C11" s="271"/>
      <c r="D11" s="271"/>
      <c r="E11" s="277"/>
      <c r="F11" s="277"/>
      <c r="G11" s="271"/>
      <c r="H11" s="271"/>
      <c r="I11" s="273"/>
      <c r="J11" s="144"/>
      <c r="K11" s="278"/>
      <c r="L11" s="76"/>
    </row>
    <row r="12" spans="1:12" ht="15.95" customHeight="1" x14ac:dyDescent="0.25">
      <c r="A12" s="13"/>
      <c r="B12" s="279"/>
      <c r="C12" s="272"/>
      <c r="D12" s="271"/>
      <c r="E12" s="271"/>
      <c r="F12" s="271"/>
      <c r="G12" s="271"/>
      <c r="H12" s="271"/>
      <c r="I12" s="273"/>
      <c r="J12" s="144"/>
      <c r="K12" s="274"/>
      <c r="L12" s="76"/>
    </row>
    <row r="13" spans="1:12" ht="15.95" customHeight="1" x14ac:dyDescent="0.25">
      <c r="A13" s="13"/>
      <c r="B13" s="272" t="s">
        <v>207</v>
      </c>
      <c r="C13" s="272"/>
      <c r="D13" s="272"/>
      <c r="E13" s="272"/>
      <c r="F13" s="272" t="s">
        <v>70</v>
      </c>
      <c r="G13" s="280"/>
      <c r="H13" s="272">
        <f>0.5*0.5</f>
        <v>0.25</v>
      </c>
      <c r="I13" s="273" t="s">
        <v>66</v>
      </c>
      <c r="J13" s="144"/>
      <c r="K13" s="278"/>
      <c r="L13" s="76"/>
    </row>
    <row r="14" spans="1:12" ht="15.95" customHeight="1" x14ac:dyDescent="0.25">
      <c r="A14" s="13"/>
      <c r="B14" s="272"/>
      <c r="C14" s="272"/>
      <c r="D14" s="272"/>
      <c r="E14" s="272"/>
      <c r="F14" s="272" t="s">
        <v>29</v>
      </c>
      <c r="G14" s="280"/>
      <c r="H14" s="280">
        <v>2</v>
      </c>
      <c r="I14" s="273"/>
      <c r="J14" s="144"/>
      <c r="K14" s="274"/>
      <c r="L14" s="76"/>
    </row>
    <row r="15" spans="1:12" ht="15.95" customHeight="1" x14ac:dyDescent="0.25">
      <c r="A15" s="13"/>
      <c r="B15" s="269"/>
      <c r="C15" s="277"/>
      <c r="D15" s="271"/>
      <c r="E15" s="272"/>
      <c r="F15" s="272" t="s">
        <v>50</v>
      </c>
      <c r="G15" s="272"/>
      <c r="H15" s="272">
        <f>ROUNDUP(H14*H13,0)</f>
        <v>1</v>
      </c>
      <c r="I15" s="273" t="s">
        <v>66</v>
      </c>
      <c r="J15" s="144"/>
      <c r="K15" s="281">
        <f>H15</f>
        <v>1</v>
      </c>
      <c r="L15" s="76"/>
    </row>
    <row r="16" spans="1:12" ht="15.75" customHeight="1" x14ac:dyDescent="0.25">
      <c r="A16" s="13"/>
      <c r="B16" s="269"/>
      <c r="C16" s="277"/>
      <c r="D16" s="271"/>
      <c r="E16" s="272"/>
      <c r="F16" s="272"/>
      <c r="G16" s="282"/>
      <c r="H16" s="282"/>
      <c r="I16" s="247"/>
      <c r="J16" s="144"/>
      <c r="K16" s="274"/>
      <c r="L16" s="76"/>
    </row>
    <row r="17" spans="1:12" ht="15.75" customHeight="1" x14ac:dyDescent="0.25">
      <c r="A17" s="13"/>
      <c r="B17" s="333"/>
      <c r="C17" s="333"/>
      <c r="D17" s="333"/>
      <c r="E17" s="326"/>
      <c r="F17" s="333"/>
      <c r="G17" s="326"/>
      <c r="H17" s="326"/>
      <c r="I17" s="273"/>
      <c r="J17" s="144"/>
      <c r="K17" s="286"/>
      <c r="L17" s="76"/>
    </row>
    <row r="18" spans="1:12" ht="15.95" customHeight="1" x14ac:dyDescent="0.25">
      <c r="A18" s="13"/>
      <c r="B18" s="276" t="s">
        <v>20</v>
      </c>
      <c r="C18" s="271"/>
      <c r="D18" s="271"/>
      <c r="E18" s="277"/>
      <c r="F18" s="277"/>
      <c r="G18" s="271"/>
      <c r="H18" s="271"/>
      <c r="I18" s="273"/>
      <c r="J18" s="144"/>
      <c r="K18" s="278"/>
      <c r="L18" s="76"/>
    </row>
    <row r="19" spans="1:12" ht="15.95" customHeight="1" x14ac:dyDescent="0.25">
      <c r="A19" s="13"/>
      <c r="B19" s="279"/>
      <c r="C19" s="272"/>
      <c r="D19" s="271"/>
      <c r="E19" s="271"/>
      <c r="F19" s="271"/>
      <c r="G19" s="271"/>
      <c r="H19" s="271"/>
      <c r="I19" s="273"/>
      <c r="J19" s="144"/>
      <c r="K19" s="274"/>
      <c r="L19" s="76"/>
    </row>
    <row r="20" spans="1:12" ht="15.95" customHeight="1" x14ac:dyDescent="0.25">
      <c r="A20" s="13"/>
      <c r="B20" s="272" t="s">
        <v>207</v>
      </c>
      <c r="C20" s="272"/>
      <c r="D20" s="272"/>
      <c r="E20" s="272"/>
      <c r="F20" s="272" t="s">
        <v>71</v>
      </c>
      <c r="G20" s="280"/>
      <c r="H20" s="272">
        <f>0.5*0.5</f>
        <v>0.25</v>
      </c>
      <c r="I20" s="273" t="s">
        <v>66</v>
      </c>
      <c r="J20" s="144"/>
      <c r="K20" s="278"/>
      <c r="L20" s="76"/>
    </row>
    <row r="21" spans="1:12" ht="15.95" customHeight="1" x14ac:dyDescent="0.25">
      <c r="A21" s="13"/>
      <c r="B21" s="272"/>
      <c r="C21" s="272"/>
      <c r="D21" s="272"/>
      <c r="E21" s="272"/>
      <c r="F21" s="272" t="s">
        <v>29</v>
      </c>
      <c r="G21" s="280"/>
      <c r="H21" s="280">
        <v>2</v>
      </c>
      <c r="I21" s="273"/>
      <c r="J21" s="144"/>
      <c r="K21" s="274"/>
      <c r="L21" s="76"/>
    </row>
    <row r="22" spans="1:12" ht="15.95" customHeight="1" x14ac:dyDescent="0.25">
      <c r="A22" s="13"/>
      <c r="B22" s="269"/>
      <c r="C22" s="277"/>
      <c r="D22" s="271"/>
      <c r="E22" s="272"/>
      <c r="F22" s="272" t="s">
        <v>50</v>
      </c>
      <c r="G22" s="272"/>
      <c r="H22" s="272">
        <f>ROUNDUP(H21*H20,0)</f>
        <v>1</v>
      </c>
      <c r="I22" s="273" t="s">
        <v>66</v>
      </c>
      <c r="J22" s="144"/>
      <c r="K22" s="281">
        <f>H22</f>
        <v>1</v>
      </c>
      <c r="L22" s="76"/>
    </row>
    <row r="23" spans="1:12" ht="15.95" customHeight="1" x14ac:dyDescent="0.25">
      <c r="A23" s="13"/>
      <c r="B23" s="143"/>
      <c r="C23" s="146"/>
      <c r="D23" s="142"/>
      <c r="E23" s="143"/>
      <c r="F23" s="143"/>
      <c r="G23" s="335"/>
      <c r="H23" s="335"/>
      <c r="I23" s="273"/>
      <c r="J23" s="144"/>
      <c r="K23" s="287"/>
      <c r="L23" s="76"/>
    </row>
    <row r="24" spans="1:12" ht="18.75" customHeight="1" x14ac:dyDescent="0.25">
      <c r="A24" s="13"/>
      <c r="B24" s="238"/>
      <c r="C24" s="235"/>
      <c r="D24" s="242"/>
      <c r="E24" s="238"/>
      <c r="F24" s="238"/>
      <c r="G24" s="241"/>
      <c r="H24" s="241"/>
      <c r="I24" s="232"/>
      <c r="J24" s="221"/>
      <c r="K24" s="217"/>
      <c r="L24" s="76"/>
    </row>
    <row r="25" spans="1:12" ht="15.95" customHeight="1" x14ac:dyDescent="0.25">
      <c r="A25" s="13"/>
      <c r="B25" s="222"/>
      <c r="C25" s="211"/>
      <c r="D25" s="211"/>
      <c r="E25" s="222"/>
      <c r="F25" s="211"/>
      <c r="G25" s="211"/>
      <c r="H25" s="211"/>
      <c r="I25" s="232"/>
      <c r="J25" s="221"/>
      <c r="K25" s="217"/>
      <c r="L25" s="76"/>
    </row>
    <row r="26" spans="1:12" ht="15.95" customHeight="1" x14ac:dyDescent="0.25">
      <c r="A26" s="13"/>
      <c r="B26" s="222"/>
      <c r="C26" s="211"/>
      <c r="D26" s="211"/>
      <c r="E26" s="222"/>
      <c r="F26" s="211"/>
      <c r="G26" s="211"/>
      <c r="H26" s="211"/>
      <c r="I26" s="232"/>
      <c r="J26" s="221"/>
      <c r="K26" s="217"/>
      <c r="L26" s="76"/>
    </row>
    <row r="27" spans="1:12" ht="15.95" customHeight="1" x14ac:dyDescent="0.25">
      <c r="A27" s="13"/>
      <c r="B27" s="222"/>
      <c r="C27" s="211"/>
      <c r="D27" s="211"/>
      <c r="E27" s="222"/>
      <c r="F27" s="211"/>
      <c r="G27" s="211"/>
      <c r="H27" s="211"/>
      <c r="I27" s="232"/>
      <c r="J27" s="221"/>
      <c r="K27" s="217"/>
      <c r="L27" s="76"/>
    </row>
    <row r="28" spans="1:12" ht="15.95" customHeight="1" x14ac:dyDescent="0.25">
      <c r="A28" s="13"/>
      <c r="B28" s="222"/>
      <c r="C28" s="211"/>
      <c r="D28" s="211"/>
      <c r="E28" s="222"/>
      <c r="F28" s="211"/>
      <c r="G28" s="211"/>
      <c r="H28" s="211"/>
      <c r="I28" s="232"/>
      <c r="J28" s="221"/>
      <c r="K28" s="217"/>
      <c r="L28" s="76"/>
    </row>
    <row r="29" spans="1:12" ht="15.95" customHeight="1" x14ac:dyDescent="0.25">
      <c r="A29" s="13"/>
      <c r="B29" s="222"/>
      <c r="C29" s="211"/>
      <c r="D29" s="211"/>
      <c r="E29" s="222"/>
      <c r="F29" s="211"/>
      <c r="G29" s="211"/>
      <c r="H29" s="211"/>
      <c r="I29" s="232"/>
      <c r="J29" s="221"/>
      <c r="K29" s="217"/>
      <c r="L29" s="76"/>
    </row>
    <row r="30" spans="1:12" ht="15.95" customHeight="1" x14ac:dyDescent="0.25">
      <c r="A30" s="13"/>
      <c r="B30" s="10"/>
      <c r="C30" s="11"/>
      <c r="D30" s="11"/>
      <c r="E30" s="10"/>
      <c r="F30" s="11"/>
      <c r="G30" s="11"/>
      <c r="H30" s="11"/>
      <c r="I30" s="63"/>
      <c r="J30" s="58"/>
      <c r="K30" s="60"/>
      <c r="L30" s="76"/>
    </row>
    <row r="31" spans="1:12" ht="15.95" customHeight="1" x14ac:dyDescent="0.25">
      <c r="A31" s="13"/>
      <c r="B31" s="10"/>
      <c r="C31" s="11"/>
      <c r="D31" s="11"/>
      <c r="E31" s="10"/>
      <c r="F31" s="11"/>
      <c r="G31" s="11"/>
      <c r="H31" s="11"/>
      <c r="I31" s="63"/>
      <c r="J31" s="58"/>
      <c r="K31" s="60"/>
      <c r="L31" s="76"/>
    </row>
    <row r="32" spans="1:12" ht="15.95" customHeight="1" x14ac:dyDescent="0.25">
      <c r="A32" s="13"/>
      <c r="B32" s="15"/>
      <c r="C32" s="11"/>
      <c r="D32" s="11"/>
      <c r="E32" s="10"/>
      <c r="F32" s="11"/>
      <c r="G32" s="11"/>
      <c r="H32" s="11"/>
      <c r="I32" s="63"/>
      <c r="J32" s="58"/>
      <c r="K32" s="60"/>
      <c r="L32" s="76"/>
    </row>
    <row r="33" spans="1:12" ht="15.95" customHeight="1" x14ac:dyDescent="0.25">
      <c r="A33" s="13"/>
      <c r="B33" s="10"/>
      <c r="C33" s="86"/>
      <c r="D33" s="30"/>
      <c r="E33" s="19"/>
      <c r="F33" s="11"/>
      <c r="G33" s="11"/>
      <c r="H33" s="30"/>
      <c r="I33" s="63"/>
      <c r="J33" s="58"/>
      <c r="K33" s="60"/>
      <c r="L33" s="76"/>
    </row>
    <row r="34" spans="1:12" ht="15.95" customHeight="1" x14ac:dyDescent="0.25">
      <c r="A34" s="13"/>
      <c r="B34" s="15"/>
      <c r="C34" s="86"/>
      <c r="D34" s="30"/>
      <c r="E34" s="19"/>
      <c r="F34" s="30"/>
      <c r="G34" s="11"/>
      <c r="H34" s="30"/>
      <c r="I34" s="63"/>
      <c r="J34" s="58"/>
      <c r="K34" s="60"/>
      <c r="L34" s="76"/>
    </row>
    <row r="35" spans="1:12" ht="15.95" customHeight="1" x14ac:dyDescent="0.25">
      <c r="A35" s="13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13"/>
      <c r="B36" s="10"/>
      <c r="C36" s="104"/>
      <c r="D36" s="11"/>
      <c r="E36" s="10"/>
      <c r="F36" s="10"/>
      <c r="G36" s="10"/>
      <c r="H36" s="11"/>
      <c r="I36" s="63"/>
      <c r="J36" s="58"/>
      <c r="K36" s="60"/>
      <c r="L36" s="76"/>
    </row>
    <row r="37" spans="1:12" ht="15.95" customHeight="1" x14ac:dyDescent="0.25">
      <c r="A37" s="13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0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2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0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2"/>
      <c r="H45" s="10"/>
      <c r="I45" s="63"/>
      <c r="J45" s="58"/>
      <c r="K45" s="60"/>
      <c r="L45" s="76"/>
    </row>
    <row r="46" spans="1:12" ht="15.95" customHeight="1" x14ac:dyDescent="0.25">
      <c r="A46" s="60"/>
      <c r="B46" s="10"/>
      <c r="C46" s="104"/>
      <c r="D46" s="11"/>
      <c r="E46" s="10"/>
      <c r="F46" s="10"/>
      <c r="G46" s="12"/>
      <c r="H46" s="10"/>
      <c r="I46" s="63"/>
      <c r="J46" s="58"/>
      <c r="K46" s="60"/>
      <c r="L46" s="76"/>
    </row>
    <row r="47" spans="1:12" ht="15.95" customHeight="1" x14ac:dyDescent="0.25">
      <c r="A47" s="60"/>
      <c r="B47" s="10"/>
      <c r="C47" s="104"/>
      <c r="D47" s="11"/>
      <c r="E47" s="10"/>
      <c r="F47" s="10"/>
      <c r="G47" s="12"/>
      <c r="H47" s="10"/>
      <c r="I47" s="63"/>
      <c r="J47" s="58"/>
      <c r="K47" s="60"/>
      <c r="L47" s="76"/>
    </row>
    <row r="48" spans="1:12" ht="15.95" customHeight="1" thickBot="1" x14ac:dyDescent="0.3">
      <c r="A48" s="71"/>
      <c r="B48" s="25"/>
      <c r="C48" s="91"/>
      <c r="D48" s="24"/>
      <c r="E48" s="25"/>
      <c r="F48" s="25"/>
      <c r="G48" s="25"/>
      <c r="H48" s="25"/>
      <c r="I48" s="92"/>
      <c r="J48" s="31"/>
      <c r="K48" s="71"/>
      <c r="L48" s="77"/>
    </row>
    <row r="49" spans="1:12" ht="15.95" customHeight="1" thickBot="1" x14ac:dyDescent="0.3">
      <c r="A49" s="445" t="s">
        <v>13</v>
      </c>
      <c r="B49" s="447"/>
      <c r="C49" s="447"/>
      <c r="D49" s="447"/>
      <c r="E49" s="447"/>
      <c r="F49" s="447"/>
      <c r="G49" s="447"/>
      <c r="H49" s="447"/>
      <c r="I49" s="447"/>
      <c r="J49" s="448"/>
      <c r="K49" s="79">
        <f>SUM(K9:K47)</f>
        <v>2</v>
      </c>
      <c r="L49" s="80">
        <f>K49</f>
        <v>2</v>
      </c>
    </row>
  </sheetData>
  <mergeCells count="8">
    <mergeCell ref="A7:J7"/>
    <mergeCell ref="A49:J49"/>
    <mergeCell ref="I1:J1"/>
    <mergeCell ref="I2:J2"/>
    <mergeCell ref="C4:D4"/>
    <mergeCell ref="F4:G4"/>
    <mergeCell ref="I4:L4"/>
    <mergeCell ref="C5:J5"/>
  </mergeCells>
  <pageMargins left="0.75" right="0" top="0.5" bottom="0.25" header="0.5" footer="0.25"/>
  <pageSetup scale="91" fitToHeight="2" orientation="portrait" horizontalDpi="1200" verticalDpi="1200" r:id="rId1"/>
  <headerFooter>
    <oddFooter>&amp;L&amp;9&amp;Z&amp;F&amp;R&amp;9Printed &amp;D &amp;T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FF0000"/>
  </sheetPr>
  <dimension ref="A1:L48"/>
  <sheetViews>
    <sheetView showWhiteSpace="0" zoomScaleNormal="100" zoomScaleSheetLayoutView="85" workbookViewId="0">
      <selection activeCell="AJ31" sqref="AJ31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351">
        <v>44847</v>
      </c>
      <c r="H1" s="121" t="s">
        <v>5</v>
      </c>
      <c r="I1" s="449" t="s">
        <v>63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62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67</v>
      </c>
    </row>
    <row r="6" spans="1:12" ht="20.100000000000001" customHeight="1" thickBot="1" x14ac:dyDescent="0.3">
      <c r="A6" s="129"/>
      <c r="B6" s="29"/>
      <c r="C6" s="199"/>
      <c r="D6" s="29"/>
      <c r="E6" s="29"/>
      <c r="F6" s="19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73"/>
      <c r="C9" s="104"/>
      <c r="D9" s="94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13"/>
      <c r="B10" s="73" t="s">
        <v>48</v>
      </c>
      <c r="C10" s="35"/>
      <c r="D10" s="17" t="s">
        <v>14</v>
      </c>
      <c r="E10" s="15" t="s">
        <v>15</v>
      </c>
      <c r="F10" s="15" t="s">
        <v>16</v>
      </c>
      <c r="G10" s="15" t="s">
        <v>47</v>
      </c>
      <c r="H10" s="25"/>
      <c r="I10" s="92"/>
      <c r="J10" s="58"/>
      <c r="K10" s="60"/>
      <c r="L10" s="76"/>
    </row>
    <row r="11" spans="1:12" ht="16.5" customHeight="1" x14ac:dyDescent="0.25">
      <c r="A11" s="13"/>
      <c r="B11" s="157" t="s">
        <v>19</v>
      </c>
      <c r="C11" s="54"/>
      <c r="D11" s="87">
        <v>25</v>
      </c>
      <c r="E11" s="87">
        <v>34</v>
      </c>
      <c r="F11" s="87">
        <f>E11*D11</f>
        <v>850</v>
      </c>
      <c r="G11" s="87">
        <f>ROUND(F11/9,0)</f>
        <v>94</v>
      </c>
      <c r="H11" s="54"/>
      <c r="I11" s="34"/>
      <c r="J11" s="58"/>
      <c r="K11" s="60"/>
      <c r="L11" s="76"/>
    </row>
    <row r="12" spans="1:12" ht="15.95" customHeight="1" x14ac:dyDescent="0.25">
      <c r="A12" s="13"/>
      <c r="B12" s="157" t="s">
        <v>64</v>
      </c>
      <c r="C12" s="11"/>
      <c r="D12" s="11">
        <v>25</v>
      </c>
      <c r="E12" s="11">
        <v>34</v>
      </c>
      <c r="F12" s="87">
        <f>E12*D12</f>
        <v>850</v>
      </c>
      <c r="G12" s="87">
        <f>ROUND(F12/9,0)</f>
        <v>94</v>
      </c>
      <c r="H12" s="28"/>
      <c r="I12" s="88"/>
      <c r="J12" s="58"/>
      <c r="K12" s="103"/>
      <c r="L12" s="76"/>
    </row>
    <row r="13" spans="1:12" ht="15.95" customHeight="1" x14ac:dyDescent="0.25">
      <c r="A13" s="13"/>
      <c r="B13" s="10"/>
      <c r="C13" s="11"/>
      <c r="D13" s="11"/>
      <c r="E13" s="22"/>
      <c r="F13" s="22" t="s">
        <v>50</v>
      </c>
      <c r="G13" s="22">
        <f>SUM(G11:G12)</f>
        <v>188</v>
      </c>
      <c r="H13" s="28"/>
      <c r="I13" s="88"/>
      <c r="J13" s="58"/>
      <c r="K13" s="59">
        <f>G13</f>
        <v>188</v>
      </c>
      <c r="L13" s="210"/>
    </row>
    <row r="14" spans="1:12" ht="15.95" customHeight="1" x14ac:dyDescent="0.25">
      <c r="A14" s="13"/>
      <c r="B14" s="10"/>
      <c r="C14" s="11"/>
      <c r="D14" s="11"/>
      <c r="E14" s="22"/>
      <c r="F14" s="22"/>
      <c r="G14" s="28"/>
      <c r="H14" s="28"/>
      <c r="I14" s="88"/>
      <c r="J14" s="58"/>
      <c r="K14" s="60"/>
      <c r="L14" s="76"/>
    </row>
    <row r="15" spans="1:12" ht="15.95" customHeight="1" x14ac:dyDescent="0.25">
      <c r="A15" s="13"/>
      <c r="B15" s="73"/>
      <c r="C15" s="22"/>
      <c r="D15" s="94"/>
      <c r="E15" s="10"/>
      <c r="F15" s="10"/>
      <c r="G15" s="28"/>
      <c r="H15" s="28"/>
      <c r="I15" s="88"/>
      <c r="J15" s="58"/>
      <c r="K15" s="60"/>
      <c r="L15" s="76"/>
    </row>
    <row r="16" spans="1:12" ht="15.75" customHeight="1" x14ac:dyDescent="0.25">
      <c r="A16" s="13"/>
      <c r="B16" s="73"/>
      <c r="C16" s="22"/>
      <c r="D16" s="11"/>
      <c r="E16" s="10"/>
      <c r="F16" s="10"/>
      <c r="G16" s="54"/>
      <c r="H16" s="54"/>
      <c r="I16" s="82"/>
      <c r="J16" s="58"/>
      <c r="K16" s="57"/>
      <c r="L16" s="76"/>
    </row>
    <row r="17" spans="1:12" ht="15.75" customHeight="1" x14ac:dyDescent="0.25">
      <c r="A17" s="13"/>
      <c r="B17" s="54"/>
      <c r="C17" s="54"/>
      <c r="D17" s="54"/>
      <c r="E17" s="52"/>
      <c r="F17" s="54"/>
      <c r="G17" s="52"/>
      <c r="H17" s="52"/>
      <c r="I17" s="63"/>
      <c r="J17" s="58"/>
      <c r="K17" s="89"/>
      <c r="L17" s="76"/>
    </row>
    <row r="18" spans="1:12" ht="15.95" customHeight="1" x14ac:dyDescent="0.25">
      <c r="A18" s="13"/>
      <c r="B18" s="11"/>
      <c r="C18" s="11"/>
      <c r="D18" s="11"/>
      <c r="E18" s="22"/>
      <c r="F18" s="22"/>
      <c r="G18" s="11"/>
      <c r="H18" s="11"/>
      <c r="I18" s="63"/>
      <c r="J18" s="58"/>
      <c r="K18" s="103"/>
      <c r="L18" s="76"/>
    </row>
    <row r="19" spans="1:12" ht="15.95" customHeight="1" x14ac:dyDescent="0.25">
      <c r="A19" s="13"/>
      <c r="B19" s="84"/>
      <c r="C19" s="10"/>
      <c r="D19" s="11"/>
      <c r="E19" s="11"/>
      <c r="F19" s="11"/>
      <c r="G19" s="11"/>
      <c r="H19" s="11"/>
      <c r="I19" s="63"/>
      <c r="J19" s="58"/>
      <c r="K19" s="60"/>
      <c r="L19" s="76"/>
    </row>
    <row r="20" spans="1:12" ht="15.95" customHeight="1" x14ac:dyDescent="0.25">
      <c r="A20" s="13"/>
      <c r="B20" s="34"/>
      <c r="C20" s="34"/>
      <c r="D20" s="34"/>
      <c r="E20" s="34"/>
      <c r="F20" s="34"/>
      <c r="G20" s="12"/>
      <c r="H20" s="12"/>
      <c r="I20" s="63"/>
      <c r="J20" s="58"/>
      <c r="K20" s="103"/>
      <c r="L20" s="76"/>
    </row>
    <row r="21" spans="1:12" ht="15.95" customHeight="1" x14ac:dyDescent="0.25">
      <c r="A21" s="13"/>
      <c r="B21" s="34"/>
      <c r="C21" s="34"/>
      <c r="D21" s="34"/>
      <c r="E21" s="34"/>
      <c r="F21" s="34"/>
      <c r="G21" s="12"/>
      <c r="H21" s="12"/>
      <c r="I21" s="63"/>
      <c r="J21" s="58"/>
      <c r="K21" s="60"/>
      <c r="L21" s="76"/>
    </row>
    <row r="22" spans="1:12" ht="15.95" customHeight="1" x14ac:dyDescent="0.25">
      <c r="A22" s="13"/>
      <c r="B22" s="73"/>
      <c r="C22" s="22"/>
      <c r="D22" s="11"/>
      <c r="E22" s="10"/>
      <c r="F22" s="10"/>
      <c r="G22" s="10"/>
      <c r="H22" s="10"/>
      <c r="I22" s="63"/>
      <c r="J22" s="58"/>
      <c r="K22" s="57"/>
      <c r="L22" s="76"/>
    </row>
    <row r="23" spans="1:12" ht="15.95" customHeight="1" x14ac:dyDescent="0.25">
      <c r="A23" s="13"/>
      <c r="B23" s="10"/>
      <c r="C23" s="22"/>
      <c r="D23" s="11"/>
      <c r="E23" s="10"/>
      <c r="F23" s="10"/>
      <c r="G23" s="12"/>
      <c r="H23" s="12"/>
      <c r="I23" s="63"/>
      <c r="J23" s="58"/>
      <c r="K23" s="59"/>
      <c r="L23" s="76"/>
    </row>
    <row r="24" spans="1:12" ht="18.75" customHeight="1" x14ac:dyDescent="0.25">
      <c r="A24" s="13"/>
      <c r="B24" s="54"/>
      <c r="C24" s="52"/>
      <c r="D24" s="87"/>
      <c r="E24" s="54"/>
      <c r="F24" s="54"/>
      <c r="G24" s="53"/>
      <c r="H24" s="53"/>
      <c r="I24" s="63"/>
      <c r="J24" s="58"/>
      <c r="K24" s="60"/>
      <c r="L24" s="76"/>
    </row>
    <row r="25" spans="1:12" ht="15.95" customHeight="1" x14ac:dyDescent="0.25">
      <c r="A25" s="13"/>
      <c r="B25" s="10"/>
      <c r="C25" s="11"/>
      <c r="D25" s="11"/>
      <c r="E25" s="10"/>
      <c r="F25" s="11"/>
      <c r="G25" s="11"/>
      <c r="H25" s="11"/>
      <c r="I25" s="63"/>
      <c r="J25" s="58"/>
      <c r="K25" s="60"/>
      <c r="L25" s="76"/>
    </row>
    <row r="26" spans="1:12" ht="15.95" customHeight="1" x14ac:dyDescent="0.25">
      <c r="A26" s="13"/>
      <c r="B26" s="10"/>
      <c r="C26" s="11"/>
      <c r="D26" s="11"/>
      <c r="E26" s="10"/>
      <c r="F26" s="11"/>
      <c r="G26" s="11"/>
      <c r="H26" s="11"/>
      <c r="I26" s="63"/>
      <c r="J26" s="58"/>
      <c r="K26" s="60"/>
      <c r="L26" s="76"/>
    </row>
    <row r="27" spans="1:12" ht="15.95" customHeight="1" x14ac:dyDescent="0.25">
      <c r="A27" s="13"/>
      <c r="B27" s="15"/>
      <c r="C27" s="11"/>
      <c r="D27" s="11"/>
      <c r="E27" s="10"/>
      <c r="F27" s="11"/>
      <c r="G27" s="11"/>
      <c r="H27" s="11"/>
      <c r="I27" s="63"/>
      <c r="J27" s="58"/>
      <c r="K27" s="60"/>
      <c r="L27" s="76"/>
    </row>
    <row r="28" spans="1:12" ht="15.95" customHeight="1" x14ac:dyDescent="0.25">
      <c r="A28" s="13"/>
      <c r="B28" s="10"/>
      <c r="C28" s="86"/>
      <c r="D28" s="30"/>
      <c r="E28" s="19"/>
      <c r="F28" s="11"/>
      <c r="G28" s="11"/>
      <c r="H28" s="30"/>
      <c r="I28" s="63"/>
      <c r="J28" s="58"/>
      <c r="K28" s="60"/>
      <c r="L28" s="76"/>
    </row>
    <row r="29" spans="1:12" ht="15.95" customHeight="1" x14ac:dyDescent="0.25">
      <c r="A29" s="13"/>
      <c r="B29" s="15"/>
      <c r="C29" s="86"/>
      <c r="D29" s="30"/>
      <c r="E29" s="19"/>
      <c r="F29" s="30"/>
      <c r="G29" s="11"/>
      <c r="H29" s="30"/>
      <c r="I29" s="63"/>
      <c r="J29" s="58"/>
      <c r="K29" s="60"/>
      <c r="L29" s="76"/>
    </row>
    <row r="30" spans="1:12" ht="15.95" customHeight="1" x14ac:dyDescent="0.25">
      <c r="A30" s="13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1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2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2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71"/>
      <c r="B46" s="10"/>
      <c r="C46" s="25"/>
      <c r="D46" s="25"/>
      <c r="E46" s="100"/>
      <c r="F46" s="100"/>
      <c r="G46" s="97"/>
      <c r="H46" s="25"/>
      <c r="I46" s="92"/>
      <c r="J46" s="32"/>
      <c r="K46" s="71"/>
      <c r="L46" s="77"/>
    </row>
    <row r="47" spans="1:12" ht="15.95" customHeight="1" thickBot="1" x14ac:dyDescent="0.3">
      <c r="A47" s="71"/>
      <c r="B47" s="67"/>
      <c r="C47" s="67"/>
      <c r="D47" s="67"/>
      <c r="E47" s="101"/>
      <c r="F47" s="101"/>
      <c r="G47" s="98"/>
      <c r="H47" s="67"/>
      <c r="I47" s="99"/>
      <c r="J47" s="68"/>
      <c r="K47" s="71"/>
      <c r="L47" s="77"/>
    </row>
    <row r="48" spans="1:12" ht="15.95" customHeight="1" thickBot="1" x14ac:dyDescent="0.3">
      <c r="A48" s="445" t="s">
        <v>13</v>
      </c>
      <c r="B48" s="446"/>
      <c r="C48" s="447"/>
      <c r="D48" s="447"/>
      <c r="E48" s="447"/>
      <c r="F48" s="447"/>
      <c r="G48" s="447"/>
      <c r="H48" s="447"/>
      <c r="I48" s="447"/>
      <c r="J48" s="448"/>
      <c r="K48" s="79">
        <f>SUM(K13:K47)</f>
        <v>188</v>
      </c>
      <c r="L48" s="80">
        <f>K48</f>
        <v>188</v>
      </c>
    </row>
  </sheetData>
  <mergeCells count="8">
    <mergeCell ref="A7:J7"/>
    <mergeCell ref="A48:J48"/>
    <mergeCell ref="I1:J1"/>
    <mergeCell ref="I2:J2"/>
    <mergeCell ref="C4:D4"/>
    <mergeCell ref="F4:G4"/>
    <mergeCell ref="I4:L4"/>
    <mergeCell ref="C5:J5"/>
  </mergeCells>
  <pageMargins left="0.75" right="0" top="0.5" bottom="0.25" header="0.5" footer="0.25"/>
  <pageSetup scale="91" fitToHeight="2" orientation="portrait" horizontalDpi="1200" verticalDpi="1200" r:id="rId1"/>
  <headerFooter>
    <oddFooter>&amp;L&amp;9&amp;Z&amp;F&amp;R&amp;9Printed 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L48"/>
  <sheetViews>
    <sheetView showWhiteSpace="0" view="pageBreakPreview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150</v>
      </c>
      <c r="F1" s="121" t="s">
        <v>4</v>
      </c>
      <c r="G1" s="349">
        <v>45107</v>
      </c>
      <c r="H1" s="121" t="s">
        <v>5</v>
      </c>
      <c r="I1" s="449" t="s">
        <v>233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1+EXCAVATION!I2</f>
        <v>3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232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84</v>
      </c>
    </row>
    <row r="6" spans="1:12" ht="20.100000000000001" customHeight="1" thickBot="1" x14ac:dyDescent="0.3">
      <c r="A6" s="129"/>
      <c r="B6" s="29"/>
      <c r="C6" s="199"/>
      <c r="D6" s="29"/>
      <c r="E6" s="29"/>
      <c r="F6" s="19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457" t="s">
        <v>52</v>
      </c>
      <c r="C9" s="104"/>
      <c r="D9" s="94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13"/>
      <c r="B10" s="458"/>
      <c r="C10" s="333"/>
      <c r="D10" s="333"/>
      <c r="E10" s="326"/>
      <c r="F10" s="333"/>
      <c r="G10" s="333"/>
      <c r="H10" s="333"/>
      <c r="I10" s="334"/>
      <c r="J10" s="144"/>
      <c r="K10" s="274"/>
      <c r="L10" s="76"/>
    </row>
    <row r="11" spans="1:12" ht="16.5" customHeight="1" x14ac:dyDescent="0.25">
      <c r="A11" s="13"/>
      <c r="B11" s="147">
        <v>7404</v>
      </c>
      <c r="C11" s="271" t="s">
        <v>355</v>
      </c>
      <c r="D11" s="142"/>
      <c r="E11" s="146"/>
      <c r="F11" s="146"/>
      <c r="G11" s="146"/>
      <c r="H11" s="325"/>
      <c r="I11" s="247"/>
      <c r="J11" s="144"/>
      <c r="K11" s="281">
        <f>B11</f>
        <v>7404</v>
      </c>
      <c r="L11" s="76"/>
    </row>
    <row r="12" spans="1:12" ht="15.95" customHeight="1" x14ac:dyDescent="0.25">
      <c r="A12" s="13"/>
      <c r="B12" s="11"/>
      <c r="C12" s="49"/>
      <c r="D12" s="197"/>
      <c r="E12" s="203"/>
      <c r="F12" s="198"/>
      <c r="G12" s="22"/>
      <c r="H12" s="28"/>
      <c r="I12" s="88"/>
      <c r="J12" s="58"/>
      <c r="K12" s="103"/>
      <c r="L12" s="76"/>
    </row>
    <row r="13" spans="1:12" ht="15.95" customHeight="1" x14ac:dyDescent="0.25">
      <c r="A13" s="13"/>
      <c r="B13" s="10"/>
      <c r="C13" s="198"/>
      <c r="D13" s="198"/>
      <c r="E13" s="204"/>
      <c r="F13" s="205"/>
      <c r="G13" s="22"/>
      <c r="H13" s="28"/>
      <c r="I13" s="88"/>
      <c r="J13" s="58"/>
      <c r="K13" s="59"/>
      <c r="L13" s="76"/>
    </row>
    <row r="14" spans="1:12" ht="15.95" customHeight="1" x14ac:dyDescent="0.25">
      <c r="A14" s="13"/>
      <c r="B14" s="10"/>
      <c r="C14" s="197"/>
      <c r="D14" s="197"/>
      <c r="E14" s="204"/>
      <c r="F14" s="205"/>
      <c r="G14" s="28"/>
      <c r="H14" s="28"/>
      <c r="I14" s="88"/>
      <c r="J14" s="58"/>
      <c r="K14" s="60"/>
      <c r="L14" s="76"/>
    </row>
    <row r="15" spans="1:12" ht="15.95" customHeight="1" x14ac:dyDescent="0.25">
      <c r="A15" s="13"/>
      <c r="B15" s="73"/>
      <c r="C15" s="197"/>
      <c r="D15" s="197"/>
      <c r="E15" s="204"/>
      <c r="F15" s="206"/>
      <c r="G15" s="28"/>
      <c r="H15" s="28"/>
      <c r="I15" s="88"/>
      <c r="J15" s="58"/>
      <c r="K15" s="60"/>
      <c r="L15" s="76"/>
    </row>
    <row r="16" spans="1:12" ht="15.75" customHeight="1" x14ac:dyDescent="0.25">
      <c r="A16" s="13"/>
      <c r="B16" s="73"/>
      <c r="C16" s="197"/>
      <c r="D16" s="117"/>
      <c r="E16" s="204"/>
      <c r="F16" s="204"/>
      <c r="G16" s="54"/>
      <c r="H16" s="54"/>
      <c r="I16" s="82"/>
      <c r="J16" s="58"/>
      <c r="K16" s="57"/>
      <c r="L16" s="76"/>
    </row>
    <row r="17" spans="1:12" ht="15.75" customHeight="1" x14ac:dyDescent="0.25">
      <c r="A17" s="13"/>
      <c r="B17" s="54"/>
      <c r="C17" s="117"/>
      <c r="D17" s="197"/>
      <c r="E17" s="207"/>
      <c r="F17" s="204"/>
      <c r="G17" s="52"/>
      <c r="H17" s="52"/>
      <c r="I17" s="63"/>
      <c r="J17" s="58"/>
      <c r="K17" s="89"/>
      <c r="L17" s="76"/>
    </row>
    <row r="18" spans="1:12" ht="15.95" customHeight="1" x14ac:dyDescent="0.25">
      <c r="A18" s="13"/>
      <c r="B18" s="11"/>
      <c r="C18" s="198"/>
      <c r="D18" s="198"/>
      <c r="E18" s="208"/>
      <c r="F18" s="198"/>
      <c r="G18" s="11"/>
      <c r="H18" s="11"/>
      <c r="I18" s="63"/>
      <c r="J18" s="58"/>
      <c r="K18" s="103"/>
      <c r="L18" s="76"/>
    </row>
    <row r="19" spans="1:12" ht="15.95" customHeight="1" x14ac:dyDescent="0.25">
      <c r="A19" s="13"/>
      <c r="B19" s="84"/>
      <c r="C19" s="197"/>
      <c r="D19" s="197"/>
      <c r="E19" s="117"/>
      <c r="F19" s="117"/>
      <c r="G19" s="11"/>
      <c r="H19" s="11"/>
      <c r="I19" s="63"/>
      <c r="J19" s="58"/>
      <c r="K19" s="60"/>
      <c r="L19" s="76"/>
    </row>
    <row r="20" spans="1:12" ht="15.95" customHeight="1" x14ac:dyDescent="0.25">
      <c r="A20" s="13"/>
      <c r="B20" s="34"/>
      <c r="C20" s="38"/>
      <c r="D20" s="197"/>
      <c r="E20" s="197"/>
      <c r="F20" s="197"/>
      <c r="G20" s="12"/>
      <c r="H20" s="12"/>
      <c r="I20" s="63"/>
      <c r="J20" s="58"/>
      <c r="K20" s="103"/>
      <c r="L20" s="76"/>
    </row>
    <row r="21" spans="1:12" ht="15.95" customHeight="1" x14ac:dyDescent="0.25">
      <c r="A21" s="13"/>
      <c r="B21" s="34"/>
      <c r="C21" s="38"/>
      <c r="D21" s="38"/>
      <c r="E21" s="38"/>
      <c r="F21" s="38"/>
      <c r="G21" s="12"/>
      <c r="H21" s="12"/>
      <c r="I21" s="63"/>
      <c r="J21" s="58"/>
      <c r="K21" s="60"/>
      <c r="L21" s="76"/>
    </row>
    <row r="22" spans="1:12" ht="15.95" customHeight="1" x14ac:dyDescent="0.25">
      <c r="A22" s="13"/>
      <c r="B22" s="73"/>
      <c r="C22" s="22"/>
      <c r="D22" s="11"/>
      <c r="E22" s="10"/>
      <c r="F22" s="10"/>
      <c r="G22" s="10"/>
      <c r="H22" s="10"/>
      <c r="I22" s="63"/>
      <c r="J22" s="58"/>
      <c r="K22" s="57"/>
      <c r="L22" s="76"/>
    </row>
    <row r="23" spans="1:12" ht="15.95" customHeight="1" x14ac:dyDescent="0.25">
      <c r="A23" s="13"/>
      <c r="B23" s="10"/>
      <c r="C23" s="22"/>
      <c r="D23" s="11"/>
      <c r="E23" s="10"/>
      <c r="F23" s="10"/>
      <c r="G23" s="12"/>
      <c r="H23" s="12"/>
      <c r="I23" s="63"/>
      <c r="J23" s="58"/>
      <c r="K23" s="59"/>
      <c r="L23" s="76"/>
    </row>
    <row r="24" spans="1:12" ht="18.75" customHeight="1" x14ac:dyDescent="0.25">
      <c r="A24" s="13"/>
      <c r="B24" s="54"/>
      <c r="C24" s="52"/>
      <c r="D24" s="87"/>
      <c r="E24" s="54"/>
      <c r="F24" s="54"/>
      <c r="G24" s="53"/>
      <c r="H24" s="53"/>
      <c r="I24" s="63"/>
      <c r="J24" s="58"/>
      <c r="K24" s="60"/>
      <c r="L24" s="76"/>
    </row>
    <row r="25" spans="1:12" ht="15.95" customHeight="1" x14ac:dyDescent="0.25">
      <c r="A25" s="13"/>
      <c r="B25" s="10"/>
      <c r="C25" s="11"/>
      <c r="D25" s="11"/>
      <c r="E25" s="10"/>
      <c r="F25" s="11"/>
      <c r="G25" s="11"/>
      <c r="H25" s="11"/>
      <c r="I25" s="63"/>
      <c r="J25" s="58"/>
      <c r="K25" s="60"/>
      <c r="L25" s="76"/>
    </row>
    <row r="26" spans="1:12" ht="15.95" customHeight="1" x14ac:dyDescent="0.25">
      <c r="A26" s="13"/>
      <c r="B26" s="10"/>
      <c r="C26" s="11"/>
      <c r="D26" s="11"/>
      <c r="E26" s="10"/>
      <c r="F26" s="11"/>
      <c r="G26" s="11"/>
      <c r="H26" s="11"/>
      <c r="I26" s="63"/>
      <c r="J26" s="58"/>
      <c r="K26" s="60"/>
      <c r="L26" s="76"/>
    </row>
    <row r="27" spans="1:12" ht="15.95" customHeight="1" x14ac:dyDescent="0.25">
      <c r="A27" s="13"/>
      <c r="B27" s="15"/>
      <c r="C27" s="11"/>
      <c r="D27" s="11"/>
      <c r="E27" s="10"/>
      <c r="F27" s="11"/>
      <c r="G27" s="11"/>
      <c r="H27" s="11"/>
      <c r="I27" s="63"/>
      <c r="J27" s="58"/>
      <c r="K27" s="60"/>
      <c r="L27" s="76"/>
    </row>
    <row r="28" spans="1:12" ht="15.95" customHeight="1" x14ac:dyDescent="0.25">
      <c r="A28" s="13"/>
      <c r="B28" s="10"/>
      <c r="C28" s="86"/>
      <c r="D28" s="30"/>
      <c r="E28" s="19"/>
      <c r="F28" s="11"/>
      <c r="G28" s="11"/>
      <c r="H28" s="30"/>
      <c r="I28" s="63"/>
      <c r="J28" s="58"/>
      <c r="K28" s="60"/>
      <c r="L28" s="76"/>
    </row>
    <row r="29" spans="1:12" ht="15.95" customHeight="1" x14ac:dyDescent="0.25">
      <c r="A29" s="13"/>
      <c r="B29" s="15"/>
      <c r="C29" s="86"/>
      <c r="D29" s="30"/>
      <c r="E29" s="19"/>
      <c r="F29" s="30"/>
      <c r="G29" s="11"/>
      <c r="H29" s="30"/>
      <c r="I29" s="63"/>
      <c r="J29" s="58"/>
      <c r="K29" s="60"/>
      <c r="L29" s="76"/>
    </row>
    <row r="30" spans="1:12" ht="15.95" customHeight="1" x14ac:dyDescent="0.25">
      <c r="A30" s="13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1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2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2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71"/>
      <c r="B46" s="10"/>
      <c r="C46" s="25"/>
      <c r="D46" s="25"/>
      <c r="E46" s="100"/>
      <c r="F46" s="100"/>
      <c r="G46" s="97"/>
      <c r="H46" s="25"/>
      <c r="I46" s="92"/>
      <c r="J46" s="32"/>
      <c r="K46" s="71"/>
      <c r="L46" s="77"/>
    </row>
    <row r="47" spans="1:12" ht="15.95" customHeight="1" thickBot="1" x14ac:dyDescent="0.3">
      <c r="A47" s="71"/>
      <c r="B47" s="67"/>
      <c r="C47" s="67"/>
      <c r="D47" s="67"/>
      <c r="E47" s="101"/>
      <c r="F47" s="101"/>
      <c r="G47" s="98"/>
      <c r="H47" s="67"/>
      <c r="I47" s="99"/>
      <c r="J47" s="68"/>
      <c r="K47" s="71"/>
      <c r="L47" s="77"/>
    </row>
    <row r="48" spans="1:12" ht="15.95" customHeight="1" thickBot="1" x14ac:dyDescent="0.3">
      <c r="A48" s="445" t="s">
        <v>13</v>
      </c>
      <c r="B48" s="446"/>
      <c r="C48" s="447"/>
      <c r="D48" s="447"/>
      <c r="E48" s="447"/>
      <c r="F48" s="447"/>
      <c r="G48" s="447"/>
      <c r="H48" s="447"/>
      <c r="I48" s="447"/>
      <c r="J48" s="448"/>
      <c r="K48" s="79">
        <f>SUM(K8:K47)</f>
        <v>7404</v>
      </c>
      <c r="L48" s="80">
        <f>K48</f>
        <v>7404</v>
      </c>
    </row>
  </sheetData>
  <mergeCells count="9">
    <mergeCell ref="A7:J7"/>
    <mergeCell ref="B9:B10"/>
    <mergeCell ref="A48:J48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FF0000"/>
    <pageSetUpPr fitToPage="1"/>
  </sheetPr>
  <dimension ref="A1:L90"/>
  <sheetViews>
    <sheetView showWhiteSpace="0" view="pageBreakPreview" zoomScaleNormal="100" zoomScaleSheetLayoutView="100" workbookViewId="0">
      <selection activeCell="AJ31" sqref="AJ31"/>
    </sheetView>
  </sheetViews>
  <sheetFormatPr defaultColWidth="2.85546875" defaultRowHeight="15" customHeight="1" x14ac:dyDescent="0.25"/>
  <cols>
    <col min="2" max="2" width="8.7109375" customWidth="1"/>
    <col min="3" max="3" width="7.7109375" customWidth="1"/>
    <col min="4" max="4" width="9.855468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351">
        <v>44847</v>
      </c>
      <c r="H1" s="121" t="s">
        <v>5</v>
      </c>
      <c r="I1" s="449" t="s">
        <v>198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197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84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70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44" t="s">
        <v>22</v>
      </c>
      <c r="B9" s="73"/>
      <c r="C9" s="94" t="s">
        <v>75</v>
      </c>
      <c r="D9" s="94"/>
      <c r="E9" s="10"/>
      <c r="F9" s="10"/>
      <c r="G9" s="10"/>
      <c r="H9" s="10"/>
      <c r="I9" s="63"/>
      <c r="J9" s="58"/>
      <c r="K9" s="60"/>
      <c r="L9" s="76"/>
    </row>
    <row r="10" spans="1:12" ht="32.25" customHeight="1" thickBot="1" x14ac:dyDescent="0.3">
      <c r="A10" s="60"/>
      <c r="B10" s="10"/>
      <c r="C10" s="169" t="s">
        <v>16</v>
      </c>
      <c r="D10" s="81" t="s">
        <v>25</v>
      </c>
      <c r="E10" s="55" t="s">
        <v>26</v>
      </c>
      <c r="F10" s="55" t="s">
        <v>52</v>
      </c>
      <c r="G10" s="10"/>
      <c r="H10" s="10"/>
      <c r="I10" s="63"/>
      <c r="J10" s="58"/>
      <c r="K10" s="60"/>
      <c r="L10" s="76"/>
    </row>
    <row r="11" spans="1:12" ht="15.95" customHeight="1" x14ac:dyDescent="0.25">
      <c r="A11" s="60"/>
      <c r="B11" s="10"/>
      <c r="C11" s="190">
        <v>3219.3</v>
      </c>
      <c r="D11" s="170">
        <f>8.5/12</f>
        <v>0.70833333333333337</v>
      </c>
      <c r="E11" s="190">
        <f>C11*D11</f>
        <v>2280.3375000000001</v>
      </c>
      <c r="F11" s="171">
        <f>(E11/27)</f>
        <v>84.456944444444446</v>
      </c>
      <c r="G11" s="10"/>
      <c r="H11" s="10"/>
      <c r="I11" s="63"/>
      <c r="J11" s="58"/>
      <c r="K11" s="59">
        <f>F11</f>
        <v>84.456944444444446</v>
      </c>
      <c r="L11" s="76"/>
    </row>
    <row r="12" spans="1:12" ht="15.95" customHeight="1" x14ac:dyDescent="0.25">
      <c r="A12" s="60"/>
      <c r="B12" s="34"/>
      <c r="C12" s="41"/>
      <c r="D12" s="34"/>
      <c r="E12" s="34"/>
      <c r="F12" s="34"/>
      <c r="G12" s="12"/>
      <c r="H12" s="12"/>
      <c r="I12" s="63"/>
      <c r="J12" s="58"/>
      <c r="K12" s="60"/>
      <c r="L12" s="76"/>
    </row>
    <row r="13" spans="1:12" ht="15.95" customHeight="1" x14ac:dyDescent="0.25">
      <c r="A13" s="44" t="s">
        <v>76</v>
      </c>
      <c r="B13" s="73"/>
      <c r="C13" s="104"/>
      <c r="D13" s="94"/>
      <c r="E13" s="10"/>
      <c r="F13" s="10"/>
      <c r="G13" s="10"/>
      <c r="H13" s="10"/>
      <c r="I13" s="63"/>
      <c r="J13" s="58"/>
      <c r="K13" s="57"/>
      <c r="L13" s="76"/>
    </row>
    <row r="14" spans="1:12" ht="15.95" customHeight="1" x14ac:dyDescent="0.25">
      <c r="A14" s="60"/>
      <c r="B14" s="10"/>
      <c r="C14" s="104"/>
      <c r="D14" s="11"/>
      <c r="E14" s="10"/>
      <c r="F14" s="10"/>
      <c r="G14" s="12"/>
      <c r="H14" s="12"/>
      <c r="I14" s="63"/>
      <c r="J14" s="58"/>
      <c r="K14" s="59"/>
      <c r="L14" s="76"/>
    </row>
    <row r="15" spans="1:12" ht="49.5" customHeight="1" thickBot="1" x14ac:dyDescent="0.3">
      <c r="A15" s="60"/>
      <c r="B15" s="55" t="s">
        <v>27</v>
      </c>
      <c r="C15" s="169"/>
      <c r="D15" s="81" t="s">
        <v>77</v>
      </c>
      <c r="E15" s="55" t="s">
        <v>28</v>
      </c>
      <c r="F15" s="55" t="s">
        <v>78</v>
      </c>
      <c r="G15" s="51" t="s">
        <v>30</v>
      </c>
      <c r="H15" s="51" t="s">
        <v>26</v>
      </c>
      <c r="I15" s="51" t="s">
        <v>52</v>
      </c>
      <c r="J15" s="58"/>
      <c r="K15" s="60"/>
      <c r="L15" s="76"/>
    </row>
    <row r="16" spans="1:12" ht="15.95" customHeight="1" x14ac:dyDescent="0.25">
      <c r="A16" s="60"/>
      <c r="B16" s="19">
        <v>1</v>
      </c>
      <c r="C16" s="86"/>
      <c r="D16" s="30">
        <v>10.4</v>
      </c>
      <c r="E16" s="19">
        <v>2</v>
      </c>
      <c r="F16" s="30">
        <f>E16*(D16)</f>
        <v>20.8</v>
      </c>
      <c r="G16" s="30">
        <v>101.54</v>
      </c>
      <c r="H16" s="172">
        <f t="shared" ref="H16:H19" si="0">F16*G16/144</f>
        <v>14.66688888888889</v>
      </c>
      <c r="I16" s="173">
        <f t="shared" ref="I16:I19" si="1">ROUNDUP(H16/27,0)</f>
        <v>1</v>
      </c>
      <c r="J16" s="58"/>
      <c r="K16" s="60"/>
      <c r="L16" s="76"/>
    </row>
    <row r="17" spans="1:12" ht="15.95" customHeight="1" x14ac:dyDescent="0.25">
      <c r="A17" s="60"/>
      <c r="B17" s="10">
        <v>2</v>
      </c>
      <c r="C17" s="86"/>
      <c r="D17" s="30">
        <v>10.4</v>
      </c>
      <c r="E17" s="19">
        <v>2</v>
      </c>
      <c r="F17" s="30">
        <f>E17*(D17)</f>
        <v>20.8</v>
      </c>
      <c r="G17" s="11">
        <v>101.54</v>
      </c>
      <c r="H17" s="172">
        <f t="shared" si="0"/>
        <v>14.66688888888889</v>
      </c>
      <c r="I17" s="173">
        <f t="shared" si="1"/>
        <v>1</v>
      </c>
      <c r="J17" s="58"/>
      <c r="K17" s="60"/>
      <c r="L17" s="76"/>
    </row>
    <row r="18" spans="1:12" ht="15.95" customHeight="1" x14ac:dyDescent="0.25">
      <c r="A18" s="60"/>
      <c r="B18" s="10">
        <v>3</v>
      </c>
      <c r="C18" s="86"/>
      <c r="D18" s="30">
        <v>10.4</v>
      </c>
      <c r="E18" s="19">
        <v>2</v>
      </c>
      <c r="F18" s="30">
        <f>E18*(D18)</f>
        <v>20.8</v>
      </c>
      <c r="G18" s="11">
        <v>101.54</v>
      </c>
      <c r="H18" s="172">
        <f t="shared" si="0"/>
        <v>14.66688888888889</v>
      </c>
      <c r="I18" s="173">
        <f t="shared" si="1"/>
        <v>1</v>
      </c>
      <c r="J18" s="58"/>
      <c r="K18" s="60"/>
      <c r="L18" s="76"/>
    </row>
    <row r="19" spans="1:12" ht="15.95" customHeight="1" x14ac:dyDescent="0.25">
      <c r="A19" s="60"/>
      <c r="B19" s="10">
        <v>4</v>
      </c>
      <c r="C19" s="86"/>
      <c r="D19" s="30">
        <v>10.4</v>
      </c>
      <c r="E19" s="19">
        <v>2</v>
      </c>
      <c r="F19" s="30">
        <f>E19*(D19)</f>
        <v>20.8</v>
      </c>
      <c r="G19" s="11">
        <v>101.54</v>
      </c>
      <c r="H19" s="172">
        <f t="shared" si="0"/>
        <v>14.66688888888889</v>
      </c>
      <c r="I19" s="173">
        <f t="shared" si="1"/>
        <v>1</v>
      </c>
      <c r="J19" s="58"/>
      <c r="K19" s="60"/>
      <c r="L19" s="76"/>
    </row>
    <row r="20" spans="1:12" ht="15.95" customHeight="1" x14ac:dyDescent="0.25">
      <c r="A20" s="60"/>
      <c r="B20" s="10"/>
      <c r="C20" s="86"/>
      <c r="D20" s="30"/>
      <c r="E20" s="19"/>
      <c r="F20" s="30"/>
      <c r="G20" s="11"/>
      <c r="H20" s="172"/>
      <c r="I20" s="173"/>
      <c r="J20" s="58"/>
      <c r="K20" s="60"/>
      <c r="L20" s="76"/>
    </row>
    <row r="21" spans="1:12" ht="15.95" customHeight="1" x14ac:dyDescent="0.25">
      <c r="A21" s="60"/>
      <c r="B21" s="10"/>
      <c r="C21" s="86"/>
      <c r="D21" s="30"/>
      <c r="E21" s="19"/>
      <c r="F21" s="30"/>
      <c r="G21" s="11"/>
      <c r="H21" s="172"/>
      <c r="I21" s="173"/>
      <c r="J21" s="58"/>
      <c r="K21" s="60"/>
      <c r="L21" s="76"/>
    </row>
    <row r="22" spans="1:12" ht="15.95" customHeight="1" x14ac:dyDescent="0.25">
      <c r="A22" s="60"/>
      <c r="B22" s="10"/>
      <c r="C22" s="104"/>
      <c r="D22" s="11"/>
      <c r="E22" s="10"/>
      <c r="F22" s="10"/>
      <c r="G22" s="10" t="s">
        <v>21</v>
      </c>
      <c r="H22" s="11">
        <f>SUM(H16:H21)</f>
        <v>58.667555555555559</v>
      </c>
      <c r="I22" s="63">
        <f>SUM(I16:I21)</f>
        <v>4</v>
      </c>
      <c r="J22" s="58"/>
      <c r="K22" s="59">
        <f>I22</f>
        <v>4</v>
      </c>
      <c r="L22" s="76"/>
    </row>
    <row r="23" spans="1:12" ht="15.95" customHeight="1" x14ac:dyDescent="0.25">
      <c r="A23" s="60"/>
      <c r="B23" s="10"/>
      <c r="C23" s="104"/>
      <c r="D23" s="11"/>
      <c r="E23" s="10"/>
      <c r="F23" s="10"/>
      <c r="G23" s="10"/>
      <c r="H23" s="10"/>
      <c r="I23" s="63"/>
      <c r="J23" s="58"/>
      <c r="K23" s="60"/>
      <c r="L23" s="76"/>
    </row>
    <row r="24" spans="1:12" ht="15.75" customHeight="1" x14ac:dyDescent="0.25">
      <c r="A24" s="186" t="s">
        <v>118</v>
      </c>
      <c r="B24" s="45"/>
      <c r="C24" s="174"/>
      <c r="D24" s="45"/>
      <c r="E24" s="34"/>
      <c r="F24" s="94"/>
      <c r="G24" s="54"/>
      <c r="H24" s="54"/>
      <c r="I24" s="82"/>
      <c r="J24" s="58"/>
      <c r="K24" s="57"/>
      <c r="L24" s="76"/>
    </row>
    <row r="25" spans="1:12" ht="45" customHeight="1" thickBot="1" x14ac:dyDescent="0.3">
      <c r="A25" s="60"/>
      <c r="B25" s="55" t="s">
        <v>27</v>
      </c>
      <c r="C25" s="192" t="s">
        <v>199</v>
      </c>
      <c r="D25" s="55" t="s">
        <v>28</v>
      </c>
      <c r="E25" s="55" t="s">
        <v>24</v>
      </c>
      <c r="F25" s="55" t="s">
        <v>30</v>
      </c>
      <c r="G25" s="51" t="s">
        <v>26</v>
      </c>
      <c r="H25" s="51" t="s">
        <v>52</v>
      </c>
      <c r="I25" s="63"/>
      <c r="J25" s="58"/>
      <c r="K25" s="60"/>
      <c r="L25" s="76"/>
    </row>
    <row r="26" spans="1:12" ht="15.95" customHeight="1" x14ac:dyDescent="0.25">
      <c r="A26" s="60"/>
      <c r="B26" s="85">
        <v>1</v>
      </c>
      <c r="C26" s="27">
        <v>30</v>
      </c>
      <c r="D26" s="30">
        <v>9.5</v>
      </c>
      <c r="E26" s="28">
        <f>C26*D26/144</f>
        <v>1.9791666666666667</v>
      </c>
      <c r="F26" s="30">
        <f>G16</f>
        <v>101.54</v>
      </c>
      <c r="G26" s="172">
        <f>E26*F26</f>
        <v>200.96458333333337</v>
      </c>
      <c r="H26" s="173">
        <f>ROUNDUP(G26/27,0)</f>
        <v>8</v>
      </c>
      <c r="I26" s="63"/>
      <c r="J26" s="58"/>
      <c r="K26" s="60"/>
      <c r="L26" s="76"/>
    </row>
    <row r="27" spans="1:12" ht="15.95" customHeight="1" x14ac:dyDescent="0.25">
      <c r="A27" s="60"/>
      <c r="B27" s="84">
        <v>4</v>
      </c>
      <c r="C27" s="27">
        <v>30</v>
      </c>
      <c r="D27" s="30">
        <v>9.5</v>
      </c>
      <c r="E27" s="28">
        <f>C27*D27/144</f>
        <v>1.9791666666666667</v>
      </c>
      <c r="F27" s="30">
        <f>G19</f>
        <v>101.54</v>
      </c>
      <c r="G27" s="172">
        <f>E27*F27</f>
        <v>200.96458333333337</v>
      </c>
      <c r="H27" s="173">
        <f>ROUNDUP(G27/27,0)</f>
        <v>8</v>
      </c>
      <c r="I27" s="63"/>
      <c r="J27" s="58"/>
      <c r="K27" s="60"/>
      <c r="L27" s="76"/>
    </row>
    <row r="28" spans="1:12" ht="15.95" customHeight="1" x14ac:dyDescent="0.25">
      <c r="A28" s="60"/>
      <c r="B28" s="10"/>
      <c r="C28" s="104"/>
      <c r="D28" s="11"/>
      <c r="E28" s="10"/>
      <c r="F28" s="10" t="s">
        <v>21</v>
      </c>
      <c r="G28" s="11">
        <f>SUM(G26:G27)</f>
        <v>401.92916666666673</v>
      </c>
      <c r="H28" s="11">
        <f>SUM(H26:H27)</f>
        <v>16</v>
      </c>
      <c r="I28" s="63"/>
      <c r="J28" s="58"/>
      <c r="K28" s="59">
        <f>H28</f>
        <v>16</v>
      </c>
      <c r="L28" s="76"/>
    </row>
    <row r="29" spans="1:12" ht="15.95" customHeight="1" x14ac:dyDescent="0.25">
      <c r="A29" s="60"/>
      <c r="B29" s="10"/>
      <c r="C29" s="104"/>
      <c r="D29" s="11"/>
      <c r="E29" s="10"/>
      <c r="F29" s="10"/>
      <c r="G29" s="12"/>
      <c r="H29" s="10"/>
      <c r="I29" s="63"/>
      <c r="J29" s="58"/>
      <c r="K29" s="60"/>
      <c r="L29" s="76"/>
    </row>
    <row r="30" spans="1:12" ht="15.95" customHeight="1" x14ac:dyDescent="0.25">
      <c r="A30" s="71"/>
      <c r="B30" s="25"/>
      <c r="C30" s="104"/>
      <c r="D30" s="11"/>
      <c r="E30" s="10"/>
      <c r="F30" s="10"/>
      <c r="G30" s="11"/>
      <c r="H30" s="11"/>
      <c r="I30" s="63"/>
      <c r="J30" s="31"/>
      <c r="K30" s="175"/>
      <c r="L30" s="77"/>
    </row>
    <row r="31" spans="1:12" ht="15.95" customHeight="1" x14ac:dyDescent="0.25">
      <c r="A31" s="71"/>
      <c r="B31" s="25"/>
      <c r="C31" s="104"/>
      <c r="D31" s="11"/>
      <c r="E31" s="10"/>
      <c r="F31" s="10"/>
      <c r="G31" s="11"/>
      <c r="H31" s="11"/>
      <c r="I31" s="63"/>
      <c r="J31" s="31"/>
      <c r="K31" s="175"/>
      <c r="L31" s="77"/>
    </row>
    <row r="32" spans="1:12" ht="15.95" customHeight="1" x14ac:dyDescent="0.25">
      <c r="A32" s="71"/>
      <c r="B32" s="25"/>
      <c r="C32" s="104"/>
      <c r="D32" s="11"/>
      <c r="E32" s="10"/>
      <c r="F32" s="10"/>
      <c r="G32" s="11"/>
      <c r="H32" s="11"/>
      <c r="I32" s="63"/>
      <c r="J32" s="31"/>
      <c r="K32" s="175"/>
      <c r="L32" s="77"/>
    </row>
    <row r="33" spans="1:12" ht="15.95" customHeight="1" x14ac:dyDescent="0.25">
      <c r="A33" s="71"/>
      <c r="B33" s="25"/>
      <c r="C33" s="104"/>
      <c r="D33" s="11"/>
      <c r="E33" s="10"/>
      <c r="F33" s="10"/>
      <c r="G33" s="11"/>
      <c r="H33" s="11"/>
      <c r="I33" s="63"/>
      <c r="J33" s="31"/>
      <c r="K33" s="175"/>
      <c r="L33" s="77"/>
    </row>
    <row r="34" spans="1:12" ht="15.95" customHeight="1" x14ac:dyDescent="0.25">
      <c r="A34" s="71"/>
      <c r="B34" s="25"/>
      <c r="C34" s="104"/>
      <c r="D34" s="11"/>
      <c r="E34" s="10"/>
      <c r="F34" s="10"/>
      <c r="G34" s="11"/>
      <c r="H34" s="11"/>
      <c r="I34" s="63"/>
      <c r="J34" s="31"/>
      <c r="K34" s="175"/>
      <c r="L34" s="77"/>
    </row>
    <row r="35" spans="1:12" ht="15.95" customHeight="1" x14ac:dyDescent="0.25">
      <c r="A35" s="71"/>
      <c r="B35" s="25"/>
      <c r="C35" s="104"/>
      <c r="D35" s="11"/>
      <c r="E35" s="10"/>
      <c r="F35" s="10"/>
      <c r="G35" s="11"/>
      <c r="H35" s="11"/>
      <c r="I35" s="63"/>
      <c r="J35" s="31"/>
      <c r="K35" s="175"/>
      <c r="L35" s="77"/>
    </row>
    <row r="36" spans="1:12" ht="15.95" customHeight="1" x14ac:dyDescent="0.25">
      <c r="A36" s="71"/>
      <c r="B36" s="25"/>
      <c r="C36" s="104"/>
      <c r="D36" s="11"/>
      <c r="E36" s="10"/>
      <c r="F36" s="10"/>
      <c r="G36" s="11"/>
      <c r="H36" s="11"/>
      <c r="I36" s="63"/>
      <c r="J36" s="31"/>
      <c r="K36" s="175"/>
      <c r="L36" s="77"/>
    </row>
    <row r="37" spans="1:12" ht="15.95" customHeight="1" x14ac:dyDescent="0.25">
      <c r="A37" s="71"/>
      <c r="B37" s="25"/>
      <c r="C37" s="104"/>
      <c r="D37" s="11"/>
      <c r="E37" s="10"/>
      <c r="F37" s="10"/>
      <c r="G37" s="11"/>
      <c r="H37" s="11"/>
      <c r="I37" s="63"/>
      <c r="J37" s="31"/>
      <c r="K37" s="175"/>
      <c r="L37" s="77"/>
    </row>
    <row r="38" spans="1:12" ht="15.95" customHeight="1" x14ac:dyDescent="0.25">
      <c r="A38" s="71"/>
      <c r="B38" s="25"/>
      <c r="C38" s="104"/>
      <c r="D38" s="11"/>
      <c r="E38" s="10"/>
      <c r="F38" s="10"/>
      <c r="G38" s="11"/>
      <c r="H38" s="11"/>
      <c r="I38" s="63"/>
      <c r="J38" s="31"/>
      <c r="K38" s="175"/>
      <c r="L38" s="77"/>
    </row>
    <row r="39" spans="1:12" ht="15.95" customHeight="1" x14ac:dyDescent="0.25">
      <c r="A39" s="71"/>
      <c r="B39" s="25"/>
      <c r="C39" s="104"/>
      <c r="D39" s="11"/>
      <c r="E39" s="10"/>
      <c r="F39" s="10"/>
      <c r="G39" s="11"/>
      <c r="H39" s="11"/>
      <c r="I39" s="63"/>
      <c r="J39" s="31"/>
      <c r="K39" s="175"/>
      <c r="L39" s="77"/>
    </row>
    <row r="40" spans="1:12" ht="15.95" customHeight="1" x14ac:dyDescent="0.25">
      <c r="A40" s="71"/>
      <c r="B40" s="25"/>
      <c r="C40" s="104"/>
      <c r="D40" s="11"/>
      <c r="E40" s="10"/>
      <c r="F40" s="10"/>
      <c r="G40" s="11"/>
      <c r="H40" s="11"/>
      <c r="I40" s="63"/>
      <c r="J40" s="31"/>
      <c r="K40" s="175"/>
      <c r="L40" s="77"/>
    </row>
    <row r="41" spans="1:12" ht="15.95" customHeight="1" x14ac:dyDescent="0.25">
      <c r="A41" s="71"/>
      <c r="B41" s="25"/>
      <c r="C41" s="104"/>
      <c r="D41" s="11"/>
      <c r="E41" s="10"/>
      <c r="F41" s="10"/>
      <c r="G41" s="11"/>
      <c r="H41" s="11"/>
      <c r="I41" s="63"/>
      <c r="J41" s="31"/>
      <c r="K41" s="175"/>
      <c r="L41" s="77"/>
    </row>
    <row r="42" spans="1:12" ht="15.95" customHeight="1" x14ac:dyDescent="0.25">
      <c r="A42" s="71"/>
      <c r="B42" s="25"/>
      <c r="C42" s="104"/>
      <c r="D42" s="11"/>
      <c r="E42" s="10"/>
      <c r="F42" s="10"/>
      <c r="G42" s="11"/>
      <c r="H42" s="11"/>
      <c r="I42" s="63"/>
      <c r="J42" s="31"/>
      <c r="K42" s="175"/>
      <c r="L42" s="77"/>
    </row>
    <row r="43" spans="1:12" ht="15.95" customHeight="1" x14ac:dyDescent="0.25">
      <c r="A43" s="71"/>
      <c r="B43" s="25"/>
      <c r="C43" s="104"/>
      <c r="D43" s="11"/>
      <c r="E43" s="10"/>
      <c r="F43" s="10"/>
      <c r="G43" s="11"/>
      <c r="H43" s="11"/>
      <c r="I43" s="63"/>
      <c r="J43" s="31"/>
      <c r="K43" s="175"/>
      <c r="L43" s="77"/>
    </row>
    <row r="44" spans="1:12" ht="15.95" customHeight="1" thickBot="1" x14ac:dyDescent="0.3">
      <c r="A44" s="71"/>
      <c r="B44" s="67"/>
      <c r="C44" s="104"/>
      <c r="D44" s="11"/>
      <c r="E44" s="10"/>
      <c r="F44" s="10"/>
      <c r="G44" s="10"/>
      <c r="H44" s="10"/>
      <c r="I44" s="63"/>
      <c r="J44" s="31"/>
      <c r="K44" s="71"/>
      <c r="L44" s="77"/>
    </row>
    <row r="45" spans="1:12" ht="15.95" customHeight="1" thickBot="1" x14ac:dyDescent="0.3">
      <c r="A45" s="445" t="s">
        <v>13</v>
      </c>
      <c r="B45" s="446"/>
      <c r="C45" s="447"/>
      <c r="D45" s="447"/>
      <c r="E45" s="447"/>
      <c r="F45" s="447"/>
      <c r="G45" s="447"/>
      <c r="H45" s="447"/>
      <c r="I45" s="447"/>
      <c r="J45" s="448"/>
      <c r="K45" s="322">
        <f>SUM(K9:K44)</f>
        <v>104.45694444444445</v>
      </c>
      <c r="L45" s="80"/>
    </row>
    <row r="46" spans="1:12" ht="15" customHeight="1" x14ac:dyDescent="0.4">
      <c r="A46" s="118" t="s">
        <v>0</v>
      </c>
      <c r="B46" s="119"/>
      <c r="C46" s="120"/>
      <c r="D46" s="121" t="s">
        <v>2</v>
      </c>
      <c r="E46" s="167" t="str">
        <f>E1</f>
        <v>SJR</v>
      </c>
      <c r="F46" s="121" t="s">
        <v>4</v>
      </c>
      <c r="G46" s="349">
        <f>G1</f>
        <v>44847</v>
      </c>
      <c r="H46" s="121" t="s">
        <v>5</v>
      </c>
      <c r="I46" s="449" t="str">
        <f>I1</f>
        <v>511E21522</v>
      </c>
      <c r="J46" s="450"/>
      <c r="K46" s="120"/>
      <c r="L46" s="123"/>
    </row>
    <row r="47" spans="1:12" ht="15" customHeight="1" x14ac:dyDescent="0.4">
      <c r="A47" s="124" t="s">
        <v>1</v>
      </c>
      <c r="B47" s="109"/>
      <c r="D47" s="2" t="s">
        <v>3</v>
      </c>
      <c r="E47" s="1">
        <f>E2</f>
        <v>0</v>
      </c>
      <c r="F47" s="2" t="s">
        <v>4</v>
      </c>
      <c r="G47" s="350">
        <f>G2</f>
        <v>0</v>
      </c>
      <c r="H47" s="3" t="s">
        <v>6</v>
      </c>
      <c r="I47" s="451">
        <v>2</v>
      </c>
      <c r="J47" s="452"/>
      <c r="L47" s="110"/>
    </row>
    <row r="48" spans="1:12" ht="9.75" customHeight="1" x14ac:dyDescent="0.25">
      <c r="A48" s="70"/>
      <c r="L48" s="110"/>
    </row>
    <row r="49" spans="1:12" ht="20.100000000000001" customHeight="1" x14ac:dyDescent="0.25">
      <c r="A49" s="168" t="s">
        <v>7</v>
      </c>
      <c r="B49" s="111"/>
      <c r="C49" s="453">
        <f>C4</f>
        <v>108774</v>
      </c>
      <c r="D49" s="453"/>
      <c r="E49" s="112" t="s">
        <v>9</v>
      </c>
      <c r="F49" s="453" t="str">
        <f>F4</f>
        <v>BEL-National Rd Tunnel</v>
      </c>
      <c r="G49" s="453"/>
      <c r="H49" s="112" t="s">
        <v>11</v>
      </c>
      <c r="I49" s="454">
        <f>I4</f>
        <v>0</v>
      </c>
      <c r="J49" s="454"/>
      <c r="K49" s="454"/>
      <c r="L49" s="455"/>
    </row>
    <row r="50" spans="1:12" ht="20.100000000000001" customHeight="1" x14ac:dyDescent="0.25">
      <c r="A50" s="168" t="s">
        <v>10</v>
      </c>
      <c r="B50" s="111"/>
      <c r="C50" s="456" t="str">
        <f>C5</f>
        <v>CLASS QC2 CONCRETE WITH QC/QA, SUPERSTRUCTURE</v>
      </c>
      <c r="D50" s="456"/>
      <c r="E50" s="456"/>
      <c r="F50" s="456"/>
      <c r="G50" s="456"/>
      <c r="H50" s="456"/>
      <c r="I50" s="456"/>
      <c r="J50" s="456"/>
      <c r="K50" s="111" t="s">
        <v>8</v>
      </c>
      <c r="L50" s="113" t="str">
        <f>L5</f>
        <v>CY</v>
      </c>
    </row>
    <row r="51" spans="1:12" ht="20.100000000000001" customHeight="1" thickBot="1" x14ac:dyDescent="0.3">
      <c r="A51" s="70"/>
      <c r="L51" s="110"/>
    </row>
    <row r="52" spans="1:12" ht="15" customHeight="1" thickBot="1" x14ac:dyDescent="0.3">
      <c r="A52" s="441" t="s">
        <v>18</v>
      </c>
      <c r="B52" s="442"/>
      <c r="C52" s="443"/>
      <c r="D52" s="443"/>
      <c r="E52" s="443"/>
      <c r="F52" s="443"/>
      <c r="G52" s="443"/>
      <c r="H52" s="443"/>
      <c r="I52" s="443"/>
      <c r="J52" s="444"/>
      <c r="K52" s="105" t="s">
        <v>12</v>
      </c>
      <c r="L52" s="74" t="s">
        <v>13</v>
      </c>
    </row>
    <row r="53" spans="1:12" ht="15.95" customHeight="1" x14ac:dyDescent="0.25">
      <c r="A53" s="70"/>
      <c r="B53" s="83"/>
      <c r="C53" s="104"/>
      <c r="D53" s="11"/>
      <c r="E53" s="10"/>
      <c r="F53" s="10"/>
      <c r="G53" s="10"/>
      <c r="H53" s="10"/>
      <c r="I53" s="63"/>
      <c r="J53" s="58"/>
      <c r="K53" s="7"/>
      <c r="L53" s="75"/>
    </row>
    <row r="54" spans="1:12" ht="15.95" customHeight="1" x14ac:dyDescent="0.25">
      <c r="A54" s="60"/>
      <c r="B54" s="10"/>
      <c r="C54" s="104"/>
      <c r="D54" s="11"/>
      <c r="E54" s="10"/>
      <c r="F54" s="10"/>
      <c r="G54" s="12"/>
      <c r="H54" s="10"/>
      <c r="I54" s="63"/>
      <c r="J54" s="58"/>
      <c r="K54" s="60"/>
      <c r="L54" s="76"/>
    </row>
    <row r="55" spans="1:12" ht="15.95" customHeight="1" x14ac:dyDescent="0.25">
      <c r="A55" s="186" t="s">
        <v>188</v>
      </c>
      <c r="B55" s="45"/>
      <c r="C55" s="174"/>
      <c r="D55" s="45"/>
      <c r="E55" s="34"/>
      <c r="F55" s="94"/>
      <c r="G55" s="54"/>
      <c r="H55" s="54"/>
      <c r="I55" s="82"/>
      <c r="J55" s="58"/>
      <c r="K55" s="57"/>
      <c r="L55" s="76"/>
    </row>
    <row r="56" spans="1:12" ht="15.95" customHeight="1" x14ac:dyDescent="0.25">
      <c r="A56" s="60"/>
      <c r="B56" s="54"/>
      <c r="C56" s="54"/>
      <c r="D56" s="53"/>
      <c r="E56" s="53"/>
      <c r="F56" s="53"/>
      <c r="G56" s="63"/>
      <c r="H56" s="63"/>
      <c r="I56" s="63"/>
      <c r="J56" s="58"/>
      <c r="K56" s="60"/>
      <c r="L56" s="76"/>
    </row>
    <row r="57" spans="1:12" ht="15.95" customHeight="1" x14ac:dyDescent="0.25">
      <c r="A57" s="60"/>
      <c r="B57" s="84"/>
      <c r="C57" s="10" t="s">
        <v>14</v>
      </c>
      <c r="D57" s="323" t="s">
        <v>15</v>
      </c>
      <c r="E57" s="22" t="s">
        <v>23</v>
      </c>
      <c r="F57" s="11" t="s">
        <v>108</v>
      </c>
      <c r="G57" s="172" t="s">
        <v>84</v>
      </c>
      <c r="H57" s="173"/>
      <c r="I57" s="63"/>
      <c r="J57" s="58"/>
      <c r="K57" s="60"/>
      <c r="L57" s="76"/>
    </row>
    <row r="58" spans="1:12" ht="15.95" customHeight="1" x14ac:dyDescent="0.25">
      <c r="A58" s="60"/>
      <c r="B58" s="84" t="s">
        <v>189</v>
      </c>
      <c r="C58" s="324">
        <v>3</v>
      </c>
      <c r="D58" s="324">
        <v>3</v>
      </c>
      <c r="E58" s="324">
        <v>2</v>
      </c>
      <c r="F58" s="30">
        <f>C58*D58*E58</f>
        <v>18</v>
      </c>
      <c r="G58" s="172">
        <f>F58/27</f>
        <v>0.66666666666666663</v>
      </c>
      <c r="H58" s="173"/>
      <c r="I58" s="63"/>
      <c r="J58" s="58"/>
      <c r="K58" s="59">
        <f>-G58</f>
        <v>-0.66666666666666663</v>
      </c>
      <c r="L58" s="76"/>
    </row>
    <row r="59" spans="1:12" ht="15.95" customHeight="1" x14ac:dyDescent="0.25">
      <c r="A59" s="60"/>
      <c r="B59" s="10" t="s">
        <v>190</v>
      </c>
      <c r="C59" s="324">
        <v>3</v>
      </c>
      <c r="D59" s="324">
        <v>3</v>
      </c>
      <c r="E59" s="324">
        <v>2</v>
      </c>
      <c r="F59" s="30">
        <f>C59*D59*E59</f>
        <v>18</v>
      </c>
      <c r="G59" s="172">
        <f>F59/27</f>
        <v>0.66666666666666663</v>
      </c>
      <c r="H59" s="173"/>
      <c r="I59" s="63"/>
      <c r="J59" s="58"/>
      <c r="K59" s="59">
        <f>-G59</f>
        <v>-0.66666666666666663</v>
      </c>
      <c r="L59" s="76"/>
    </row>
    <row r="60" spans="1:12" ht="15.95" customHeight="1" x14ac:dyDescent="0.25">
      <c r="A60" s="60"/>
      <c r="B60" s="10"/>
      <c r="C60" s="104"/>
      <c r="D60" s="172"/>
      <c r="E60" s="28"/>
      <c r="F60" s="30"/>
      <c r="G60" s="172"/>
      <c r="H60" s="173"/>
      <c r="I60" s="63"/>
      <c r="J60" s="58"/>
      <c r="K60" s="59"/>
      <c r="L60" s="76"/>
    </row>
    <row r="61" spans="1:12" ht="15.95" customHeight="1" x14ac:dyDescent="0.25">
      <c r="A61" s="60"/>
      <c r="B61" s="10"/>
      <c r="C61" s="104"/>
      <c r="D61" s="172"/>
      <c r="E61" s="28"/>
      <c r="F61" s="30"/>
      <c r="G61" s="172"/>
      <c r="H61" s="173"/>
      <c r="I61" s="63"/>
      <c r="J61" s="58"/>
      <c r="K61" s="60"/>
      <c r="L61" s="76"/>
    </row>
    <row r="62" spans="1:12" ht="15.95" customHeight="1" x14ac:dyDescent="0.25">
      <c r="A62" s="60"/>
      <c r="B62" s="10"/>
      <c r="C62" s="104"/>
      <c r="D62" s="172"/>
      <c r="E62" s="28"/>
      <c r="F62" s="30"/>
      <c r="G62" s="172"/>
      <c r="H62" s="173"/>
      <c r="I62" s="63"/>
      <c r="J62" s="58"/>
      <c r="K62" s="60"/>
      <c r="L62" s="76"/>
    </row>
    <row r="63" spans="1:12" ht="15.95" customHeight="1" x14ac:dyDescent="0.25">
      <c r="A63" s="60"/>
      <c r="B63" s="10"/>
      <c r="C63" s="104"/>
      <c r="D63" s="11"/>
      <c r="E63" s="10"/>
      <c r="F63" s="11"/>
      <c r="G63" s="164"/>
      <c r="H63" s="10"/>
      <c r="I63" s="63"/>
      <c r="J63" s="58"/>
      <c r="K63" s="57"/>
      <c r="L63" s="76"/>
    </row>
    <row r="64" spans="1:12" ht="15.95" customHeight="1" x14ac:dyDescent="0.25">
      <c r="A64" s="60"/>
      <c r="B64" s="9"/>
      <c r="C64" s="104"/>
      <c r="D64" s="11"/>
      <c r="E64" s="10"/>
      <c r="F64" s="10"/>
      <c r="G64" s="12"/>
      <c r="H64" s="10"/>
      <c r="I64" s="63"/>
      <c r="J64" s="58"/>
      <c r="K64" s="60"/>
      <c r="L64" s="76"/>
    </row>
    <row r="65" spans="1:12" ht="15.95" customHeight="1" x14ac:dyDescent="0.25">
      <c r="A65" s="60"/>
      <c r="B65" s="9"/>
      <c r="C65" s="104"/>
      <c r="D65" s="11"/>
      <c r="E65" s="10"/>
      <c r="F65" s="10"/>
      <c r="G65" s="12"/>
      <c r="H65" s="10"/>
      <c r="I65" s="63"/>
      <c r="J65" s="58"/>
      <c r="K65" s="60"/>
      <c r="L65" s="76"/>
    </row>
    <row r="66" spans="1:12" ht="15.95" customHeight="1" x14ac:dyDescent="0.25">
      <c r="A66" s="60"/>
      <c r="B66" s="9"/>
      <c r="C66" s="104"/>
      <c r="D66" s="11"/>
      <c r="E66" s="10"/>
      <c r="F66" s="10"/>
      <c r="G66" s="12"/>
      <c r="H66" s="10"/>
      <c r="I66" s="63"/>
      <c r="J66" s="58"/>
      <c r="K66" s="60"/>
      <c r="L66" s="76"/>
    </row>
    <row r="67" spans="1:12" ht="15.95" customHeight="1" x14ac:dyDescent="0.25">
      <c r="A67" s="71"/>
      <c r="B67" s="25"/>
      <c r="C67" s="104"/>
      <c r="D67" s="11"/>
      <c r="E67" s="11"/>
      <c r="F67" s="63"/>
      <c r="G67" s="10"/>
      <c r="H67" s="10"/>
      <c r="I67" s="63"/>
      <c r="J67" s="31"/>
      <c r="K67" s="175"/>
      <c r="L67" s="77"/>
    </row>
    <row r="68" spans="1:12" ht="15.95" customHeight="1" x14ac:dyDescent="0.25">
      <c r="A68" s="301" t="s">
        <v>135</v>
      </c>
      <c r="B68" s="25"/>
      <c r="C68" s="104"/>
      <c r="D68" s="11"/>
      <c r="E68" s="11"/>
      <c r="F68" s="63"/>
      <c r="G68" s="10"/>
      <c r="H68" s="10"/>
      <c r="I68" s="63"/>
      <c r="J68" s="31"/>
      <c r="K68" s="175"/>
      <c r="L68" s="77"/>
    </row>
    <row r="69" spans="1:12" ht="15.95" customHeight="1" x14ac:dyDescent="0.25">
      <c r="A69" s="71"/>
      <c r="B69" s="25"/>
      <c r="C69" s="104"/>
      <c r="D69" s="11"/>
      <c r="E69" s="11"/>
      <c r="F69" s="63"/>
      <c r="G69" s="10"/>
      <c r="H69" s="10"/>
      <c r="I69" s="63"/>
      <c r="J69" s="31"/>
      <c r="K69" s="175"/>
      <c r="L69" s="77"/>
    </row>
    <row r="70" spans="1:12" ht="15.95" customHeight="1" x14ac:dyDescent="0.25">
      <c r="A70" s="71"/>
      <c r="B70" s="25" t="s">
        <v>14</v>
      </c>
      <c r="C70" s="104">
        <v>38</v>
      </c>
      <c r="D70" s="94" t="s">
        <v>17</v>
      </c>
      <c r="E70" s="11"/>
      <c r="F70" s="63"/>
      <c r="G70" s="10"/>
      <c r="H70" s="10"/>
      <c r="I70" s="63"/>
      <c r="J70" s="31"/>
      <c r="K70" s="175"/>
      <c r="L70" s="77"/>
    </row>
    <row r="71" spans="1:12" ht="15.95" customHeight="1" x14ac:dyDescent="0.25">
      <c r="A71" s="71"/>
      <c r="B71" s="25" t="s">
        <v>15</v>
      </c>
      <c r="C71" s="104">
        <v>3</v>
      </c>
      <c r="D71" s="94" t="s">
        <v>17</v>
      </c>
      <c r="E71" s="11"/>
      <c r="F71" s="63"/>
      <c r="G71" s="10"/>
      <c r="H71" s="10"/>
      <c r="I71" s="63"/>
      <c r="J71" s="31"/>
      <c r="K71" s="175"/>
      <c r="L71" s="77"/>
    </row>
    <row r="72" spans="1:12" ht="15.95" customHeight="1" x14ac:dyDescent="0.25">
      <c r="A72" s="71"/>
      <c r="B72" s="25" t="s">
        <v>23</v>
      </c>
      <c r="C72" s="104">
        <v>2.875</v>
      </c>
      <c r="D72" s="94" t="s">
        <v>17</v>
      </c>
      <c r="E72" s="11"/>
      <c r="F72" s="63"/>
      <c r="G72" s="10"/>
      <c r="H72" s="10"/>
      <c r="I72" s="63"/>
      <c r="J72" s="31"/>
      <c r="K72" s="175"/>
      <c r="L72" s="77"/>
    </row>
    <row r="73" spans="1:12" ht="15.95" customHeight="1" x14ac:dyDescent="0.25">
      <c r="A73" s="71"/>
      <c r="B73" s="25" t="s">
        <v>172</v>
      </c>
      <c r="C73" s="104">
        <f>1.49*C70</f>
        <v>56.62</v>
      </c>
      <c r="D73" s="94" t="s">
        <v>108</v>
      </c>
      <c r="E73" s="94" t="s">
        <v>173</v>
      </c>
      <c r="F73" s="63"/>
      <c r="G73" s="10"/>
      <c r="H73" s="10"/>
      <c r="I73" s="63"/>
      <c r="J73" s="31"/>
      <c r="K73" s="175"/>
      <c r="L73" s="77"/>
    </row>
    <row r="74" spans="1:12" ht="15.95" customHeight="1" x14ac:dyDescent="0.25">
      <c r="A74" s="71"/>
      <c r="B74" s="25" t="s">
        <v>134</v>
      </c>
      <c r="C74" s="104">
        <f>(C70*C71*C72)+C73</f>
        <v>384.37</v>
      </c>
      <c r="D74" s="94" t="s">
        <v>108</v>
      </c>
      <c r="E74" s="11"/>
      <c r="F74" s="63"/>
      <c r="G74" s="10"/>
      <c r="H74" s="10"/>
      <c r="I74" s="63"/>
      <c r="J74" s="31"/>
      <c r="K74" s="175"/>
      <c r="L74" s="77"/>
    </row>
    <row r="75" spans="1:12" ht="15.95" customHeight="1" x14ac:dyDescent="0.25">
      <c r="A75" s="71"/>
      <c r="B75" s="25" t="s">
        <v>134</v>
      </c>
      <c r="C75" s="128">
        <f>C74/27</f>
        <v>14.235925925925926</v>
      </c>
      <c r="D75" s="94" t="s">
        <v>84</v>
      </c>
      <c r="E75" s="11"/>
      <c r="F75" s="63"/>
      <c r="G75" s="10"/>
      <c r="H75" s="10"/>
      <c r="I75" s="63"/>
      <c r="J75" s="31"/>
      <c r="K75" s="175">
        <f>C75</f>
        <v>14.235925925925926</v>
      </c>
      <c r="L75" s="77"/>
    </row>
    <row r="76" spans="1:12" ht="15.95" customHeight="1" x14ac:dyDescent="0.25">
      <c r="A76" s="71"/>
      <c r="B76" s="25"/>
      <c r="C76" s="104"/>
      <c r="D76" s="94"/>
      <c r="E76" s="11"/>
      <c r="F76" s="63"/>
      <c r="G76" s="10"/>
      <c r="H76" s="10"/>
      <c r="I76" s="63"/>
      <c r="J76" s="31"/>
      <c r="K76" s="175"/>
      <c r="L76" s="77"/>
    </row>
    <row r="77" spans="1:12" ht="15.95" customHeight="1" x14ac:dyDescent="0.25">
      <c r="A77" s="301" t="s">
        <v>136</v>
      </c>
      <c r="B77" s="25"/>
      <c r="C77" s="104"/>
      <c r="D77" s="94"/>
      <c r="E77" s="11"/>
      <c r="F77" s="63"/>
      <c r="G77" s="10"/>
      <c r="H77" s="10"/>
      <c r="I77" s="63"/>
      <c r="J77" s="31"/>
      <c r="K77" s="175"/>
      <c r="L77" s="77"/>
    </row>
    <row r="78" spans="1:12" ht="15.95" customHeight="1" x14ac:dyDescent="0.25">
      <c r="A78" s="71"/>
      <c r="B78" s="25"/>
      <c r="C78" s="104"/>
      <c r="D78" s="94"/>
      <c r="E78" s="11"/>
      <c r="F78" s="63"/>
      <c r="G78" s="10"/>
      <c r="H78" s="10"/>
      <c r="I78" s="63"/>
      <c r="J78" s="31"/>
      <c r="K78" s="175"/>
      <c r="L78" s="77"/>
    </row>
    <row r="79" spans="1:12" ht="15.95" customHeight="1" x14ac:dyDescent="0.25">
      <c r="A79" s="71"/>
      <c r="B79" s="25" t="s">
        <v>14</v>
      </c>
      <c r="C79" s="104">
        <v>38.1</v>
      </c>
      <c r="D79" s="94" t="s">
        <v>17</v>
      </c>
      <c r="E79" s="11"/>
      <c r="F79" s="63"/>
      <c r="G79" s="10"/>
      <c r="H79" s="10"/>
      <c r="I79" s="63"/>
      <c r="J79" s="31"/>
      <c r="K79" s="175"/>
      <c r="L79" s="77"/>
    </row>
    <row r="80" spans="1:12" ht="15.95" customHeight="1" x14ac:dyDescent="0.25">
      <c r="A80" s="71"/>
      <c r="B80" s="25" t="s">
        <v>15</v>
      </c>
      <c r="C80" s="104">
        <v>3</v>
      </c>
      <c r="D80" s="94" t="s">
        <v>17</v>
      </c>
      <c r="E80" s="11"/>
      <c r="F80" s="63"/>
      <c r="G80" s="10"/>
      <c r="H80" s="10"/>
      <c r="I80" s="63"/>
      <c r="J80" s="31"/>
      <c r="K80" s="175"/>
      <c r="L80" s="77"/>
    </row>
    <row r="81" spans="1:12" ht="15.95" customHeight="1" x14ac:dyDescent="0.25">
      <c r="A81" s="71"/>
      <c r="B81" s="25" t="s">
        <v>23</v>
      </c>
      <c r="C81" s="104">
        <v>2.875</v>
      </c>
      <c r="D81" s="94" t="s">
        <v>17</v>
      </c>
      <c r="E81" s="11"/>
      <c r="F81" s="63"/>
      <c r="G81" s="10"/>
      <c r="H81" s="10"/>
      <c r="I81" s="63"/>
      <c r="J81" s="31"/>
      <c r="K81" s="175"/>
      <c r="L81" s="77"/>
    </row>
    <row r="82" spans="1:12" ht="15.95" customHeight="1" x14ac:dyDescent="0.25">
      <c r="A82" s="71"/>
      <c r="B82" s="25" t="s">
        <v>172</v>
      </c>
      <c r="C82" s="104">
        <f>1.49*C79</f>
        <v>56.768999999999998</v>
      </c>
      <c r="D82" s="94" t="s">
        <v>108</v>
      </c>
      <c r="E82" s="94" t="s">
        <v>173</v>
      </c>
      <c r="F82" s="63"/>
      <c r="G82" s="10"/>
      <c r="H82" s="10"/>
      <c r="I82" s="63"/>
      <c r="J82" s="31"/>
      <c r="K82" s="175"/>
      <c r="L82" s="77"/>
    </row>
    <row r="83" spans="1:12" ht="15.95" customHeight="1" x14ac:dyDescent="0.25">
      <c r="A83" s="71"/>
      <c r="B83" s="25" t="s">
        <v>134</v>
      </c>
      <c r="C83" s="104">
        <f>(C79*C80*C81)+C82</f>
        <v>385.38150000000002</v>
      </c>
      <c r="D83" s="94" t="s">
        <v>108</v>
      </c>
      <c r="E83" s="11"/>
      <c r="F83" s="63"/>
      <c r="G83" s="10"/>
      <c r="H83" s="10"/>
      <c r="I83" s="63"/>
      <c r="J83" s="31"/>
      <c r="K83" s="175"/>
      <c r="L83" s="77"/>
    </row>
    <row r="84" spans="1:12" ht="15.95" customHeight="1" x14ac:dyDescent="0.25">
      <c r="A84" s="71"/>
      <c r="B84" s="25" t="s">
        <v>134</v>
      </c>
      <c r="C84" s="128">
        <f>C83/27</f>
        <v>14.27338888888889</v>
      </c>
      <c r="D84" s="94" t="s">
        <v>84</v>
      </c>
      <c r="E84" s="11"/>
      <c r="F84" s="63"/>
      <c r="G84" s="10"/>
      <c r="H84" s="10"/>
      <c r="I84" s="63"/>
      <c r="J84" s="31"/>
      <c r="K84" s="175">
        <f>C84</f>
        <v>14.27338888888889</v>
      </c>
      <c r="L84" s="77"/>
    </row>
    <row r="85" spans="1:12" ht="15.95" customHeight="1" x14ac:dyDescent="0.25">
      <c r="A85" s="71"/>
      <c r="B85" s="25"/>
      <c r="C85" s="104"/>
      <c r="D85" s="94"/>
      <c r="E85" s="11"/>
      <c r="F85" s="63"/>
      <c r="G85" s="10"/>
      <c r="H85" s="10"/>
      <c r="I85" s="63"/>
      <c r="J85" s="31"/>
      <c r="K85" s="175"/>
      <c r="L85" s="77"/>
    </row>
    <row r="86" spans="1:12" ht="15.95" customHeight="1" x14ac:dyDescent="0.25">
      <c r="A86" s="71"/>
      <c r="B86" s="25"/>
      <c r="C86" s="104"/>
      <c r="D86" s="94"/>
      <c r="E86" s="11"/>
      <c r="F86" s="63"/>
      <c r="G86" s="10"/>
      <c r="H86" s="10"/>
      <c r="I86" s="63"/>
      <c r="J86" s="31"/>
      <c r="K86" s="175"/>
      <c r="L86" s="77"/>
    </row>
    <row r="87" spans="1:12" ht="15.95" customHeight="1" x14ac:dyDescent="0.25">
      <c r="A87" s="71"/>
      <c r="B87" s="25"/>
      <c r="C87" s="104"/>
      <c r="D87" s="94"/>
      <c r="E87" s="11"/>
      <c r="F87" s="63"/>
      <c r="G87" s="10"/>
      <c r="H87" s="10"/>
      <c r="I87" s="63"/>
      <c r="J87" s="31"/>
      <c r="K87" s="175"/>
      <c r="L87" s="77"/>
    </row>
    <row r="88" spans="1:12" ht="15.95" customHeight="1" x14ac:dyDescent="0.25">
      <c r="A88" s="71"/>
      <c r="B88" s="25"/>
      <c r="C88" s="104"/>
      <c r="D88" s="11"/>
      <c r="E88" s="11"/>
      <c r="F88" s="63"/>
      <c r="G88" s="10"/>
      <c r="H88" s="10"/>
      <c r="I88" s="63"/>
      <c r="J88" s="31"/>
      <c r="K88" s="175"/>
      <c r="L88" s="77"/>
    </row>
    <row r="89" spans="1:12" ht="15.95" customHeight="1" thickBot="1" x14ac:dyDescent="0.3">
      <c r="A89" s="71"/>
      <c r="B89" s="67"/>
      <c r="C89" s="104"/>
      <c r="D89" s="11"/>
      <c r="E89" s="10"/>
      <c r="F89" s="10"/>
      <c r="G89" s="10"/>
      <c r="H89" s="10"/>
      <c r="I89" s="63"/>
      <c r="J89" s="31"/>
      <c r="K89" s="71"/>
      <c r="L89" s="77"/>
    </row>
    <row r="90" spans="1:12" ht="15.95" customHeight="1" thickBot="1" x14ac:dyDescent="0.3">
      <c r="A90" s="445" t="s">
        <v>13</v>
      </c>
      <c r="B90" s="446"/>
      <c r="C90" s="447"/>
      <c r="D90" s="447"/>
      <c r="E90" s="447"/>
      <c r="F90" s="447"/>
      <c r="G90" s="447"/>
      <c r="H90" s="447"/>
      <c r="I90" s="447"/>
      <c r="J90" s="448"/>
      <c r="K90" s="322">
        <f>SUM(K54:K89)</f>
        <v>27.175981481481482</v>
      </c>
      <c r="L90" s="80">
        <f>ROUNDUP(K90+K45,1)</f>
        <v>131.69999999999999</v>
      </c>
    </row>
  </sheetData>
  <mergeCells count="16">
    <mergeCell ref="A45:J45"/>
    <mergeCell ref="A7:J7"/>
    <mergeCell ref="A90:J90"/>
    <mergeCell ref="I1:J1"/>
    <mergeCell ref="I2:J2"/>
    <mergeCell ref="C4:D4"/>
    <mergeCell ref="F4:G4"/>
    <mergeCell ref="I4:L4"/>
    <mergeCell ref="C5:J5"/>
    <mergeCell ref="I46:J46"/>
    <mergeCell ref="I47:J47"/>
    <mergeCell ref="C49:D49"/>
    <mergeCell ref="F49:G49"/>
    <mergeCell ref="I49:L49"/>
    <mergeCell ref="C50:J50"/>
    <mergeCell ref="A52:J52"/>
  </mergeCells>
  <printOptions horizontalCentered="1"/>
  <pageMargins left="0.5" right="0.5" top="0.5" bottom="0.5" header="0.5" footer="0.25"/>
  <pageSetup scale="48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FF0000"/>
    <pageSetUpPr fitToPage="1"/>
  </sheetPr>
  <dimension ref="A1:L50"/>
  <sheetViews>
    <sheetView view="pageBreakPreview" zoomScale="85" zoomScaleNormal="100" zoomScaleSheetLayoutView="85" workbookViewId="0">
      <selection activeCell="AJ31" sqref="AJ31"/>
    </sheetView>
  </sheetViews>
  <sheetFormatPr defaultColWidth="2.85546875" defaultRowHeight="15" customHeight="1" x14ac:dyDescent="0.25"/>
  <cols>
    <col min="1" max="1" width="2.5703125" customWidth="1"/>
    <col min="2" max="2" width="8.7109375" customWidth="1"/>
    <col min="3" max="3" width="9" customWidth="1"/>
    <col min="4" max="4" width="10.28515625" customWidth="1"/>
    <col min="5" max="5" width="8.7109375" customWidth="1"/>
    <col min="6" max="6" width="7.85546875" customWidth="1"/>
    <col min="7" max="7" width="9.42578125" customWidth="1"/>
    <col min="8" max="8" width="10.7109375" customWidth="1"/>
    <col min="9" max="9" width="8.5703125" customWidth="1"/>
    <col min="10" max="10" width="8.28515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351">
        <v>44847</v>
      </c>
      <c r="H1" s="121" t="s">
        <v>5</v>
      </c>
      <c r="I1" s="449" t="s">
        <v>53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65" t="s">
        <v>72</v>
      </c>
      <c r="D5" s="465"/>
      <c r="E5" s="465"/>
      <c r="F5" s="465"/>
      <c r="G5" s="465"/>
      <c r="H5" s="465"/>
      <c r="I5" s="465"/>
      <c r="J5" s="465"/>
      <c r="K5" s="111" t="s">
        <v>8</v>
      </c>
      <c r="L5" s="113" t="s">
        <v>51</v>
      </c>
    </row>
    <row r="6" spans="1:12" ht="20.100000000000001" customHeight="1" thickBot="1" x14ac:dyDescent="0.3">
      <c r="A6" s="129"/>
      <c r="B6" s="29"/>
      <c r="C6" s="29"/>
      <c r="D6" s="29"/>
      <c r="E6" s="29"/>
      <c r="F6" s="29"/>
      <c r="G6" s="29"/>
      <c r="H6" s="29"/>
      <c r="I6" s="29"/>
      <c r="J6" s="29"/>
      <c r="K6" s="29"/>
      <c r="L6" s="155"/>
    </row>
    <row r="7" spans="1:12" ht="1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105" t="s">
        <v>12</v>
      </c>
      <c r="L7" s="74" t="s">
        <v>13</v>
      </c>
    </row>
    <row r="8" spans="1:12" ht="15.95" customHeight="1" x14ac:dyDescent="0.25">
      <c r="A8" s="64"/>
      <c r="B8" s="40"/>
      <c r="C8" s="40"/>
      <c r="D8" s="40"/>
      <c r="E8" s="40"/>
      <c r="F8" s="40"/>
      <c r="G8" s="40"/>
      <c r="H8" s="40"/>
      <c r="I8" s="8"/>
      <c r="J8" s="8"/>
      <c r="K8" s="7"/>
      <c r="L8" s="75"/>
    </row>
    <row r="9" spans="1:12" ht="15.95" customHeight="1" x14ac:dyDescent="0.25">
      <c r="A9" s="64"/>
      <c r="B9" s="269" t="s">
        <v>137</v>
      </c>
      <c r="C9" s="35"/>
      <c r="D9" s="35"/>
      <c r="E9" s="15"/>
      <c r="F9" s="33"/>
      <c r="G9" s="34"/>
      <c r="H9" s="18"/>
      <c r="I9" s="18"/>
      <c r="J9" s="43"/>
      <c r="K9" s="58"/>
      <c r="L9" s="76"/>
    </row>
    <row r="10" spans="1:12" ht="15.95" customHeight="1" x14ac:dyDescent="0.25">
      <c r="A10" s="64"/>
      <c r="B10" s="73"/>
      <c r="C10" s="22"/>
      <c r="D10" s="22"/>
      <c r="E10" s="10"/>
      <c r="F10" s="22"/>
      <c r="G10" s="22"/>
      <c r="H10" s="22"/>
      <c r="I10" s="22"/>
      <c r="J10" s="43"/>
      <c r="K10" s="58"/>
      <c r="L10" s="76"/>
    </row>
    <row r="11" spans="1:12" ht="15.95" customHeight="1" x14ac:dyDescent="0.25">
      <c r="A11" s="64"/>
      <c r="B11" s="15" t="s">
        <v>27</v>
      </c>
      <c r="C11" s="35" t="s">
        <v>73</v>
      </c>
      <c r="D11" s="35" t="s">
        <v>74</v>
      </c>
      <c r="E11" s="15"/>
      <c r="F11" s="33"/>
      <c r="G11" s="34"/>
      <c r="H11" s="18"/>
      <c r="I11" s="18"/>
      <c r="J11" s="43"/>
      <c r="K11" s="58"/>
      <c r="L11" s="76"/>
    </row>
    <row r="12" spans="1:12" ht="15.95" customHeight="1" x14ac:dyDescent="0.25">
      <c r="A12" s="64"/>
      <c r="B12" s="10">
        <v>1</v>
      </c>
      <c r="C12" s="352">
        <v>146</v>
      </c>
      <c r="D12" s="63">
        <f>(C12+1)*3</f>
        <v>441</v>
      </c>
      <c r="E12" s="10"/>
      <c r="F12" s="22"/>
      <c r="G12" s="22"/>
      <c r="H12" s="22"/>
      <c r="I12" s="22"/>
      <c r="J12" s="43"/>
      <c r="K12" s="58"/>
      <c r="L12" s="76"/>
    </row>
    <row r="13" spans="1:12" ht="15.95" customHeight="1" x14ac:dyDescent="0.25">
      <c r="A13" s="64"/>
      <c r="B13" s="10">
        <v>2</v>
      </c>
      <c r="C13" s="352">
        <v>146</v>
      </c>
      <c r="D13" s="63">
        <f>(C13+1)*3</f>
        <v>441</v>
      </c>
      <c r="E13" s="15"/>
      <c r="F13" s="33"/>
      <c r="G13" s="34"/>
      <c r="H13" s="18"/>
      <c r="I13" s="18"/>
      <c r="J13" s="43"/>
      <c r="K13" s="58"/>
      <c r="L13" s="76"/>
    </row>
    <row r="14" spans="1:12" ht="15.95" customHeight="1" x14ac:dyDescent="0.25">
      <c r="A14" s="64"/>
      <c r="B14" s="10">
        <v>3</v>
      </c>
      <c r="C14" s="352">
        <v>146</v>
      </c>
      <c r="D14" s="63">
        <f>(C14+1)*3</f>
        <v>441</v>
      </c>
      <c r="E14" s="10"/>
      <c r="F14" s="22"/>
      <c r="G14" s="22"/>
      <c r="H14" s="22"/>
      <c r="I14" s="22"/>
      <c r="J14" s="43"/>
      <c r="K14" s="58"/>
      <c r="L14" s="76"/>
    </row>
    <row r="15" spans="1:12" ht="15.95" customHeight="1" x14ac:dyDescent="0.25">
      <c r="A15" s="64"/>
      <c r="B15" s="10">
        <v>4</v>
      </c>
      <c r="C15" s="352">
        <v>146</v>
      </c>
      <c r="D15" s="63">
        <f>(C15+1)*3</f>
        <v>441</v>
      </c>
      <c r="E15" s="15"/>
      <c r="F15" s="33"/>
      <c r="G15" s="34"/>
      <c r="H15" s="18"/>
      <c r="I15" s="18"/>
      <c r="J15" s="43"/>
      <c r="K15" s="58"/>
      <c r="L15" s="76"/>
    </row>
    <row r="16" spans="1:12" ht="15.95" customHeight="1" x14ac:dyDescent="0.25">
      <c r="A16" s="64"/>
      <c r="B16" s="10"/>
      <c r="C16" s="63"/>
      <c r="D16" s="63"/>
      <c r="E16" s="15"/>
      <c r="F16" s="33"/>
      <c r="G16" s="34"/>
      <c r="H16" s="18"/>
      <c r="I16" s="18"/>
      <c r="J16" s="43"/>
      <c r="K16" s="58"/>
      <c r="L16" s="76"/>
    </row>
    <row r="17" spans="1:12" ht="15.95" customHeight="1" x14ac:dyDescent="0.25">
      <c r="A17" s="64"/>
      <c r="B17" s="10"/>
      <c r="C17" s="63"/>
      <c r="D17" s="63"/>
      <c r="E17" s="10"/>
      <c r="F17" s="22"/>
      <c r="G17" s="22"/>
      <c r="H17" s="22"/>
      <c r="I17" s="22"/>
      <c r="J17" s="43"/>
      <c r="K17" s="58"/>
      <c r="L17" s="76"/>
    </row>
    <row r="18" spans="1:12" ht="15.95" customHeight="1" x14ac:dyDescent="0.25">
      <c r="A18" s="64"/>
      <c r="B18" s="15" t="s">
        <v>50</v>
      </c>
      <c r="C18" s="35"/>
      <c r="D18" s="106">
        <f>SUM(D12:D17)</f>
        <v>1764</v>
      </c>
      <c r="E18" s="15"/>
      <c r="F18" s="33"/>
      <c r="G18" s="34"/>
      <c r="H18" s="18"/>
      <c r="I18" s="18"/>
      <c r="J18" s="43"/>
      <c r="K18" s="153">
        <f>D18</f>
        <v>1764</v>
      </c>
      <c r="L18" s="76"/>
    </row>
    <row r="19" spans="1:12" ht="15.95" customHeight="1" x14ac:dyDescent="0.25">
      <c r="A19" s="64"/>
      <c r="B19" s="10"/>
      <c r="C19" s="22"/>
      <c r="D19" s="22"/>
      <c r="E19" s="10"/>
      <c r="F19" s="22"/>
      <c r="G19" s="22"/>
      <c r="H19" s="22"/>
      <c r="I19" s="22"/>
      <c r="J19" s="43"/>
      <c r="K19" s="58"/>
      <c r="L19" s="76"/>
    </row>
    <row r="20" spans="1:12" ht="15.95" customHeight="1" x14ac:dyDescent="0.25">
      <c r="A20" s="64"/>
      <c r="B20" s="15"/>
      <c r="C20" s="35"/>
      <c r="D20" s="35"/>
      <c r="E20" s="15"/>
      <c r="F20" s="33"/>
      <c r="G20" s="34"/>
      <c r="H20" s="18"/>
      <c r="I20" s="18"/>
      <c r="J20" s="43"/>
      <c r="K20" s="58"/>
      <c r="L20" s="76"/>
    </row>
    <row r="21" spans="1:12" ht="15.95" customHeight="1" x14ac:dyDescent="0.25">
      <c r="A21" s="64"/>
      <c r="B21" s="73"/>
      <c r="C21" s="22"/>
      <c r="D21" s="22"/>
      <c r="E21" s="10"/>
      <c r="F21" s="22"/>
      <c r="G21" s="22"/>
      <c r="H21" s="22"/>
      <c r="I21" s="22"/>
      <c r="J21" s="43"/>
      <c r="K21" s="58"/>
      <c r="L21" s="76"/>
    </row>
    <row r="22" spans="1:12" ht="15.95" customHeight="1" x14ac:dyDescent="0.25">
      <c r="A22" s="64"/>
      <c r="B22" s="10"/>
      <c r="C22" s="22"/>
      <c r="D22" s="22"/>
      <c r="E22" s="15"/>
      <c r="F22" s="15"/>
      <c r="G22" s="15"/>
      <c r="H22" s="12"/>
      <c r="I22" s="12"/>
      <c r="J22" s="43"/>
      <c r="K22" s="58"/>
      <c r="L22" s="76"/>
    </row>
    <row r="23" spans="1:12" ht="15.95" customHeight="1" x14ac:dyDescent="0.25">
      <c r="A23" s="64"/>
      <c r="B23" s="9"/>
      <c r="C23" s="22"/>
      <c r="D23" s="22"/>
      <c r="E23" s="10"/>
      <c r="F23" s="63"/>
      <c r="G23" s="63"/>
      <c r="H23" s="22"/>
      <c r="I23" s="22"/>
      <c r="J23" s="43"/>
      <c r="K23" s="58"/>
      <c r="L23" s="76"/>
    </row>
    <row r="24" spans="1:12" ht="15.95" customHeight="1" x14ac:dyDescent="0.25">
      <c r="A24" s="64"/>
      <c r="B24" s="9"/>
      <c r="C24" s="22"/>
      <c r="D24" s="22"/>
      <c r="E24" s="10"/>
      <c r="F24" s="10"/>
      <c r="G24" s="63"/>
      <c r="H24" s="12"/>
      <c r="I24" s="12"/>
      <c r="J24" s="43"/>
      <c r="K24" s="58"/>
      <c r="L24" s="76"/>
    </row>
    <row r="25" spans="1:12" ht="15.95" customHeight="1" x14ac:dyDescent="0.25">
      <c r="A25" s="13"/>
      <c r="B25" s="9"/>
      <c r="C25" s="22"/>
      <c r="D25" s="22"/>
      <c r="E25" s="10"/>
      <c r="F25" s="35"/>
      <c r="G25" s="106"/>
      <c r="H25" s="22"/>
      <c r="I25" s="22"/>
      <c r="J25" s="43"/>
      <c r="K25" s="47"/>
      <c r="L25" s="76"/>
    </row>
    <row r="26" spans="1:12" ht="15.95" customHeight="1" x14ac:dyDescent="0.25">
      <c r="A26" s="13"/>
      <c r="B26" s="9"/>
      <c r="C26" s="22"/>
      <c r="D26" s="22"/>
      <c r="E26" s="10"/>
      <c r="F26" s="20"/>
      <c r="G26" s="34"/>
      <c r="H26" s="12"/>
      <c r="I26" s="12"/>
      <c r="J26" s="43"/>
      <c r="K26" s="58"/>
      <c r="L26" s="76"/>
    </row>
    <row r="27" spans="1:12" ht="15.95" customHeight="1" x14ac:dyDescent="0.25">
      <c r="A27" s="16"/>
      <c r="B27" s="10"/>
      <c r="C27" s="22"/>
      <c r="D27" s="22"/>
      <c r="E27" s="10"/>
      <c r="F27" s="22"/>
      <c r="G27" s="22"/>
      <c r="H27" s="22"/>
      <c r="I27" s="22"/>
      <c r="J27" s="43"/>
      <c r="K27" s="58"/>
      <c r="L27" s="76"/>
    </row>
    <row r="28" spans="1:12" ht="15.95" customHeight="1" x14ac:dyDescent="0.25">
      <c r="A28" s="16"/>
      <c r="B28" s="10"/>
      <c r="C28" s="22"/>
      <c r="D28" s="22"/>
      <c r="E28" s="10"/>
      <c r="F28" s="22"/>
      <c r="G28" s="22"/>
      <c r="H28" s="22"/>
      <c r="I28" s="22"/>
      <c r="J28" s="32"/>
      <c r="K28" s="58"/>
      <c r="L28" s="76"/>
    </row>
    <row r="29" spans="1:12" ht="15.95" customHeight="1" x14ac:dyDescent="0.25">
      <c r="A29" s="16"/>
      <c r="B29" s="10"/>
      <c r="C29" s="22"/>
      <c r="D29" s="22"/>
      <c r="E29" s="10"/>
      <c r="F29" s="22"/>
      <c r="G29" s="22"/>
      <c r="H29" s="22"/>
      <c r="I29" s="22"/>
      <c r="J29" s="32"/>
      <c r="K29" s="58"/>
      <c r="L29" s="76"/>
    </row>
    <row r="30" spans="1:12" ht="15.95" customHeight="1" x14ac:dyDescent="0.25">
      <c r="A30" s="16"/>
      <c r="B30" s="10"/>
      <c r="C30" s="22"/>
      <c r="D30" s="22"/>
      <c r="E30" s="10"/>
      <c r="F30" s="22"/>
      <c r="G30" s="22"/>
      <c r="H30" s="22"/>
      <c r="I30" s="22"/>
      <c r="J30" s="32"/>
      <c r="K30" s="58"/>
      <c r="L30" s="76"/>
    </row>
    <row r="31" spans="1:12" ht="15.95" customHeight="1" x14ac:dyDescent="0.25">
      <c r="A31" s="16"/>
      <c r="B31" s="10"/>
      <c r="C31" s="22"/>
      <c r="D31" s="22"/>
      <c r="E31" s="10"/>
      <c r="F31" s="22"/>
      <c r="G31" s="22"/>
      <c r="H31" s="22"/>
      <c r="I31" s="22"/>
      <c r="J31" s="32"/>
      <c r="K31" s="58"/>
      <c r="L31" s="76"/>
    </row>
    <row r="32" spans="1:12" ht="15.95" customHeight="1" x14ac:dyDescent="0.25">
      <c r="A32" s="13"/>
      <c r="B32" s="10"/>
      <c r="C32" s="22"/>
      <c r="D32" s="22"/>
      <c r="E32" s="10"/>
      <c r="F32" s="22"/>
      <c r="G32" s="22"/>
      <c r="H32" s="22"/>
      <c r="I32" s="22"/>
      <c r="J32" s="32"/>
      <c r="K32" s="58"/>
      <c r="L32" s="76"/>
    </row>
    <row r="33" spans="1:12" ht="15.95" customHeight="1" x14ac:dyDescent="0.25">
      <c r="A33" s="13"/>
      <c r="B33" s="10"/>
      <c r="C33" s="22"/>
      <c r="D33" s="22"/>
      <c r="E33" s="10"/>
      <c r="F33" s="22"/>
      <c r="G33" s="22"/>
      <c r="H33" s="22"/>
      <c r="I33" s="22"/>
      <c r="J33" s="32"/>
      <c r="K33" s="58"/>
      <c r="L33" s="76"/>
    </row>
    <row r="34" spans="1:12" ht="15.95" customHeight="1" x14ac:dyDescent="0.25">
      <c r="A34" s="13"/>
      <c r="B34" s="10"/>
      <c r="C34" s="22"/>
      <c r="D34" s="22"/>
      <c r="E34" s="10"/>
      <c r="F34" s="22"/>
      <c r="G34" s="22"/>
      <c r="H34" s="22"/>
      <c r="I34" s="22"/>
      <c r="J34" s="32"/>
      <c r="K34" s="58"/>
      <c r="L34" s="76"/>
    </row>
    <row r="35" spans="1:12" ht="15.95" customHeight="1" x14ac:dyDescent="0.25">
      <c r="A35" s="13"/>
      <c r="B35" s="34"/>
      <c r="C35" s="34"/>
      <c r="D35" s="34"/>
      <c r="E35" s="34"/>
      <c r="F35" s="34"/>
      <c r="G35" s="34"/>
      <c r="H35" s="34"/>
      <c r="I35" s="34"/>
      <c r="J35" s="32"/>
      <c r="K35" s="58"/>
      <c r="L35" s="76"/>
    </row>
    <row r="36" spans="1:12" ht="15.95" customHeight="1" x14ac:dyDescent="0.25">
      <c r="A36" s="13"/>
      <c r="B36" s="34"/>
      <c r="C36" s="34"/>
      <c r="D36" s="34"/>
      <c r="E36" s="34"/>
      <c r="F36" s="34"/>
      <c r="G36" s="34"/>
      <c r="H36" s="34"/>
      <c r="I36" s="34"/>
      <c r="J36" s="32"/>
      <c r="K36" s="58"/>
      <c r="L36" s="76"/>
    </row>
    <row r="37" spans="1:12" ht="15.95" customHeight="1" x14ac:dyDescent="0.25">
      <c r="A37" s="13"/>
      <c r="B37" s="10"/>
      <c r="C37" s="20"/>
      <c r="D37" s="11"/>
      <c r="E37" s="15"/>
      <c r="F37" s="15"/>
      <c r="G37" s="15"/>
      <c r="H37" s="12"/>
      <c r="I37" s="12"/>
      <c r="J37" s="32"/>
      <c r="K37" s="58"/>
      <c r="L37" s="76"/>
    </row>
    <row r="38" spans="1:12" ht="15.95" customHeight="1" x14ac:dyDescent="0.25">
      <c r="A38" s="13"/>
      <c r="B38" s="15"/>
      <c r="C38" s="35"/>
      <c r="D38" s="35"/>
      <c r="E38" s="15"/>
      <c r="F38" s="33"/>
      <c r="G38" s="34"/>
      <c r="H38" s="18"/>
      <c r="I38" s="18"/>
      <c r="J38" s="32"/>
      <c r="K38" s="58"/>
      <c r="L38" s="76"/>
    </row>
    <row r="39" spans="1:12" ht="15.95" customHeight="1" x14ac:dyDescent="0.25">
      <c r="A39" s="16"/>
      <c r="B39" s="10"/>
      <c r="C39" s="22"/>
      <c r="D39" s="22"/>
      <c r="E39" s="10"/>
      <c r="F39" s="22"/>
      <c r="G39" s="22"/>
      <c r="H39" s="22"/>
      <c r="I39" s="22"/>
      <c r="J39" s="32"/>
      <c r="K39" s="58"/>
      <c r="L39" s="76"/>
    </row>
    <row r="40" spans="1:12" ht="15.95" customHeight="1" x14ac:dyDescent="0.25">
      <c r="A40" s="13"/>
      <c r="B40" s="10"/>
      <c r="C40" s="22"/>
      <c r="D40" s="22"/>
      <c r="E40" s="10"/>
      <c r="F40" s="22"/>
      <c r="G40" s="22"/>
      <c r="H40" s="22"/>
      <c r="I40" s="22"/>
      <c r="J40" s="32"/>
      <c r="K40" s="58"/>
      <c r="L40" s="76"/>
    </row>
    <row r="41" spans="1:12" ht="15.95" customHeight="1" x14ac:dyDescent="0.25">
      <c r="A41" s="13"/>
      <c r="B41" s="10"/>
      <c r="C41" s="22"/>
      <c r="D41" s="22"/>
      <c r="E41" s="10"/>
      <c r="F41" s="22"/>
      <c r="G41" s="22"/>
      <c r="H41" s="22"/>
      <c r="I41" s="22"/>
      <c r="J41" s="32"/>
      <c r="K41" s="58"/>
      <c r="L41" s="76"/>
    </row>
    <row r="42" spans="1:12" ht="15.95" customHeight="1" x14ac:dyDescent="0.25">
      <c r="A42" s="13"/>
      <c r="B42" s="10"/>
      <c r="C42" s="22"/>
      <c r="D42" s="22"/>
      <c r="E42" s="10"/>
      <c r="F42" s="22"/>
      <c r="G42" s="22"/>
      <c r="H42" s="22"/>
      <c r="I42" s="22"/>
      <c r="J42" s="32"/>
      <c r="K42" s="58"/>
      <c r="L42" s="76"/>
    </row>
    <row r="43" spans="1:12" ht="15.95" customHeight="1" x14ac:dyDescent="0.25">
      <c r="A43" s="13"/>
      <c r="B43" s="10"/>
      <c r="C43" s="22"/>
      <c r="D43" s="22"/>
      <c r="E43" s="10"/>
      <c r="F43" s="22"/>
      <c r="G43" s="22"/>
      <c r="H43" s="22"/>
      <c r="I43" s="22"/>
      <c r="J43" s="32"/>
      <c r="K43" s="58"/>
      <c r="L43" s="76"/>
    </row>
    <row r="44" spans="1:12" ht="15.95" customHeight="1" x14ac:dyDescent="0.25">
      <c r="A44" s="13"/>
      <c r="B44" s="10"/>
      <c r="C44" s="20"/>
      <c r="D44" s="11"/>
      <c r="E44" s="10"/>
      <c r="F44" s="10"/>
      <c r="G44" s="10"/>
      <c r="H44" s="12"/>
      <c r="I44" s="10"/>
      <c r="J44" s="32"/>
      <c r="K44" s="58"/>
      <c r="L44" s="76"/>
    </row>
    <row r="45" spans="1:12" ht="15.95" customHeight="1" x14ac:dyDescent="0.25">
      <c r="A45" s="13"/>
      <c r="B45" s="10"/>
      <c r="C45" s="20"/>
      <c r="D45" s="11"/>
      <c r="E45" s="10"/>
      <c r="F45" s="10"/>
      <c r="G45" s="10"/>
      <c r="H45" s="12"/>
      <c r="I45" s="10"/>
      <c r="J45" s="32"/>
      <c r="K45" s="58"/>
      <c r="L45" s="76"/>
    </row>
    <row r="46" spans="1:12" ht="15.95" customHeight="1" x14ac:dyDescent="0.25">
      <c r="A46" s="13"/>
      <c r="B46" s="15"/>
      <c r="C46" s="15"/>
      <c r="D46" s="15"/>
      <c r="E46" s="11"/>
      <c r="F46" s="11"/>
      <c r="G46" s="10"/>
      <c r="H46" s="12"/>
      <c r="I46" s="10"/>
      <c r="J46" s="32"/>
      <c r="K46" s="58"/>
      <c r="L46" s="76"/>
    </row>
    <row r="47" spans="1:12" ht="15.95" customHeight="1" x14ac:dyDescent="0.25">
      <c r="A47" s="13"/>
      <c r="B47" s="15"/>
      <c r="C47" s="15"/>
      <c r="D47" s="15"/>
      <c r="E47" s="11"/>
      <c r="F47" s="11"/>
      <c r="G47" s="10"/>
      <c r="H47" s="12"/>
      <c r="I47" s="10"/>
      <c r="J47" s="32"/>
      <c r="K47" s="58"/>
      <c r="L47" s="76"/>
    </row>
    <row r="48" spans="1:12" ht="15.95" customHeight="1" x14ac:dyDescent="0.25">
      <c r="A48" s="13"/>
      <c r="B48" s="10"/>
      <c r="C48" s="20"/>
      <c r="D48" s="11"/>
      <c r="E48" s="10"/>
      <c r="F48" s="10"/>
      <c r="G48" s="10"/>
      <c r="H48" s="10"/>
      <c r="I48" s="10"/>
      <c r="J48" s="32"/>
      <c r="K48" s="58"/>
      <c r="L48" s="76"/>
    </row>
    <row r="49" spans="1:12" ht="15.95" customHeight="1" thickBot="1" x14ac:dyDescent="0.3">
      <c r="A49" s="95"/>
      <c r="B49" s="67"/>
      <c r="C49" s="23"/>
      <c r="D49" s="24"/>
      <c r="E49" s="25"/>
      <c r="F49" s="25"/>
      <c r="G49" s="25"/>
      <c r="H49" s="25"/>
      <c r="I49" s="25"/>
      <c r="J49" s="61"/>
      <c r="K49" s="31"/>
      <c r="L49" s="77"/>
    </row>
    <row r="50" spans="1:12" ht="15.95" customHeight="1" thickBot="1" x14ac:dyDescent="0.3">
      <c r="A50" s="445" t="s">
        <v>13</v>
      </c>
      <c r="B50" s="446"/>
      <c r="C50" s="447"/>
      <c r="D50" s="447"/>
      <c r="E50" s="447"/>
      <c r="F50" s="447"/>
      <c r="G50" s="447"/>
      <c r="H50" s="447"/>
      <c r="I50" s="447"/>
      <c r="J50" s="448"/>
      <c r="K50" s="79">
        <f>SUM(K8:K48)</f>
        <v>1764</v>
      </c>
      <c r="L50" s="80">
        <f>K50</f>
        <v>1764</v>
      </c>
    </row>
  </sheetData>
  <mergeCells count="7">
    <mergeCell ref="A50:J50"/>
    <mergeCell ref="C5:J5"/>
    <mergeCell ref="I1:J1"/>
    <mergeCell ref="I2:J2"/>
    <mergeCell ref="C4:D4"/>
    <mergeCell ref="F4:G4"/>
    <mergeCell ref="I4:L4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FF0000"/>
    <pageSetUpPr fitToPage="1"/>
  </sheetPr>
  <dimension ref="A1:L50"/>
  <sheetViews>
    <sheetView view="pageBreakPreview" zoomScale="85" zoomScaleNormal="100" zoomScaleSheetLayoutView="85" workbookViewId="0">
      <selection activeCell="AJ31" sqref="AJ31"/>
    </sheetView>
  </sheetViews>
  <sheetFormatPr defaultColWidth="2.85546875" defaultRowHeight="15" customHeight="1" x14ac:dyDescent="0.25"/>
  <cols>
    <col min="1" max="1" width="2.5703125" customWidth="1"/>
    <col min="2" max="2" width="8.7109375" customWidth="1"/>
    <col min="3" max="3" width="9" customWidth="1"/>
    <col min="4" max="4" width="10.28515625" customWidth="1"/>
    <col min="5" max="5" width="8.7109375" customWidth="1"/>
    <col min="6" max="6" width="7.85546875" customWidth="1"/>
    <col min="7" max="7" width="9.42578125" customWidth="1"/>
    <col min="8" max="8" width="10.7109375" customWidth="1"/>
    <col min="9" max="9" width="8.5703125" customWidth="1"/>
    <col min="10" max="10" width="8.28515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88" t="s">
        <v>150</v>
      </c>
      <c r="F1" s="121" t="s">
        <v>4</v>
      </c>
      <c r="G1" s="351">
        <v>44847</v>
      </c>
      <c r="H1" s="121" t="s">
        <v>5</v>
      </c>
      <c r="I1" s="449" t="s">
        <v>215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159"/>
      <c r="H2" s="2" t="s">
        <v>6</v>
      </c>
      <c r="I2" s="454">
        <v>1</v>
      </c>
      <c r="J2" s="483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65" t="s">
        <v>212</v>
      </c>
      <c r="D5" s="465"/>
      <c r="E5" s="465"/>
      <c r="F5" s="465"/>
      <c r="G5" s="465"/>
      <c r="H5" s="465"/>
      <c r="I5" s="465"/>
      <c r="J5" s="465"/>
      <c r="K5" s="111" t="s">
        <v>8</v>
      </c>
      <c r="L5" s="113" t="s">
        <v>51</v>
      </c>
    </row>
    <row r="6" spans="1:12" ht="20.100000000000001" customHeight="1" thickBot="1" x14ac:dyDescent="0.3">
      <c r="A6" s="129"/>
      <c r="B6" s="29"/>
      <c r="C6" s="29" t="s">
        <v>206</v>
      </c>
      <c r="D6" s="29"/>
      <c r="E6" s="29"/>
      <c r="F6" s="29"/>
      <c r="G6" s="29"/>
      <c r="H6" s="29"/>
      <c r="I6" s="29"/>
      <c r="J6" s="29"/>
      <c r="K6" s="29"/>
      <c r="L6" s="155"/>
    </row>
    <row r="7" spans="1:12" ht="1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105" t="s">
        <v>12</v>
      </c>
      <c r="L7" s="74" t="s">
        <v>13</v>
      </c>
    </row>
    <row r="8" spans="1:12" ht="15.95" customHeight="1" x14ac:dyDescent="0.25">
      <c r="A8" s="64"/>
      <c r="B8" s="40"/>
      <c r="C8" s="40"/>
      <c r="D8" s="40"/>
      <c r="E8" s="40"/>
      <c r="F8" s="40"/>
      <c r="G8" s="40"/>
      <c r="H8" s="40"/>
      <c r="I8" s="115"/>
      <c r="J8" s="116"/>
      <c r="K8" s="7"/>
      <c r="L8" s="75"/>
    </row>
    <row r="9" spans="1:12" ht="15.95" customHeight="1" x14ac:dyDescent="0.25">
      <c r="A9" s="186" t="s">
        <v>129</v>
      </c>
      <c r="B9" s="34"/>
      <c r="C9" s="20"/>
      <c r="D9" s="20"/>
      <c r="E9" s="20"/>
      <c r="F9" s="22"/>
      <c r="G9" s="22"/>
      <c r="H9" s="10"/>
      <c r="I9" s="10"/>
      <c r="J9" s="32"/>
      <c r="K9" s="60"/>
      <c r="L9" s="76"/>
    </row>
    <row r="10" spans="1:12" ht="15.95" customHeight="1" x14ac:dyDescent="0.25">
      <c r="A10" s="65"/>
      <c r="B10" s="34"/>
      <c r="C10" s="20"/>
      <c r="D10" s="22"/>
      <c r="E10" s="20"/>
      <c r="F10" s="22"/>
      <c r="G10" s="22"/>
      <c r="H10" s="10"/>
      <c r="I10" s="37"/>
      <c r="J10" s="42"/>
      <c r="K10" s="58"/>
      <c r="L10" s="76"/>
    </row>
    <row r="11" spans="1:12" ht="15.95" customHeight="1" x14ac:dyDescent="0.25">
      <c r="A11" s="13"/>
      <c r="B11" s="34"/>
      <c r="C11" s="20"/>
      <c r="D11" s="63"/>
      <c r="E11" s="20"/>
      <c r="F11" s="22"/>
      <c r="G11" s="22"/>
      <c r="H11" s="12"/>
      <c r="I11" s="149"/>
      <c r="J11" s="32"/>
      <c r="K11" s="58"/>
      <c r="L11" s="76"/>
    </row>
    <row r="12" spans="1:12" ht="15.95" customHeight="1" x14ac:dyDescent="0.25">
      <c r="A12" s="13"/>
      <c r="B12" s="45"/>
      <c r="C12" s="20"/>
      <c r="D12" s="63"/>
      <c r="E12" s="20"/>
      <c r="F12" s="22"/>
      <c r="G12" s="22"/>
      <c r="H12" s="12"/>
      <c r="I12" s="10"/>
      <c r="J12" s="32"/>
      <c r="K12" s="58"/>
      <c r="L12" s="76"/>
    </row>
    <row r="13" spans="1:12" ht="15.95" customHeight="1" x14ac:dyDescent="0.25">
      <c r="A13" s="70"/>
      <c r="B13" s="45"/>
      <c r="C13" s="131"/>
      <c r="D13" s="63"/>
      <c r="E13" s="20"/>
      <c r="F13" s="131"/>
      <c r="G13" s="22"/>
      <c r="H13" s="10"/>
      <c r="I13" s="10"/>
      <c r="J13" s="32"/>
      <c r="K13" s="58"/>
      <c r="L13" s="76"/>
    </row>
    <row r="14" spans="1:12" ht="15.95" customHeight="1" x14ac:dyDescent="0.25">
      <c r="A14" s="65"/>
      <c r="B14" s="45"/>
      <c r="C14" s="131"/>
      <c r="D14" s="63"/>
      <c r="E14" s="20"/>
      <c r="F14" s="131"/>
      <c r="G14" s="22"/>
      <c r="H14" s="12"/>
      <c r="I14" s="12"/>
      <c r="J14" s="32"/>
      <c r="K14" s="58"/>
      <c r="L14" s="76"/>
    </row>
    <row r="15" spans="1:12" ht="15.95" customHeight="1" x14ac:dyDescent="0.25">
      <c r="A15" s="66"/>
      <c r="B15" s="34"/>
      <c r="C15" s="34"/>
      <c r="D15" s="34"/>
      <c r="E15" s="20"/>
      <c r="F15" s="22"/>
      <c r="G15" s="22"/>
      <c r="H15" s="10"/>
      <c r="I15" s="10"/>
      <c r="J15" s="42"/>
      <c r="K15" s="58"/>
      <c r="L15" s="76"/>
    </row>
    <row r="16" spans="1:12" ht="15.95" customHeight="1" x14ac:dyDescent="0.25">
      <c r="A16" s="70"/>
      <c r="B16" s="45" t="s">
        <v>40</v>
      </c>
      <c r="C16" s="20"/>
      <c r="D16" s="63">
        <v>4</v>
      </c>
      <c r="E16" s="34"/>
      <c r="F16" s="34"/>
      <c r="G16" s="34"/>
      <c r="H16" s="34"/>
      <c r="I16" s="39"/>
      <c r="J16" s="43"/>
      <c r="K16" s="310"/>
      <c r="L16" s="76"/>
    </row>
    <row r="17" spans="1:12" ht="15.95" customHeight="1" x14ac:dyDescent="0.25">
      <c r="A17" s="13"/>
      <c r="B17" s="45" t="s">
        <v>41</v>
      </c>
      <c r="C17" s="131"/>
      <c r="D17" s="63">
        <v>4</v>
      </c>
      <c r="E17" s="20"/>
      <c r="F17" s="22"/>
      <c r="G17" s="22"/>
      <c r="H17" s="34"/>
      <c r="I17" s="34"/>
      <c r="J17" s="32"/>
      <c r="K17" s="58"/>
      <c r="L17" s="76"/>
    </row>
    <row r="18" spans="1:12" ht="15.95" customHeight="1" x14ac:dyDescent="0.25">
      <c r="A18" s="13"/>
      <c r="B18" s="45" t="s">
        <v>194</v>
      </c>
      <c r="C18" s="20"/>
      <c r="D18" s="63">
        <f>D16+D17</f>
        <v>8</v>
      </c>
      <c r="E18" s="20"/>
      <c r="F18" s="22"/>
      <c r="G18" s="22"/>
      <c r="H18" s="34"/>
      <c r="I18" s="41"/>
      <c r="J18" s="32"/>
      <c r="K18" s="58"/>
      <c r="L18" s="76"/>
    </row>
    <row r="19" spans="1:12" ht="15.95" customHeight="1" x14ac:dyDescent="0.25">
      <c r="A19" s="69"/>
      <c r="B19" s="34"/>
      <c r="C19" s="20"/>
      <c r="D19" s="20"/>
      <c r="E19" s="20"/>
      <c r="F19" s="117"/>
      <c r="G19" s="117"/>
      <c r="H19" s="10"/>
      <c r="I19" s="34"/>
      <c r="J19" s="43"/>
      <c r="K19" s="58"/>
      <c r="L19" s="76"/>
    </row>
    <row r="20" spans="1:12" ht="15.95" customHeight="1" x14ac:dyDescent="0.25">
      <c r="A20" s="13"/>
      <c r="B20" s="50"/>
      <c r="C20" s="48"/>
      <c r="D20" s="158"/>
      <c r="E20" s="48"/>
      <c r="F20" s="22"/>
      <c r="G20" s="22"/>
      <c r="H20" s="12"/>
      <c r="I20" s="149"/>
      <c r="J20" s="151" t="s">
        <v>130</v>
      </c>
      <c r="K20" s="47">
        <f>D18</f>
        <v>8</v>
      </c>
      <c r="L20" s="76"/>
    </row>
    <row r="21" spans="1:12" ht="15.95" customHeight="1" x14ac:dyDescent="0.25">
      <c r="A21" s="13"/>
      <c r="B21" s="34"/>
      <c r="C21" s="34"/>
      <c r="D21" s="34"/>
      <c r="E21" s="34"/>
      <c r="F21" s="34"/>
      <c r="G21" s="34"/>
      <c r="H21" s="34"/>
      <c r="I21" s="34"/>
      <c r="J21" s="43"/>
      <c r="K21" s="46"/>
      <c r="L21" s="76"/>
    </row>
    <row r="22" spans="1:12" ht="15.95" customHeight="1" x14ac:dyDescent="0.25">
      <c r="A22" s="13"/>
      <c r="B22" s="34"/>
      <c r="C22" s="34"/>
      <c r="D22" s="34"/>
      <c r="E22" s="34"/>
      <c r="F22" s="34"/>
      <c r="G22" s="22"/>
      <c r="H22" s="10"/>
      <c r="I22" s="34"/>
      <c r="J22" s="43"/>
      <c r="K22" s="58"/>
      <c r="L22" s="76"/>
    </row>
    <row r="23" spans="1:12" ht="15.95" customHeight="1" x14ac:dyDescent="0.25">
      <c r="A23" s="13"/>
      <c r="B23" s="34"/>
      <c r="C23" s="34"/>
      <c r="D23" s="34"/>
      <c r="E23" s="34"/>
      <c r="F23" s="34"/>
      <c r="G23" s="22"/>
      <c r="H23" s="10"/>
      <c r="I23" s="34"/>
      <c r="J23" s="43"/>
      <c r="K23" s="58"/>
      <c r="L23" s="76"/>
    </row>
    <row r="24" spans="1:12" ht="15.95" customHeight="1" x14ac:dyDescent="0.25">
      <c r="A24" s="13"/>
      <c r="B24" s="34"/>
      <c r="C24" s="34"/>
      <c r="D24" s="34"/>
      <c r="E24" s="34"/>
      <c r="F24" s="34"/>
      <c r="G24" s="22"/>
      <c r="H24" s="10"/>
      <c r="I24" s="34"/>
      <c r="J24" s="43"/>
      <c r="K24" s="58"/>
      <c r="L24" s="76"/>
    </row>
    <row r="25" spans="1:12" ht="15.95" customHeight="1" x14ac:dyDescent="0.25">
      <c r="A25" s="13"/>
      <c r="B25" s="34"/>
      <c r="C25" s="34"/>
      <c r="D25" s="34"/>
      <c r="E25" s="34"/>
      <c r="F25" s="34"/>
      <c r="G25" s="22"/>
      <c r="H25" s="10"/>
      <c r="I25" s="34"/>
      <c r="J25" s="43"/>
      <c r="K25" s="58"/>
      <c r="L25" s="76"/>
    </row>
    <row r="26" spans="1:12" ht="15.95" customHeight="1" x14ac:dyDescent="0.25">
      <c r="A26" s="13"/>
      <c r="B26" s="34"/>
      <c r="C26" s="34"/>
      <c r="D26" s="34"/>
      <c r="E26" s="34"/>
      <c r="F26" s="34"/>
      <c r="G26" s="22"/>
      <c r="H26" s="10"/>
      <c r="I26" s="34"/>
      <c r="J26" s="43"/>
      <c r="K26" s="58"/>
      <c r="L26" s="76"/>
    </row>
    <row r="27" spans="1:12" ht="15.95" customHeight="1" x14ac:dyDescent="0.25">
      <c r="A27" s="13"/>
      <c r="B27" s="34"/>
      <c r="C27" s="34"/>
      <c r="D27" s="34"/>
      <c r="E27" s="34"/>
      <c r="F27" s="34"/>
      <c r="G27" s="22"/>
      <c r="H27" s="10"/>
      <c r="I27" s="34"/>
      <c r="J27" s="43"/>
      <c r="K27" s="58"/>
      <c r="L27" s="76"/>
    </row>
    <row r="28" spans="1:12" ht="15.95" customHeight="1" x14ac:dyDescent="0.25">
      <c r="A28" s="13"/>
      <c r="B28" s="10"/>
      <c r="C28" s="20"/>
      <c r="D28" s="11"/>
      <c r="E28" s="15"/>
      <c r="F28" s="15"/>
      <c r="G28" s="15"/>
      <c r="H28" s="12"/>
      <c r="I28" s="12"/>
      <c r="J28" s="43"/>
      <c r="K28" s="58"/>
      <c r="L28" s="76"/>
    </row>
    <row r="29" spans="1:12" ht="15.95" customHeight="1" x14ac:dyDescent="0.25">
      <c r="A29" s="13"/>
      <c r="B29" s="15"/>
      <c r="C29" s="35"/>
      <c r="D29" s="35"/>
      <c r="E29" s="15"/>
      <c r="F29" s="33"/>
      <c r="G29" s="34"/>
      <c r="H29" s="18"/>
      <c r="I29" s="18"/>
      <c r="J29" s="43"/>
      <c r="K29" s="58"/>
      <c r="L29" s="76"/>
    </row>
    <row r="30" spans="1:12" ht="15.95" customHeight="1" x14ac:dyDescent="0.25">
      <c r="A30" s="16"/>
      <c r="B30" s="10"/>
      <c r="C30" s="22"/>
      <c r="D30" s="22"/>
      <c r="E30" s="10"/>
      <c r="F30" s="22"/>
      <c r="G30" s="22"/>
      <c r="H30" s="22"/>
      <c r="I30" s="22"/>
      <c r="J30" s="43"/>
      <c r="K30" s="58"/>
      <c r="L30" s="76"/>
    </row>
    <row r="31" spans="1:12" ht="15.95" customHeight="1" x14ac:dyDescent="0.25">
      <c r="A31" s="16"/>
      <c r="B31" s="10"/>
      <c r="C31" s="22"/>
      <c r="D31" s="22"/>
      <c r="E31" s="10"/>
      <c r="F31" s="22"/>
      <c r="G31" s="22"/>
      <c r="H31" s="22"/>
      <c r="I31" s="22"/>
      <c r="J31" s="32"/>
      <c r="K31" s="58"/>
      <c r="L31" s="76"/>
    </row>
    <row r="32" spans="1:12" ht="15.95" customHeight="1" x14ac:dyDescent="0.25">
      <c r="A32" s="13"/>
      <c r="B32" s="10"/>
      <c r="C32" s="22"/>
      <c r="D32" s="22"/>
      <c r="E32" s="10"/>
      <c r="F32" s="22"/>
      <c r="G32" s="22"/>
      <c r="H32" s="22"/>
      <c r="I32" s="22"/>
      <c r="J32" s="32"/>
      <c r="K32" s="58"/>
      <c r="L32" s="76"/>
    </row>
    <row r="33" spans="1:12" ht="15.95" customHeight="1" x14ac:dyDescent="0.25">
      <c r="A33" s="13"/>
      <c r="B33" s="10"/>
      <c r="C33" s="22"/>
      <c r="D33" s="22"/>
      <c r="E33" s="10"/>
      <c r="F33" s="22"/>
      <c r="G33" s="22"/>
      <c r="H33" s="22"/>
      <c r="I33" s="22"/>
      <c r="J33" s="32"/>
      <c r="K33" s="58"/>
      <c r="L33" s="76"/>
    </row>
    <row r="34" spans="1:12" ht="15.95" customHeight="1" x14ac:dyDescent="0.25">
      <c r="A34" s="13"/>
      <c r="B34" s="10"/>
      <c r="C34" s="22"/>
      <c r="D34" s="22"/>
      <c r="E34" s="10"/>
      <c r="F34" s="22"/>
      <c r="G34" s="22"/>
      <c r="H34" s="22"/>
      <c r="I34" s="22"/>
      <c r="J34" s="32"/>
      <c r="K34" s="58"/>
      <c r="L34" s="76"/>
    </row>
    <row r="35" spans="1:12" ht="15.95" customHeight="1" x14ac:dyDescent="0.25">
      <c r="A35" s="13"/>
      <c r="B35" s="34"/>
      <c r="C35" s="34"/>
      <c r="D35" s="34"/>
      <c r="E35" s="34"/>
      <c r="F35" s="34"/>
      <c r="G35" s="34"/>
      <c r="H35" s="34"/>
      <c r="I35" s="34"/>
      <c r="J35" s="32"/>
      <c r="K35" s="58"/>
      <c r="L35" s="76"/>
    </row>
    <row r="36" spans="1:12" ht="15.95" customHeight="1" x14ac:dyDescent="0.25">
      <c r="A36" s="13"/>
      <c r="B36" s="34"/>
      <c r="C36" s="34"/>
      <c r="D36" s="34"/>
      <c r="E36" s="34"/>
      <c r="F36" s="34"/>
      <c r="G36" s="34"/>
      <c r="H36" s="34"/>
      <c r="I36" s="34"/>
      <c r="J36" s="32"/>
      <c r="K36" s="58"/>
      <c r="L36" s="76"/>
    </row>
    <row r="37" spans="1:12" ht="15.95" customHeight="1" x14ac:dyDescent="0.25">
      <c r="A37" s="13"/>
      <c r="B37" s="10"/>
      <c r="C37" s="20"/>
      <c r="D37" s="11"/>
      <c r="E37" s="15"/>
      <c r="F37" s="15"/>
      <c r="G37" s="15"/>
      <c r="H37" s="12"/>
      <c r="I37" s="12"/>
      <c r="J37" s="32"/>
      <c r="K37" s="58"/>
      <c r="L37" s="76"/>
    </row>
    <row r="38" spans="1:12" ht="15.95" customHeight="1" x14ac:dyDescent="0.25">
      <c r="A38" s="13"/>
      <c r="B38" s="15"/>
      <c r="C38" s="35"/>
      <c r="D38" s="35"/>
      <c r="E38" s="15"/>
      <c r="F38" s="33"/>
      <c r="G38" s="34"/>
      <c r="H38" s="18"/>
      <c r="I38" s="18"/>
      <c r="J38" s="32"/>
      <c r="K38" s="58"/>
      <c r="L38" s="76"/>
    </row>
    <row r="39" spans="1:12" ht="15.95" customHeight="1" x14ac:dyDescent="0.25">
      <c r="A39" s="16"/>
      <c r="B39" s="10"/>
      <c r="C39" s="22"/>
      <c r="D39" s="22"/>
      <c r="E39" s="10"/>
      <c r="F39" s="22"/>
      <c r="G39" s="22"/>
      <c r="H39" s="22"/>
      <c r="I39" s="22"/>
      <c r="J39" s="32"/>
      <c r="K39" s="58"/>
      <c r="L39" s="76"/>
    </row>
    <row r="40" spans="1:12" ht="15.95" customHeight="1" x14ac:dyDescent="0.25">
      <c r="A40" s="13"/>
      <c r="B40" s="10"/>
      <c r="C40" s="22"/>
      <c r="D40" s="22"/>
      <c r="E40" s="10"/>
      <c r="F40" s="22"/>
      <c r="G40" s="22"/>
      <c r="H40" s="22"/>
      <c r="I40" s="22"/>
      <c r="J40" s="32"/>
      <c r="K40" s="58"/>
      <c r="L40" s="76"/>
    </row>
    <row r="41" spans="1:12" ht="15.95" customHeight="1" x14ac:dyDescent="0.25">
      <c r="A41" s="13"/>
      <c r="B41" s="10"/>
      <c r="C41" s="22"/>
      <c r="D41" s="22"/>
      <c r="E41" s="10"/>
      <c r="F41" s="22"/>
      <c r="G41" s="22"/>
      <c r="H41" s="22"/>
      <c r="I41" s="22"/>
      <c r="J41" s="32"/>
      <c r="K41" s="58"/>
      <c r="L41" s="76"/>
    </row>
    <row r="42" spans="1:12" ht="15.95" customHeight="1" x14ac:dyDescent="0.25">
      <c r="A42" s="13"/>
      <c r="B42" s="10"/>
      <c r="C42" s="22"/>
      <c r="D42" s="22"/>
      <c r="E42" s="10"/>
      <c r="F42" s="22"/>
      <c r="G42" s="22"/>
      <c r="H42" s="22"/>
      <c r="I42" s="22"/>
      <c r="J42" s="32"/>
      <c r="K42" s="58"/>
      <c r="L42" s="76"/>
    </row>
    <row r="43" spans="1:12" ht="15.95" customHeight="1" x14ac:dyDescent="0.25">
      <c r="A43" s="13"/>
      <c r="B43" s="10"/>
      <c r="C43" s="22"/>
      <c r="D43" s="22"/>
      <c r="E43" s="10"/>
      <c r="F43" s="22"/>
      <c r="G43" s="22"/>
      <c r="H43" s="22"/>
      <c r="I43" s="22"/>
      <c r="J43" s="32"/>
      <c r="K43" s="58"/>
      <c r="L43" s="76"/>
    </row>
    <row r="44" spans="1:12" ht="15.95" customHeight="1" x14ac:dyDescent="0.25">
      <c r="A44" s="13"/>
      <c r="B44" s="10"/>
      <c r="C44" s="20"/>
      <c r="D44" s="11"/>
      <c r="E44" s="10"/>
      <c r="F44" s="10"/>
      <c r="G44" s="10"/>
      <c r="H44" s="12"/>
      <c r="I44" s="10"/>
      <c r="J44" s="32"/>
      <c r="K44" s="58"/>
      <c r="L44" s="76"/>
    </row>
    <row r="45" spans="1:12" ht="15.95" customHeight="1" x14ac:dyDescent="0.25">
      <c r="A45" s="13"/>
      <c r="B45" s="10"/>
      <c r="C45" s="20"/>
      <c r="D45" s="11"/>
      <c r="E45" s="10"/>
      <c r="F45" s="10"/>
      <c r="G45" s="10"/>
      <c r="H45" s="12"/>
      <c r="I45" s="10"/>
      <c r="J45" s="32"/>
      <c r="K45" s="58"/>
      <c r="L45" s="76"/>
    </row>
    <row r="46" spans="1:12" ht="15.95" customHeight="1" x14ac:dyDescent="0.25">
      <c r="A46" s="13"/>
      <c r="B46" s="15"/>
      <c r="C46" s="15"/>
      <c r="D46" s="15"/>
      <c r="E46" s="11"/>
      <c r="F46" s="11"/>
      <c r="G46" s="10"/>
      <c r="H46" s="12"/>
      <c r="I46" s="10"/>
      <c r="J46" s="32"/>
      <c r="K46" s="58"/>
      <c r="L46" s="76"/>
    </row>
    <row r="47" spans="1:12" ht="15.95" customHeight="1" x14ac:dyDescent="0.25">
      <c r="A47" s="13"/>
      <c r="B47" s="15"/>
      <c r="C47" s="15"/>
      <c r="D47" s="15"/>
      <c r="E47" s="11"/>
      <c r="F47" s="11"/>
      <c r="G47" s="10"/>
      <c r="H47" s="12"/>
      <c r="I47" s="10"/>
      <c r="J47" s="32"/>
      <c r="K47" s="58"/>
      <c r="L47" s="76"/>
    </row>
    <row r="48" spans="1:12" ht="15.95" customHeight="1" x14ac:dyDescent="0.25">
      <c r="A48" s="13"/>
      <c r="B48" s="10"/>
      <c r="C48" s="20"/>
      <c r="D48" s="11"/>
      <c r="E48" s="10"/>
      <c r="F48" s="10"/>
      <c r="G48" s="10"/>
      <c r="H48" s="10"/>
      <c r="I48" s="10"/>
      <c r="J48" s="32"/>
      <c r="K48" s="58"/>
      <c r="L48" s="76"/>
    </row>
    <row r="49" spans="1:12" ht="15.95" customHeight="1" thickBot="1" x14ac:dyDescent="0.3">
      <c r="A49" s="95"/>
      <c r="B49" s="67"/>
      <c r="C49" s="23"/>
      <c r="D49" s="24"/>
      <c r="E49" s="25"/>
      <c r="F49" s="25"/>
      <c r="G49" s="25"/>
      <c r="H49" s="25"/>
      <c r="I49" s="25"/>
      <c r="J49" s="61"/>
      <c r="K49" s="31"/>
      <c r="L49" s="77"/>
    </row>
    <row r="50" spans="1:12" ht="15.95" customHeight="1" thickBot="1" x14ac:dyDescent="0.3">
      <c r="A50" s="445" t="s">
        <v>13</v>
      </c>
      <c r="B50" s="446"/>
      <c r="C50" s="447"/>
      <c r="D50" s="447"/>
      <c r="E50" s="447"/>
      <c r="F50" s="447"/>
      <c r="G50" s="447"/>
      <c r="H50" s="447"/>
      <c r="I50" s="447"/>
      <c r="J50" s="448"/>
      <c r="K50" s="105">
        <f>SUM(K8:K48)</f>
        <v>8</v>
      </c>
      <c r="L50" s="80">
        <f>K50</f>
        <v>8</v>
      </c>
    </row>
  </sheetData>
  <mergeCells count="7">
    <mergeCell ref="A50:J50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FF0000"/>
    <pageSetUpPr fitToPage="1"/>
  </sheetPr>
  <dimension ref="A1:L50"/>
  <sheetViews>
    <sheetView view="pageBreakPreview" zoomScale="85" zoomScaleNormal="100" zoomScaleSheetLayoutView="85" workbookViewId="0">
      <selection activeCell="AJ31" sqref="AJ31"/>
    </sheetView>
  </sheetViews>
  <sheetFormatPr defaultColWidth="2.85546875" defaultRowHeight="15" customHeight="1" x14ac:dyDescent="0.25"/>
  <cols>
    <col min="1" max="1" width="2.5703125" customWidth="1"/>
    <col min="2" max="2" width="8.7109375" customWidth="1"/>
    <col min="3" max="3" width="9" customWidth="1"/>
    <col min="4" max="4" width="10.28515625" customWidth="1"/>
    <col min="5" max="5" width="8.7109375" customWidth="1"/>
    <col min="6" max="6" width="7.85546875" customWidth="1"/>
    <col min="7" max="7" width="9.42578125" customWidth="1"/>
    <col min="8" max="8" width="10.7109375" customWidth="1"/>
    <col min="9" max="9" width="8.5703125" customWidth="1"/>
    <col min="10" max="10" width="8.28515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88" t="s">
        <v>150</v>
      </c>
      <c r="F1" s="121" t="s">
        <v>4</v>
      </c>
      <c r="G1" s="351">
        <v>44847</v>
      </c>
      <c r="H1" s="121" t="s">
        <v>5</v>
      </c>
      <c r="I1" s="449" t="s">
        <v>214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159"/>
      <c r="H2" s="2" t="s">
        <v>6</v>
      </c>
      <c r="I2" s="454">
        <v>1</v>
      </c>
      <c r="J2" s="483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308" t="s">
        <v>213</v>
      </c>
      <c r="D5" s="308"/>
      <c r="E5" s="308"/>
      <c r="F5" s="308"/>
      <c r="G5" s="308"/>
      <c r="H5" s="308"/>
      <c r="I5" s="308"/>
      <c r="J5" s="308"/>
      <c r="K5" s="111" t="s">
        <v>8</v>
      </c>
      <c r="L5" s="113" t="s">
        <v>51</v>
      </c>
    </row>
    <row r="6" spans="1:12" ht="20.100000000000001" customHeight="1" thickBot="1" x14ac:dyDescent="0.3">
      <c r="A6" s="129"/>
      <c r="B6" s="29"/>
      <c r="C6" s="346" t="s">
        <v>205</v>
      </c>
      <c r="D6" s="346"/>
      <c r="E6" s="346"/>
      <c r="F6" s="346"/>
      <c r="G6" s="346"/>
      <c r="H6" s="346"/>
      <c r="I6" s="346"/>
      <c r="J6" s="346"/>
      <c r="K6" s="29"/>
      <c r="L6" s="155"/>
    </row>
    <row r="7" spans="1:12" ht="1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105" t="s">
        <v>12</v>
      </c>
      <c r="L7" s="74" t="s">
        <v>13</v>
      </c>
    </row>
    <row r="8" spans="1:12" ht="15.95" customHeight="1" x14ac:dyDescent="0.25">
      <c r="A8" s="64"/>
      <c r="B8" s="40"/>
      <c r="C8" s="40"/>
      <c r="D8" s="40"/>
      <c r="E8" s="40"/>
      <c r="F8" s="40"/>
      <c r="G8" s="40"/>
      <c r="H8" s="40"/>
      <c r="I8" s="115"/>
      <c r="J8" s="116"/>
      <c r="K8" s="7"/>
      <c r="L8" s="75"/>
    </row>
    <row r="9" spans="1:12" ht="15.95" customHeight="1" x14ac:dyDescent="0.25">
      <c r="A9" s="186" t="s">
        <v>129</v>
      </c>
      <c r="B9" s="34"/>
      <c r="C9" s="20"/>
      <c r="D9" s="20"/>
      <c r="E9" s="20"/>
      <c r="F9" s="22"/>
      <c r="G9" s="22"/>
      <c r="H9" s="10"/>
      <c r="I9" s="10"/>
      <c r="J9" s="32"/>
      <c r="K9" s="60"/>
      <c r="L9" s="76"/>
    </row>
    <row r="10" spans="1:12" ht="15.95" customHeight="1" x14ac:dyDescent="0.25">
      <c r="A10" s="65"/>
      <c r="B10" s="34"/>
      <c r="C10" s="20"/>
      <c r="D10" s="22"/>
      <c r="E10" s="20"/>
      <c r="F10" s="22"/>
      <c r="G10" s="22"/>
      <c r="H10" s="10"/>
      <c r="I10" s="37"/>
      <c r="J10" s="42"/>
      <c r="K10" s="58"/>
      <c r="L10" s="76"/>
    </row>
    <row r="11" spans="1:12" ht="15.95" customHeight="1" x14ac:dyDescent="0.25">
      <c r="A11" s="13"/>
      <c r="B11" s="34"/>
      <c r="C11" s="20"/>
      <c r="D11" s="63"/>
      <c r="E11" s="20"/>
      <c r="F11" s="22"/>
      <c r="G11" s="22"/>
      <c r="H11" s="12"/>
      <c r="I11" s="149"/>
      <c r="J11" s="32"/>
      <c r="K11" s="58"/>
      <c r="L11" s="76"/>
    </row>
    <row r="12" spans="1:12" ht="15.95" customHeight="1" x14ac:dyDescent="0.25">
      <c r="A12" s="13"/>
      <c r="B12" s="45" t="s">
        <v>49</v>
      </c>
      <c r="C12" s="20"/>
      <c r="D12" s="63">
        <v>4</v>
      </c>
      <c r="E12" s="20"/>
      <c r="F12" s="22"/>
      <c r="G12" s="22"/>
      <c r="H12" s="12"/>
      <c r="I12" s="10"/>
      <c r="J12" s="32"/>
      <c r="K12" s="58"/>
      <c r="L12" s="76"/>
    </row>
    <row r="13" spans="1:12" ht="15.95" customHeight="1" x14ac:dyDescent="0.25">
      <c r="A13" s="70"/>
      <c r="B13" s="45" t="s">
        <v>174</v>
      </c>
      <c r="C13" s="131"/>
      <c r="D13" s="63">
        <v>4</v>
      </c>
      <c r="E13" s="20"/>
      <c r="F13" s="131"/>
      <c r="G13" s="22"/>
      <c r="H13" s="10"/>
      <c r="I13" s="10"/>
      <c r="J13" s="32"/>
      <c r="K13" s="58"/>
      <c r="L13" s="76"/>
    </row>
    <row r="14" spans="1:12" ht="15.95" customHeight="1" x14ac:dyDescent="0.25">
      <c r="A14" s="65"/>
      <c r="B14" s="45" t="s">
        <v>193</v>
      </c>
      <c r="C14" s="131"/>
      <c r="D14" s="63">
        <f>D12+D13</f>
        <v>8</v>
      </c>
      <c r="E14" s="20"/>
      <c r="F14" s="131"/>
      <c r="G14" s="22"/>
      <c r="H14" s="12"/>
      <c r="I14" s="12"/>
      <c r="J14" s="32"/>
      <c r="K14" s="58"/>
      <c r="L14" s="76"/>
    </row>
    <row r="15" spans="1:12" ht="15.95" customHeight="1" x14ac:dyDescent="0.25">
      <c r="A15" s="66"/>
      <c r="B15" s="34"/>
      <c r="C15" s="34"/>
      <c r="D15" s="34"/>
      <c r="E15" s="20"/>
      <c r="F15" s="22"/>
      <c r="G15" s="22"/>
      <c r="H15" s="10"/>
      <c r="I15" s="10"/>
      <c r="J15" s="42"/>
      <c r="K15" s="58"/>
      <c r="L15" s="76"/>
    </row>
    <row r="16" spans="1:12" ht="15.95" customHeight="1" x14ac:dyDescent="0.25">
      <c r="A16" s="70"/>
      <c r="B16" s="45"/>
      <c r="C16" s="20"/>
      <c r="D16" s="63"/>
      <c r="E16" s="34"/>
      <c r="F16" s="34"/>
      <c r="G16" s="34"/>
      <c r="H16" s="34"/>
      <c r="I16" s="39"/>
      <c r="J16" s="43"/>
      <c r="K16" s="310"/>
      <c r="L16" s="76"/>
    </row>
    <row r="17" spans="1:12" ht="15.95" customHeight="1" x14ac:dyDescent="0.25">
      <c r="A17" s="13"/>
      <c r="B17" s="45"/>
      <c r="C17" s="131"/>
      <c r="D17" s="63"/>
      <c r="E17" s="20"/>
      <c r="F17" s="22"/>
      <c r="G17" s="22"/>
      <c r="H17" s="34"/>
      <c r="I17" s="34"/>
      <c r="J17" s="32"/>
      <c r="K17" s="58"/>
      <c r="L17" s="76"/>
    </row>
    <row r="18" spans="1:12" ht="15.95" customHeight="1" x14ac:dyDescent="0.25">
      <c r="A18" s="13"/>
      <c r="B18" s="45"/>
      <c r="C18" s="20"/>
      <c r="D18" s="63"/>
      <c r="E18" s="20"/>
      <c r="F18" s="22"/>
      <c r="G18" s="22"/>
      <c r="H18" s="34"/>
      <c r="I18" s="41"/>
      <c r="J18" s="32"/>
      <c r="K18" s="58"/>
      <c r="L18" s="76"/>
    </row>
    <row r="19" spans="1:12" ht="15.95" customHeight="1" x14ac:dyDescent="0.25">
      <c r="A19" s="69"/>
      <c r="B19" s="34"/>
      <c r="C19" s="20"/>
      <c r="D19" s="20"/>
      <c r="E19" s="20"/>
      <c r="F19" s="117"/>
      <c r="G19" s="117"/>
      <c r="H19" s="10"/>
      <c r="I19" s="34"/>
      <c r="J19" s="43"/>
      <c r="K19" s="58"/>
      <c r="L19" s="76"/>
    </row>
    <row r="20" spans="1:12" ht="15.95" customHeight="1" x14ac:dyDescent="0.25">
      <c r="A20" s="13"/>
      <c r="B20" s="50"/>
      <c r="C20" s="48"/>
      <c r="D20" s="158"/>
      <c r="E20" s="48"/>
      <c r="F20" s="22"/>
      <c r="G20" s="22"/>
      <c r="H20" s="12"/>
      <c r="I20" s="149"/>
      <c r="J20" s="151" t="s">
        <v>130</v>
      </c>
      <c r="K20" s="47">
        <f>D14</f>
        <v>8</v>
      </c>
      <c r="L20" s="76"/>
    </row>
    <row r="21" spans="1:12" ht="15.95" customHeight="1" x14ac:dyDescent="0.25">
      <c r="A21" s="13"/>
      <c r="B21" s="34"/>
      <c r="C21" s="34"/>
      <c r="D21" s="34"/>
      <c r="E21" s="34"/>
      <c r="F21" s="34"/>
      <c r="G21" s="34"/>
      <c r="H21" s="34"/>
      <c r="I21" s="34"/>
      <c r="J21" s="43"/>
      <c r="K21" s="46"/>
      <c r="L21" s="76"/>
    </row>
    <row r="22" spans="1:12" ht="15.95" customHeight="1" x14ac:dyDescent="0.25">
      <c r="A22" s="13"/>
      <c r="B22" s="34"/>
      <c r="C22" s="34"/>
      <c r="D22" s="34"/>
      <c r="E22" s="34"/>
      <c r="F22" s="34"/>
      <c r="G22" s="22"/>
      <c r="H22" s="10"/>
      <c r="I22" s="34"/>
      <c r="J22" s="43"/>
      <c r="K22" s="58"/>
      <c r="L22" s="76"/>
    </row>
    <row r="23" spans="1:12" ht="15.95" customHeight="1" x14ac:dyDescent="0.25">
      <c r="A23" s="13"/>
      <c r="B23" s="34"/>
      <c r="C23" s="34"/>
      <c r="D23" s="34"/>
      <c r="E23" s="34"/>
      <c r="F23" s="34"/>
      <c r="G23" s="22"/>
      <c r="H23" s="10"/>
      <c r="I23" s="34"/>
      <c r="J23" s="43"/>
      <c r="K23" s="58"/>
      <c r="L23" s="76"/>
    </row>
    <row r="24" spans="1:12" ht="15.95" customHeight="1" x14ac:dyDescent="0.25">
      <c r="A24" s="13"/>
      <c r="B24" s="34"/>
      <c r="C24" s="34"/>
      <c r="D24" s="34"/>
      <c r="E24" s="34"/>
      <c r="F24" s="34"/>
      <c r="G24" s="22"/>
      <c r="H24" s="10"/>
      <c r="I24" s="34"/>
      <c r="J24" s="43"/>
      <c r="K24" s="58"/>
      <c r="L24" s="76"/>
    </row>
    <row r="25" spans="1:12" ht="15.95" customHeight="1" x14ac:dyDescent="0.25">
      <c r="A25" s="13"/>
      <c r="B25" s="34"/>
      <c r="C25" s="34"/>
      <c r="D25" s="34"/>
      <c r="E25" s="34"/>
      <c r="F25" s="34"/>
      <c r="G25" s="22"/>
      <c r="H25" s="10"/>
      <c r="I25" s="34"/>
      <c r="J25" s="43"/>
      <c r="K25" s="58"/>
      <c r="L25" s="76"/>
    </row>
    <row r="26" spans="1:12" ht="15.95" customHeight="1" x14ac:dyDescent="0.25">
      <c r="A26" s="13"/>
      <c r="B26" s="34"/>
      <c r="C26" s="34"/>
      <c r="D26" s="34"/>
      <c r="E26" s="34"/>
      <c r="F26" s="34"/>
      <c r="G26" s="22"/>
      <c r="H26" s="10"/>
      <c r="I26" s="34"/>
      <c r="J26" s="43"/>
      <c r="K26" s="58"/>
      <c r="L26" s="76"/>
    </row>
    <row r="27" spans="1:12" ht="15.95" customHeight="1" x14ac:dyDescent="0.25">
      <c r="A27" s="13"/>
      <c r="B27" s="34"/>
      <c r="C27" s="34"/>
      <c r="D27" s="34"/>
      <c r="E27" s="34"/>
      <c r="F27" s="34"/>
      <c r="G27" s="22"/>
      <c r="H27" s="10"/>
      <c r="I27" s="34"/>
      <c r="J27" s="43"/>
      <c r="K27" s="58"/>
      <c r="L27" s="76"/>
    </row>
    <row r="28" spans="1:12" ht="15.95" customHeight="1" x14ac:dyDescent="0.25">
      <c r="A28" s="13"/>
      <c r="B28" s="10"/>
      <c r="C28" s="20"/>
      <c r="D28" s="11"/>
      <c r="E28" s="15"/>
      <c r="F28" s="15"/>
      <c r="G28" s="15"/>
      <c r="H28" s="12"/>
      <c r="I28" s="12"/>
      <c r="J28" s="43"/>
      <c r="K28" s="58"/>
      <c r="L28" s="76"/>
    </row>
    <row r="29" spans="1:12" ht="15.95" customHeight="1" x14ac:dyDescent="0.25">
      <c r="A29" s="13"/>
      <c r="B29" s="15"/>
      <c r="C29" s="35"/>
      <c r="D29" s="35"/>
      <c r="E29" s="15"/>
      <c r="F29" s="33"/>
      <c r="G29" s="34"/>
      <c r="H29" s="18"/>
      <c r="I29" s="18"/>
      <c r="J29" s="43"/>
      <c r="K29" s="58"/>
      <c r="L29" s="76"/>
    </row>
    <row r="30" spans="1:12" ht="15.95" customHeight="1" x14ac:dyDescent="0.25">
      <c r="A30" s="16"/>
      <c r="B30" s="10"/>
      <c r="C30" s="22"/>
      <c r="D30" s="22"/>
      <c r="E30" s="10"/>
      <c r="F30" s="22"/>
      <c r="G30" s="22"/>
      <c r="H30" s="22"/>
      <c r="I30" s="22"/>
      <c r="J30" s="43"/>
      <c r="K30" s="58"/>
      <c r="L30" s="76"/>
    </row>
    <row r="31" spans="1:12" ht="15.95" customHeight="1" x14ac:dyDescent="0.25">
      <c r="A31" s="16"/>
      <c r="B31" s="10"/>
      <c r="C31" s="22"/>
      <c r="D31" s="22"/>
      <c r="E31" s="10"/>
      <c r="F31" s="22"/>
      <c r="G31" s="22"/>
      <c r="H31" s="22"/>
      <c r="I31" s="22"/>
      <c r="J31" s="32"/>
      <c r="K31" s="58"/>
      <c r="L31" s="76"/>
    </row>
    <row r="32" spans="1:12" ht="15.95" customHeight="1" x14ac:dyDescent="0.25">
      <c r="A32" s="13"/>
      <c r="B32" s="10"/>
      <c r="C32" s="22"/>
      <c r="D32" s="22"/>
      <c r="E32" s="10"/>
      <c r="F32" s="22"/>
      <c r="G32" s="22"/>
      <c r="H32" s="22"/>
      <c r="I32" s="22"/>
      <c r="J32" s="32"/>
      <c r="K32" s="58"/>
      <c r="L32" s="76"/>
    </row>
    <row r="33" spans="1:12" ht="15.95" customHeight="1" x14ac:dyDescent="0.25">
      <c r="A33" s="13"/>
      <c r="B33" s="10"/>
      <c r="C33" s="22"/>
      <c r="D33" s="22"/>
      <c r="E33" s="10"/>
      <c r="F33" s="22"/>
      <c r="G33" s="22"/>
      <c r="H33" s="22"/>
      <c r="I33" s="22"/>
      <c r="J33" s="32"/>
      <c r="K33" s="58"/>
      <c r="L33" s="76"/>
    </row>
    <row r="34" spans="1:12" ht="15.95" customHeight="1" x14ac:dyDescent="0.25">
      <c r="A34" s="13"/>
      <c r="B34" s="10"/>
      <c r="C34" s="22"/>
      <c r="D34" s="22"/>
      <c r="E34" s="10"/>
      <c r="F34" s="22"/>
      <c r="G34" s="22"/>
      <c r="H34" s="22"/>
      <c r="I34" s="22"/>
      <c r="J34" s="32"/>
      <c r="K34" s="58"/>
      <c r="L34" s="76"/>
    </row>
    <row r="35" spans="1:12" ht="15.95" customHeight="1" x14ac:dyDescent="0.25">
      <c r="A35" s="13"/>
      <c r="B35" s="34"/>
      <c r="C35" s="34"/>
      <c r="D35" s="34"/>
      <c r="E35" s="34"/>
      <c r="F35" s="34"/>
      <c r="G35" s="34"/>
      <c r="H35" s="34"/>
      <c r="I35" s="34"/>
      <c r="J35" s="32"/>
      <c r="K35" s="58"/>
      <c r="L35" s="76"/>
    </row>
    <row r="36" spans="1:12" ht="15.95" customHeight="1" x14ac:dyDescent="0.25">
      <c r="A36" s="13"/>
      <c r="B36" s="34"/>
      <c r="C36" s="34"/>
      <c r="D36" s="34"/>
      <c r="E36" s="34"/>
      <c r="F36" s="34"/>
      <c r="G36" s="34"/>
      <c r="H36" s="34"/>
      <c r="I36" s="34"/>
      <c r="J36" s="32"/>
      <c r="K36" s="58"/>
      <c r="L36" s="76"/>
    </row>
    <row r="37" spans="1:12" ht="15.95" customHeight="1" x14ac:dyDescent="0.25">
      <c r="A37" s="13"/>
      <c r="B37" s="10"/>
      <c r="C37" s="20"/>
      <c r="D37" s="11"/>
      <c r="E37" s="15"/>
      <c r="F37" s="15"/>
      <c r="G37" s="15"/>
      <c r="H37" s="12"/>
      <c r="I37" s="12"/>
      <c r="J37" s="32"/>
      <c r="K37" s="58"/>
      <c r="L37" s="76"/>
    </row>
    <row r="38" spans="1:12" ht="15.95" customHeight="1" x14ac:dyDescent="0.25">
      <c r="A38" s="13"/>
      <c r="B38" s="15"/>
      <c r="C38" s="35"/>
      <c r="D38" s="35"/>
      <c r="E38" s="15"/>
      <c r="F38" s="33"/>
      <c r="G38" s="34"/>
      <c r="H38" s="18"/>
      <c r="I38" s="18"/>
      <c r="J38" s="32"/>
      <c r="K38" s="58"/>
      <c r="L38" s="76"/>
    </row>
    <row r="39" spans="1:12" ht="15.95" customHeight="1" x14ac:dyDescent="0.25">
      <c r="A39" s="16"/>
      <c r="B39" s="10"/>
      <c r="C39" s="22"/>
      <c r="D39" s="22"/>
      <c r="E39" s="10"/>
      <c r="F39" s="22"/>
      <c r="G39" s="22"/>
      <c r="H39" s="22"/>
      <c r="I39" s="22"/>
      <c r="J39" s="32"/>
      <c r="K39" s="58"/>
      <c r="L39" s="76"/>
    </row>
    <row r="40" spans="1:12" ht="15.95" customHeight="1" x14ac:dyDescent="0.25">
      <c r="A40" s="13"/>
      <c r="B40" s="10"/>
      <c r="C40" s="22"/>
      <c r="D40" s="22"/>
      <c r="E40" s="10"/>
      <c r="F40" s="22"/>
      <c r="G40" s="22"/>
      <c r="H40" s="22"/>
      <c r="I40" s="22"/>
      <c r="J40" s="32"/>
      <c r="K40" s="58"/>
      <c r="L40" s="76"/>
    </row>
    <row r="41" spans="1:12" ht="15.95" customHeight="1" x14ac:dyDescent="0.25">
      <c r="A41" s="13"/>
      <c r="B41" s="10"/>
      <c r="C41" s="22"/>
      <c r="D41" s="22"/>
      <c r="E41" s="10"/>
      <c r="F41" s="22"/>
      <c r="G41" s="22"/>
      <c r="H41" s="22"/>
      <c r="I41" s="22"/>
      <c r="J41" s="32"/>
      <c r="K41" s="58"/>
      <c r="L41" s="76"/>
    </row>
    <row r="42" spans="1:12" ht="15.95" customHeight="1" x14ac:dyDescent="0.25">
      <c r="A42" s="13"/>
      <c r="B42" s="10"/>
      <c r="C42" s="22"/>
      <c r="D42" s="22"/>
      <c r="E42" s="10"/>
      <c r="F42" s="22"/>
      <c r="G42" s="22"/>
      <c r="H42" s="22"/>
      <c r="I42" s="22"/>
      <c r="J42" s="32"/>
      <c r="K42" s="58"/>
      <c r="L42" s="76"/>
    </row>
    <row r="43" spans="1:12" ht="15.95" customHeight="1" x14ac:dyDescent="0.25">
      <c r="A43" s="13"/>
      <c r="B43" s="10"/>
      <c r="C43" s="22"/>
      <c r="D43" s="22"/>
      <c r="E43" s="10"/>
      <c r="F43" s="22"/>
      <c r="G43" s="22"/>
      <c r="H43" s="22"/>
      <c r="I43" s="22"/>
      <c r="J43" s="32"/>
      <c r="K43" s="58"/>
      <c r="L43" s="76"/>
    </row>
    <row r="44" spans="1:12" ht="15.95" customHeight="1" x14ac:dyDescent="0.25">
      <c r="A44" s="13"/>
      <c r="B44" s="10"/>
      <c r="C44" s="20"/>
      <c r="D44" s="11"/>
      <c r="E44" s="10"/>
      <c r="F44" s="10"/>
      <c r="G44" s="10"/>
      <c r="H44" s="12"/>
      <c r="I44" s="10"/>
      <c r="J44" s="32"/>
      <c r="K44" s="58"/>
      <c r="L44" s="76"/>
    </row>
    <row r="45" spans="1:12" ht="15.95" customHeight="1" x14ac:dyDescent="0.25">
      <c r="A45" s="13"/>
      <c r="B45" s="10"/>
      <c r="C45" s="20"/>
      <c r="D45" s="11"/>
      <c r="E45" s="10"/>
      <c r="F45" s="10"/>
      <c r="G45" s="10"/>
      <c r="H45" s="12"/>
      <c r="I45" s="10"/>
      <c r="J45" s="32"/>
      <c r="K45" s="58"/>
      <c r="L45" s="76"/>
    </row>
    <row r="46" spans="1:12" ht="15.95" customHeight="1" x14ac:dyDescent="0.25">
      <c r="A46" s="13"/>
      <c r="B46" s="15"/>
      <c r="C46" s="15"/>
      <c r="D46" s="15"/>
      <c r="E46" s="11"/>
      <c r="F46" s="11"/>
      <c r="G46" s="10"/>
      <c r="H46" s="12"/>
      <c r="I46" s="10"/>
      <c r="J46" s="32"/>
      <c r="K46" s="58"/>
      <c r="L46" s="76"/>
    </row>
    <row r="47" spans="1:12" ht="15.95" customHeight="1" x14ac:dyDescent="0.25">
      <c r="A47" s="13"/>
      <c r="B47" s="15"/>
      <c r="C47" s="15"/>
      <c r="D47" s="15"/>
      <c r="E47" s="11"/>
      <c r="F47" s="11"/>
      <c r="G47" s="10"/>
      <c r="H47" s="12"/>
      <c r="I47" s="10"/>
      <c r="J47" s="32"/>
      <c r="K47" s="58"/>
      <c r="L47" s="76"/>
    </row>
    <row r="48" spans="1:12" ht="15.95" customHeight="1" x14ac:dyDescent="0.25">
      <c r="A48" s="13"/>
      <c r="B48" s="10"/>
      <c r="C48" s="20"/>
      <c r="D48" s="11"/>
      <c r="E48" s="10"/>
      <c r="F48" s="10"/>
      <c r="G48" s="10"/>
      <c r="H48" s="10"/>
      <c r="I48" s="10"/>
      <c r="J48" s="32"/>
      <c r="K48" s="58"/>
      <c r="L48" s="76"/>
    </row>
    <row r="49" spans="1:12" ht="15.95" customHeight="1" thickBot="1" x14ac:dyDescent="0.3">
      <c r="A49" s="95"/>
      <c r="B49" s="67"/>
      <c r="C49" s="23"/>
      <c r="D49" s="24"/>
      <c r="E49" s="25"/>
      <c r="F49" s="25"/>
      <c r="G49" s="25"/>
      <c r="H49" s="25"/>
      <c r="I49" s="25"/>
      <c r="J49" s="61"/>
      <c r="K49" s="31"/>
      <c r="L49" s="77"/>
    </row>
    <row r="50" spans="1:12" ht="15.95" customHeight="1" thickBot="1" x14ac:dyDescent="0.3">
      <c r="A50" s="445" t="s">
        <v>13</v>
      </c>
      <c r="B50" s="446"/>
      <c r="C50" s="447"/>
      <c r="D50" s="447"/>
      <c r="E50" s="447"/>
      <c r="F50" s="447"/>
      <c r="G50" s="447"/>
      <c r="H50" s="447"/>
      <c r="I50" s="447"/>
      <c r="J50" s="448"/>
      <c r="K50" s="105">
        <f>SUM(K8:K48)</f>
        <v>8</v>
      </c>
      <c r="L50" s="80">
        <f>K50</f>
        <v>8</v>
      </c>
    </row>
  </sheetData>
  <mergeCells count="6">
    <mergeCell ref="A50:J50"/>
    <mergeCell ref="I1:J1"/>
    <mergeCell ref="I2:J2"/>
    <mergeCell ref="C4:D4"/>
    <mergeCell ref="F4:G4"/>
    <mergeCell ref="I4:L4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FF0000"/>
    <pageSetUpPr fitToPage="1"/>
  </sheetPr>
  <dimension ref="A1:L50"/>
  <sheetViews>
    <sheetView view="pageBreakPreview" zoomScale="85" zoomScaleNormal="100" zoomScaleSheetLayoutView="85" workbookViewId="0">
      <selection activeCell="AJ31" sqref="AJ31"/>
    </sheetView>
  </sheetViews>
  <sheetFormatPr defaultColWidth="2.85546875" defaultRowHeight="15" customHeight="1" x14ac:dyDescent="0.25"/>
  <cols>
    <col min="1" max="1" width="2.5703125" customWidth="1"/>
    <col min="2" max="2" width="8.7109375" customWidth="1"/>
    <col min="3" max="3" width="9" customWidth="1"/>
    <col min="4" max="4" width="10.28515625" customWidth="1"/>
    <col min="5" max="5" width="8.7109375" customWidth="1"/>
    <col min="6" max="6" width="7.85546875" customWidth="1"/>
    <col min="7" max="7" width="9.42578125" customWidth="1"/>
    <col min="8" max="8" width="10.7109375" customWidth="1"/>
    <col min="9" max="9" width="8.5703125" customWidth="1"/>
    <col min="10" max="10" width="8.28515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88" t="s">
        <v>150</v>
      </c>
      <c r="F1" s="121" t="s">
        <v>4</v>
      </c>
      <c r="G1" s="351">
        <v>44847</v>
      </c>
      <c r="H1" s="121" t="s">
        <v>5</v>
      </c>
      <c r="I1" s="449" t="s">
        <v>160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159"/>
      <c r="H2" s="2" t="s">
        <v>6</v>
      </c>
      <c r="I2" s="454">
        <v>1</v>
      </c>
      <c r="J2" s="483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65" t="s">
        <v>159</v>
      </c>
      <c r="D5" s="465"/>
      <c r="E5" s="465"/>
      <c r="F5" s="465"/>
      <c r="G5" s="465"/>
      <c r="H5" s="465"/>
      <c r="I5" s="465"/>
      <c r="J5" s="465"/>
      <c r="K5" s="111" t="s">
        <v>8</v>
      </c>
      <c r="L5" s="113" t="s">
        <v>34</v>
      </c>
    </row>
    <row r="6" spans="1:12" ht="20.100000000000001" customHeight="1" thickBot="1" x14ac:dyDescent="0.3">
      <c r="A6" s="129"/>
      <c r="B6" s="29"/>
      <c r="C6" s="29"/>
      <c r="D6" s="29"/>
      <c r="E6" s="29"/>
      <c r="F6" s="29"/>
      <c r="G6" s="29"/>
      <c r="H6" s="29"/>
      <c r="I6" s="29"/>
      <c r="J6" s="29"/>
      <c r="K6" s="29"/>
      <c r="L6" s="155"/>
    </row>
    <row r="7" spans="1:12" ht="15" customHeight="1" thickBot="1" x14ac:dyDescent="0.3">
      <c r="A7" s="4"/>
      <c r="B7" s="5"/>
      <c r="C7" s="5"/>
      <c r="D7" s="5"/>
      <c r="E7" s="5"/>
      <c r="F7" s="5"/>
      <c r="G7" s="5"/>
      <c r="H7" s="5"/>
      <c r="I7" s="5"/>
      <c r="J7" s="5"/>
      <c r="K7" s="105" t="s">
        <v>12</v>
      </c>
      <c r="L7" s="74" t="s">
        <v>13</v>
      </c>
    </row>
    <row r="8" spans="1:12" ht="15.95" customHeight="1" x14ac:dyDescent="0.25">
      <c r="A8" s="64"/>
      <c r="B8" s="40"/>
      <c r="C8" s="40"/>
      <c r="D8" s="40"/>
      <c r="E8" s="40"/>
      <c r="F8" s="40"/>
      <c r="G8" s="40"/>
      <c r="H8" s="40"/>
      <c r="I8" s="115"/>
      <c r="J8" s="116"/>
      <c r="K8" s="7"/>
      <c r="L8" s="75"/>
    </row>
    <row r="9" spans="1:12" ht="15.95" customHeight="1" x14ac:dyDescent="0.25">
      <c r="A9" s="186" t="s">
        <v>175</v>
      </c>
      <c r="B9" s="34"/>
      <c r="C9" s="20"/>
      <c r="D9" s="20"/>
      <c r="E9" s="20"/>
      <c r="F9" s="22"/>
      <c r="G9" s="22"/>
      <c r="H9" s="10"/>
      <c r="I9" s="10"/>
      <c r="J9" s="32"/>
      <c r="K9" s="60"/>
      <c r="L9" s="76"/>
    </row>
    <row r="10" spans="1:12" ht="15.95" customHeight="1" x14ac:dyDescent="0.25">
      <c r="A10" s="65"/>
      <c r="B10" s="34"/>
      <c r="C10" s="20"/>
      <c r="D10" s="22"/>
      <c r="E10" s="20"/>
      <c r="F10" s="22"/>
      <c r="G10" s="22"/>
      <c r="H10" s="10"/>
      <c r="I10" s="37"/>
      <c r="J10" s="42"/>
      <c r="K10" s="58"/>
      <c r="L10" s="76"/>
    </row>
    <row r="11" spans="1:12" ht="15.95" customHeight="1" x14ac:dyDescent="0.25">
      <c r="A11" s="13"/>
      <c r="B11" s="34"/>
      <c r="C11" s="20"/>
      <c r="D11" s="63"/>
      <c r="E11" s="20"/>
      <c r="F11" s="22"/>
      <c r="G11" s="22"/>
      <c r="H11" s="12"/>
      <c r="I11" s="149"/>
      <c r="J11" s="32"/>
      <c r="K11" s="58"/>
      <c r="L11" s="76"/>
    </row>
    <row r="12" spans="1:12" ht="15.95" customHeight="1" x14ac:dyDescent="0.25">
      <c r="A12" s="13"/>
      <c r="B12" s="45" t="s">
        <v>85</v>
      </c>
      <c r="C12" s="20"/>
      <c r="D12" s="22">
        <f>106.25+4.91666</f>
        <v>111.16666000000001</v>
      </c>
      <c r="E12" s="20" t="s">
        <v>17</v>
      </c>
      <c r="F12" s="353" t="s">
        <v>211</v>
      </c>
      <c r="G12" s="22"/>
      <c r="H12" s="12"/>
      <c r="I12" s="149"/>
      <c r="J12" s="32"/>
      <c r="K12" s="58"/>
      <c r="L12" s="76"/>
    </row>
    <row r="13" spans="1:12" ht="15.95" customHeight="1" x14ac:dyDescent="0.25">
      <c r="A13" s="70"/>
      <c r="B13" s="45" t="s">
        <v>176</v>
      </c>
      <c r="C13" s="131"/>
      <c r="D13" s="22">
        <f>106.25+4.91666</f>
        <v>111.16666000000001</v>
      </c>
      <c r="E13" s="20" t="s">
        <v>17</v>
      </c>
      <c r="F13" s="353" t="s">
        <v>211</v>
      </c>
      <c r="G13" s="22"/>
      <c r="H13" s="10"/>
      <c r="I13" s="149"/>
      <c r="J13" s="32"/>
      <c r="K13" s="58"/>
      <c r="L13" s="76"/>
    </row>
    <row r="14" spans="1:12" ht="15.95" customHeight="1" x14ac:dyDescent="0.25">
      <c r="A14" s="65"/>
      <c r="B14" s="45"/>
      <c r="C14" s="131"/>
      <c r="D14" s="63"/>
      <c r="E14" s="20"/>
      <c r="F14" s="131"/>
      <c r="G14" s="22"/>
      <c r="H14" s="12"/>
      <c r="I14" s="36"/>
      <c r="J14" s="32"/>
      <c r="K14" s="58"/>
      <c r="L14" s="76"/>
    </row>
    <row r="15" spans="1:12" ht="15.95" customHeight="1" x14ac:dyDescent="0.25">
      <c r="A15" s="66"/>
      <c r="B15" s="45"/>
      <c r="C15" s="34"/>
      <c r="D15" s="63"/>
      <c r="E15" s="20"/>
      <c r="F15" s="22"/>
      <c r="G15" s="22"/>
      <c r="H15" s="10"/>
      <c r="I15" s="149"/>
      <c r="J15" s="42"/>
      <c r="K15" s="58"/>
      <c r="L15" s="76"/>
    </row>
    <row r="16" spans="1:12" ht="15.95" customHeight="1" x14ac:dyDescent="0.25">
      <c r="A16" s="70"/>
      <c r="B16" s="50" t="s">
        <v>50</v>
      </c>
      <c r="C16" s="48"/>
      <c r="D16" s="319">
        <f>ROUND(SUM(D11:D15), 0)</f>
        <v>222</v>
      </c>
      <c r="E16" s="48" t="s">
        <v>17</v>
      </c>
      <c r="F16" s="22"/>
      <c r="G16" s="22"/>
      <c r="H16" s="12"/>
      <c r="I16" s="149"/>
      <c r="J16" s="151" t="s">
        <v>177</v>
      </c>
      <c r="K16" s="320">
        <f>D16</f>
        <v>222</v>
      </c>
      <c r="L16" s="76"/>
    </row>
    <row r="17" spans="1:12" ht="15.95" customHeight="1" x14ac:dyDescent="0.25">
      <c r="A17" s="13"/>
      <c r="B17" s="45"/>
      <c r="C17" s="20"/>
      <c r="D17" s="22"/>
      <c r="E17" s="20"/>
      <c r="F17" s="22"/>
      <c r="G17" s="22"/>
      <c r="H17" s="34"/>
      <c r="I17" s="41"/>
      <c r="J17" s="32"/>
      <c r="K17" s="58"/>
      <c r="L17" s="76"/>
    </row>
    <row r="18" spans="1:12" ht="15.95" customHeight="1" x14ac:dyDescent="0.25">
      <c r="A18" s="13"/>
      <c r="B18" s="45"/>
      <c r="C18" s="20"/>
      <c r="D18" s="22"/>
      <c r="E18" s="20"/>
      <c r="F18" s="22"/>
      <c r="G18" s="22"/>
      <c r="H18" s="34"/>
      <c r="I18" s="41"/>
      <c r="J18" s="32"/>
      <c r="K18" s="58"/>
      <c r="L18" s="76"/>
    </row>
    <row r="19" spans="1:12" ht="15.95" customHeight="1" x14ac:dyDescent="0.25">
      <c r="A19" s="69"/>
      <c r="B19" s="34"/>
      <c r="C19" s="20"/>
      <c r="D19" s="20"/>
      <c r="E19" s="20"/>
      <c r="F19" s="117"/>
      <c r="G19" s="117"/>
      <c r="H19" s="10"/>
      <c r="I19" s="34"/>
      <c r="J19" s="43"/>
      <c r="K19" s="58"/>
      <c r="L19" s="76"/>
    </row>
    <row r="20" spans="1:12" ht="15.95" customHeight="1" x14ac:dyDescent="0.25">
      <c r="A20" s="13"/>
      <c r="B20" s="34"/>
      <c r="C20" s="34"/>
      <c r="D20" s="34"/>
      <c r="E20" s="38"/>
      <c r="F20" s="22"/>
      <c r="G20" s="22"/>
      <c r="H20" s="34"/>
      <c r="I20" s="34"/>
      <c r="J20" s="43"/>
      <c r="K20" s="58"/>
      <c r="L20" s="76"/>
    </row>
    <row r="21" spans="1:12" ht="15.95" customHeight="1" x14ac:dyDescent="0.25">
      <c r="A21" s="13"/>
      <c r="B21" s="34"/>
      <c r="C21" s="34"/>
      <c r="D21" s="34"/>
      <c r="E21" s="34"/>
      <c r="F21" s="34"/>
      <c r="G21" s="34"/>
      <c r="H21" s="34"/>
      <c r="I21" s="34"/>
      <c r="J21" s="43"/>
      <c r="K21" s="46"/>
      <c r="L21" s="76"/>
    </row>
    <row r="22" spans="1:12" ht="15.95" customHeight="1" x14ac:dyDescent="0.25">
      <c r="A22" s="13"/>
      <c r="B22" s="34"/>
      <c r="C22" s="34"/>
      <c r="D22" s="34"/>
      <c r="E22" s="34"/>
      <c r="F22" s="34"/>
      <c r="G22" s="22"/>
      <c r="H22" s="10"/>
      <c r="I22" s="34"/>
      <c r="J22" s="43"/>
      <c r="K22" s="58"/>
      <c r="L22" s="76"/>
    </row>
    <row r="23" spans="1:12" ht="15.95" customHeight="1" x14ac:dyDescent="0.25">
      <c r="A23" s="13"/>
      <c r="B23" s="34"/>
      <c r="C23" s="34"/>
      <c r="D23" s="34"/>
      <c r="E23" s="34"/>
      <c r="F23" s="34"/>
      <c r="G23" s="22"/>
      <c r="H23" s="10"/>
      <c r="I23" s="34"/>
      <c r="J23" s="43"/>
      <c r="K23" s="58"/>
      <c r="L23" s="76"/>
    </row>
    <row r="24" spans="1:12" ht="15.95" customHeight="1" x14ac:dyDescent="0.25">
      <c r="A24" s="13"/>
      <c r="B24" s="34"/>
      <c r="C24" s="34"/>
      <c r="D24" s="34"/>
      <c r="E24" s="34"/>
      <c r="F24" s="34"/>
      <c r="G24" s="22"/>
      <c r="H24" s="10"/>
      <c r="I24" s="34"/>
      <c r="J24" s="43"/>
      <c r="K24" s="58"/>
      <c r="L24" s="76"/>
    </row>
    <row r="25" spans="1:12" ht="15.95" customHeight="1" x14ac:dyDescent="0.25">
      <c r="A25" s="13"/>
      <c r="B25" s="34"/>
      <c r="C25" s="34"/>
      <c r="D25" s="34"/>
      <c r="E25" s="34"/>
      <c r="F25" s="34"/>
      <c r="G25" s="22"/>
      <c r="H25" s="10"/>
      <c r="I25" s="34"/>
      <c r="J25" s="43"/>
      <c r="K25" s="58"/>
      <c r="L25" s="76"/>
    </row>
    <row r="26" spans="1:12" ht="15.95" customHeight="1" x14ac:dyDescent="0.25">
      <c r="A26" s="13"/>
      <c r="B26" s="34"/>
      <c r="C26" s="34"/>
      <c r="D26" s="34"/>
      <c r="E26" s="34"/>
      <c r="F26" s="34"/>
      <c r="G26" s="22"/>
      <c r="H26" s="10"/>
      <c r="I26" s="34"/>
      <c r="J26" s="43"/>
      <c r="K26" s="58"/>
      <c r="L26" s="76"/>
    </row>
    <row r="27" spans="1:12" ht="15.95" customHeight="1" x14ac:dyDescent="0.25">
      <c r="A27" s="13"/>
      <c r="B27" s="34"/>
      <c r="C27" s="34"/>
      <c r="D27" s="34"/>
      <c r="E27" s="34"/>
      <c r="F27" s="34"/>
      <c r="G27" s="22"/>
      <c r="H27" s="10"/>
      <c r="I27" s="34"/>
      <c r="J27" s="43"/>
      <c r="K27" s="58"/>
      <c r="L27" s="76"/>
    </row>
    <row r="28" spans="1:12" ht="15.95" customHeight="1" x14ac:dyDescent="0.25">
      <c r="A28" s="13"/>
      <c r="B28" s="10"/>
      <c r="C28" s="20"/>
      <c r="D28" s="11"/>
      <c r="E28" s="15"/>
      <c r="F28" s="15"/>
      <c r="G28" s="15"/>
      <c r="H28" s="12"/>
      <c r="I28" s="12"/>
      <c r="J28" s="43"/>
      <c r="K28" s="58"/>
      <c r="L28" s="76"/>
    </row>
    <row r="29" spans="1:12" ht="15.95" customHeight="1" x14ac:dyDescent="0.25">
      <c r="A29" s="13"/>
      <c r="B29" s="15"/>
      <c r="C29" s="35"/>
      <c r="D29" s="35"/>
      <c r="E29" s="15"/>
      <c r="F29" s="33"/>
      <c r="G29" s="34"/>
      <c r="H29" s="18"/>
      <c r="I29" s="18"/>
      <c r="J29" s="43"/>
      <c r="K29" s="58"/>
      <c r="L29" s="76"/>
    </row>
    <row r="30" spans="1:12" ht="15.95" customHeight="1" x14ac:dyDescent="0.25">
      <c r="A30" s="16"/>
      <c r="B30" s="10"/>
      <c r="C30" s="22"/>
      <c r="D30" s="22"/>
      <c r="E30" s="10"/>
      <c r="F30" s="22"/>
      <c r="G30" s="22"/>
      <c r="H30" s="22"/>
      <c r="I30" s="22"/>
      <c r="J30" s="43"/>
      <c r="K30" s="58"/>
      <c r="L30" s="76"/>
    </row>
    <row r="31" spans="1:12" ht="15.95" customHeight="1" x14ac:dyDescent="0.25">
      <c r="A31" s="16"/>
      <c r="B31" s="10"/>
      <c r="C31" s="22"/>
      <c r="D31" s="22"/>
      <c r="E31" s="10"/>
      <c r="F31" s="22"/>
      <c r="G31" s="22"/>
      <c r="H31" s="22"/>
      <c r="I31" s="22"/>
      <c r="J31" s="32"/>
      <c r="K31" s="58"/>
      <c r="L31" s="76"/>
    </row>
    <row r="32" spans="1:12" ht="15.95" customHeight="1" x14ac:dyDescent="0.25">
      <c r="A32" s="13"/>
      <c r="B32" s="10"/>
      <c r="C32" s="22"/>
      <c r="D32" s="22"/>
      <c r="E32" s="10"/>
      <c r="F32" s="22"/>
      <c r="G32" s="22"/>
      <c r="H32" s="22"/>
      <c r="I32" s="22"/>
      <c r="J32" s="32"/>
      <c r="K32" s="58"/>
      <c r="L32" s="76"/>
    </row>
    <row r="33" spans="1:12" ht="15.95" customHeight="1" x14ac:dyDescent="0.25">
      <c r="A33" s="13"/>
      <c r="B33" s="10"/>
      <c r="C33" s="22"/>
      <c r="D33" s="22"/>
      <c r="E33" s="10"/>
      <c r="F33" s="22"/>
      <c r="G33" s="22"/>
      <c r="H33" s="22"/>
      <c r="I33" s="22"/>
      <c r="J33" s="32"/>
      <c r="K33" s="58"/>
      <c r="L33" s="76"/>
    </row>
    <row r="34" spans="1:12" ht="15.95" customHeight="1" x14ac:dyDescent="0.25">
      <c r="A34" s="13"/>
      <c r="B34" s="10"/>
      <c r="C34" s="22"/>
      <c r="D34" s="22"/>
      <c r="E34" s="10"/>
      <c r="F34" s="22"/>
      <c r="G34" s="22"/>
      <c r="H34" s="22"/>
      <c r="I34" s="22"/>
      <c r="J34" s="32"/>
      <c r="K34" s="58"/>
      <c r="L34" s="76"/>
    </row>
    <row r="35" spans="1:12" ht="15.95" customHeight="1" x14ac:dyDescent="0.25">
      <c r="A35" s="13"/>
      <c r="B35" s="34"/>
      <c r="C35" s="34"/>
      <c r="D35" s="34"/>
      <c r="E35" s="34"/>
      <c r="F35" s="34"/>
      <c r="G35" s="34"/>
      <c r="H35" s="34"/>
      <c r="I35" s="34"/>
      <c r="J35" s="32"/>
      <c r="K35" s="58"/>
      <c r="L35" s="76"/>
    </row>
    <row r="36" spans="1:12" ht="15.95" customHeight="1" x14ac:dyDescent="0.25">
      <c r="A36" s="13"/>
      <c r="B36" s="34"/>
      <c r="C36" s="34"/>
      <c r="D36" s="34"/>
      <c r="E36" s="34"/>
      <c r="F36" s="34"/>
      <c r="G36" s="34"/>
      <c r="H36" s="34"/>
      <c r="I36" s="34"/>
      <c r="J36" s="32"/>
      <c r="K36" s="58"/>
      <c r="L36" s="76"/>
    </row>
    <row r="37" spans="1:12" ht="15.95" customHeight="1" x14ac:dyDescent="0.25">
      <c r="A37" s="13"/>
      <c r="B37" s="10"/>
      <c r="C37" s="20"/>
      <c r="D37" s="11"/>
      <c r="E37" s="15"/>
      <c r="F37" s="15"/>
      <c r="G37" s="15"/>
      <c r="H37" s="12"/>
      <c r="I37" s="12"/>
      <c r="J37" s="32"/>
      <c r="K37" s="58"/>
      <c r="L37" s="76"/>
    </row>
    <row r="38" spans="1:12" ht="15.95" customHeight="1" x14ac:dyDescent="0.25">
      <c r="A38" s="13"/>
      <c r="B38" s="15"/>
      <c r="C38" s="35"/>
      <c r="D38" s="35"/>
      <c r="E38" s="15"/>
      <c r="F38" s="33"/>
      <c r="G38" s="34"/>
      <c r="H38" s="18"/>
      <c r="I38" s="18"/>
      <c r="J38" s="32"/>
      <c r="K38" s="58"/>
      <c r="L38" s="76"/>
    </row>
    <row r="39" spans="1:12" ht="15.95" customHeight="1" x14ac:dyDescent="0.25">
      <c r="A39" s="16"/>
      <c r="B39" s="10"/>
      <c r="C39" s="22"/>
      <c r="D39" s="22"/>
      <c r="E39" s="10"/>
      <c r="F39" s="22"/>
      <c r="G39" s="22"/>
      <c r="H39" s="22"/>
      <c r="I39" s="22"/>
      <c r="J39" s="32"/>
      <c r="K39" s="58"/>
      <c r="L39" s="76"/>
    </row>
    <row r="40" spans="1:12" ht="15.95" customHeight="1" x14ac:dyDescent="0.25">
      <c r="A40" s="13"/>
      <c r="B40" s="10"/>
      <c r="C40" s="22"/>
      <c r="D40" s="22"/>
      <c r="E40" s="10"/>
      <c r="F40" s="22"/>
      <c r="G40" s="22"/>
      <c r="H40" s="22"/>
      <c r="I40" s="22"/>
      <c r="J40" s="32"/>
      <c r="K40" s="58"/>
      <c r="L40" s="76"/>
    </row>
    <row r="41" spans="1:12" ht="15.95" customHeight="1" x14ac:dyDescent="0.25">
      <c r="A41" s="13"/>
      <c r="B41" s="10"/>
      <c r="C41" s="22"/>
      <c r="D41" s="22"/>
      <c r="E41" s="10"/>
      <c r="F41" s="22"/>
      <c r="G41" s="22"/>
      <c r="H41" s="22"/>
      <c r="I41" s="22"/>
      <c r="J41" s="32"/>
      <c r="K41" s="58"/>
      <c r="L41" s="76"/>
    </row>
    <row r="42" spans="1:12" ht="15.95" customHeight="1" x14ac:dyDescent="0.25">
      <c r="A42" s="13"/>
      <c r="B42" s="10"/>
      <c r="C42" s="22"/>
      <c r="D42" s="22"/>
      <c r="E42" s="10"/>
      <c r="F42" s="22"/>
      <c r="G42" s="22"/>
      <c r="H42" s="22"/>
      <c r="I42" s="22"/>
      <c r="J42" s="32"/>
      <c r="K42" s="58"/>
      <c r="L42" s="76"/>
    </row>
    <row r="43" spans="1:12" ht="15.95" customHeight="1" x14ac:dyDescent="0.25">
      <c r="A43" s="13"/>
      <c r="B43" s="10"/>
      <c r="C43" s="22"/>
      <c r="D43" s="22"/>
      <c r="E43" s="10"/>
      <c r="F43" s="22"/>
      <c r="G43" s="22"/>
      <c r="H43" s="22"/>
      <c r="I43" s="22"/>
      <c r="J43" s="32"/>
      <c r="K43" s="58"/>
      <c r="L43" s="76"/>
    </row>
    <row r="44" spans="1:12" ht="15.95" customHeight="1" x14ac:dyDescent="0.25">
      <c r="A44" s="13"/>
      <c r="B44" s="10"/>
      <c r="C44" s="20"/>
      <c r="D44" s="11"/>
      <c r="E44" s="10"/>
      <c r="F44" s="10"/>
      <c r="G44" s="10"/>
      <c r="H44" s="12"/>
      <c r="I44" s="10"/>
      <c r="J44" s="32"/>
      <c r="K44" s="58"/>
      <c r="L44" s="76"/>
    </row>
    <row r="45" spans="1:12" ht="15.95" customHeight="1" x14ac:dyDescent="0.25">
      <c r="A45" s="13"/>
      <c r="B45" s="10"/>
      <c r="C45" s="20"/>
      <c r="D45" s="11"/>
      <c r="E45" s="10"/>
      <c r="F45" s="10"/>
      <c r="G45" s="10"/>
      <c r="H45" s="12"/>
      <c r="I45" s="10"/>
      <c r="J45" s="32"/>
      <c r="K45" s="58"/>
      <c r="L45" s="76"/>
    </row>
    <row r="46" spans="1:12" ht="15.95" customHeight="1" x14ac:dyDescent="0.25">
      <c r="A46" s="13"/>
      <c r="B46" s="15"/>
      <c r="C46" s="15"/>
      <c r="D46" s="15"/>
      <c r="E46" s="11"/>
      <c r="F46" s="11"/>
      <c r="G46" s="10"/>
      <c r="H46" s="12"/>
      <c r="I46" s="10"/>
      <c r="J46" s="32"/>
      <c r="K46" s="58"/>
      <c r="L46" s="76"/>
    </row>
    <row r="47" spans="1:12" ht="15.95" customHeight="1" x14ac:dyDescent="0.25">
      <c r="A47" s="13"/>
      <c r="B47" s="15"/>
      <c r="C47" s="15"/>
      <c r="D47" s="15"/>
      <c r="E47" s="11"/>
      <c r="F47" s="11"/>
      <c r="G47" s="10"/>
      <c r="H47" s="12"/>
      <c r="I47" s="10"/>
      <c r="J47" s="32"/>
      <c r="K47" s="58"/>
      <c r="L47" s="76"/>
    </row>
    <row r="48" spans="1:12" ht="15.95" customHeight="1" x14ac:dyDescent="0.25">
      <c r="A48" s="13"/>
      <c r="B48" s="10"/>
      <c r="C48" s="20"/>
      <c r="D48" s="11"/>
      <c r="E48" s="10"/>
      <c r="F48" s="10"/>
      <c r="G48" s="10"/>
      <c r="H48" s="10"/>
      <c r="I48" s="10"/>
      <c r="J48" s="32"/>
      <c r="K48" s="58"/>
      <c r="L48" s="76"/>
    </row>
    <row r="49" spans="1:12" ht="15.95" customHeight="1" thickBot="1" x14ac:dyDescent="0.3">
      <c r="A49" s="95"/>
      <c r="B49" s="67"/>
      <c r="C49" s="23"/>
      <c r="D49" s="24"/>
      <c r="E49" s="25"/>
      <c r="F49" s="25"/>
      <c r="G49" s="25"/>
      <c r="H49" s="25"/>
      <c r="I49" s="25"/>
      <c r="J49" s="61"/>
      <c r="K49" s="31"/>
      <c r="L49" s="77"/>
    </row>
    <row r="50" spans="1:12" ht="15.95" customHeight="1" thickBot="1" x14ac:dyDescent="0.3">
      <c r="A50" s="445" t="s">
        <v>13</v>
      </c>
      <c r="B50" s="446"/>
      <c r="C50" s="447"/>
      <c r="D50" s="447"/>
      <c r="E50" s="447"/>
      <c r="F50" s="447"/>
      <c r="G50" s="447"/>
      <c r="H50" s="447"/>
      <c r="I50" s="447"/>
      <c r="J50" s="448"/>
      <c r="K50" s="105">
        <f>SUM(K8:K48)</f>
        <v>222</v>
      </c>
      <c r="L50" s="80">
        <f>K50</f>
        <v>222</v>
      </c>
    </row>
  </sheetData>
  <mergeCells count="7">
    <mergeCell ref="A50:J50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FF0000"/>
    <pageSetUpPr fitToPage="1"/>
  </sheetPr>
  <dimension ref="A1:L49"/>
  <sheetViews>
    <sheetView showWhiteSpace="0" view="pageBreakPreview" zoomScale="85" zoomScaleNormal="100" zoomScaleSheetLayoutView="85" workbookViewId="0">
      <selection activeCell="AJ31" sqref="AJ31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2851562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351">
        <v>44847</v>
      </c>
      <c r="H1" s="121" t="s">
        <v>5</v>
      </c>
      <c r="I1" s="449" t="s">
        <v>162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161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34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73" t="s">
        <v>178</v>
      </c>
      <c r="C9" s="104"/>
      <c r="D9" s="11"/>
      <c r="E9" s="10"/>
      <c r="F9" s="10"/>
      <c r="G9" s="10"/>
      <c r="H9" s="25"/>
      <c r="I9" s="63"/>
      <c r="J9" s="58"/>
      <c r="K9" s="60"/>
      <c r="L9" s="76"/>
    </row>
    <row r="10" spans="1:12" ht="15.95" customHeight="1" x14ac:dyDescent="0.25">
      <c r="A10" s="13"/>
      <c r="B10" s="73"/>
      <c r="C10" s="22"/>
      <c r="D10" s="11"/>
      <c r="E10" s="10"/>
      <c r="F10" s="10"/>
      <c r="G10" s="10"/>
      <c r="H10" s="25"/>
      <c r="I10" s="92"/>
      <c r="J10" s="58"/>
      <c r="K10" s="60"/>
      <c r="L10" s="76"/>
    </row>
    <row r="11" spans="1:12" ht="33" customHeight="1" x14ac:dyDescent="0.25">
      <c r="A11" s="13"/>
      <c r="B11" s="54"/>
      <c r="C11" s="54"/>
      <c r="D11" s="54"/>
      <c r="E11" s="54"/>
      <c r="F11" s="52"/>
      <c r="G11" s="54"/>
      <c r="H11" s="54"/>
      <c r="I11" s="34"/>
      <c r="J11" s="58"/>
      <c r="K11" s="60"/>
      <c r="L11" s="76"/>
    </row>
    <row r="12" spans="1:12" ht="15.95" customHeight="1" x14ac:dyDescent="0.25">
      <c r="A12" s="13"/>
      <c r="B12" s="197"/>
      <c r="C12" s="11"/>
      <c r="D12" s="11"/>
      <c r="E12" s="11"/>
      <c r="F12" s="22"/>
      <c r="G12" s="22"/>
      <c r="H12" s="22"/>
      <c r="I12" s="88"/>
      <c r="J12" s="58"/>
      <c r="K12" s="103"/>
      <c r="L12" s="76"/>
    </row>
    <row r="13" spans="1:12" ht="15.95" customHeight="1" x14ac:dyDescent="0.25">
      <c r="A13" s="13"/>
      <c r="B13" s="38"/>
      <c r="C13" s="11"/>
      <c r="D13" s="11"/>
      <c r="E13" s="11"/>
      <c r="F13" s="22"/>
      <c r="G13" s="22"/>
      <c r="H13" s="22"/>
      <c r="I13" s="88"/>
      <c r="J13" s="58"/>
      <c r="K13" s="59"/>
      <c r="L13" s="76"/>
    </row>
    <row r="14" spans="1:12" ht="15.95" customHeight="1" x14ac:dyDescent="0.25">
      <c r="A14" s="13"/>
      <c r="B14" s="38"/>
      <c r="C14" s="11" t="s">
        <v>179</v>
      </c>
      <c r="D14" s="11"/>
      <c r="E14" s="11"/>
      <c r="F14" s="22"/>
      <c r="G14" s="22"/>
      <c r="H14" s="22"/>
      <c r="I14" s="88"/>
      <c r="J14" s="58"/>
      <c r="K14" s="60"/>
      <c r="L14" s="76"/>
    </row>
    <row r="15" spans="1:12" ht="15.95" customHeight="1" x14ac:dyDescent="0.25">
      <c r="A15" s="13"/>
      <c r="B15" s="10"/>
      <c r="C15" s="11" t="s">
        <v>180</v>
      </c>
      <c r="D15" s="11">
        <v>101.5</v>
      </c>
      <c r="E15" s="22" t="s">
        <v>17</v>
      </c>
      <c r="F15" s="49" t="s">
        <v>181</v>
      </c>
      <c r="G15" s="22"/>
      <c r="H15" s="22"/>
      <c r="I15" s="88"/>
      <c r="J15" s="58"/>
      <c r="K15" s="103">
        <f>D15</f>
        <v>101.5</v>
      </c>
      <c r="L15" s="76"/>
    </row>
    <row r="16" spans="1:12" ht="15.95" customHeight="1" x14ac:dyDescent="0.25">
      <c r="A16" s="13"/>
      <c r="B16" s="10"/>
      <c r="C16" s="197" t="s">
        <v>209</v>
      </c>
      <c r="D16" s="94" t="s">
        <v>210</v>
      </c>
      <c r="E16" s="22"/>
      <c r="F16" s="11">
        <f>1.5*16</f>
        <v>24</v>
      </c>
      <c r="G16" s="22" t="s">
        <v>17</v>
      </c>
      <c r="H16" s="22"/>
      <c r="I16" s="88"/>
      <c r="J16" s="58"/>
      <c r="K16" s="59">
        <f>F16</f>
        <v>24</v>
      </c>
      <c r="L16" s="76"/>
    </row>
    <row r="17" spans="1:12" ht="15.95" customHeight="1" x14ac:dyDescent="0.25">
      <c r="A17" s="13"/>
      <c r="B17" s="10"/>
      <c r="C17" s="11"/>
      <c r="D17" s="11"/>
      <c r="E17" s="22"/>
      <c r="F17" s="154"/>
      <c r="G17" s="22"/>
      <c r="H17" s="22"/>
      <c r="I17" s="88"/>
      <c r="J17" s="58"/>
      <c r="K17" s="60"/>
      <c r="L17" s="76"/>
    </row>
    <row r="18" spans="1:12" ht="15.95" customHeight="1" x14ac:dyDescent="0.25">
      <c r="A18" s="13"/>
      <c r="B18" s="73"/>
      <c r="C18" s="22"/>
      <c r="D18" s="94"/>
      <c r="E18" s="10"/>
      <c r="F18" s="10"/>
      <c r="G18" s="22"/>
      <c r="H18" s="22"/>
      <c r="I18" s="88"/>
      <c r="J18" s="58"/>
      <c r="K18" s="60"/>
      <c r="L18" s="76"/>
    </row>
    <row r="19" spans="1:12" ht="15.75" customHeight="1" x14ac:dyDescent="0.25">
      <c r="A19" s="13"/>
      <c r="B19" s="73"/>
      <c r="C19" s="22"/>
      <c r="D19" s="11"/>
      <c r="E19" s="10"/>
      <c r="F19" s="10"/>
      <c r="G19" s="54"/>
      <c r="H19" s="54"/>
      <c r="I19" s="82"/>
      <c r="J19" s="58"/>
      <c r="K19" s="57"/>
      <c r="L19" s="76"/>
    </row>
    <row r="20" spans="1:12" ht="33.75" customHeight="1" x14ac:dyDescent="0.25">
      <c r="A20" s="13"/>
      <c r="B20" s="54"/>
      <c r="C20" s="54"/>
      <c r="D20" s="54"/>
      <c r="E20" s="54"/>
      <c r="F20" s="52"/>
      <c r="G20" s="54"/>
      <c r="H20" s="54"/>
      <c r="I20" s="34"/>
      <c r="J20" s="58"/>
      <c r="K20" s="60"/>
      <c r="L20" s="76"/>
    </row>
    <row r="21" spans="1:12" ht="15.95" customHeight="1" x14ac:dyDescent="0.25">
      <c r="A21" s="13"/>
      <c r="B21" s="197"/>
      <c r="C21" s="11"/>
      <c r="D21" s="11"/>
      <c r="E21" s="11"/>
      <c r="F21" s="22"/>
      <c r="G21" s="22"/>
      <c r="H21" s="22"/>
      <c r="I21" s="88"/>
      <c r="J21" s="58"/>
      <c r="K21" s="103"/>
      <c r="L21" s="76"/>
    </row>
    <row r="22" spans="1:12" ht="15.95" customHeight="1" x14ac:dyDescent="0.25">
      <c r="A22" s="13"/>
      <c r="B22" s="38"/>
      <c r="C22" s="11"/>
      <c r="D22" s="11"/>
      <c r="E22" s="11"/>
      <c r="F22" s="22"/>
      <c r="G22" s="22"/>
      <c r="H22" s="22"/>
      <c r="I22" s="88"/>
      <c r="J22" s="58"/>
      <c r="K22" s="59"/>
      <c r="L22" s="76"/>
    </row>
    <row r="23" spans="1:12" ht="15.75" customHeight="1" x14ac:dyDescent="0.25">
      <c r="A23" s="13"/>
      <c r="B23" s="38"/>
      <c r="C23" s="11" t="s">
        <v>208</v>
      </c>
      <c r="D23" s="30"/>
      <c r="E23" s="30"/>
      <c r="F23" s="28"/>
      <c r="G23" s="28"/>
      <c r="H23" s="28"/>
      <c r="I23" s="88"/>
      <c r="J23" s="58"/>
      <c r="K23" s="60"/>
      <c r="L23" s="76"/>
    </row>
    <row r="24" spans="1:12" ht="15.75" customHeight="1" x14ac:dyDescent="0.25">
      <c r="A24" s="13"/>
      <c r="B24" s="10"/>
      <c r="C24" s="11" t="s">
        <v>180</v>
      </c>
      <c r="D24" s="11">
        <v>101.5</v>
      </c>
      <c r="E24" s="22" t="s">
        <v>17</v>
      </c>
      <c r="F24" s="49" t="s">
        <v>181</v>
      </c>
      <c r="G24" s="28"/>
      <c r="H24" s="28"/>
      <c r="I24" s="88"/>
      <c r="J24" s="58"/>
      <c r="K24" s="103">
        <f>D24</f>
        <v>101.5</v>
      </c>
      <c r="L24" s="76"/>
    </row>
    <row r="25" spans="1:12" ht="15.75" customHeight="1" x14ac:dyDescent="0.25">
      <c r="A25" s="13"/>
      <c r="B25" s="34"/>
      <c r="C25" s="197" t="s">
        <v>209</v>
      </c>
      <c r="D25" s="94" t="s">
        <v>210</v>
      </c>
      <c r="E25" s="22"/>
      <c r="F25" s="11">
        <f>1.5*16</f>
        <v>24</v>
      </c>
      <c r="G25" s="12" t="s">
        <v>17</v>
      </c>
      <c r="H25" s="12"/>
      <c r="I25" s="63"/>
      <c r="J25" s="58"/>
      <c r="K25" s="103">
        <f>F25</f>
        <v>24</v>
      </c>
      <c r="L25" s="76"/>
    </row>
    <row r="26" spans="1:12" ht="15.75" customHeight="1" x14ac:dyDescent="0.25">
      <c r="A26" s="13"/>
      <c r="B26" s="34"/>
      <c r="C26" s="34"/>
      <c r="D26" s="34"/>
      <c r="E26" s="34"/>
      <c r="F26" s="34"/>
      <c r="G26" s="12"/>
      <c r="H26" s="12"/>
      <c r="I26" s="63"/>
      <c r="J26" s="58"/>
      <c r="K26" s="103"/>
      <c r="L26" s="76"/>
    </row>
    <row r="27" spans="1:12" ht="15.75" customHeight="1" x14ac:dyDescent="0.25">
      <c r="A27" s="13"/>
      <c r="B27" s="34"/>
      <c r="C27" s="34"/>
      <c r="D27" s="34"/>
      <c r="E27" s="34"/>
      <c r="F27" s="34"/>
      <c r="G27" s="12"/>
      <c r="H27" s="12"/>
      <c r="I27" s="63"/>
      <c r="J27" s="58"/>
      <c r="K27" s="103"/>
      <c r="L27" s="76"/>
    </row>
    <row r="28" spans="1:12" ht="15.95" customHeight="1" x14ac:dyDescent="0.25">
      <c r="A28" s="13"/>
      <c r="B28" s="84"/>
      <c r="C28" s="10"/>
      <c r="D28" s="11"/>
      <c r="E28" s="11"/>
      <c r="F28" s="11"/>
      <c r="G28" s="11"/>
      <c r="H28" s="11"/>
      <c r="I28" s="63"/>
      <c r="J28" s="58"/>
      <c r="K28" s="60"/>
      <c r="L28" s="76"/>
    </row>
    <row r="29" spans="1:12" ht="15.95" customHeight="1" x14ac:dyDescent="0.25">
      <c r="A29" s="13"/>
      <c r="B29" s="84"/>
      <c r="C29" s="27"/>
      <c r="D29" s="30"/>
      <c r="E29" s="30"/>
      <c r="F29" s="11"/>
      <c r="G29" s="11"/>
      <c r="H29" s="30"/>
      <c r="I29" s="63"/>
      <c r="J29" s="58"/>
      <c r="K29" s="60"/>
      <c r="L29" s="76"/>
    </row>
    <row r="30" spans="1:12" ht="15.95" customHeight="1" x14ac:dyDescent="0.25">
      <c r="A30" s="13"/>
      <c r="B30" s="84"/>
      <c r="C30" s="27"/>
      <c r="D30" s="30"/>
      <c r="E30" s="30"/>
      <c r="F30" s="11"/>
      <c r="G30" s="11"/>
      <c r="H30" s="30"/>
      <c r="I30" s="63"/>
      <c r="J30" s="58"/>
      <c r="K30" s="60"/>
      <c r="L30" s="76"/>
    </row>
    <row r="31" spans="1:12" ht="15.95" customHeight="1" x14ac:dyDescent="0.25">
      <c r="A31" s="13"/>
      <c r="B31" s="10"/>
      <c r="C31" s="86"/>
      <c r="D31" s="30"/>
      <c r="E31" s="19"/>
      <c r="F31" s="11"/>
      <c r="G31" s="11"/>
      <c r="H31" s="30"/>
      <c r="I31" s="63"/>
      <c r="J31" s="58"/>
      <c r="K31" s="60"/>
      <c r="L31" s="76"/>
    </row>
    <row r="32" spans="1:12" ht="15.95" customHeight="1" x14ac:dyDescent="0.25">
      <c r="A32" s="13"/>
      <c r="B32" s="15"/>
      <c r="C32" s="86"/>
      <c r="D32" s="30"/>
      <c r="E32" s="19"/>
      <c r="F32" s="30"/>
      <c r="G32" s="11"/>
      <c r="H32" s="30"/>
      <c r="I32" s="63"/>
      <c r="J32" s="58"/>
      <c r="K32" s="60"/>
      <c r="L32" s="76"/>
    </row>
    <row r="33" spans="1:12" ht="15.95" customHeight="1" x14ac:dyDescent="0.25">
      <c r="A33" s="13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13"/>
      <c r="B34" s="10"/>
      <c r="C34" s="104"/>
      <c r="D34" s="11"/>
      <c r="E34" s="10"/>
      <c r="F34" s="10"/>
      <c r="G34" s="10"/>
      <c r="H34" s="11"/>
      <c r="I34" s="63"/>
      <c r="J34" s="58"/>
      <c r="K34" s="60"/>
      <c r="L34" s="76"/>
    </row>
    <row r="35" spans="1:12" ht="15.95" customHeight="1" x14ac:dyDescent="0.25">
      <c r="A35" s="13"/>
      <c r="B35" s="10"/>
      <c r="C35" s="104"/>
      <c r="D35" s="11"/>
      <c r="E35" s="10"/>
      <c r="F35" s="10"/>
      <c r="G35" s="12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0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0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2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2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0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2"/>
      <c r="H45" s="10"/>
      <c r="I45" s="63"/>
      <c r="J45" s="58"/>
      <c r="K45" s="60"/>
      <c r="L45" s="76"/>
    </row>
    <row r="46" spans="1:12" ht="15.95" customHeight="1" x14ac:dyDescent="0.25">
      <c r="A46" s="60"/>
      <c r="B46" s="10"/>
      <c r="C46" s="104"/>
      <c r="D46" s="11"/>
      <c r="E46" s="10"/>
      <c r="F46" s="10"/>
      <c r="G46" s="10"/>
      <c r="H46" s="10"/>
      <c r="I46" s="63"/>
      <c r="J46" s="58"/>
      <c r="K46" s="60"/>
      <c r="L46" s="76"/>
    </row>
    <row r="47" spans="1:12" ht="15.95" customHeight="1" x14ac:dyDescent="0.25">
      <c r="A47" s="71"/>
      <c r="B47" s="10"/>
      <c r="C47" s="25"/>
      <c r="D47" s="25"/>
      <c r="E47" s="100"/>
      <c r="F47" s="100"/>
      <c r="G47" s="97"/>
      <c r="H47" s="25"/>
      <c r="I47" s="92"/>
      <c r="J47" s="32"/>
      <c r="K47" s="71"/>
      <c r="L47" s="77"/>
    </row>
    <row r="48" spans="1:12" ht="15.95" customHeight="1" thickBot="1" x14ac:dyDescent="0.3">
      <c r="A48" s="71"/>
      <c r="B48" s="67"/>
      <c r="C48" s="67"/>
      <c r="D48" s="67"/>
      <c r="E48" s="101"/>
      <c r="F48" s="101"/>
      <c r="G48" s="98"/>
      <c r="H48" s="67"/>
      <c r="I48" s="99"/>
      <c r="J48" s="68"/>
      <c r="K48" s="71"/>
      <c r="L48" s="77"/>
    </row>
    <row r="49" spans="1:12" ht="15.95" customHeight="1" thickBot="1" x14ac:dyDescent="0.3">
      <c r="A49" s="445" t="s">
        <v>13</v>
      </c>
      <c r="B49" s="446"/>
      <c r="C49" s="447"/>
      <c r="D49" s="447"/>
      <c r="E49" s="447"/>
      <c r="F49" s="447"/>
      <c r="G49" s="447"/>
      <c r="H49" s="447"/>
      <c r="I49" s="447"/>
      <c r="J49" s="448"/>
      <c r="K49" s="79">
        <f>ROUNDUP(SUM(K8:K48),0)</f>
        <v>251</v>
      </c>
      <c r="L49" s="80">
        <f>K49</f>
        <v>251</v>
      </c>
    </row>
  </sheetData>
  <mergeCells count="8">
    <mergeCell ref="A7:J7"/>
    <mergeCell ref="A49:J49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FF0000"/>
    <pageSetUpPr fitToPage="1"/>
  </sheetPr>
  <dimension ref="A1:L51"/>
  <sheetViews>
    <sheetView showWhiteSpace="0" view="pageBreakPreview" zoomScale="110" zoomScaleNormal="100" zoomScaleSheetLayoutView="110" workbookViewId="0">
      <selection activeCell="AJ31" sqref="AJ31"/>
    </sheetView>
  </sheetViews>
  <sheetFormatPr defaultColWidth="2.85546875" defaultRowHeight="15" customHeight="1" x14ac:dyDescent="0.25"/>
  <cols>
    <col min="2" max="2" width="9.5703125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351">
        <v>44847</v>
      </c>
      <c r="H1" s="121" t="s">
        <v>5</v>
      </c>
      <c r="I1" s="449" t="s">
        <v>154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153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34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25"/>
      <c r="B9" s="19"/>
      <c r="C9" s="104"/>
      <c r="D9" s="128"/>
      <c r="E9" s="148"/>
      <c r="F9" s="10"/>
      <c r="G9" s="10"/>
      <c r="H9" s="10"/>
      <c r="I9" s="63"/>
      <c r="J9" s="58"/>
      <c r="K9" s="6"/>
      <c r="L9" s="75"/>
    </row>
    <row r="10" spans="1:12" ht="15.95" customHeight="1" x14ac:dyDescent="0.25">
      <c r="A10" s="13"/>
      <c r="B10" s="73" t="s">
        <v>200</v>
      </c>
      <c r="C10" s="107"/>
      <c r="D10" s="127"/>
      <c r="E10" s="150"/>
      <c r="F10" s="10"/>
      <c r="G10" s="10"/>
      <c r="H10" s="10"/>
      <c r="I10" s="63"/>
      <c r="J10" s="58"/>
      <c r="K10" s="60"/>
      <c r="L10" s="76"/>
    </row>
    <row r="11" spans="1:12" ht="15.95" customHeight="1" x14ac:dyDescent="0.25">
      <c r="A11" s="13"/>
      <c r="B11" s="38" t="s">
        <v>14</v>
      </c>
      <c r="C11" s="11">
        <v>5</v>
      </c>
      <c r="D11" s="162" t="s">
        <v>17</v>
      </c>
      <c r="E11" s="148"/>
      <c r="F11" s="10"/>
      <c r="G11" s="10"/>
      <c r="H11" s="10"/>
      <c r="I11" s="63"/>
      <c r="J11" s="58"/>
      <c r="K11" s="60"/>
      <c r="L11" s="76"/>
    </row>
    <row r="12" spans="1:12" ht="15.95" customHeight="1" x14ac:dyDescent="0.25">
      <c r="A12" s="60"/>
      <c r="B12" s="38" t="s">
        <v>74</v>
      </c>
      <c r="C12" s="128">
        <v>3</v>
      </c>
      <c r="D12" s="104"/>
      <c r="E12" s="148"/>
      <c r="F12" s="10"/>
      <c r="G12" s="10"/>
      <c r="H12" s="10"/>
      <c r="I12" s="63"/>
      <c r="J12" s="58"/>
      <c r="K12" s="60"/>
      <c r="L12" s="76"/>
    </row>
    <row r="13" spans="1:12" ht="15.95" customHeight="1" x14ac:dyDescent="0.25">
      <c r="A13" s="60"/>
      <c r="B13" s="38" t="s">
        <v>50</v>
      </c>
      <c r="C13" s="128">
        <f>ROUNDUP(C12*C11,0)</f>
        <v>15</v>
      </c>
      <c r="D13" s="104"/>
      <c r="E13" s="148"/>
      <c r="F13" s="10"/>
      <c r="G13" s="10"/>
      <c r="H13" s="10"/>
      <c r="I13" s="63"/>
      <c r="J13" s="58"/>
      <c r="K13" s="59">
        <f>C13</f>
        <v>15</v>
      </c>
      <c r="L13" s="76"/>
    </row>
    <row r="14" spans="1:12" ht="15.95" customHeight="1" x14ac:dyDescent="0.25">
      <c r="A14" s="60"/>
      <c r="B14" s="10"/>
      <c r="C14" s="104"/>
      <c r="D14" s="17"/>
      <c r="E14" s="150"/>
      <c r="F14" s="10"/>
      <c r="G14" s="10"/>
      <c r="H14" s="10"/>
      <c r="I14" s="63"/>
      <c r="J14" s="58"/>
      <c r="K14" s="60"/>
      <c r="L14" s="76"/>
    </row>
    <row r="15" spans="1:12" ht="15.95" customHeight="1" x14ac:dyDescent="0.25">
      <c r="A15" s="60"/>
      <c r="B15" s="10"/>
      <c r="C15" s="104"/>
      <c r="D15" s="11"/>
      <c r="E15" s="10"/>
      <c r="F15" s="10"/>
      <c r="G15" s="10"/>
      <c r="H15" s="10"/>
      <c r="I15" s="63"/>
      <c r="J15" s="58"/>
      <c r="K15" s="60"/>
      <c r="L15" s="76"/>
    </row>
    <row r="16" spans="1:12" ht="15.95" customHeight="1" x14ac:dyDescent="0.25">
      <c r="A16" s="60"/>
      <c r="B16" s="73" t="s">
        <v>201</v>
      </c>
      <c r="C16" s="107"/>
      <c r="D16" s="127"/>
      <c r="E16" s="150"/>
      <c r="F16" s="10"/>
      <c r="G16" s="10"/>
      <c r="H16" s="10"/>
      <c r="I16" s="63"/>
      <c r="J16" s="58"/>
      <c r="K16" s="60"/>
      <c r="L16" s="76"/>
    </row>
    <row r="17" spans="1:12" ht="15.95" customHeight="1" x14ac:dyDescent="0.25">
      <c r="A17" s="60"/>
      <c r="B17" s="38" t="s">
        <v>14</v>
      </c>
      <c r="C17" s="11">
        <v>5</v>
      </c>
      <c r="D17" s="162" t="s">
        <v>17</v>
      </c>
      <c r="E17" s="148"/>
      <c r="F17" s="10"/>
      <c r="G17" s="10"/>
      <c r="H17" s="10"/>
      <c r="I17" s="63"/>
      <c r="J17" s="58"/>
      <c r="K17" s="60"/>
      <c r="L17" s="76"/>
    </row>
    <row r="18" spans="1:12" ht="15.95" customHeight="1" x14ac:dyDescent="0.25">
      <c r="A18" s="60"/>
      <c r="B18" s="38" t="s">
        <v>74</v>
      </c>
      <c r="C18" s="128">
        <v>3</v>
      </c>
      <c r="D18" s="104"/>
      <c r="E18" s="148"/>
      <c r="F18" s="10"/>
      <c r="G18" s="10"/>
      <c r="H18" s="10"/>
      <c r="I18" s="63"/>
      <c r="J18" s="58"/>
      <c r="K18" s="60"/>
      <c r="L18" s="76"/>
    </row>
    <row r="19" spans="1:12" ht="15.95" customHeight="1" x14ac:dyDescent="0.25">
      <c r="A19" s="60"/>
      <c r="B19" s="38" t="s">
        <v>50</v>
      </c>
      <c r="C19" s="128">
        <f>ROUNDUP(C18*C17,0)</f>
        <v>15</v>
      </c>
      <c r="D19" s="104"/>
      <c r="E19" s="148"/>
      <c r="F19" s="10"/>
      <c r="G19" s="10"/>
      <c r="H19" s="10"/>
      <c r="I19" s="63"/>
      <c r="J19" s="58"/>
      <c r="K19" s="59">
        <f>C19</f>
        <v>15</v>
      </c>
      <c r="L19" s="76"/>
    </row>
    <row r="20" spans="1:12" ht="15.95" customHeight="1" x14ac:dyDescent="0.25">
      <c r="A20" s="60"/>
      <c r="B20" s="38"/>
      <c r="C20" s="160"/>
      <c r="D20" s="11"/>
      <c r="E20" s="148"/>
      <c r="F20" s="10"/>
      <c r="G20" s="10"/>
      <c r="H20" s="10"/>
      <c r="I20" s="63"/>
      <c r="J20" s="58"/>
      <c r="K20" s="57"/>
      <c r="L20" s="76"/>
    </row>
    <row r="21" spans="1:12" ht="15.95" customHeight="1" x14ac:dyDescent="0.25">
      <c r="A21" s="60"/>
      <c r="B21" s="38"/>
      <c r="C21" s="160"/>
      <c r="D21" s="11"/>
      <c r="E21" s="148"/>
      <c r="F21" s="10"/>
      <c r="G21" s="10"/>
      <c r="H21" s="10"/>
      <c r="I21" s="63"/>
      <c r="J21" s="189"/>
      <c r="K21" s="57"/>
      <c r="L21" s="76"/>
    </row>
    <row r="22" spans="1:12" ht="15.95" customHeight="1" x14ac:dyDescent="0.25">
      <c r="A22" s="60"/>
      <c r="B22" s="10"/>
      <c r="C22" s="104"/>
      <c r="D22" s="11"/>
      <c r="E22" s="10"/>
      <c r="F22" s="10"/>
      <c r="G22" s="10"/>
      <c r="H22" s="10"/>
      <c r="I22" s="63"/>
      <c r="J22" s="58"/>
      <c r="K22" s="60"/>
      <c r="L22" s="76"/>
    </row>
    <row r="23" spans="1:12" ht="15.95" customHeight="1" x14ac:dyDescent="0.25">
      <c r="A23" s="60"/>
      <c r="B23" s="10"/>
      <c r="C23" s="104"/>
      <c r="D23" s="11"/>
      <c r="E23" s="10"/>
      <c r="F23" s="10"/>
      <c r="G23" s="10"/>
      <c r="H23" s="10"/>
      <c r="I23" s="63"/>
      <c r="J23" s="58"/>
      <c r="K23" s="60"/>
      <c r="L23" s="76"/>
    </row>
    <row r="24" spans="1:12" ht="15.95" customHeight="1" x14ac:dyDescent="0.25">
      <c r="A24" s="60"/>
      <c r="B24" s="10"/>
      <c r="C24" s="104"/>
      <c r="D24" s="11"/>
      <c r="E24" s="10"/>
      <c r="F24" s="10"/>
      <c r="G24" s="10"/>
      <c r="H24" s="10"/>
      <c r="I24" s="63"/>
      <c r="J24" s="58"/>
      <c r="K24" s="60"/>
      <c r="L24" s="76"/>
    </row>
    <row r="25" spans="1:12" ht="15.95" customHeight="1" x14ac:dyDescent="0.25">
      <c r="A25" s="60"/>
      <c r="B25" s="10"/>
      <c r="C25" s="104"/>
      <c r="D25" s="11"/>
      <c r="E25" s="10"/>
      <c r="F25" s="10"/>
      <c r="G25" s="10"/>
      <c r="H25" s="10"/>
      <c r="I25" s="63"/>
      <c r="J25" s="58"/>
      <c r="K25" s="60"/>
      <c r="L25" s="76"/>
    </row>
    <row r="26" spans="1:12" ht="15.95" customHeight="1" x14ac:dyDescent="0.25">
      <c r="A26" s="60"/>
      <c r="B26" s="10"/>
      <c r="C26" s="104"/>
      <c r="D26" s="11"/>
      <c r="E26" s="10"/>
      <c r="F26" s="10"/>
      <c r="G26" s="10"/>
      <c r="H26" s="10"/>
      <c r="I26" s="63"/>
      <c r="J26" s="58"/>
      <c r="K26" s="60"/>
      <c r="L26" s="76"/>
    </row>
    <row r="27" spans="1:12" ht="15.95" customHeight="1" x14ac:dyDescent="0.25">
      <c r="A27" s="60"/>
      <c r="B27" s="10"/>
      <c r="C27" s="104"/>
      <c r="D27" s="11"/>
      <c r="E27" s="10"/>
      <c r="F27" s="10"/>
      <c r="G27" s="10"/>
      <c r="H27" s="10"/>
      <c r="I27" s="63"/>
      <c r="J27" s="58"/>
      <c r="K27" s="60"/>
      <c r="L27" s="76"/>
    </row>
    <row r="28" spans="1:12" ht="15.95" customHeight="1" x14ac:dyDescent="0.25">
      <c r="A28" s="60"/>
      <c r="B28" s="10"/>
      <c r="C28" s="104"/>
      <c r="D28" s="11"/>
      <c r="E28" s="10"/>
      <c r="F28" s="10"/>
      <c r="G28" s="10"/>
      <c r="H28" s="10"/>
      <c r="I28" s="63"/>
      <c r="J28" s="58"/>
      <c r="K28" s="60"/>
      <c r="L28" s="76"/>
    </row>
    <row r="29" spans="1:12" ht="15.95" customHeight="1" x14ac:dyDescent="0.25">
      <c r="A29" s="60"/>
      <c r="B29" s="10"/>
      <c r="C29" s="104"/>
      <c r="D29" s="11"/>
      <c r="E29" s="10"/>
      <c r="F29" s="10"/>
      <c r="G29" s="10"/>
      <c r="H29" s="10"/>
      <c r="I29" s="63"/>
      <c r="J29" s="58"/>
      <c r="K29" s="60"/>
      <c r="L29" s="76"/>
    </row>
    <row r="30" spans="1:12" ht="15.95" customHeight="1" x14ac:dyDescent="0.25">
      <c r="A30" s="60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60"/>
      <c r="B31" s="10"/>
      <c r="C31" s="104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60"/>
      <c r="B32" s="10"/>
      <c r="C32" s="104"/>
      <c r="D32" s="11"/>
      <c r="E32" s="10"/>
      <c r="F32" s="10"/>
      <c r="G32" s="10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0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0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0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0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0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60"/>
      <c r="B46" s="10"/>
      <c r="C46" s="104"/>
      <c r="D46" s="11"/>
      <c r="E46" s="10"/>
      <c r="F46" s="10"/>
      <c r="G46" s="10"/>
      <c r="H46" s="10"/>
      <c r="I46" s="63"/>
      <c r="J46" s="58"/>
      <c r="K46" s="60"/>
      <c r="L46" s="76"/>
    </row>
    <row r="47" spans="1:12" ht="15.95" customHeight="1" x14ac:dyDescent="0.25">
      <c r="A47" s="60"/>
      <c r="B47" s="10"/>
      <c r="C47" s="104"/>
      <c r="D47" s="11"/>
      <c r="E47" s="10"/>
      <c r="F47" s="10"/>
      <c r="G47" s="10"/>
      <c r="H47" s="10"/>
      <c r="I47" s="63"/>
      <c r="J47" s="58"/>
      <c r="K47" s="60"/>
      <c r="L47" s="76"/>
    </row>
    <row r="48" spans="1:12" ht="15.95" customHeight="1" x14ac:dyDescent="0.25">
      <c r="A48" s="60"/>
      <c r="B48" s="10"/>
      <c r="C48" s="104"/>
      <c r="D48" s="11"/>
      <c r="E48" s="10"/>
      <c r="F48" s="10"/>
      <c r="G48" s="10"/>
      <c r="H48" s="10"/>
      <c r="I48" s="63"/>
      <c r="J48" s="58"/>
      <c r="K48" s="60"/>
      <c r="L48" s="76"/>
    </row>
    <row r="49" spans="1:12" ht="15.95" customHeight="1" x14ac:dyDescent="0.25">
      <c r="A49" s="71"/>
      <c r="B49" s="10"/>
      <c r="C49" s="25"/>
      <c r="D49" s="25"/>
      <c r="E49" s="100"/>
      <c r="F49" s="100"/>
      <c r="G49" s="97"/>
      <c r="H49" s="25"/>
      <c r="I49" s="92"/>
      <c r="J49" s="32"/>
      <c r="K49" s="71"/>
      <c r="L49" s="77"/>
    </row>
    <row r="50" spans="1:12" ht="15.95" customHeight="1" thickBot="1" x14ac:dyDescent="0.3">
      <c r="A50" s="71"/>
      <c r="B50" s="67"/>
      <c r="C50" s="67"/>
      <c r="D50" s="67"/>
      <c r="E50" s="101"/>
      <c r="F50" s="101"/>
      <c r="G50" s="98"/>
      <c r="H50" s="67"/>
      <c r="I50" s="99"/>
      <c r="J50" s="68"/>
      <c r="K50" s="71"/>
      <c r="L50" s="77"/>
    </row>
    <row r="51" spans="1:12" ht="15.95" customHeight="1" thickBot="1" x14ac:dyDescent="0.3">
      <c r="A51" s="445" t="s">
        <v>13</v>
      </c>
      <c r="B51" s="446"/>
      <c r="C51" s="447"/>
      <c r="D51" s="447"/>
      <c r="E51" s="447"/>
      <c r="F51" s="447"/>
      <c r="G51" s="447"/>
      <c r="H51" s="447"/>
      <c r="I51" s="447"/>
      <c r="J51" s="448"/>
      <c r="K51" s="79">
        <f>SUM(K10:K50)</f>
        <v>30</v>
      </c>
      <c r="L51" s="80">
        <f>K51</f>
        <v>30</v>
      </c>
    </row>
  </sheetData>
  <mergeCells count="8">
    <mergeCell ref="A7:J7"/>
    <mergeCell ref="A51:J51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89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FF0000"/>
    <pageSetUpPr fitToPage="1"/>
  </sheetPr>
  <dimension ref="A1:L51"/>
  <sheetViews>
    <sheetView showWhiteSpace="0" view="pageBreakPreview" topLeftCell="A22" zoomScale="110" zoomScaleNormal="100" zoomScaleSheetLayoutView="110" workbookViewId="0">
      <selection activeCell="AJ31" sqref="AJ31"/>
    </sheetView>
  </sheetViews>
  <sheetFormatPr defaultColWidth="2.85546875" defaultRowHeight="15" customHeight="1" x14ac:dyDescent="0.25"/>
  <cols>
    <col min="2" max="2" width="9.5703125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351">
        <v>44847</v>
      </c>
      <c r="H1" s="121" t="s">
        <v>5</v>
      </c>
      <c r="I1" s="449" t="s">
        <v>203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202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34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25"/>
      <c r="B9" s="19"/>
      <c r="C9" s="104"/>
      <c r="D9" s="128"/>
      <c r="E9" s="148"/>
      <c r="F9" s="10"/>
      <c r="G9" s="10"/>
      <c r="H9" s="10"/>
      <c r="I9" s="63"/>
      <c r="J9" s="58"/>
      <c r="K9" s="6"/>
      <c r="L9" s="75"/>
    </row>
    <row r="10" spans="1:12" ht="15.95" customHeight="1" x14ac:dyDescent="0.25">
      <c r="A10" s="13"/>
      <c r="B10" s="73" t="s">
        <v>40</v>
      </c>
      <c r="C10" s="107"/>
      <c r="D10" s="127"/>
      <c r="E10" s="10"/>
      <c r="F10" s="10"/>
      <c r="G10" s="10"/>
      <c r="H10" s="10"/>
      <c r="I10" s="63"/>
      <c r="J10" s="58"/>
      <c r="K10" s="60"/>
      <c r="L10" s="76"/>
    </row>
    <row r="11" spans="1:12" ht="15.95" customHeight="1" x14ac:dyDescent="0.25">
      <c r="A11" s="13"/>
      <c r="B11" s="38" t="s">
        <v>14</v>
      </c>
      <c r="C11" s="22">
        <v>4.75</v>
      </c>
      <c r="D11" s="162" t="s">
        <v>17</v>
      </c>
      <c r="E11" s="10"/>
      <c r="F11" s="10"/>
      <c r="G11" s="10"/>
      <c r="H11" s="10"/>
      <c r="I11" s="63"/>
      <c r="J11" s="58"/>
      <c r="K11" s="60"/>
      <c r="L11" s="76"/>
    </row>
    <row r="12" spans="1:12" ht="15.95" customHeight="1" x14ac:dyDescent="0.25">
      <c r="A12" s="60"/>
      <c r="B12" s="38" t="s">
        <v>74</v>
      </c>
      <c r="C12" s="128">
        <v>3</v>
      </c>
      <c r="D12" s="104"/>
      <c r="E12" s="10"/>
      <c r="F12" s="10"/>
      <c r="G12" s="10"/>
      <c r="H12" s="10"/>
      <c r="I12" s="63"/>
      <c r="J12" s="58"/>
      <c r="K12" s="60"/>
      <c r="L12" s="76"/>
    </row>
    <row r="13" spans="1:12" ht="15.95" customHeight="1" x14ac:dyDescent="0.25">
      <c r="A13" s="60"/>
      <c r="B13" s="38" t="s">
        <v>50</v>
      </c>
      <c r="C13" s="128">
        <f>ROUNDUP(C12*C11,0)</f>
        <v>15</v>
      </c>
      <c r="D13" s="104"/>
      <c r="E13" s="10"/>
      <c r="F13" s="10"/>
      <c r="G13" s="10"/>
      <c r="H13" s="10"/>
      <c r="I13" s="63"/>
      <c r="J13" s="58"/>
      <c r="K13" s="59">
        <f>C13</f>
        <v>15</v>
      </c>
      <c r="L13" s="76"/>
    </row>
    <row r="14" spans="1:12" ht="15.95" customHeight="1" x14ac:dyDescent="0.25">
      <c r="A14" s="60"/>
      <c r="B14" s="10"/>
      <c r="C14" s="104"/>
      <c r="D14" s="17"/>
      <c r="E14" s="10"/>
      <c r="F14" s="10"/>
      <c r="G14" s="10"/>
      <c r="H14" s="10"/>
      <c r="I14" s="63"/>
      <c r="J14" s="58"/>
      <c r="K14" s="60"/>
      <c r="L14" s="76"/>
    </row>
    <row r="15" spans="1:12" ht="15.95" customHeight="1" x14ac:dyDescent="0.25">
      <c r="A15" s="60"/>
      <c r="B15" s="10"/>
      <c r="C15" s="104"/>
      <c r="D15" s="11"/>
      <c r="E15" s="10"/>
      <c r="F15" s="10"/>
      <c r="G15" s="10"/>
      <c r="H15" s="10"/>
      <c r="I15" s="63"/>
      <c r="J15" s="58"/>
      <c r="K15" s="60"/>
      <c r="L15" s="76"/>
    </row>
    <row r="16" spans="1:12" ht="15.95" customHeight="1" x14ac:dyDescent="0.25">
      <c r="A16" s="60"/>
      <c r="B16" s="73" t="s">
        <v>41</v>
      </c>
      <c r="C16" s="107"/>
      <c r="D16" s="127"/>
      <c r="E16" s="10"/>
      <c r="F16" s="10"/>
      <c r="G16" s="10"/>
      <c r="H16" s="10"/>
      <c r="I16" s="63"/>
      <c r="J16" s="58"/>
      <c r="K16" s="60"/>
      <c r="L16" s="76"/>
    </row>
    <row r="17" spans="1:12" ht="15.95" customHeight="1" x14ac:dyDescent="0.25">
      <c r="A17" s="60"/>
      <c r="B17" s="38" t="s">
        <v>14</v>
      </c>
      <c r="C17" s="11">
        <v>4</v>
      </c>
      <c r="D17" s="162" t="s">
        <v>17</v>
      </c>
      <c r="E17" s="10"/>
      <c r="F17" s="10"/>
      <c r="G17" s="10"/>
      <c r="H17" s="10"/>
      <c r="I17" s="63"/>
      <c r="J17" s="58"/>
      <c r="K17" s="60"/>
      <c r="L17" s="76"/>
    </row>
    <row r="18" spans="1:12" ht="15.95" customHeight="1" x14ac:dyDescent="0.25">
      <c r="A18" s="60"/>
      <c r="B18" s="38" t="s">
        <v>74</v>
      </c>
      <c r="C18" s="128">
        <v>3</v>
      </c>
      <c r="D18" s="104"/>
      <c r="E18" s="10"/>
      <c r="F18" s="10"/>
      <c r="G18" s="10"/>
      <c r="H18" s="10"/>
      <c r="I18" s="63"/>
      <c r="J18" s="58"/>
      <c r="K18" s="60"/>
      <c r="L18" s="76"/>
    </row>
    <row r="19" spans="1:12" ht="15.95" customHeight="1" x14ac:dyDescent="0.25">
      <c r="A19" s="60"/>
      <c r="B19" s="38" t="s">
        <v>50</v>
      </c>
      <c r="C19" s="128">
        <f>ROUNDUP(C18*C17,0)</f>
        <v>12</v>
      </c>
      <c r="D19" s="104"/>
      <c r="E19" s="10"/>
      <c r="F19" s="10"/>
      <c r="G19" s="10"/>
      <c r="H19" s="10"/>
      <c r="I19" s="63"/>
      <c r="J19" s="58"/>
      <c r="K19" s="59">
        <f>C19</f>
        <v>12</v>
      </c>
      <c r="L19" s="76"/>
    </row>
    <row r="20" spans="1:12" ht="15.95" customHeight="1" x14ac:dyDescent="0.25">
      <c r="A20" s="60"/>
      <c r="B20" s="10"/>
      <c r="C20" s="104"/>
      <c r="D20" s="11"/>
      <c r="E20" s="10"/>
      <c r="F20" s="10"/>
      <c r="G20" s="10"/>
      <c r="H20" s="73"/>
      <c r="I20" s="63"/>
      <c r="J20" s="58"/>
      <c r="K20" s="59"/>
      <c r="L20" s="76"/>
    </row>
    <row r="21" spans="1:12" ht="15.95" customHeight="1" x14ac:dyDescent="0.25">
      <c r="A21" s="60"/>
      <c r="B21" s="38"/>
      <c r="C21" s="160"/>
      <c r="D21" s="11"/>
      <c r="E21" s="148"/>
      <c r="F21" s="10"/>
      <c r="G21" s="10"/>
      <c r="H21" s="10"/>
      <c r="I21" s="63"/>
      <c r="J21" s="189"/>
      <c r="K21" s="57"/>
      <c r="L21" s="76"/>
    </row>
    <row r="22" spans="1:12" ht="15.95" customHeight="1" x14ac:dyDescent="0.25">
      <c r="A22" s="60"/>
      <c r="B22" s="34"/>
      <c r="C22" s="34"/>
      <c r="D22" s="34"/>
      <c r="E22" s="34"/>
      <c r="F22" s="34"/>
      <c r="G22" s="34"/>
      <c r="H22" s="34"/>
      <c r="I22" s="34"/>
      <c r="J22" s="43"/>
      <c r="K22" s="310"/>
      <c r="L22" s="76"/>
    </row>
    <row r="23" spans="1:12" ht="15.95" customHeight="1" x14ac:dyDescent="0.25">
      <c r="A23" s="60"/>
      <c r="B23" s="34"/>
      <c r="C23" s="34"/>
      <c r="D23" s="34"/>
      <c r="E23" s="34"/>
      <c r="F23" s="34"/>
      <c r="G23" s="34"/>
      <c r="H23" s="34"/>
      <c r="I23" s="34"/>
      <c r="J23" s="43"/>
      <c r="K23" s="310"/>
      <c r="L23" s="76"/>
    </row>
    <row r="24" spans="1:12" ht="15.95" customHeight="1" x14ac:dyDescent="0.25">
      <c r="A24" s="60"/>
      <c r="B24" s="34"/>
      <c r="C24" s="34"/>
      <c r="D24" s="34"/>
      <c r="E24" s="34"/>
      <c r="F24" s="34"/>
      <c r="G24" s="34"/>
      <c r="H24" s="34"/>
      <c r="I24" s="34"/>
      <c r="J24" s="43"/>
      <c r="K24" s="310"/>
      <c r="L24" s="76"/>
    </row>
    <row r="25" spans="1:12" ht="15.95" customHeight="1" x14ac:dyDescent="0.25">
      <c r="A25" s="60"/>
      <c r="B25" s="34"/>
      <c r="C25" s="34"/>
      <c r="D25" s="34"/>
      <c r="E25" s="34"/>
      <c r="F25" s="34"/>
      <c r="G25" s="34"/>
      <c r="H25" s="34"/>
      <c r="I25" s="34"/>
      <c r="J25" s="43"/>
      <c r="K25" s="310"/>
      <c r="L25" s="76"/>
    </row>
    <row r="26" spans="1:12" ht="15.95" customHeight="1" x14ac:dyDescent="0.25">
      <c r="A26" s="60"/>
      <c r="B26" s="34"/>
      <c r="C26" s="34"/>
      <c r="D26" s="34"/>
      <c r="E26" s="34"/>
      <c r="F26" s="34"/>
      <c r="G26" s="34"/>
      <c r="H26" s="34"/>
      <c r="I26" s="34"/>
      <c r="J26" s="43"/>
      <c r="K26" s="310"/>
      <c r="L26" s="76"/>
    </row>
    <row r="27" spans="1:12" ht="15.95" customHeight="1" x14ac:dyDescent="0.25">
      <c r="A27" s="60"/>
      <c r="B27" s="34"/>
      <c r="C27" s="34"/>
      <c r="D27" s="34"/>
      <c r="E27" s="34"/>
      <c r="F27" s="34"/>
      <c r="G27" s="34"/>
      <c r="H27" s="34"/>
      <c r="I27" s="34"/>
      <c r="J27" s="43"/>
      <c r="K27" s="310"/>
      <c r="L27" s="76"/>
    </row>
    <row r="28" spans="1:12" ht="15.95" customHeight="1" x14ac:dyDescent="0.25">
      <c r="A28" s="60"/>
      <c r="B28" s="34"/>
      <c r="C28" s="34"/>
      <c r="D28" s="34"/>
      <c r="E28" s="34"/>
      <c r="F28" s="34"/>
      <c r="G28" s="34"/>
      <c r="H28" s="34"/>
      <c r="I28" s="34"/>
      <c r="J28" s="43"/>
      <c r="K28" s="310"/>
      <c r="L28" s="76"/>
    </row>
    <row r="29" spans="1:12" ht="15.95" customHeight="1" x14ac:dyDescent="0.25">
      <c r="A29" s="60"/>
      <c r="B29" s="34"/>
      <c r="C29" s="34"/>
      <c r="D29" s="34"/>
      <c r="E29" s="34"/>
      <c r="F29" s="34"/>
      <c r="G29" s="34"/>
      <c r="H29" s="34"/>
      <c r="I29" s="34"/>
      <c r="J29" s="43"/>
      <c r="K29" s="310"/>
      <c r="L29" s="76"/>
    </row>
    <row r="30" spans="1:12" ht="15.95" customHeight="1" x14ac:dyDescent="0.25">
      <c r="A30" s="60"/>
      <c r="B30" s="34"/>
      <c r="C30" s="34"/>
      <c r="D30" s="34"/>
      <c r="E30" s="34"/>
      <c r="F30" s="34"/>
      <c r="G30" s="34"/>
      <c r="H30" s="34"/>
      <c r="I30" s="34"/>
      <c r="J30" s="43"/>
      <c r="K30" s="310"/>
      <c r="L30" s="76"/>
    </row>
    <row r="31" spans="1:12" ht="15.95" customHeight="1" x14ac:dyDescent="0.25">
      <c r="A31" s="60"/>
      <c r="B31" s="34"/>
      <c r="C31" s="34"/>
      <c r="D31" s="34"/>
      <c r="E31" s="34"/>
      <c r="F31" s="34"/>
      <c r="G31" s="34"/>
      <c r="H31" s="34"/>
      <c r="I31" s="34"/>
      <c r="J31" s="43"/>
      <c r="K31" s="310"/>
      <c r="L31" s="76"/>
    </row>
    <row r="32" spans="1:12" ht="15.95" customHeight="1" x14ac:dyDescent="0.25">
      <c r="A32" s="60"/>
      <c r="B32" s="34"/>
      <c r="C32" s="34"/>
      <c r="D32" s="34"/>
      <c r="E32" s="34"/>
      <c r="F32" s="34"/>
      <c r="G32" s="34"/>
      <c r="H32" s="34"/>
      <c r="I32" s="34"/>
      <c r="J32" s="43"/>
      <c r="K32" s="31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0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0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0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0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0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60"/>
      <c r="B46" s="10"/>
      <c r="C46" s="104"/>
      <c r="D46" s="11"/>
      <c r="E46" s="10"/>
      <c r="F46" s="10"/>
      <c r="G46" s="10"/>
      <c r="H46" s="10"/>
      <c r="I46" s="63"/>
      <c r="J46" s="58"/>
      <c r="K46" s="60"/>
      <c r="L46" s="76"/>
    </row>
    <row r="47" spans="1:12" ht="15.95" customHeight="1" x14ac:dyDescent="0.25">
      <c r="A47" s="60"/>
      <c r="B47" s="10"/>
      <c r="C47" s="104"/>
      <c r="D47" s="11"/>
      <c r="E47" s="10"/>
      <c r="F47" s="10"/>
      <c r="G47" s="10"/>
      <c r="H47" s="10"/>
      <c r="I47" s="63"/>
      <c r="J47" s="58"/>
      <c r="K47" s="60"/>
      <c r="L47" s="76"/>
    </row>
    <row r="48" spans="1:12" ht="15.95" customHeight="1" x14ac:dyDescent="0.25">
      <c r="A48" s="60"/>
      <c r="B48" s="10"/>
      <c r="C48" s="104"/>
      <c r="D48" s="11"/>
      <c r="E48" s="10"/>
      <c r="F48" s="10"/>
      <c r="G48" s="10"/>
      <c r="H48" s="10"/>
      <c r="I48" s="63"/>
      <c r="J48" s="58"/>
      <c r="K48" s="60"/>
      <c r="L48" s="76"/>
    </row>
    <row r="49" spans="1:12" ht="15.95" customHeight="1" x14ac:dyDescent="0.25">
      <c r="A49" s="71"/>
      <c r="B49" s="10"/>
      <c r="C49" s="25"/>
      <c r="D49" s="25"/>
      <c r="E49" s="100"/>
      <c r="F49" s="100"/>
      <c r="G49" s="97"/>
      <c r="H49" s="25"/>
      <c r="I49" s="92"/>
      <c r="J49" s="32"/>
      <c r="K49" s="71"/>
      <c r="L49" s="77"/>
    </row>
    <row r="50" spans="1:12" ht="15.95" customHeight="1" thickBot="1" x14ac:dyDescent="0.3">
      <c r="A50" s="71"/>
      <c r="B50" s="67"/>
      <c r="C50" s="67"/>
      <c r="D50" s="67"/>
      <c r="E50" s="101"/>
      <c r="F50" s="101"/>
      <c r="G50" s="98"/>
      <c r="H50" s="67"/>
      <c r="I50" s="99"/>
      <c r="J50" s="68"/>
      <c r="K50" s="71"/>
      <c r="L50" s="77"/>
    </row>
    <row r="51" spans="1:12" ht="15.95" customHeight="1" thickBot="1" x14ac:dyDescent="0.3">
      <c r="A51" s="445" t="s">
        <v>13</v>
      </c>
      <c r="B51" s="446"/>
      <c r="C51" s="447"/>
      <c r="D51" s="447"/>
      <c r="E51" s="447"/>
      <c r="F51" s="447"/>
      <c r="G51" s="447"/>
      <c r="H51" s="447"/>
      <c r="I51" s="447"/>
      <c r="J51" s="448"/>
      <c r="K51" s="79">
        <f>SUM(K13:K19)</f>
        <v>27</v>
      </c>
      <c r="L51" s="80">
        <f>K51</f>
        <v>27</v>
      </c>
    </row>
  </sheetData>
  <mergeCells count="8">
    <mergeCell ref="A7:J7"/>
    <mergeCell ref="A51:J51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89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FF0000"/>
    <pageSetUpPr fitToPage="1"/>
  </sheetPr>
  <dimension ref="A1:L51"/>
  <sheetViews>
    <sheetView showWhiteSpace="0" view="pageBreakPreview" topLeftCell="A28" zoomScale="110" zoomScaleNormal="100" zoomScaleSheetLayoutView="110" workbookViewId="0">
      <selection activeCell="AJ31" sqref="AJ31"/>
    </sheetView>
  </sheetViews>
  <sheetFormatPr defaultColWidth="2.85546875" defaultRowHeight="15" customHeight="1" x14ac:dyDescent="0.25"/>
  <cols>
    <col min="2" max="2" width="9.5703125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351">
        <v>44847</v>
      </c>
      <c r="H1" s="121" t="s">
        <v>5</v>
      </c>
      <c r="I1" s="449" t="s">
        <v>184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183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34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25"/>
      <c r="B9" s="19"/>
      <c r="C9" s="104"/>
      <c r="D9" s="128"/>
      <c r="E9" s="148"/>
      <c r="F9" s="10"/>
      <c r="G9" s="10"/>
      <c r="H9" s="10"/>
      <c r="I9" s="63"/>
      <c r="J9" s="58"/>
      <c r="K9" s="6"/>
      <c r="L9" s="75"/>
    </row>
    <row r="10" spans="1:12" ht="15.95" customHeight="1" x14ac:dyDescent="0.25">
      <c r="A10" s="13"/>
      <c r="B10" s="73" t="s">
        <v>19</v>
      </c>
      <c r="C10" s="107"/>
      <c r="D10" s="127"/>
      <c r="E10" s="150"/>
      <c r="F10" s="10"/>
      <c r="G10" s="10"/>
      <c r="H10" s="10"/>
      <c r="I10" s="63"/>
      <c r="J10" s="58"/>
      <c r="K10" s="60"/>
      <c r="L10" s="76"/>
    </row>
    <row r="11" spans="1:12" ht="15.95" customHeight="1" x14ac:dyDescent="0.25">
      <c r="A11" s="13"/>
      <c r="B11" s="38" t="s">
        <v>14</v>
      </c>
      <c r="C11" s="11">
        <v>7.5</v>
      </c>
      <c r="D11" s="162" t="s">
        <v>17</v>
      </c>
      <c r="E11" s="148"/>
      <c r="F11" s="10"/>
      <c r="G11" s="10"/>
      <c r="H11" s="10"/>
      <c r="I11" s="63"/>
      <c r="J11" s="58"/>
      <c r="K11" s="60"/>
      <c r="L11" s="76"/>
    </row>
    <row r="12" spans="1:12" ht="15.95" customHeight="1" x14ac:dyDescent="0.25">
      <c r="A12" s="60"/>
      <c r="B12" s="38" t="s">
        <v>74</v>
      </c>
      <c r="C12" s="128">
        <v>4</v>
      </c>
      <c r="D12" s="104"/>
      <c r="E12" s="148"/>
      <c r="F12" s="10"/>
      <c r="G12" s="10"/>
      <c r="H12" s="10"/>
      <c r="I12" s="63"/>
      <c r="J12" s="58"/>
      <c r="K12" s="60"/>
      <c r="L12" s="76"/>
    </row>
    <row r="13" spans="1:12" ht="15.95" customHeight="1" x14ac:dyDescent="0.25">
      <c r="A13" s="60"/>
      <c r="B13" s="38" t="s">
        <v>50</v>
      </c>
      <c r="C13" s="128">
        <f>ROUNDUP(C12*C11,0)</f>
        <v>30</v>
      </c>
      <c r="D13" s="104"/>
      <c r="E13" s="148"/>
      <c r="F13" s="10"/>
      <c r="G13" s="10"/>
      <c r="H13" s="10"/>
      <c r="I13" s="63"/>
      <c r="J13" s="58"/>
      <c r="K13" s="59">
        <f>C13</f>
        <v>30</v>
      </c>
      <c r="L13" s="76"/>
    </row>
    <row r="14" spans="1:12" ht="15.95" customHeight="1" x14ac:dyDescent="0.25">
      <c r="A14" s="60"/>
      <c r="B14" s="10"/>
      <c r="C14" s="104"/>
      <c r="D14" s="17"/>
      <c r="E14" s="150"/>
      <c r="F14" s="10"/>
      <c r="G14" s="10"/>
      <c r="H14" s="10"/>
      <c r="I14" s="63"/>
      <c r="J14" s="58"/>
      <c r="K14" s="60"/>
      <c r="L14" s="76"/>
    </row>
    <row r="15" spans="1:12" ht="15.95" customHeight="1" x14ac:dyDescent="0.25">
      <c r="A15" s="60"/>
      <c r="B15" s="10"/>
      <c r="C15" s="104"/>
      <c r="D15" s="11"/>
      <c r="E15" s="10"/>
      <c r="F15" s="10"/>
      <c r="G15" s="10"/>
      <c r="H15" s="10"/>
      <c r="I15" s="63"/>
      <c r="J15" s="58"/>
      <c r="K15" s="60"/>
      <c r="L15" s="76"/>
    </row>
    <row r="16" spans="1:12" ht="15.95" customHeight="1" x14ac:dyDescent="0.25">
      <c r="A16" s="60"/>
      <c r="B16" s="73" t="s">
        <v>182</v>
      </c>
      <c r="C16" s="107"/>
      <c r="D16" s="127"/>
      <c r="E16" s="150"/>
      <c r="F16" s="10"/>
      <c r="G16" s="10"/>
      <c r="H16" s="10"/>
      <c r="I16" s="63"/>
      <c r="J16" s="58"/>
      <c r="K16" s="60"/>
      <c r="L16" s="76"/>
    </row>
    <row r="17" spans="1:12" ht="15.95" customHeight="1" x14ac:dyDescent="0.25">
      <c r="A17" s="60"/>
      <c r="B17" s="38" t="s">
        <v>14</v>
      </c>
      <c r="C17" s="11">
        <v>7.5</v>
      </c>
      <c r="D17" s="162" t="s">
        <v>17</v>
      </c>
      <c r="E17" s="148"/>
      <c r="F17" s="10"/>
      <c r="G17" s="10"/>
      <c r="H17" s="10"/>
      <c r="I17" s="63"/>
      <c r="J17" s="58"/>
      <c r="K17" s="60"/>
      <c r="L17" s="76"/>
    </row>
    <row r="18" spans="1:12" ht="15.95" customHeight="1" x14ac:dyDescent="0.25">
      <c r="A18" s="60"/>
      <c r="B18" s="38" t="s">
        <v>74</v>
      </c>
      <c r="C18" s="128">
        <v>4</v>
      </c>
      <c r="D18" s="104"/>
      <c r="E18" s="148"/>
      <c r="F18" s="10"/>
      <c r="G18" s="10"/>
      <c r="H18" s="10"/>
      <c r="I18" s="63"/>
      <c r="J18" s="58"/>
      <c r="K18" s="60"/>
      <c r="L18" s="76"/>
    </row>
    <row r="19" spans="1:12" ht="15.95" customHeight="1" x14ac:dyDescent="0.25">
      <c r="A19" s="60"/>
      <c r="B19" s="38" t="s">
        <v>50</v>
      </c>
      <c r="C19" s="128">
        <f>ROUNDUP(C18*C17,0)</f>
        <v>30</v>
      </c>
      <c r="D19" s="104"/>
      <c r="E19" s="148"/>
      <c r="F19" s="10"/>
      <c r="G19" s="10"/>
      <c r="H19" s="10"/>
      <c r="I19" s="63"/>
      <c r="J19" s="58"/>
      <c r="K19" s="59">
        <f>C19</f>
        <v>30</v>
      </c>
      <c r="L19" s="76"/>
    </row>
    <row r="20" spans="1:12" ht="15.95" customHeight="1" x14ac:dyDescent="0.25">
      <c r="A20" s="60"/>
      <c r="B20" s="38"/>
      <c r="C20" s="160"/>
      <c r="D20" s="11"/>
      <c r="E20" s="148"/>
      <c r="F20" s="10"/>
      <c r="G20" s="10"/>
      <c r="H20" s="73"/>
      <c r="I20" s="63"/>
      <c r="J20" s="58"/>
      <c r="K20" s="57"/>
      <c r="L20" s="76"/>
    </row>
    <row r="21" spans="1:12" ht="15.95" customHeight="1" x14ac:dyDescent="0.25">
      <c r="A21" s="60"/>
      <c r="B21" s="38"/>
      <c r="C21" s="160"/>
      <c r="D21" s="11"/>
      <c r="E21" s="148"/>
      <c r="F21" s="10"/>
      <c r="G21" s="10"/>
      <c r="H21" s="10"/>
      <c r="I21" s="63"/>
      <c r="J21" s="189"/>
      <c r="K21" s="57"/>
      <c r="L21" s="76"/>
    </row>
    <row r="22" spans="1:12" ht="15.95" customHeight="1" x14ac:dyDescent="0.25">
      <c r="A22" s="60"/>
      <c r="B22" s="73"/>
      <c r="C22" s="107"/>
      <c r="D22" s="127"/>
      <c r="E22" s="10"/>
      <c r="F22" s="10"/>
      <c r="G22" s="10"/>
      <c r="H22" s="10"/>
      <c r="I22" s="63"/>
      <c r="J22" s="58"/>
      <c r="K22" s="60"/>
      <c r="L22" s="76"/>
    </row>
    <row r="23" spans="1:12" ht="15.95" customHeight="1" x14ac:dyDescent="0.25">
      <c r="A23" s="60"/>
      <c r="B23" s="38"/>
      <c r="C23" s="11"/>
      <c r="D23" s="162"/>
      <c r="E23" s="10"/>
      <c r="F23" s="10"/>
      <c r="G23" s="10"/>
      <c r="H23" s="10"/>
      <c r="I23" s="63"/>
      <c r="J23" s="58"/>
      <c r="K23" s="60"/>
      <c r="L23" s="76"/>
    </row>
    <row r="24" spans="1:12" ht="15.95" customHeight="1" x14ac:dyDescent="0.25">
      <c r="A24" s="60"/>
      <c r="B24" s="38"/>
      <c r="C24" s="128"/>
      <c r="D24" s="104"/>
      <c r="E24" s="10"/>
      <c r="F24" s="10"/>
      <c r="G24" s="10"/>
      <c r="H24" s="10"/>
      <c r="I24" s="63"/>
      <c r="J24" s="58"/>
      <c r="K24" s="60"/>
      <c r="L24" s="76"/>
    </row>
    <row r="25" spans="1:12" ht="15.95" customHeight="1" x14ac:dyDescent="0.25">
      <c r="A25" s="60"/>
      <c r="B25" s="38"/>
      <c r="C25" s="128"/>
      <c r="D25" s="104"/>
      <c r="E25" s="10"/>
      <c r="F25" s="10"/>
      <c r="G25" s="10"/>
      <c r="H25" s="10"/>
      <c r="I25" s="63"/>
      <c r="J25" s="58"/>
      <c r="K25" s="59"/>
      <c r="L25" s="76"/>
    </row>
    <row r="26" spans="1:12" ht="15.95" customHeight="1" x14ac:dyDescent="0.25">
      <c r="A26" s="60"/>
      <c r="B26" s="10"/>
      <c r="C26" s="104"/>
      <c r="D26" s="17"/>
      <c r="E26" s="10"/>
      <c r="F26" s="10"/>
      <c r="G26" s="10"/>
      <c r="H26" s="10"/>
      <c r="I26" s="63"/>
      <c r="J26" s="58"/>
      <c r="K26" s="60"/>
      <c r="L26" s="76"/>
    </row>
    <row r="27" spans="1:12" ht="15.95" customHeight="1" x14ac:dyDescent="0.25">
      <c r="A27" s="60"/>
      <c r="B27" s="10"/>
      <c r="C27" s="104"/>
      <c r="D27" s="11"/>
      <c r="E27" s="10"/>
      <c r="F27" s="10"/>
      <c r="G27" s="10"/>
      <c r="H27" s="10"/>
      <c r="I27" s="63"/>
      <c r="J27" s="58"/>
      <c r="K27" s="60"/>
      <c r="L27" s="76"/>
    </row>
    <row r="28" spans="1:12" ht="15.95" customHeight="1" x14ac:dyDescent="0.25">
      <c r="A28" s="60"/>
      <c r="B28" s="73"/>
      <c r="C28" s="107"/>
      <c r="D28" s="127"/>
      <c r="E28" s="10"/>
      <c r="F28" s="10"/>
      <c r="G28" s="10"/>
      <c r="H28" s="10"/>
      <c r="I28" s="63"/>
      <c r="J28" s="58"/>
      <c r="K28" s="60"/>
      <c r="L28" s="76"/>
    </row>
    <row r="29" spans="1:12" ht="15.95" customHeight="1" x14ac:dyDescent="0.25">
      <c r="A29" s="60"/>
      <c r="B29" s="38"/>
      <c r="C29" s="11"/>
      <c r="D29" s="162"/>
      <c r="E29" s="10"/>
      <c r="F29" s="10"/>
      <c r="G29" s="10"/>
      <c r="H29" s="10"/>
      <c r="I29" s="63"/>
      <c r="J29" s="58"/>
      <c r="K29" s="60"/>
      <c r="L29" s="76"/>
    </row>
    <row r="30" spans="1:12" ht="15.95" customHeight="1" x14ac:dyDescent="0.25">
      <c r="A30" s="60"/>
      <c r="B30" s="38"/>
      <c r="C30" s="128"/>
      <c r="D30" s="104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60"/>
      <c r="B31" s="38"/>
      <c r="C31" s="128"/>
      <c r="D31" s="104"/>
      <c r="E31" s="10"/>
      <c r="F31" s="10"/>
      <c r="G31" s="10"/>
      <c r="H31" s="10"/>
      <c r="I31" s="63"/>
      <c r="J31" s="58"/>
      <c r="K31" s="59"/>
      <c r="L31" s="76"/>
    </row>
    <row r="32" spans="1:12" ht="15.95" customHeight="1" x14ac:dyDescent="0.25">
      <c r="A32" s="60"/>
      <c r="B32" s="10"/>
      <c r="C32" s="104"/>
      <c r="D32" s="11"/>
      <c r="E32" s="10"/>
      <c r="F32" s="10"/>
      <c r="G32" s="10"/>
      <c r="H32" s="73"/>
      <c r="I32" s="63"/>
      <c r="J32" s="58"/>
      <c r="K32" s="59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0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0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0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0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0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60"/>
      <c r="B46" s="10"/>
      <c r="C46" s="104"/>
      <c r="D46" s="11"/>
      <c r="E46" s="10"/>
      <c r="F46" s="10"/>
      <c r="G46" s="10"/>
      <c r="H46" s="10"/>
      <c r="I46" s="63"/>
      <c r="J46" s="58"/>
      <c r="K46" s="60"/>
      <c r="L46" s="76"/>
    </row>
    <row r="47" spans="1:12" ht="15.95" customHeight="1" x14ac:dyDescent="0.25">
      <c r="A47" s="60"/>
      <c r="B47" s="10"/>
      <c r="C47" s="104"/>
      <c r="D47" s="11"/>
      <c r="E47" s="10"/>
      <c r="F47" s="10"/>
      <c r="G47" s="10"/>
      <c r="H47" s="10"/>
      <c r="I47" s="63"/>
      <c r="J47" s="58"/>
      <c r="K47" s="60"/>
      <c r="L47" s="76"/>
    </row>
    <row r="48" spans="1:12" ht="15.95" customHeight="1" x14ac:dyDescent="0.25">
      <c r="A48" s="60"/>
      <c r="B48" s="10"/>
      <c r="C48" s="104"/>
      <c r="D48" s="11"/>
      <c r="E48" s="10"/>
      <c r="F48" s="10"/>
      <c r="G48" s="10"/>
      <c r="H48" s="10"/>
      <c r="I48" s="63"/>
      <c r="J48" s="58"/>
      <c r="K48" s="60"/>
      <c r="L48" s="76"/>
    </row>
    <row r="49" spans="1:12" ht="15.95" customHeight="1" x14ac:dyDescent="0.25">
      <c r="A49" s="71"/>
      <c r="B49" s="10"/>
      <c r="C49" s="25"/>
      <c r="D49" s="25"/>
      <c r="E49" s="100"/>
      <c r="F49" s="100"/>
      <c r="G49" s="97"/>
      <c r="H49" s="25"/>
      <c r="I49" s="92"/>
      <c r="J49" s="32"/>
      <c r="K49" s="71"/>
      <c r="L49" s="77"/>
    </row>
    <row r="50" spans="1:12" ht="15.95" customHeight="1" thickBot="1" x14ac:dyDescent="0.3">
      <c r="A50" s="71"/>
      <c r="B50" s="67"/>
      <c r="C50" s="67"/>
      <c r="D50" s="67"/>
      <c r="E50" s="101"/>
      <c r="F50" s="101"/>
      <c r="G50" s="98"/>
      <c r="H50" s="67"/>
      <c r="I50" s="99"/>
      <c r="J50" s="68"/>
      <c r="K50" s="71"/>
      <c r="L50" s="77"/>
    </row>
    <row r="51" spans="1:12" ht="15.95" customHeight="1" thickBot="1" x14ac:dyDescent="0.3">
      <c r="A51" s="445" t="s">
        <v>13</v>
      </c>
      <c r="B51" s="446"/>
      <c r="C51" s="447"/>
      <c r="D51" s="447"/>
      <c r="E51" s="447"/>
      <c r="F51" s="447"/>
      <c r="G51" s="447"/>
      <c r="H51" s="447"/>
      <c r="I51" s="447"/>
      <c r="J51" s="448"/>
      <c r="K51" s="79">
        <f>SUM(K13:K19)</f>
        <v>60</v>
      </c>
      <c r="L51" s="80">
        <f>K51</f>
        <v>60</v>
      </c>
    </row>
  </sheetData>
  <mergeCells count="8">
    <mergeCell ref="A7:J7"/>
    <mergeCell ref="A51:J51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89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tabColor rgb="FFFF0000"/>
    <pageSetUpPr fitToPage="1"/>
  </sheetPr>
  <dimension ref="A1:L49"/>
  <sheetViews>
    <sheetView showWhiteSpace="0" view="pageBreakPreview" zoomScale="110" zoomScaleNormal="100" zoomScaleSheetLayoutView="110" workbookViewId="0">
      <selection activeCell="AJ31" sqref="AJ31"/>
    </sheetView>
  </sheetViews>
  <sheetFormatPr defaultColWidth="2.85546875" defaultRowHeight="15" customHeight="1" x14ac:dyDescent="0.25"/>
  <cols>
    <col min="2" max="2" width="9.5703125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351">
        <v>44847</v>
      </c>
      <c r="H1" s="121" t="s">
        <v>5</v>
      </c>
      <c r="I1" s="449" t="s">
        <v>186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/>
      <c r="F2" s="2" t="s">
        <v>4</v>
      </c>
      <c r="G2" s="56"/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185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34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25"/>
      <c r="B9" s="19"/>
      <c r="C9" s="104"/>
      <c r="D9" s="128"/>
      <c r="E9" s="148"/>
      <c r="F9" s="10"/>
      <c r="G9" s="10"/>
      <c r="H9" s="10"/>
      <c r="I9" s="63"/>
      <c r="J9" s="58"/>
      <c r="K9" s="6"/>
      <c r="L9" s="75"/>
    </row>
    <row r="10" spans="1:12" ht="15.95" customHeight="1" x14ac:dyDescent="0.25">
      <c r="A10" s="13"/>
      <c r="B10" s="73" t="s">
        <v>19</v>
      </c>
      <c r="C10" s="107"/>
      <c r="D10" s="127"/>
      <c r="E10" s="150"/>
      <c r="F10" s="10"/>
      <c r="G10" s="10"/>
      <c r="H10" s="10"/>
      <c r="I10" s="63"/>
      <c r="J10" s="58"/>
      <c r="K10" s="60"/>
      <c r="L10" s="76"/>
    </row>
    <row r="11" spans="1:12" ht="15.95" customHeight="1" x14ac:dyDescent="0.25">
      <c r="A11" s="13"/>
      <c r="B11" s="38" t="s">
        <v>14</v>
      </c>
      <c r="C11" s="11">
        <v>10.5</v>
      </c>
      <c r="D11" s="162" t="s">
        <v>17</v>
      </c>
      <c r="E11" s="148"/>
      <c r="F11" s="10"/>
      <c r="G11" s="10"/>
      <c r="H11" s="10"/>
      <c r="I11" s="63"/>
      <c r="J11" s="58"/>
      <c r="K11" s="60"/>
      <c r="L11" s="76"/>
    </row>
    <row r="12" spans="1:12" ht="15.95" customHeight="1" x14ac:dyDescent="0.25">
      <c r="A12" s="60"/>
      <c r="B12" s="38" t="s">
        <v>74</v>
      </c>
      <c r="C12" s="128">
        <v>4</v>
      </c>
      <c r="D12" s="104"/>
      <c r="E12" s="148"/>
      <c r="F12" s="10"/>
      <c r="G12" s="10"/>
      <c r="H12" s="10"/>
      <c r="I12" s="63"/>
      <c r="J12" s="58"/>
      <c r="K12" s="60"/>
      <c r="L12" s="76"/>
    </row>
    <row r="13" spans="1:12" ht="15.95" customHeight="1" x14ac:dyDescent="0.25">
      <c r="A13" s="60"/>
      <c r="B13" s="38" t="s">
        <v>50</v>
      </c>
      <c r="C13" s="128">
        <f>ROUNDUP(C12*C11,0)</f>
        <v>42</v>
      </c>
      <c r="D13" s="104"/>
      <c r="E13" s="148"/>
      <c r="F13" s="10"/>
      <c r="G13" s="10"/>
      <c r="H13" s="10"/>
      <c r="I13" s="63"/>
      <c r="J13" s="58"/>
      <c r="K13" s="59">
        <f>C13</f>
        <v>42</v>
      </c>
      <c r="L13" s="76"/>
    </row>
    <row r="14" spans="1:12" ht="15.95" customHeight="1" x14ac:dyDescent="0.25">
      <c r="A14" s="60"/>
      <c r="B14" s="10"/>
      <c r="C14" s="104"/>
      <c r="D14" s="17"/>
      <c r="E14" s="150"/>
      <c r="F14" s="10"/>
      <c r="G14" s="10"/>
      <c r="H14" s="10"/>
      <c r="I14" s="63"/>
      <c r="J14" s="58"/>
      <c r="K14" s="60"/>
      <c r="L14" s="76"/>
    </row>
    <row r="15" spans="1:12" ht="15.95" customHeight="1" x14ac:dyDescent="0.25">
      <c r="A15" s="60"/>
      <c r="B15" s="10"/>
      <c r="C15" s="104"/>
      <c r="D15" s="11"/>
      <c r="E15" s="10"/>
      <c r="F15" s="10"/>
      <c r="G15" s="10"/>
      <c r="H15" s="10"/>
      <c r="I15" s="63"/>
      <c r="J15" s="58"/>
      <c r="K15" s="60"/>
      <c r="L15" s="76"/>
    </row>
    <row r="16" spans="1:12" ht="15.95" customHeight="1" x14ac:dyDescent="0.25">
      <c r="A16" s="60"/>
      <c r="B16" s="73" t="s">
        <v>182</v>
      </c>
      <c r="C16" s="107"/>
      <c r="D16" s="127"/>
      <c r="E16" s="150"/>
      <c r="F16" s="10"/>
      <c r="G16" s="10"/>
      <c r="H16" s="10"/>
      <c r="I16" s="63"/>
      <c r="J16" s="58"/>
      <c r="K16" s="60"/>
      <c r="L16" s="76"/>
    </row>
    <row r="17" spans="1:12" ht="15.95" customHeight="1" x14ac:dyDescent="0.25">
      <c r="A17" s="60"/>
      <c r="B17" s="38" t="s">
        <v>14</v>
      </c>
      <c r="C17" s="11">
        <v>10.1</v>
      </c>
      <c r="D17" s="162" t="s">
        <v>17</v>
      </c>
      <c r="E17" s="148"/>
      <c r="F17" s="10"/>
      <c r="G17" s="10"/>
      <c r="H17" s="10"/>
      <c r="I17" s="63"/>
      <c r="J17" s="58"/>
      <c r="K17" s="60"/>
      <c r="L17" s="76"/>
    </row>
    <row r="18" spans="1:12" ht="15.95" customHeight="1" x14ac:dyDescent="0.25">
      <c r="A18" s="60"/>
      <c r="B18" s="38" t="s">
        <v>74</v>
      </c>
      <c r="C18" s="128">
        <v>4</v>
      </c>
      <c r="D18" s="104"/>
      <c r="E18" s="148"/>
      <c r="F18" s="10"/>
      <c r="G18" s="10"/>
      <c r="H18" s="10"/>
      <c r="I18" s="63"/>
      <c r="J18" s="58"/>
      <c r="K18" s="60"/>
      <c r="L18" s="76"/>
    </row>
    <row r="19" spans="1:12" ht="15.95" customHeight="1" x14ac:dyDescent="0.25">
      <c r="A19" s="60"/>
      <c r="B19" s="38" t="s">
        <v>50</v>
      </c>
      <c r="C19" s="128">
        <f>ROUNDUP(C18*C17,0)</f>
        <v>41</v>
      </c>
      <c r="D19" s="104"/>
      <c r="E19" s="148"/>
      <c r="F19" s="10"/>
      <c r="G19" s="10"/>
      <c r="H19" s="10"/>
      <c r="I19" s="63"/>
      <c r="J19" s="58"/>
      <c r="K19" s="59">
        <f>C19</f>
        <v>41</v>
      </c>
      <c r="L19" s="76"/>
    </row>
    <row r="20" spans="1:12" ht="15.95" customHeight="1" x14ac:dyDescent="0.25">
      <c r="A20" s="60"/>
      <c r="B20" s="38"/>
      <c r="C20" s="160"/>
      <c r="D20" s="11"/>
      <c r="E20" s="148"/>
      <c r="F20" s="10"/>
      <c r="G20" s="10"/>
      <c r="H20" s="73"/>
      <c r="I20" s="63"/>
      <c r="J20" s="58"/>
      <c r="K20" s="57"/>
      <c r="L20" s="76"/>
    </row>
    <row r="21" spans="1:12" ht="15.95" customHeight="1" x14ac:dyDescent="0.25">
      <c r="A21" s="60"/>
      <c r="B21" s="38"/>
      <c r="C21" s="160"/>
      <c r="D21" s="11"/>
      <c r="E21" s="148"/>
      <c r="F21" s="10"/>
      <c r="G21" s="10"/>
      <c r="H21" s="10"/>
      <c r="I21" s="63"/>
      <c r="J21" s="189"/>
      <c r="K21" s="57"/>
      <c r="L21" s="76"/>
    </row>
    <row r="22" spans="1:12" ht="15.95" customHeight="1" x14ac:dyDescent="0.25">
      <c r="A22" s="60"/>
      <c r="B22" s="73"/>
      <c r="C22" s="107"/>
      <c r="D22" s="127"/>
      <c r="E22" s="10"/>
      <c r="F22" s="10"/>
      <c r="G22" s="10"/>
      <c r="H22" s="10"/>
      <c r="I22" s="63"/>
      <c r="J22" s="58"/>
      <c r="K22" s="60"/>
      <c r="L22" s="76"/>
    </row>
    <row r="23" spans="1:12" ht="15.95" customHeight="1" x14ac:dyDescent="0.25">
      <c r="A23" s="60"/>
      <c r="B23" s="38"/>
      <c r="C23" s="22"/>
      <c r="D23" s="162"/>
      <c r="E23" s="10"/>
      <c r="F23" s="10"/>
      <c r="G23" s="10"/>
      <c r="H23" s="10"/>
      <c r="I23" s="63"/>
      <c r="J23" s="58"/>
      <c r="K23" s="60"/>
      <c r="L23" s="76"/>
    </row>
    <row r="24" spans="1:12" ht="15.95" customHeight="1" x14ac:dyDescent="0.25">
      <c r="A24" s="60"/>
      <c r="B24" s="38"/>
      <c r="C24" s="128"/>
      <c r="D24" s="104"/>
      <c r="E24" s="10"/>
      <c r="F24" s="10"/>
      <c r="G24" s="10"/>
      <c r="H24" s="10"/>
      <c r="I24" s="63"/>
      <c r="J24" s="58"/>
      <c r="K24" s="60"/>
      <c r="L24" s="76"/>
    </row>
    <row r="25" spans="1:12" ht="15.95" customHeight="1" x14ac:dyDescent="0.25">
      <c r="A25" s="60"/>
      <c r="B25" s="38"/>
      <c r="C25" s="128"/>
      <c r="D25" s="104"/>
      <c r="E25" s="10"/>
      <c r="F25" s="10"/>
      <c r="G25" s="10"/>
      <c r="H25" s="10"/>
      <c r="I25" s="63"/>
      <c r="J25" s="58"/>
      <c r="K25" s="59"/>
      <c r="L25" s="76"/>
    </row>
    <row r="26" spans="1:12" ht="15.95" customHeight="1" x14ac:dyDescent="0.25">
      <c r="A26" s="60"/>
      <c r="B26" s="10"/>
      <c r="C26" s="104"/>
      <c r="D26" s="17"/>
      <c r="E26" s="10"/>
      <c r="F26" s="10"/>
      <c r="G26" s="10"/>
      <c r="H26" s="10"/>
      <c r="I26" s="63"/>
      <c r="J26" s="58"/>
      <c r="K26" s="60"/>
      <c r="L26" s="76"/>
    </row>
    <row r="27" spans="1:12" ht="15.95" customHeight="1" x14ac:dyDescent="0.25">
      <c r="A27" s="60"/>
      <c r="B27" s="10"/>
      <c r="C27" s="104"/>
      <c r="D27" s="11"/>
      <c r="E27" s="10"/>
      <c r="F27" s="10"/>
      <c r="G27" s="10"/>
      <c r="H27" s="10"/>
      <c r="I27" s="63"/>
      <c r="J27" s="58"/>
      <c r="K27" s="60"/>
      <c r="L27" s="76"/>
    </row>
    <row r="28" spans="1:12" ht="15.95" customHeight="1" x14ac:dyDescent="0.25">
      <c r="A28" s="60"/>
      <c r="B28" s="73"/>
      <c r="C28" s="107"/>
      <c r="D28" s="127"/>
      <c r="E28" s="10"/>
      <c r="F28" s="10"/>
      <c r="G28" s="10"/>
      <c r="H28" s="10"/>
      <c r="I28" s="63"/>
      <c r="J28" s="58"/>
      <c r="K28" s="60"/>
      <c r="L28" s="76"/>
    </row>
    <row r="29" spans="1:12" ht="15.95" customHeight="1" x14ac:dyDescent="0.25">
      <c r="A29" s="60"/>
      <c r="B29" s="38"/>
      <c r="C29" s="11"/>
      <c r="D29" s="162"/>
      <c r="E29" s="10"/>
      <c r="F29" s="10"/>
      <c r="G29" s="10"/>
      <c r="H29" s="10"/>
      <c r="I29" s="63"/>
      <c r="J29" s="58"/>
      <c r="K29" s="60"/>
      <c r="L29" s="76"/>
    </row>
    <row r="30" spans="1:12" ht="15.95" customHeight="1" x14ac:dyDescent="0.25">
      <c r="A30" s="60"/>
      <c r="B30" s="38"/>
      <c r="C30" s="128"/>
      <c r="D30" s="104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60"/>
      <c r="B31" s="38"/>
      <c r="C31" s="128"/>
      <c r="D31" s="104"/>
      <c r="E31" s="10"/>
      <c r="F31" s="10"/>
      <c r="G31" s="10"/>
      <c r="H31" s="10"/>
      <c r="I31" s="63"/>
      <c r="J31" s="58"/>
      <c r="K31" s="59"/>
      <c r="L31" s="76"/>
    </row>
    <row r="32" spans="1:12" ht="15.95" customHeight="1" x14ac:dyDescent="0.25">
      <c r="A32" s="60"/>
      <c r="B32" s="10"/>
      <c r="C32" s="104"/>
      <c r="D32" s="11"/>
      <c r="E32" s="10"/>
      <c r="F32" s="10"/>
      <c r="G32" s="10"/>
      <c r="H32" s="73"/>
      <c r="I32" s="63"/>
      <c r="J32" s="58"/>
      <c r="K32" s="57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0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0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0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0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0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60"/>
      <c r="B46" s="10"/>
      <c r="C46" s="104"/>
      <c r="D46" s="11"/>
      <c r="E46" s="10"/>
      <c r="F46" s="10"/>
      <c r="G46" s="10"/>
      <c r="H46" s="10"/>
      <c r="I46" s="63"/>
      <c r="J46" s="58"/>
      <c r="K46" s="60"/>
      <c r="L46" s="76"/>
    </row>
    <row r="47" spans="1:12" ht="15.95" customHeight="1" x14ac:dyDescent="0.25">
      <c r="A47" s="71"/>
      <c r="B47" s="10"/>
      <c r="C47" s="25"/>
      <c r="D47" s="25"/>
      <c r="E47" s="100"/>
      <c r="F47" s="100"/>
      <c r="G47" s="97"/>
      <c r="H47" s="25"/>
      <c r="I47" s="92"/>
      <c r="J47" s="32"/>
      <c r="K47" s="71"/>
      <c r="L47" s="77"/>
    </row>
    <row r="48" spans="1:12" ht="15.95" customHeight="1" thickBot="1" x14ac:dyDescent="0.3">
      <c r="A48" s="71"/>
      <c r="B48" s="67"/>
      <c r="C48" s="67"/>
      <c r="D48" s="67"/>
      <c r="E48" s="101"/>
      <c r="F48" s="101"/>
      <c r="G48" s="98"/>
      <c r="H48" s="67"/>
      <c r="I48" s="99"/>
      <c r="J48" s="68"/>
      <c r="K48" s="71"/>
      <c r="L48" s="77"/>
    </row>
    <row r="49" spans="1:12" ht="15.95" customHeight="1" thickBot="1" x14ac:dyDescent="0.3">
      <c r="A49" s="445" t="s">
        <v>13</v>
      </c>
      <c r="B49" s="446"/>
      <c r="C49" s="447"/>
      <c r="D49" s="447"/>
      <c r="E49" s="447"/>
      <c r="F49" s="447"/>
      <c r="G49" s="447"/>
      <c r="H49" s="447"/>
      <c r="I49" s="447"/>
      <c r="J49" s="448"/>
      <c r="K49" s="79">
        <f>SUM(K13:K19)</f>
        <v>83</v>
      </c>
      <c r="L49" s="80">
        <f>K49</f>
        <v>83</v>
      </c>
    </row>
  </sheetData>
  <mergeCells count="8">
    <mergeCell ref="A7:J7"/>
    <mergeCell ref="A49:J49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89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L48"/>
  <sheetViews>
    <sheetView showWhiteSpace="0" view="pageBreakPreview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150</v>
      </c>
      <c r="F1" s="121" t="s">
        <v>4</v>
      </c>
      <c r="G1" s="349">
        <v>45107</v>
      </c>
      <c r="H1" s="121" t="s">
        <v>5</v>
      </c>
      <c r="I1" s="449" t="s">
        <v>158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EMBANKMENT!I2+1</f>
        <v>4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157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92</v>
      </c>
    </row>
    <row r="6" spans="1:12" ht="20.100000000000001" customHeight="1" thickBot="1" x14ac:dyDescent="0.3">
      <c r="A6" s="129"/>
      <c r="B6" s="29"/>
      <c r="C6" s="199"/>
      <c r="D6" s="29"/>
      <c r="E6" s="29"/>
      <c r="F6" s="19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73"/>
      <c r="C9" s="104"/>
      <c r="D9" s="94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13"/>
      <c r="B10" s="73"/>
      <c r="C10" s="162" t="s">
        <v>93</v>
      </c>
      <c r="D10" s="197"/>
      <c r="E10" s="38"/>
      <c r="F10" s="38"/>
      <c r="G10" s="10"/>
      <c r="H10" s="25"/>
      <c r="I10" s="92"/>
      <c r="J10" s="58"/>
      <c r="K10" s="60"/>
      <c r="L10" s="76"/>
    </row>
    <row r="11" spans="1:12" ht="16.5" customHeight="1" x14ac:dyDescent="0.25">
      <c r="A11" s="13"/>
      <c r="B11" s="54"/>
      <c r="C11" s="49"/>
      <c r="D11" s="197"/>
      <c r="E11" s="38"/>
      <c r="F11" s="38"/>
      <c r="G11" s="54"/>
      <c r="H11" s="54"/>
      <c r="I11" s="34"/>
      <c r="J11" s="58"/>
      <c r="K11" s="60"/>
      <c r="L11" s="76"/>
    </row>
    <row r="12" spans="1:12" ht="15.95" customHeight="1" x14ac:dyDescent="0.25">
      <c r="A12" s="13"/>
      <c r="B12" s="11"/>
      <c r="C12" s="49"/>
      <c r="D12" s="197"/>
      <c r="E12" s="203"/>
      <c r="F12" s="198"/>
      <c r="G12" s="22"/>
      <c r="H12" s="28"/>
      <c r="I12" s="88"/>
      <c r="J12" s="58"/>
      <c r="K12" s="103"/>
      <c r="L12" s="76"/>
    </row>
    <row r="13" spans="1:12" ht="15.95" customHeight="1" x14ac:dyDescent="0.25">
      <c r="A13" s="13"/>
      <c r="B13" s="10"/>
      <c r="C13" s="198"/>
      <c r="D13" s="198"/>
      <c r="E13" s="204"/>
      <c r="F13" s="205"/>
      <c r="G13" s="22"/>
      <c r="H13" s="28"/>
      <c r="I13" s="88"/>
      <c r="J13" s="58"/>
      <c r="K13" s="59"/>
      <c r="L13" s="76"/>
    </row>
    <row r="14" spans="1:12" ht="15.95" customHeight="1" x14ac:dyDescent="0.25">
      <c r="A14" s="13"/>
      <c r="B14" s="10"/>
      <c r="C14" s="197"/>
      <c r="D14" s="197"/>
      <c r="E14" s="204"/>
      <c r="F14" s="205"/>
      <c r="G14" s="28"/>
      <c r="H14" s="28"/>
      <c r="I14" s="88"/>
      <c r="J14" s="58"/>
      <c r="K14" s="60"/>
      <c r="L14" s="76"/>
    </row>
    <row r="15" spans="1:12" ht="15.95" customHeight="1" x14ac:dyDescent="0.25">
      <c r="A15" s="13"/>
      <c r="B15" s="73"/>
      <c r="C15" s="197"/>
      <c r="D15" s="197"/>
      <c r="E15" s="204"/>
      <c r="F15" s="206"/>
      <c r="G15" s="28"/>
      <c r="H15" s="28"/>
      <c r="I15" s="88"/>
      <c r="J15" s="58"/>
      <c r="K15" s="60"/>
      <c r="L15" s="76"/>
    </row>
    <row r="16" spans="1:12" ht="15.75" customHeight="1" x14ac:dyDescent="0.25">
      <c r="A16" s="13"/>
      <c r="B16" s="73"/>
      <c r="C16" s="197"/>
      <c r="D16" s="117"/>
      <c r="E16" s="204"/>
      <c r="F16" s="204"/>
      <c r="G16" s="54"/>
      <c r="H16" s="54"/>
      <c r="I16" s="82"/>
      <c r="J16" s="58"/>
      <c r="K16" s="57"/>
      <c r="L16" s="76"/>
    </row>
    <row r="17" spans="1:12" ht="15.75" customHeight="1" x14ac:dyDescent="0.25">
      <c r="A17" s="13"/>
      <c r="B17" s="54"/>
      <c r="C17" s="117"/>
      <c r="D17" s="197"/>
      <c r="E17" s="207"/>
      <c r="F17" s="204"/>
      <c r="G17" s="52"/>
      <c r="H17" s="52"/>
      <c r="I17" s="63"/>
      <c r="J17" s="58"/>
      <c r="K17" s="89"/>
      <c r="L17" s="76"/>
    </row>
    <row r="18" spans="1:12" ht="15.95" customHeight="1" x14ac:dyDescent="0.25">
      <c r="A18" s="13"/>
      <c r="B18" s="11"/>
      <c r="C18" s="198"/>
      <c r="D18" s="198"/>
      <c r="E18" s="208"/>
      <c r="F18" s="198"/>
      <c r="G18" s="11"/>
      <c r="H18" s="11"/>
      <c r="I18" s="63"/>
      <c r="J18" s="58"/>
      <c r="K18" s="103"/>
      <c r="L18" s="76"/>
    </row>
    <row r="19" spans="1:12" ht="15.95" customHeight="1" x14ac:dyDescent="0.25">
      <c r="A19" s="13"/>
      <c r="B19" s="84"/>
      <c r="C19" s="197"/>
      <c r="D19" s="197"/>
      <c r="E19" s="117"/>
      <c r="F19" s="117"/>
      <c r="G19" s="11"/>
      <c r="H19" s="11"/>
      <c r="I19" s="63"/>
      <c r="J19" s="58"/>
      <c r="K19" s="60"/>
      <c r="L19" s="76"/>
    </row>
    <row r="20" spans="1:12" ht="15.95" customHeight="1" x14ac:dyDescent="0.25">
      <c r="A20" s="13"/>
      <c r="B20" s="34"/>
      <c r="C20" s="38"/>
      <c r="D20" s="197"/>
      <c r="E20" s="197"/>
      <c r="F20" s="197"/>
      <c r="G20" s="12"/>
      <c r="H20" s="12"/>
      <c r="I20" s="63"/>
      <c r="J20" s="58"/>
      <c r="K20" s="103"/>
      <c r="L20" s="76"/>
    </row>
    <row r="21" spans="1:12" ht="15.95" customHeight="1" x14ac:dyDescent="0.25">
      <c r="A21" s="13"/>
      <c r="B21" s="34"/>
      <c r="C21" s="38"/>
      <c r="D21" s="38"/>
      <c r="E21" s="38"/>
      <c r="F21" s="38"/>
      <c r="G21" s="12"/>
      <c r="H21" s="12"/>
      <c r="I21" s="63"/>
      <c r="J21" s="58"/>
      <c r="K21" s="60"/>
      <c r="L21" s="76"/>
    </row>
    <row r="22" spans="1:12" ht="15.95" customHeight="1" x14ac:dyDescent="0.25">
      <c r="A22" s="13"/>
      <c r="B22" s="73"/>
      <c r="C22" s="22"/>
      <c r="D22" s="11"/>
      <c r="E22" s="10"/>
      <c r="F22" s="10"/>
      <c r="G22" s="10"/>
      <c r="H22" s="10"/>
      <c r="I22" s="63"/>
      <c r="J22" s="58"/>
      <c r="K22" s="57"/>
      <c r="L22" s="76"/>
    </row>
    <row r="23" spans="1:12" ht="15.95" customHeight="1" x14ac:dyDescent="0.25">
      <c r="A23" s="13"/>
      <c r="B23" s="10"/>
      <c r="C23" s="22"/>
      <c r="D23" s="11"/>
      <c r="E23" s="10"/>
      <c r="F23" s="10"/>
      <c r="G23" s="12"/>
      <c r="H23" s="12"/>
      <c r="I23" s="63"/>
      <c r="J23" s="58"/>
      <c r="K23" s="59"/>
      <c r="L23" s="76"/>
    </row>
    <row r="24" spans="1:12" ht="18.75" customHeight="1" x14ac:dyDescent="0.25">
      <c r="A24" s="13"/>
      <c r="B24" s="54"/>
      <c r="C24" s="52"/>
      <c r="D24" s="87"/>
      <c r="E24" s="54"/>
      <c r="F24" s="54"/>
      <c r="G24" s="53"/>
      <c r="H24" s="53"/>
      <c r="I24" s="63"/>
      <c r="J24" s="58"/>
      <c r="K24" s="60"/>
      <c r="L24" s="76"/>
    </row>
    <row r="25" spans="1:12" ht="15.95" customHeight="1" x14ac:dyDescent="0.25">
      <c r="A25" s="13"/>
      <c r="B25" s="10"/>
      <c r="C25" s="11"/>
      <c r="D25" s="11"/>
      <c r="E25" s="10"/>
      <c r="F25" s="11"/>
      <c r="G25" s="11"/>
      <c r="H25" s="11"/>
      <c r="I25" s="63"/>
      <c r="J25" s="58"/>
      <c r="K25" s="60"/>
      <c r="L25" s="76"/>
    </row>
    <row r="26" spans="1:12" ht="15.95" customHeight="1" x14ac:dyDescent="0.25">
      <c r="A26" s="13"/>
      <c r="B26" s="10"/>
      <c r="C26" s="11"/>
      <c r="D26" s="11"/>
      <c r="E26" s="10"/>
      <c r="F26" s="11"/>
      <c r="G26" s="11"/>
      <c r="H26" s="11"/>
      <c r="I26" s="63"/>
      <c r="J26" s="58"/>
      <c r="K26" s="60"/>
      <c r="L26" s="76"/>
    </row>
    <row r="27" spans="1:12" ht="15.95" customHeight="1" x14ac:dyDescent="0.25">
      <c r="A27" s="13"/>
      <c r="B27" s="15"/>
      <c r="C27" s="11"/>
      <c r="D27" s="11"/>
      <c r="E27" s="10"/>
      <c r="F27" s="11"/>
      <c r="G27" s="11"/>
      <c r="H27" s="11"/>
      <c r="I27" s="63"/>
      <c r="J27" s="58"/>
      <c r="K27" s="60"/>
      <c r="L27" s="76"/>
    </row>
    <row r="28" spans="1:12" ht="15.95" customHeight="1" x14ac:dyDescent="0.25">
      <c r="A28" s="13"/>
      <c r="B28" s="10"/>
      <c r="C28" s="86"/>
      <c r="D28" s="30"/>
      <c r="E28" s="19"/>
      <c r="F28" s="11"/>
      <c r="G28" s="11"/>
      <c r="H28" s="30"/>
      <c r="I28" s="63"/>
      <c r="J28" s="58"/>
      <c r="K28" s="60"/>
      <c r="L28" s="76"/>
    </row>
    <row r="29" spans="1:12" ht="15.95" customHeight="1" x14ac:dyDescent="0.25">
      <c r="A29" s="13"/>
      <c r="B29" s="15"/>
      <c r="C29" s="86"/>
      <c r="D29" s="30"/>
      <c r="E29" s="19"/>
      <c r="F29" s="30"/>
      <c r="G29" s="11"/>
      <c r="H29" s="30"/>
      <c r="I29" s="63"/>
      <c r="J29" s="58"/>
      <c r="K29" s="60"/>
      <c r="L29" s="76"/>
    </row>
    <row r="30" spans="1:12" ht="15.95" customHeight="1" x14ac:dyDescent="0.25">
      <c r="A30" s="13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1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2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2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71"/>
      <c r="B46" s="10"/>
      <c r="C46" s="25"/>
      <c r="D46" s="25"/>
      <c r="E46" s="100"/>
      <c r="F46" s="100"/>
      <c r="G46" s="97"/>
      <c r="H46" s="25"/>
      <c r="I46" s="92"/>
      <c r="J46" s="32"/>
      <c r="K46" s="71"/>
      <c r="L46" s="77"/>
    </row>
    <row r="47" spans="1:12" ht="15.95" customHeight="1" thickBot="1" x14ac:dyDescent="0.3">
      <c r="A47" s="71"/>
      <c r="B47" s="67"/>
      <c r="C47" s="67"/>
      <c r="D47" s="67"/>
      <c r="E47" s="101"/>
      <c r="F47" s="101"/>
      <c r="G47" s="98"/>
      <c r="H47" s="67"/>
      <c r="I47" s="99"/>
      <c r="J47" s="68"/>
      <c r="K47" s="71"/>
      <c r="L47" s="77"/>
    </row>
    <row r="48" spans="1:12" ht="15.95" customHeight="1" thickBot="1" x14ac:dyDescent="0.3">
      <c r="A48" s="445" t="s">
        <v>13</v>
      </c>
      <c r="B48" s="446"/>
      <c r="C48" s="447"/>
      <c r="D48" s="447"/>
      <c r="E48" s="447"/>
      <c r="F48" s="447"/>
      <c r="G48" s="447"/>
      <c r="H48" s="447"/>
      <c r="I48" s="447"/>
      <c r="J48" s="448"/>
      <c r="K48" s="79">
        <f>K12+K18</f>
        <v>0</v>
      </c>
      <c r="L48" s="80">
        <v>0</v>
      </c>
    </row>
  </sheetData>
  <mergeCells count="8">
    <mergeCell ref="A7:J7"/>
    <mergeCell ref="A48:J48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>
    <tabColor rgb="FFFF0000"/>
    <pageSetUpPr fitToPage="1"/>
  </sheetPr>
  <dimension ref="A1:L47"/>
  <sheetViews>
    <sheetView showWhiteSpace="0" view="pageBreakPreview" zoomScale="85" zoomScaleNormal="100" zoomScaleSheetLayoutView="85" workbookViewId="0">
      <selection activeCell="G2" sqref="G2"/>
    </sheetView>
  </sheetViews>
  <sheetFormatPr defaultColWidth="2.85546875" defaultRowHeight="15" customHeight="1" x14ac:dyDescent="0.25"/>
  <cols>
    <col min="2" max="2" width="8.7109375" customWidth="1"/>
    <col min="3" max="3" width="7.7109375" customWidth="1"/>
    <col min="4" max="4" width="9.855468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351">
        <v>45107</v>
      </c>
      <c r="H1" s="121" t="s">
        <v>5</v>
      </c>
      <c r="I1" s="449" t="s">
        <v>192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 t="s">
        <v>356</v>
      </c>
      <c r="F2" s="2" t="s">
        <v>4</v>
      </c>
      <c r="G2" s="56">
        <v>45134</v>
      </c>
      <c r="H2" s="3" t="s">
        <v>6</v>
      </c>
      <c r="I2" s="451">
        <v>1</v>
      </c>
      <c r="J2" s="452"/>
      <c r="L2" s="110"/>
    </row>
    <row r="3" spans="1:12" ht="15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191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51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73"/>
      <c r="C9" s="104"/>
      <c r="D9" s="94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13"/>
      <c r="B10" s="184"/>
      <c r="C10" s="91"/>
      <c r="D10" s="24"/>
      <c r="E10" s="25"/>
      <c r="F10" s="25"/>
      <c r="G10" s="25"/>
      <c r="H10" s="25"/>
      <c r="I10" s="92"/>
      <c r="J10" s="58"/>
      <c r="K10" s="60"/>
      <c r="L10" s="76"/>
    </row>
    <row r="11" spans="1:12" ht="15.95" customHeight="1" x14ac:dyDescent="0.25">
      <c r="A11" s="13"/>
      <c r="B11" s="184"/>
      <c r="C11" s="91"/>
      <c r="D11" s="34"/>
      <c r="E11" s="24"/>
      <c r="F11" s="97"/>
      <c r="G11" s="25"/>
      <c r="H11" s="25"/>
      <c r="I11" s="92"/>
      <c r="J11" s="58"/>
      <c r="K11" s="60"/>
      <c r="L11" s="76"/>
    </row>
    <row r="12" spans="1:12" ht="15.95" customHeight="1" x14ac:dyDescent="0.25">
      <c r="A12" s="13"/>
      <c r="B12" s="184"/>
      <c r="C12" s="91"/>
      <c r="D12" s="34"/>
      <c r="E12" s="24"/>
      <c r="F12" s="97"/>
      <c r="G12" s="25"/>
      <c r="H12" s="25"/>
      <c r="I12" s="92"/>
      <c r="J12" s="58"/>
      <c r="K12" s="60"/>
      <c r="L12" s="76"/>
    </row>
    <row r="13" spans="1:12" ht="15.95" customHeight="1" x14ac:dyDescent="0.25">
      <c r="A13" s="13"/>
      <c r="B13" s="184"/>
      <c r="C13" s="91"/>
      <c r="D13" s="34"/>
      <c r="E13" s="92"/>
      <c r="F13" s="97"/>
      <c r="G13" s="25"/>
      <c r="H13" s="25"/>
      <c r="I13" s="92"/>
      <c r="J13" s="58"/>
      <c r="K13" s="60"/>
      <c r="L13" s="76"/>
    </row>
    <row r="14" spans="1:12" ht="15.95" customHeight="1" x14ac:dyDescent="0.25">
      <c r="A14" s="13"/>
      <c r="B14" s="184"/>
      <c r="C14" s="91"/>
      <c r="D14" s="24"/>
      <c r="E14" s="25"/>
      <c r="F14" s="25"/>
      <c r="G14" s="25"/>
      <c r="H14" s="25"/>
      <c r="I14" s="92"/>
      <c r="J14" s="58"/>
      <c r="K14" s="60"/>
      <c r="L14" s="76"/>
    </row>
    <row r="15" spans="1:12" ht="15.95" customHeight="1" x14ac:dyDescent="0.25">
      <c r="A15" s="13"/>
      <c r="B15" s="54"/>
      <c r="C15" s="52"/>
      <c r="D15" s="54"/>
      <c r="E15" s="54"/>
      <c r="F15" s="54"/>
      <c r="G15" s="82"/>
      <c r="H15" s="54"/>
      <c r="I15" s="34"/>
      <c r="J15" s="58"/>
      <c r="K15" s="60"/>
      <c r="L15" s="76"/>
    </row>
    <row r="16" spans="1:12" ht="15.95" customHeight="1" x14ac:dyDescent="0.25">
      <c r="A16" s="13"/>
      <c r="B16" s="10"/>
      <c r="C16" s="11"/>
      <c r="D16" s="22"/>
      <c r="E16" s="22"/>
      <c r="F16" s="22"/>
      <c r="G16" s="63"/>
      <c r="H16" s="22"/>
      <c r="I16" s="88"/>
      <c r="J16" s="58"/>
      <c r="K16" s="60"/>
      <c r="L16" s="76"/>
    </row>
    <row r="17" spans="1:12" ht="15.95" customHeight="1" x14ac:dyDescent="0.25">
      <c r="A17" s="13"/>
      <c r="B17" s="19"/>
      <c r="C17" s="30"/>
      <c r="D17" s="28"/>
      <c r="E17" s="28"/>
      <c r="F17" s="28"/>
      <c r="G17" s="263"/>
      <c r="H17" s="28"/>
      <c r="I17" s="88"/>
      <c r="J17" s="58"/>
      <c r="K17" s="59"/>
      <c r="L17" s="76"/>
    </row>
    <row r="18" spans="1:12" ht="15.75" customHeight="1" x14ac:dyDescent="0.25">
      <c r="A18" s="13"/>
      <c r="B18" s="45"/>
      <c r="C18" s="45"/>
      <c r="D18" s="45"/>
      <c r="E18" s="34"/>
      <c r="F18" s="34"/>
      <c r="G18" s="54"/>
      <c r="H18" s="54"/>
      <c r="I18" s="82"/>
      <c r="J18" s="58"/>
      <c r="K18" s="57"/>
      <c r="L18" s="76"/>
    </row>
    <row r="19" spans="1:12" ht="18.75" customHeight="1" x14ac:dyDescent="0.25">
      <c r="A19" s="13"/>
      <c r="B19" s="54"/>
      <c r="C19" s="54"/>
      <c r="D19" s="54"/>
      <c r="E19" s="54"/>
      <c r="F19" s="54"/>
      <c r="G19" s="54"/>
      <c r="H19" s="52"/>
      <c r="I19" s="63"/>
      <c r="J19" s="58"/>
      <c r="K19" s="89"/>
      <c r="L19" s="76"/>
    </row>
    <row r="20" spans="1:12" ht="18" customHeight="1" x14ac:dyDescent="0.25">
      <c r="A20" s="13"/>
      <c r="B20" s="84"/>
      <c r="C20" s="10"/>
      <c r="D20" s="11"/>
      <c r="E20" s="11"/>
      <c r="F20" s="11"/>
      <c r="G20" s="11"/>
      <c r="H20" s="11"/>
      <c r="I20" s="63"/>
      <c r="J20" s="58"/>
      <c r="K20" s="60"/>
      <c r="L20" s="76"/>
    </row>
    <row r="21" spans="1:12" ht="15.95" customHeight="1" x14ac:dyDescent="0.25">
      <c r="A21" s="13"/>
      <c r="B21" s="84"/>
      <c r="C21" s="10"/>
      <c r="D21" s="11"/>
      <c r="E21" s="11"/>
      <c r="F21" s="11"/>
      <c r="G21" s="11"/>
      <c r="H21" s="11"/>
      <c r="I21" s="63"/>
      <c r="J21" s="58"/>
      <c r="K21" s="60"/>
      <c r="L21" s="76"/>
    </row>
    <row r="22" spans="1:12" ht="15.95" customHeight="1" x14ac:dyDescent="0.25">
      <c r="A22" s="13"/>
      <c r="B22" s="34"/>
      <c r="C22" s="34"/>
      <c r="D22" s="34"/>
      <c r="E22" s="34"/>
      <c r="F22" s="34"/>
      <c r="G22" s="12"/>
      <c r="H22" s="12"/>
      <c r="I22" s="106"/>
      <c r="J22" s="200"/>
      <c r="K22" s="103"/>
      <c r="L22" s="76"/>
    </row>
    <row r="23" spans="1:12" ht="15.95" customHeight="1" x14ac:dyDescent="0.25">
      <c r="A23" s="13"/>
      <c r="B23" s="34"/>
      <c r="C23" s="34"/>
      <c r="D23" s="34"/>
      <c r="E23" s="34"/>
      <c r="F23" s="34"/>
      <c r="G23" s="12"/>
      <c r="H23" s="12"/>
      <c r="I23" s="63"/>
      <c r="J23" s="58"/>
      <c r="K23" s="60"/>
      <c r="L23" s="76"/>
    </row>
    <row r="24" spans="1:12" ht="15.95" customHeight="1" x14ac:dyDescent="0.25">
      <c r="A24" s="13"/>
      <c r="B24" s="34"/>
      <c r="C24" s="34"/>
      <c r="D24" s="34"/>
      <c r="E24" s="34"/>
      <c r="F24" s="34"/>
      <c r="G24" s="12"/>
      <c r="H24" s="12"/>
      <c r="I24" s="63"/>
      <c r="J24" s="58"/>
      <c r="K24" s="60"/>
      <c r="L24" s="76"/>
    </row>
    <row r="25" spans="1:12" ht="15.95" customHeight="1" x14ac:dyDescent="0.25">
      <c r="A25" s="13"/>
      <c r="B25" s="73"/>
      <c r="C25" s="22"/>
      <c r="D25" s="11"/>
      <c r="E25" s="10"/>
      <c r="F25" s="10"/>
      <c r="G25" s="10"/>
      <c r="H25" s="10"/>
      <c r="I25" s="63"/>
      <c r="J25" s="58"/>
      <c r="K25" s="57"/>
      <c r="L25" s="76"/>
    </row>
    <row r="26" spans="1:12" ht="15.95" customHeight="1" x14ac:dyDescent="0.25">
      <c r="A26" s="13"/>
      <c r="B26" s="15"/>
      <c r="C26" s="86"/>
      <c r="D26" s="30"/>
      <c r="E26" s="19"/>
      <c r="F26" s="30"/>
      <c r="G26" s="11"/>
      <c r="H26" s="30"/>
      <c r="I26" s="63"/>
      <c r="J26" s="58"/>
      <c r="K26" s="60"/>
      <c r="L26" s="76"/>
    </row>
    <row r="27" spans="1:12" ht="15.95" customHeight="1" x14ac:dyDescent="0.25">
      <c r="A27" s="13"/>
      <c r="B27" s="10"/>
      <c r="C27" s="104"/>
      <c r="D27" s="11"/>
      <c r="E27" s="10"/>
      <c r="F27" s="10"/>
      <c r="G27" s="10"/>
      <c r="H27" s="10"/>
      <c r="I27" s="63"/>
      <c r="J27" s="58"/>
      <c r="K27" s="60"/>
      <c r="L27" s="76"/>
    </row>
    <row r="28" spans="1:12" ht="15.95" customHeight="1" x14ac:dyDescent="0.25">
      <c r="A28" s="13"/>
      <c r="B28" s="10"/>
      <c r="C28" s="104"/>
      <c r="D28" s="11"/>
      <c r="E28" s="10"/>
      <c r="F28" s="10"/>
      <c r="G28" s="10"/>
      <c r="H28" s="10"/>
      <c r="I28" s="63"/>
      <c r="J28" s="58"/>
      <c r="K28" s="59"/>
      <c r="L28" s="76"/>
    </row>
    <row r="29" spans="1:12" ht="15.95" customHeight="1" x14ac:dyDescent="0.25">
      <c r="A29" s="13"/>
      <c r="B29" s="10"/>
      <c r="C29" s="104"/>
      <c r="D29" s="11"/>
      <c r="E29" s="10"/>
      <c r="F29" s="10"/>
      <c r="G29" s="10"/>
      <c r="H29" s="10"/>
      <c r="I29" s="63"/>
      <c r="J29" s="58"/>
      <c r="K29" s="60"/>
      <c r="L29" s="76"/>
    </row>
    <row r="30" spans="1:12" ht="15.95" customHeight="1" x14ac:dyDescent="0.25">
      <c r="A30" s="13"/>
      <c r="B30" s="10"/>
      <c r="C30" s="104"/>
      <c r="D30" s="11"/>
      <c r="E30" s="10"/>
      <c r="F30" s="10"/>
      <c r="G30" s="10"/>
      <c r="H30" s="10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13"/>
      <c r="B32" s="10"/>
      <c r="C32" s="104"/>
      <c r="D32" s="11"/>
      <c r="E32" s="10"/>
      <c r="F32" s="10"/>
      <c r="G32" s="10"/>
      <c r="H32" s="10"/>
      <c r="I32" s="63"/>
      <c r="J32" s="58"/>
      <c r="K32" s="60"/>
      <c r="L32" s="76"/>
    </row>
    <row r="33" spans="1:12" ht="15.95" customHeight="1" x14ac:dyDescent="0.25">
      <c r="A33" s="13"/>
      <c r="B33" s="10"/>
      <c r="C33" s="104"/>
      <c r="D33" s="11"/>
      <c r="E33" s="10"/>
      <c r="F33" s="10"/>
      <c r="G33" s="12"/>
      <c r="H33" s="10"/>
      <c r="I33" s="63"/>
      <c r="J33" s="58"/>
      <c r="K33" s="60"/>
      <c r="L33" s="76"/>
    </row>
    <row r="34" spans="1:12" ht="15.95" customHeight="1" x14ac:dyDescent="0.25">
      <c r="A34" s="13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13"/>
      <c r="B35" s="10"/>
      <c r="C35" s="104"/>
      <c r="D35" s="11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13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13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2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0"/>
      <c r="H44" s="10"/>
      <c r="I44" s="63"/>
      <c r="J44" s="58"/>
      <c r="K44" s="60"/>
      <c r="L44" s="76"/>
    </row>
    <row r="45" spans="1:12" ht="15.95" customHeight="1" x14ac:dyDescent="0.25">
      <c r="A45" s="71"/>
      <c r="B45" s="10"/>
      <c r="C45" s="25"/>
      <c r="D45" s="25"/>
      <c r="E45" s="100"/>
      <c r="F45" s="100"/>
      <c r="G45" s="97"/>
      <c r="H45" s="25"/>
      <c r="I45" s="92"/>
      <c r="J45" s="32"/>
      <c r="K45" s="71"/>
      <c r="L45" s="77"/>
    </row>
    <row r="46" spans="1:12" ht="15.95" customHeight="1" thickBot="1" x14ac:dyDescent="0.3">
      <c r="A46" s="71"/>
      <c r="B46" s="67"/>
      <c r="C46" s="67"/>
      <c r="D46" s="67"/>
      <c r="E46" s="101"/>
      <c r="F46" s="101"/>
      <c r="G46" s="98"/>
      <c r="H46" s="67"/>
      <c r="I46" s="99"/>
      <c r="J46" s="68"/>
      <c r="K46" s="71"/>
      <c r="L46" s="77"/>
    </row>
    <row r="47" spans="1:12" ht="15.95" customHeight="1" thickBot="1" x14ac:dyDescent="0.3">
      <c r="A47" s="445" t="s">
        <v>13</v>
      </c>
      <c r="B47" s="446"/>
      <c r="C47" s="447"/>
      <c r="D47" s="447"/>
      <c r="E47" s="447"/>
      <c r="F47" s="447"/>
      <c r="G47" s="447"/>
      <c r="H47" s="447"/>
      <c r="I47" s="447"/>
      <c r="J47" s="448"/>
      <c r="K47" s="79">
        <f>K11+K13</f>
        <v>0</v>
      </c>
      <c r="L47" s="80">
        <f>K47</f>
        <v>0</v>
      </c>
    </row>
  </sheetData>
  <mergeCells count="8">
    <mergeCell ref="A7:J7"/>
    <mergeCell ref="A47:J47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>
    <tabColor rgb="FFFF0000"/>
    <pageSetUpPr fitToPage="1"/>
  </sheetPr>
  <dimension ref="A1:L50"/>
  <sheetViews>
    <sheetView showWhiteSpace="0" view="pageBreakPreview" zoomScale="85" zoomScaleNormal="100" zoomScaleSheetLayoutView="85" workbookViewId="0">
      <selection activeCell="G2" sqref="G2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351">
        <v>45107</v>
      </c>
      <c r="H1" s="121" t="s">
        <v>5</v>
      </c>
      <c r="I1" s="449" t="s">
        <v>133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 t="s">
        <v>356</v>
      </c>
      <c r="F2" s="2" t="s">
        <v>4</v>
      </c>
      <c r="G2" s="56">
        <v>45134</v>
      </c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132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66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s="140" customFormat="1" ht="15.95" customHeight="1" x14ac:dyDescent="0.25">
      <c r="A9" s="268"/>
      <c r="B9" s="269"/>
      <c r="C9" s="270"/>
      <c r="D9" s="271"/>
      <c r="E9" s="272"/>
      <c r="F9" s="272"/>
      <c r="G9" s="272"/>
      <c r="H9" s="272"/>
      <c r="I9" s="273"/>
      <c r="J9" s="144"/>
      <c r="K9" s="274"/>
      <c r="L9" s="275"/>
    </row>
    <row r="10" spans="1:12" s="140" customFormat="1" ht="15.95" customHeight="1" x14ac:dyDescent="0.25">
      <c r="A10" s="268"/>
      <c r="B10" s="276"/>
      <c r="C10" s="271"/>
      <c r="D10" s="271"/>
      <c r="E10" s="277"/>
      <c r="F10" s="277"/>
      <c r="G10" s="271"/>
      <c r="H10" s="271"/>
      <c r="I10" s="273"/>
      <c r="J10" s="144"/>
      <c r="K10" s="278"/>
      <c r="L10" s="275"/>
    </row>
    <row r="11" spans="1:12" s="140" customFormat="1" ht="16.5" customHeight="1" x14ac:dyDescent="0.25">
      <c r="A11" s="268"/>
      <c r="B11" s="279"/>
      <c r="C11" s="272"/>
      <c r="D11" s="271"/>
      <c r="E11" s="271"/>
      <c r="F11" s="271"/>
      <c r="G11" s="271"/>
      <c r="H11" s="271"/>
      <c r="I11" s="273"/>
      <c r="J11" s="144"/>
      <c r="K11" s="274"/>
      <c r="L11" s="275"/>
    </row>
    <row r="12" spans="1:12" s="140" customFormat="1" ht="15.95" customHeight="1" x14ac:dyDescent="0.25">
      <c r="A12" s="268"/>
      <c r="B12" s="272"/>
      <c r="C12" s="272"/>
      <c r="D12" s="269"/>
      <c r="E12" s="269"/>
      <c r="F12" s="269"/>
      <c r="G12" s="290"/>
      <c r="H12" s="290"/>
      <c r="I12" s="273"/>
      <c r="J12" s="144"/>
      <c r="K12" s="278"/>
      <c r="L12" s="275"/>
    </row>
    <row r="13" spans="1:12" s="140" customFormat="1" ht="15.95" customHeight="1" x14ac:dyDescent="0.25">
      <c r="A13" s="268"/>
      <c r="B13" s="272"/>
      <c r="C13" s="272"/>
      <c r="D13" s="272"/>
      <c r="E13" s="143"/>
      <c r="F13" s="143"/>
      <c r="G13" s="143"/>
      <c r="H13" s="280"/>
      <c r="I13" s="273"/>
      <c r="J13" s="144"/>
      <c r="K13" s="274"/>
      <c r="L13" s="275"/>
    </row>
    <row r="14" spans="1:12" s="140" customFormat="1" ht="15.95" customHeight="1" x14ac:dyDescent="0.25">
      <c r="A14" s="268"/>
      <c r="B14" s="269"/>
      <c r="C14" s="277"/>
      <c r="D14" s="272"/>
      <c r="E14" s="143"/>
      <c r="F14" s="143"/>
      <c r="G14" s="143"/>
      <c r="H14" s="272"/>
      <c r="I14" s="273"/>
      <c r="J14" s="144"/>
      <c r="K14" s="281"/>
      <c r="L14" s="275"/>
    </row>
    <row r="15" spans="1:12" s="140" customFormat="1" ht="15.95" customHeight="1" x14ac:dyDescent="0.25">
      <c r="A15" s="268"/>
      <c r="B15" s="269"/>
      <c r="C15" s="277"/>
      <c r="D15" s="271"/>
      <c r="E15" s="143"/>
      <c r="F15" s="143"/>
      <c r="G15" s="143"/>
      <c r="H15" s="282"/>
      <c r="I15" s="247"/>
      <c r="J15" s="144"/>
      <c r="K15" s="274"/>
      <c r="L15" s="275"/>
    </row>
    <row r="16" spans="1:12" s="140" customFormat="1" ht="15.75" customHeight="1" x14ac:dyDescent="0.25">
      <c r="A16" s="268"/>
      <c r="B16" s="269"/>
      <c r="C16" s="277"/>
      <c r="D16" s="271"/>
      <c r="E16" s="272"/>
      <c r="F16" s="291"/>
      <c r="G16" s="292"/>
      <c r="H16" s="283"/>
      <c r="I16" s="284"/>
      <c r="J16" s="144"/>
      <c r="K16" s="281"/>
      <c r="L16" s="275"/>
    </row>
    <row r="17" spans="1:12" s="140" customFormat="1" ht="15.75" customHeight="1" x14ac:dyDescent="0.25">
      <c r="A17" s="268"/>
      <c r="B17" s="283"/>
      <c r="C17" s="283"/>
      <c r="D17" s="283"/>
      <c r="E17" s="285"/>
      <c r="F17" s="283"/>
      <c r="G17" s="285"/>
      <c r="H17" s="285"/>
      <c r="I17" s="273"/>
      <c r="J17" s="144"/>
      <c r="K17" s="286"/>
      <c r="L17" s="275"/>
    </row>
    <row r="18" spans="1:12" s="140" customFormat="1" ht="15.75" customHeight="1" x14ac:dyDescent="0.25">
      <c r="A18" s="268"/>
      <c r="B18" s="283"/>
      <c r="C18" s="283"/>
      <c r="D18" s="283"/>
      <c r="E18" s="285"/>
      <c r="F18" s="283"/>
      <c r="G18" s="285"/>
      <c r="H18" s="285"/>
      <c r="I18" s="273"/>
      <c r="J18" s="144"/>
      <c r="K18" s="286"/>
      <c r="L18" s="275"/>
    </row>
    <row r="19" spans="1:12" s="140" customFormat="1" ht="15.75" customHeight="1" x14ac:dyDescent="0.25">
      <c r="A19" s="268"/>
      <c r="B19" s="283"/>
      <c r="C19" s="283"/>
      <c r="D19" s="283"/>
      <c r="E19" s="285"/>
      <c r="F19" s="283"/>
      <c r="G19" s="285"/>
      <c r="H19" s="285"/>
      <c r="I19" s="273"/>
      <c r="J19" s="144"/>
      <c r="K19" s="286"/>
      <c r="L19" s="275"/>
    </row>
    <row r="20" spans="1:12" s="140" customFormat="1" ht="15.75" customHeight="1" x14ac:dyDescent="0.25">
      <c r="A20" s="268"/>
      <c r="B20" s="276"/>
      <c r="C20" s="271"/>
      <c r="D20" s="271"/>
      <c r="E20" s="277"/>
      <c r="F20" s="277"/>
      <c r="G20" s="271"/>
      <c r="H20" s="271"/>
      <c r="I20" s="273"/>
      <c r="J20" s="144"/>
      <c r="K20" s="286"/>
      <c r="L20" s="275"/>
    </row>
    <row r="21" spans="1:12" s="140" customFormat="1" ht="15.75" customHeight="1" x14ac:dyDescent="0.25">
      <c r="A21" s="268"/>
      <c r="B21" s="279"/>
      <c r="C21" s="272"/>
      <c r="D21" s="271"/>
      <c r="E21" s="271"/>
      <c r="F21" s="271"/>
      <c r="G21" s="271"/>
      <c r="H21" s="271"/>
      <c r="I21" s="273"/>
      <c r="J21" s="144"/>
      <c r="K21" s="286"/>
      <c r="L21" s="275"/>
    </row>
    <row r="22" spans="1:12" s="140" customFormat="1" ht="15.75" customHeight="1" x14ac:dyDescent="0.25">
      <c r="A22" s="268"/>
      <c r="B22" s="272"/>
      <c r="C22" s="272"/>
      <c r="D22" s="269"/>
      <c r="E22" s="269"/>
      <c r="F22" s="269"/>
      <c r="G22" s="290"/>
      <c r="H22" s="290"/>
      <c r="I22" s="273"/>
      <c r="J22" s="144"/>
      <c r="K22" s="286"/>
      <c r="L22" s="275"/>
    </row>
    <row r="23" spans="1:12" s="140" customFormat="1" ht="15.75" customHeight="1" x14ac:dyDescent="0.25">
      <c r="A23" s="268"/>
      <c r="B23" s="272"/>
      <c r="C23" s="272"/>
      <c r="D23" s="272"/>
      <c r="E23" s="143"/>
      <c r="F23" s="143"/>
      <c r="G23" s="143"/>
      <c r="H23" s="280"/>
      <c r="I23" s="273"/>
      <c r="J23" s="144"/>
      <c r="K23" s="286"/>
      <c r="L23" s="275"/>
    </row>
    <row r="24" spans="1:12" s="140" customFormat="1" ht="15.95" customHeight="1" x14ac:dyDescent="0.25">
      <c r="A24" s="268"/>
      <c r="B24" s="269"/>
      <c r="C24" s="277"/>
      <c r="D24" s="272"/>
      <c r="E24" s="143"/>
      <c r="F24" s="143"/>
      <c r="G24" s="143"/>
      <c r="H24" s="272"/>
      <c r="I24" s="273"/>
      <c r="J24" s="144"/>
      <c r="K24" s="278"/>
      <c r="L24" s="275"/>
    </row>
    <row r="25" spans="1:12" s="140" customFormat="1" ht="15.95" customHeight="1" x14ac:dyDescent="0.25">
      <c r="A25" s="268"/>
      <c r="B25" s="269"/>
      <c r="C25" s="277"/>
      <c r="D25" s="271"/>
      <c r="E25" s="143"/>
      <c r="F25" s="143"/>
      <c r="G25" s="143"/>
      <c r="H25" s="282"/>
      <c r="I25" s="273"/>
      <c r="J25" s="144"/>
      <c r="K25" s="274"/>
      <c r="L25" s="275"/>
    </row>
    <row r="26" spans="1:12" s="140" customFormat="1" ht="15.95" customHeight="1" x14ac:dyDescent="0.25">
      <c r="A26" s="268"/>
      <c r="B26" s="269"/>
      <c r="C26" s="277"/>
      <c r="D26" s="271"/>
      <c r="E26" s="272"/>
      <c r="F26" s="291"/>
      <c r="G26" s="292"/>
      <c r="H26" s="283"/>
      <c r="I26" s="273"/>
      <c r="J26" s="144"/>
      <c r="K26" s="281"/>
      <c r="L26" s="275"/>
    </row>
    <row r="27" spans="1:12" s="140" customFormat="1" ht="15.95" customHeight="1" x14ac:dyDescent="0.25">
      <c r="A27" s="268"/>
      <c r="B27" s="283"/>
      <c r="C27" s="283"/>
      <c r="D27" s="283"/>
      <c r="E27" s="285"/>
      <c r="F27" s="283"/>
      <c r="G27" s="285"/>
      <c r="H27" s="285"/>
      <c r="I27" s="273"/>
      <c r="J27" s="144"/>
      <c r="K27" s="274"/>
      <c r="L27" s="275"/>
    </row>
    <row r="28" spans="1:12" s="140" customFormat="1" ht="15.95" customHeight="1" x14ac:dyDescent="0.25">
      <c r="A28" s="268"/>
      <c r="B28" s="269"/>
      <c r="C28" s="277"/>
      <c r="D28" s="271"/>
      <c r="E28" s="272"/>
      <c r="F28" s="272"/>
      <c r="G28" s="272"/>
      <c r="H28" s="272"/>
      <c r="I28" s="273"/>
      <c r="J28" s="144"/>
      <c r="K28" s="281"/>
      <c r="L28" s="275"/>
    </row>
    <row r="29" spans="1:12" s="140" customFormat="1" ht="15.95" customHeight="1" x14ac:dyDescent="0.25">
      <c r="A29" s="268"/>
      <c r="B29" s="272"/>
      <c r="C29" s="277"/>
      <c r="D29" s="271"/>
      <c r="E29" s="272"/>
      <c r="F29" s="272"/>
      <c r="G29" s="280"/>
      <c r="H29" s="280"/>
      <c r="I29" s="273"/>
      <c r="J29" s="144"/>
      <c r="K29" s="287"/>
      <c r="L29" s="275"/>
    </row>
    <row r="30" spans="1:12" s="140" customFormat="1" ht="18.75" customHeight="1" x14ac:dyDescent="0.25">
      <c r="A30" s="268"/>
      <c r="B30" s="283"/>
      <c r="C30" s="285"/>
      <c r="D30" s="288"/>
      <c r="E30" s="283"/>
      <c r="F30" s="283"/>
      <c r="G30" s="289"/>
      <c r="H30" s="289"/>
      <c r="I30" s="273"/>
      <c r="J30" s="144"/>
      <c r="K30" s="274"/>
      <c r="L30" s="275"/>
    </row>
    <row r="31" spans="1:12" ht="15.95" customHeight="1" x14ac:dyDescent="0.25">
      <c r="A31" s="16"/>
      <c r="B31" s="9"/>
      <c r="C31" s="94"/>
      <c r="D31" s="94"/>
      <c r="E31" s="9"/>
      <c r="F31" s="94"/>
      <c r="G31" s="94"/>
      <c r="H31" s="94"/>
      <c r="I31" s="63"/>
      <c r="J31" s="58"/>
      <c r="K31" s="60"/>
      <c r="L31" s="76"/>
    </row>
    <row r="32" spans="1:12" ht="15.95" customHeight="1" x14ac:dyDescent="0.25">
      <c r="A32" s="16"/>
      <c r="B32" s="9"/>
      <c r="C32" s="94"/>
      <c r="D32" s="94"/>
      <c r="E32" s="9"/>
      <c r="F32" s="94"/>
      <c r="G32" s="94"/>
      <c r="H32" s="94"/>
      <c r="I32" s="63"/>
      <c r="J32" s="58"/>
      <c r="K32" s="60"/>
      <c r="L32" s="76"/>
    </row>
    <row r="33" spans="1:12" ht="15.95" customHeight="1" x14ac:dyDescent="0.25">
      <c r="A33" s="16"/>
      <c r="B33" s="73"/>
      <c r="C33" s="94"/>
      <c r="D33" s="94"/>
      <c r="E33" s="9"/>
      <c r="F33" s="94"/>
      <c r="G33" s="94"/>
      <c r="H33" s="94"/>
      <c r="I33" s="63"/>
      <c r="J33" s="58"/>
      <c r="K33" s="60"/>
      <c r="L33" s="76"/>
    </row>
    <row r="34" spans="1:12" ht="15.95" customHeight="1" x14ac:dyDescent="0.25">
      <c r="A34" s="16"/>
      <c r="B34" s="9"/>
      <c r="C34" s="165"/>
      <c r="D34" s="166"/>
      <c r="E34" s="90"/>
      <c r="F34" s="94"/>
      <c r="G34" s="94"/>
      <c r="H34" s="166"/>
      <c r="I34" s="63"/>
      <c r="J34" s="58"/>
      <c r="K34" s="60"/>
      <c r="L34" s="76"/>
    </row>
    <row r="35" spans="1:12" ht="15.95" customHeight="1" x14ac:dyDescent="0.25">
      <c r="A35" s="13"/>
      <c r="B35" s="15"/>
      <c r="C35" s="86"/>
      <c r="D35" s="30"/>
      <c r="E35" s="19"/>
      <c r="F35" s="30"/>
      <c r="G35" s="11"/>
      <c r="H35" s="30"/>
      <c r="I35" s="63"/>
      <c r="J35" s="58"/>
      <c r="K35" s="60"/>
      <c r="L35" s="76"/>
    </row>
    <row r="36" spans="1:12" ht="15.95" customHeight="1" x14ac:dyDescent="0.25">
      <c r="A36" s="13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13"/>
      <c r="B37" s="10"/>
      <c r="C37" s="104"/>
      <c r="D37" s="11"/>
      <c r="E37" s="10"/>
      <c r="F37" s="10"/>
      <c r="G37" s="10"/>
      <c r="H37" s="11"/>
      <c r="I37" s="63"/>
      <c r="J37" s="58"/>
      <c r="K37" s="60"/>
      <c r="L37" s="76"/>
    </row>
    <row r="38" spans="1:12" ht="15.95" customHeight="1" x14ac:dyDescent="0.25">
      <c r="A38" s="13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60"/>
      <c r="B46" s="10"/>
      <c r="C46" s="104"/>
      <c r="D46" s="11"/>
      <c r="E46" s="10"/>
      <c r="F46" s="10"/>
      <c r="G46" s="12"/>
      <c r="H46" s="10"/>
      <c r="I46" s="63"/>
      <c r="J46" s="58"/>
      <c r="K46" s="60"/>
      <c r="L46" s="76"/>
    </row>
    <row r="47" spans="1:12" ht="15.95" customHeight="1" x14ac:dyDescent="0.25">
      <c r="A47" s="60"/>
      <c r="B47" s="10"/>
      <c r="C47" s="104"/>
      <c r="D47" s="11"/>
      <c r="E47" s="10"/>
      <c r="F47" s="10"/>
      <c r="G47" s="12"/>
      <c r="H47" s="10"/>
      <c r="I47" s="63"/>
      <c r="J47" s="58"/>
      <c r="K47" s="60"/>
      <c r="L47" s="76"/>
    </row>
    <row r="48" spans="1:12" ht="15.95" customHeight="1" x14ac:dyDescent="0.25">
      <c r="A48" s="60"/>
      <c r="B48" s="10"/>
      <c r="C48" s="104"/>
      <c r="D48" s="11"/>
      <c r="E48" s="10"/>
      <c r="F48" s="10"/>
      <c r="G48" s="12"/>
      <c r="H48" s="10"/>
      <c r="I48" s="63"/>
      <c r="J48" s="58"/>
      <c r="K48" s="60"/>
      <c r="L48" s="76"/>
    </row>
    <row r="49" spans="1:12" ht="15.95" customHeight="1" thickBot="1" x14ac:dyDescent="0.3">
      <c r="A49" s="71"/>
      <c r="B49" s="25"/>
      <c r="C49" s="91"/>
      <c r="D49" s="24"/>
      <c r="E49" s="25"/>
      <c r="F49" s="25"/>
      <c r="G49" s="25"/>
      <c r="H49" s="25"/>
      <c r="I49" s="92"/>
      <c r="J49" s="31"/>
      <c r="K49" s="71"/>
      <c r="L49" s="77"/>
    </row>
    <row r="50" spans="1:12" ht="15.95" customHeight="1" thickBot="1" x14ac:dyDescent="0.3">
      <c r="A50" s="445" t="s">
        <v>13</v>
      </c>
      <c r="B50" s="447"/>
      <c r="C50" s="447"/>
      <c r="D50" s="447"/>
      <c r="E50" s="447"/>
      <c r="F50" s="447"/>
      <c r="G50" s="447"/>
      <c r="H50" s="447"/>
      <c r="I50" s="447"/>
      <c r="J50" s="448"/>
      <c r="K50" s="79">
        <f>SUM(K8:K49)</f>
        <v>0</v>
      </c>
      <c r="L50" s="80">
        <f>K50</f>
        <v>0</v>
      </c>
    </row>
  </sheetData>
  <mergeCells count="8">
    <mergeCell ref="A7:J7"/>
    <mergeCell ref="A50:J50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FF0000"/>
    <pageSetUpPr fitToPage="1"/>
  </sheetPr>
  <dimension ref="A1:L50"/>
  <sheetViews>
    <sheetView showWhiteSpace="0" view="pageBreakPreview" zoomScale="85" zoomScaleNormal="100" zoomScaleSheetLayoutView="85" workbookViewId="0">
      <selection activeCell="G2" sqref="G2"/>
    </sheetView>
  </sheetViews>
  <sheetFormatPr defaultColWidth="2.85546875" defaultRowHeight="15" customHeight="1" x14ac:dyDescent="0.25"/>
  <cols>
    <col min="2" max="2" width="9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6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167" t="s">
        <v>150</v>
      </c>
      <c r="F1" s="121" t="s">
        <v>4</v>
      </c>
      <c r="G1" s="351">
        <v>45107</v>
      </c>
      <c r="H1" s="121" t="s">
        <v>5</v>
      </c>
      <c r="I1" s="449" t="s">
        <v>68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1" t="s">
        <v>356</v>
      </c>
      <c r="F2" s="2" t="s">
        <v>4</v>
      </c>
      <c r="G2" s="56">
        <v>45134</v>
      </c>
      <c r="H2" s="3" t="s">
        <v>6</v>
      </c>
      <c r="I2" s="451">
        <v>1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69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66</v>
      </c>
    </row>
    <row r="6" spans="1:12" ht="20.100000000000001" customHeight="1" thickBot="1" x14ac:dyDescent="0.3">
      <c r="A6" s="70"/>
      <c r="L6" s="110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6"/>
      <c r="B9" s="231"/>
      <c r="C9" s="265"/>
      <c r="D9" s="244"/>
      <c r="E9" s="225"/>
      <c r="F9" s="225"/>
      <c r="G9" s="225"/>
      <c r="H9" s="225"/>
      <c r="I9" s="232"/>
      <c r="J9" s="221"/>
      <c r="K9" s="217"/>
      <c r="L9" s="218"/>
    </row>
    <row r="10" spans="1:12" ht="15.95" customHeight="1" x14ac:dyDescent="0.25">
      <c r="A10" s="16"/>
      <c r="B10" s="276"/>
      <c r="C10" s="271"/>
      <c r="D10" s="271"/>
      <c r="E10" s="277"/>
      <c r="F10" s="277"/>
      <c r="G10" s="271"/>
      <c r="H10" s="271"/>
      <c r="I10" s="273"/>
      <c r="J10" s="144"/>
      <c r="K10" s="278"/>
      <c r="L10" s="218"/>
    </row>
    <row r="11" spans="1:12" ht="16.5" customHeight="1" x14ac:dyDescent="0.25">
      <c r="A11" s="16"/>
      <c r="B11" s="279"/>
      <c r="C11" s="272"/>
      <c r="D11" s="271"/>
      <c r="E11" s="271"/>
      <c r="F11" s="271"/>
      <c r="G11" s="271"/>
      <c r="H11" s="271"/>
      <c r="I11" s="273"/>
      <c r="J11" s="144"/>
      <c r="K11" s="274"/>
      <c r="L11" s="218"/>
    </row>
    <row r="12" spans="1:12" ht="15.95" customHeight="1" x14ac:dyDescent="0.25">
      <c r="A12" s="16"/>
      <c r="B12" s="272"/>
      <c r="C12" s="272"/>
      <c r="D12" s="272"/>
      <c r="E12" s="272"/>
      <c r="F12" s="277"/>
      <c r="G12" s="280"/>
      <c r="H12" s="280"/>
      <c r="I12" s="273"/>
      <c r="J12" s="144"/>
      <c r="K12" s="278"/>
      <c r="L12" s="218"/>
    </row>
    <row r="13" spans="1:12" ht="15.95" customHeight="1" x14ac:dyDescent="0.25">
      <c r="A13" s="16"/>
      <c r="B13" s="272"/>
      <c r="C13" s="272"/>
      <c r="D13" s="272"/>
      <c r="E13" s="272"/>
      <c r="F13" s="272"/>
      <c r="G13" s="280"/>
      <c r="H13" s="280"/>
      <c r="I13" s="273"/>
      <c r="J13" s="144"/>
      <c r="K13" s="274"/>
      <c r="L13" s="218"/>
    </row>
    <row r="14" spans="1:12" ht="15.95" customHeight="1" x14ac:dyDescent="0.25">
      <c r="A14" s="16"/>
      <c r="B14" s="269"/>
      <c r="C14" s="277"/>
      <c r="D14" s="271"/>
      <c r="E14" s="272"/>
      <c r="F14" s="271"/>
      <c r="G14" s="280"/>
      <c r="H14" s="272"/>
      <c r="I14" s="273"/>
      <c r="J14" s="144"/>
      <c r="K14" s="287"/>
      <c r="L14" s="218"/>
    </row>
    <row r="15" spans="1:12" ht="15.95" customHeight="1" x14ac:dyDescent="0.25">
      <c r="A15" s="16"/>
      <c r="B15" s="231"/>
      <c r="C15" s="236"/>
      <c r="D15" s="244"/>
      <c r="E15" s="225"/>
      <c r="F15" s="225"/>
      <c r="G15" s="264"/>
      <c r="H15" s="264"/>
      <c r="I15" s="234"/>
      <c r="J15" s="221"/>
      <c r="K15" s="217"/>
      <c r="L15" s="218"/>
    </row>
    <row r="16" spans="1:12" ht="15.75" customHeight="1" x14ac:dyDescent="0.25">
      <c r="A16" s="16"/>
      <c r="B16" s="272"/>
      <c r="C16" s="272"/>
      <c r="D16" s="272"/>
      <c r="E16" s="272"/>
      <c r="F16" s="277"/>
      <c r="G16" s="280"/>
      <c r="H16" s="280"/>
      <c r="I16" s="273"/>
      <c r="J16" s="144"/>
      <c r="K16" s="278"/>
      <c r="L16" s="218"/>
    </row>
    <row r="17" spans="1:12" ht="15.75" customHeight="1" x14ac:dyDescent="0.25">
      <c r="A17" s="16"/>
      <c r="B17" s="272"/>
      <c r="C17" s="272"/>
      <c r="D17" s="272"/>
      <c r="E17" s="272"/>
      <c r="F17" s="272"/>
      <c r="G17" s="280"/>
      <c r="H17" s="280"/>
      <c r="I17" s="273"/>
      <c r="J17" s="144"/>
      <c r="K17" s="274"/>
      <c r="L17" s="218"/>
    </row>
    <row r="18" spans="1:12" ht="15.75" customHeight="1" x14ac:dyDescent="0.25">
      <c r="A18" s="16"/>
      <c r="B18" s="269"/>
      <c r="C18" s="277"/>
      <c r="D18" s="271"/>
      <c r="E18" s="272"/>
      <c r="F18" s="271"/>
      <c r="G18" s="280"/>
      <c r="H18" s="272"/>
      <c r="I18" s="273"/>
      <c r="J18" s="144"/>
      <c r="K18" s="287"/>
      <c r="L18" s="218"/>
    </row>
    <row r="19" spans="1:12" ht="15.75" customHeight="1" x14ac:dyDescent="0.25">
      <c r="A19" s="16"/>
      <c r="B19" s="266"/>
      <c r="C19" s="266"/>
      <c r="D19" s="266"/>
      <c r="E19" s="267"/>
      <c r="F19" s="266"/>
      <c r="G19" s="267"/>
      <c r="H19" s="267"/>
      <c r="I19" s="232"/>
      <c r="J19" s="221"/>
      <c r="K19" s="240"/>
      <c r="L19" s="218"/>
    </row>
    <row r="20" spans="1:12" ht="15.75" customHeight="1" x14ac:dyDescent="0.25">
      <c r="A20" s="16"/>
      <c r="B20" s="161"/>
      <c r="C20" s="161"/>
      <c r="D20" s="161"/>
      <c r="E20" s="163"/>
      <c r="F20" s="161"/>
      <c r="G20" s="163"/>
      <c r="H20" s="163"/>
      <c r="I20" s="63"/>
      <c r="J20" s="58"/>
      <c r="K20" s="89"/>
      <c r="L20" s="76"/>
    </row>
    <row r="21" spans="1:12" ht="15.75" customHeight="1" x14ac:dyDescent="0.25">
      <c r="A21" s="16"/>
      <c r="B21" s="161"/>
      <c r="C21" s="161"/>
      <c r="D21" s="161"/>
      <c r="E21" s="163"/>
      <c r="F21" s="161"/>
      <c r="G21" s="163"/>
      <c r="H21" s="163"/>
      <c r="I21" s="63"/>
      <c r="J21" s="58"/>
      <c r="K21" s="89"/>
      <c r="L21" s="76"/>
    </row>
    <row r="22" spans="1:12" ht="15.75" customHeight="1" x14ac:dyDescent="0.25">
      <c r="A22" s="16"/>
      <c r="B22" s="161"/>
      <c r="C22" s="161"/>
      <c r="D22" s="161"/>
      <c r="E22" s="163"/>
      <c r="F22" s="161"/>
      <c r="G22" s="163"/>
      <c r="H22" s="163"/>
      <c r="I22" s="63"/>
      <c r="J22" s="58"/>
      <c r="K22" s="89"/>
      <c r="L22" s="76"/>
    </row>
    <row r="23" spans="1:12" ht="15.75" customHeight="1" x14ac:dyDescent="0.25">
      <c r="A23" s="16"/>
      <c r="B23" s="276"/>
      <c r="C23" s="271"/>
      <c r="D23" s="271"/>
      <c r="E23" s="277"/>
      <c r="F23" s="277"/>
      <c r="G23" s="271"/>
      <c r="H23" s="271"/>
      <c r="I23" s="273"/>
      <c r="J23" s="144"/>
      <c r="K23" s="278"/>
      <c r="L23" s="76"/>
    </row>
    <row r="24" spans="1:12" ht="15.95" customHeight="1" x14ac:dyDescent="0.25">
      <c r="A24" s="16"/>
      <c r="B24" s="279"/>
      <c r="C24" s="272"/>
      <c r="D24" s="271"/>
      <c r="E24" s="271"/>
      <c r="F24" s="271"/>
      <c r="G24" s="271"/>
      <c r="H24" s="271"/>
      <c r="I24" s="273"/>
      <c r="J24" s="144"/>
      <c r="K24" s="274"/>
      <c r="L24" s="76"/>
    </row>
    <row r="25" spans="1:12" ht="15.95" customHeight="1" x14ac:dyDescent="0.25">
      <c r="A25" s="16"/>
      <c r="B25" s="272"/>
      <c r="C25" s="272"/>
      <c r="D25" s="272"/>
      <c r="E25" s="272"/>
      <c r="F25" s="277"/>
      <c r="G25" s="280"/>
      <c r="H25" s="280"/>
      <c r="I25" s="273"/>
      <c r="J25" s="144"/>
      <c r="K25" s="278"/>
      <c r="L25" s="76"/>
    </row>
    <row r="26" spans="1:12" ht="15.95" customHeight="1" x14ac:dyDescent="0.25">
      <c r="A26" s="16"/>
      <c r="B26" s="272"/>
      <c r="C26" s="272"/>
      <c r="D26" s="272"/>
      <c r="E26" s="272"/>
      <c r="F26" s="277"/>
      <c r="G26" s="280"/>
      <c r="H26" s="280"/>
      <c r="I26" s="273"/>
      <c r="J26" s="144"/>
      <c r="K26" s="274"/>
      <c r="L26" s="76"/>
    </row>
    <row r="27" spans="1:12" ht="15.95" customHeight="1" x14ac:dyDescent="0.25">
      <c r="A27" s="16"/>
      <c r="B27" s="269"/>
      <c r="C27" s="277"/>
      <c r="D27" s="271"/>
      <c r="E27" s="272"/>
      <c r="F27" s="271"/>
      <c r="G27" s="280"/>
      <c r="H27" s="272"/>
      <c r="I27" s="273"/>
      <c r="J27" s="144"/>
      <c r="K27" s="287"/>
      <c r="L27" s="76"/>
    </row>
    <row r="28" spans="1:12" ht="15.95" customHeight="1" x14ac:dyDescent="0.25">
      <c r="A28" s="16"/>
      <c r="B28" s="231"/>
      <c r="C28" s="236"/>
      <c r="D28" s="244"/>
      <c r="E28" s="225"/>
      <c r="F28" s="225"/>
      <c r="G28" s="264"/>
      <c r="H28" s="264"/>
      <c r="I28" s="234"/>
      <c r="J28" s="221"/>
      <c r="K28" s="217"/>
      <c r="L28" s="76"/>
    </row>
    <row r="29" spans="1:12" ht="15.95" customHeight="1" x14ac:dyDescent="0.25">
      <c r="A29" s="16"/>
      <c r="B29" s="272"/>
      <c r="C29" s="272"/>
      <c r="D29" s="272"/>
      <c r="E29" s="272"/>
      <c r="F29" s="277"/>
      <c r="G29" s="280"/>
      <c r="H29" s="280"/>
      <c r="I29" s="273"/>
      <c r="J29" s="144"/>
      <c r="K29" s="278"/>
      <c r="L29" s="76"/>
    </row>
    <row r="30" spans="1:12" ht="18.75" customHeight="1" x14ac:dyDescent="0.25">
      <c r="A30" s="16"/>
      <c r="B30" s="272"/>
      <c r="C30" s="272"/>
      <c r="D30" s="272"/>
      <c r="E30" s="272"/>
      <c r="F30" s="277"/>
      <c r="G30" s="280"/>
      <c r="H30" s="280"/>
      <c r="I30" s="273"/>
      <c r="J30" s="144"/>
      <c r="K30" s="274"/>
      <c r="L30" s="76"/>
    </row>
    <row r="31" spans="1:12" ht="15.95" customHeight="1" x14ac:dyDescent="0.25">
      <c r="A31" s="16"/>
      <c r="B31" s="269"/>
      <c r="C31" s="277"/>
      <c r="D31" s="271"/>
      <c r="E31" s="272"/>
      <c r="F31" s="271"/>
      <c r="G31" s="280"/>
      <c r="H31" s="272"/>
      <c r="I31" s="273"/>
      <c r="J31" s="144"/>
      <c r="K31" s="287"/>
      <c r="L31" s="76"/>
    </row>
    <row r="32" spans="1:12" ht="15.95" customHeight="1" x14ac:dyDescent="0.25">
      <c r="A32" s="16"/>
      <c r="B32" s="9"/>
      <c r="C32" s="94"/>
      <c r="D32" s="94"/>
      <c r="E32" s="9"/>
      <c r="F32" s="94"/>
      <c r="G32" s="94"/>
      <c r="H32" s="94"/>
      <c r="I32" s="63"/>
      <c r="J32" s="58"/>
      <c r="K32" s="60"/>
      <c r="L32" s="76"/>
    </row>
    <row r="33" spans="1:12" ht="15.95" customHeight="1" x14ac:dyDescent="0.25">
      <c r="A33" s="16"/>
      <c r="B33" s="73"/>
      <c r="C33" s="94"/>
      <c r="D33" s="94"/>
      <c r="E33" s="9"/>
      <c r="F33" s="94"/>
      <c r="G33" s="94"/>
      <c r="H33" s="94"/>
      <c r="I33" s="63"/>
      <c r="J33" s="58"/>
      <c r="K33" s="60"/>
      <c r="L33" s="76"/>
    </row>
    <row r="34" spans="1:12" ht="15.95" customHeight="1" x14ac:dyDescent="0.25">
      <c r="A34" s="16"/>
      <c r="B34" s="9"/>
      <c r="C34" s="165"/>
      <c r="D34" s="166"/>
      <c r="E34" s="90"/>
      <c r="F34" s="94"/>
      <c r="G34" s="94"/>
      <c r="H34" s="166"/>
      <c r="I34" s="63"/>
      <c r="J34" s="58"/>
      <c r="K34" s="60"/>
      <c r="L34" s="76"/>
    </row>
    <row r="35" spans="1:12" ht="15.95" customHeight="1" x14ac:dyDescent="0.25">
      <c r="A35" s="13"/>
      <c r="B35" s="15"/>
      <c r="C35" s="86"/>
      <c r="D35" s="30"/>
      <c r="E35" s="19"/>
      <c r="F35" s="30"/>
      <c r="G35" s="11"/>
      <c r="H35" s="30"/>
      <c r="I35" s="63"/>
      <c r="J35" s="58"/>
      <c r="K35" s="60"/>
      <c r="L35" s="76"/>
    </row>
    <row r="36" spans="1:12" ht="15.95" customHeight="1" x14ac:dyDescent="0.25">
      <c r="A36" s="13"/>
      <c r="B36" s="10"/>
      <c r="C36" s="104"/>
      <c r="D36" s="11"/>
      <c r="E36" s="10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13"/>
      <c r="B37" s="10"/>
      <c r="C37" s="104"/>
      <c r="D37" s="11"/>
      <c r="E37" s="10"/>
      <c r="F37" s="10"/>
      <c r="G37" s="10"/>
      <c r="H37" s="11"/>
      <c r="I37" s="63"/>
      <c r="J37" s="58"/>
      <c r="K37" s="60"/>
      <c r="L37" s="76"/>
    </row>
    <row r="38" spans="1:12" ht="15.95" customHeight="1" x14ac:dyDescent="0.25">
      <c r="A38" s="13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0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0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2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104"/>
      <c r="D45" s="11"/>
      <c r="E45" s="10"/>
      <c r="F45" s="10"/>
      <c r="G45" s="10"/>
      <c r="H45" s="10"/>
      <c r="I45" s="63"/>
      <c r="J45" s="58"/>
      <c r="K45" s="60"/>
      <c r="L45" s="76"/>
    </row>
    <row r="46" spans="1:12" ht="15.95" customHeight="1" x14ac:dyDescent="0.25">
      <c r="A46" s="60"/>
      <c r="B46" s="10"/>
      <c r="C46" s="104"/>
      <c r="D46" s="11"/>
      <c r="E46" s="10"/>
      <c r="F46" s="10"/>
      <c r="G46" s="12"/>
      <c r="H46" s="10"/>
      <c r="I46" s="63"/>
      <c r="J46" s="58"/>
      <c r="K46" s="60"/>
      <c r="L46" s="76"/>
    </row>
    <row r="47" spans="1:12" ht="15.95" customHeight="1" x14ac:dyDescent="0.25">
      <c r="A47" s="60"/>
      <c r="B47" s="10"/>
      <c r="C47" s="104"/>
      <c r="D47" s="11"/>
      <c r="E47" s="10"/>
      <c r="F47" s="10"/>
      <c r="G47" s="12"/>
      <c r="H47" s="10"/>
      <c r="I47" s="63"/>
      <c r="J47" s="58"/>
      <c r="K47" s="60"/>
      <c r="L47" s="76"/>
    </row>
    <row r="48" spans="1:12" ht="15.95" customHeight="1" x14ac:dyDescent="0.25">
      <c r="A48" s="60"/>
      <c r="B48" s="10"/>
      <c r="C48" s="104"/>
      <c r="D48" s="11"/>
      <c r="E48" s="10"/>
      <c r="F48" s="10"/>
      <c r="G48" s="12"/>
      <c r="H48" s="10"/>
      <c r="I48" s="63"/>
      <c r="J48" s="58"/>
      <c r="K48" s="60"/>
      <c r="L48" s="76"/>
    </row>
    <row r="49" spans="1:12" ht="15.95" customHeight="1" thickBot="1" x14ac:dyDescent="0.3">
      <c r="A49" s="71"/>
      <c r="B49" s="25"/>
      <c r="C49" s="91"/>
      <c r="D49" s="24"/>
      <c r="E49" s="25"/>
      <c r="F49" s="25"/>
      <c r="G49" s="25"/>
      <c r="H49" s="25"/>
      <c r="I49" s="92"/>
      <c r="J49" s="31"/>
      <c r="K49" s="71"/>
      <c r="L49" s="77"/>
    </row>
    <row r="50" spans="1:12" ht="15.95" customHeight="1" thickBot="1" x14ac:dyDescent="0.3">
      <c r="A50" s="445" t="s">
        <v>13</v>
      </c>
      <c r="B50" s="447"/>
      <c r="C50" s="447"/>
      <c r="D50" s="447"/>
      <c r="E50" s="447"/>
      <c r="F50" s="447"/>
      <c r="G50" s="447"/>
      <c r="H50" s="447"/>
      <c r="I50" s="447"/>
      <c r="J50" s="448"/>
      <c r="K50" s="79">
        <f>SUM(K8:K49)</f>
        <v>0</v>
      </c>
      <c r="L50" s="80">
        <f>K50</f>
        <v>0</v>
      </c>
    </row>
  </sheetData>
  <mergeCells count="8">
    <mergeCell ref="A7:J7"/>
    <mergeCell ref="A50:J50"/>
    <mergeCell ref="I1:J1"/>
    <mergeCell ref="I2:J2"/>
    <mergeCell ref="C4:D4"/>
    <mergeCell ref="F4:G4"/>
    <mergeCell ref="I4:L4"/>
    <mergeCell ref="C5:J5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L46"/>
  <sheetViews>
    <sheetView showWhiteSpace="0" view="pageBreakPreview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2" max="2" width="11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4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196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1+COF!I2</f>
        <v>5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195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84</v>
      </c>
    </row>
    <row r="6" spans="1:12" ht="20.100000000000001" customHeight="1" thickBot="1" x14ac:dyDescent="0.3">
      <c r="A6" s="129"/>
      <c r="B6" s="29"/>
      <c r="C6" s="199"/>
      <c r="D6" s="29"/>
      <c r="E6" s="29"/>
      <c r="F6" s="19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73" t="s">
        <v>60</v>
      </c>
      <c r="C9" s="104"/>
      <c r="D9" s="94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13"/>
      <c r="B10" s="73" t="s">
        <v>236</v>
      </c>
      <c r="C10" s="22"/>
      <c r="D10" s="11"/>
      <c r="E10" s="10"/>
      <c r="F10" s="10"/>
      <c r="G10" s="10"/>
      <c r="H10" s="25"/>
      <c r="I10" s="92"/>
      <c r="J10" s="58"/>
      <c r="K10" s="60"/>
      <c r="L10" s="76"/>
    </row>
    <row r="11" spans="1:12" ht="15.95" customHeight="1" x14ac:dyDescent="0.25">
      <c r="A11" s="13"/>
      <c r="B11" s="463" t="s">
        <v>239</v>
      </c>
      <c r="C11" s="459" t="s">
        <v>240</v>
      </c>
      <c r="D11" s="460"/>
      <c r="E11" s="461" t="s">
        <v>241</v>
      </c>
      <c r="F11" s="63"/>
      <c r="G11" s="22"/>
      <c r="H11" s="96"/>
      <c r="I11" s="185"/>
      <c r="J11" s="58"/>
      <c r="K11" s="60"/>
      <c r="L11" s="76"/>
    </row>
    <row r="12" spans="1:12" ht="15.95" customHeight="1" x14ac:dyDescent="0.25">
      <c r="A12" s="13"/>
      <c r="B12" s="464"/>
      <c r="C12" s="358" t="s">
        <v>237</v>
      </c>
      <c r="D12" s="359" t="s">
        <v>238</v>
      </c>
      <c r="E12" s="462"/>
      <c r="F12" s="88"/>
      <c r="G12" s="88"/>
      <c r="H12" s="88"/>
      <c r="I12" s="88"/>
      <c r="J12" s="58"/>
      <c r="K12" s="103"/>
      <c r="L12" s="76"/>
    </row>
    <row r="13" spans="1:12" ht="15.95" customHeight="1" x14ac:dyDescent="0.25">
      <c r="A13" s="13"/>
      <c r="B13" s="366">
        <v>71210.2</v>
      </c>
      <c r="C13" s="11">
        <f>23.79+46.284-'Rock Exc'!C13</f>
        <v>65.573999999999543</v>
      </c>
      <c r="D13" s="11">
        <f>23.534+30.226-'Rock Exc'!D13</f>
        <v>49.259999999999543</v>
      </c>
      <c r="E13" s="11"/>
      <c r="F13" s="88"/>
      <c r="G13" s="88"/>
      <c r="H13" s="88"/>
      <c r="I13" s="88"/>
      <c r="J13" s="58"/>
      <c r="K13" s="103"/>
      <c r="L13" s="76"/>
    </row>
    <row r="14" spans="1:12" ht="15.95" customHeight="1" x14ac:dyDescent="0.25">
      <c r="A14" s="13"/>
      <c r="B14" s="355"/>
      <c r="C14" s="11"/>
      <c r="D14" s="11"/>
      <c r="E14" s="30">
        <f>((((C13+C15)/2+(D13+D15)/2))*(B15-B13))/27</f>
        <v>64.677370370382604</v>
      </c>
      <c r="F14" s="88"/>
      <c r="G14" s="88"/>
      <c r="H14" s="88"/>
      <c r="I14" s="88"/>
      <c r="J14" s="58"/>
      <c r="K14" s="103"/>
      <c r="L14" s="76"/>
    </row>
    <row r="15" spans="1:12" ht="15.95" customHeight="1" x14ac:dyDescent="0.25">
      <c r="A15" s="13"/>
      <c r="B15" s="357">
        <v>71225</v>
      </c>
      <c r="C15" s="30">
        <f>60.923-'Rock Exc'!C15</f>
        <v>56.422999999999547</v>
      </c>
      <c r="D15" s="30">
        <f>69.228-'Rock Exc'!D15</f>
        <v>64.72799999999954</v>
      </c>
      <c r="E15" s="30"/>
      <c r="F15" s="63"/>
      <c r="G15" s="22"/>
      <c r="H15" s="88"/>
      <c r="I15" s="88"/>
      <c r="J15" s="58"/>
      <c r="K15" s="59"/>
      <c r="L15" s="76"/>
    </row>
    <row r="16" spans="1:12" ht="15.95" customHeight="1" x14ac:dyDescent="0.25">
      <c r="A16" s="13"/>
      <c r="B16" s="355"/>
      <c r="C16" s="11"/>
      <c r="D16" s="11"/>
      <c r="E16" s="30">
        <f>((((C15+C17)/2+(D15+D17)/2))*(B17-B15))/27</f>
        <v>107.27037037036953</v>
      </c>
      <c r="F16" s="63"/>
      <c r="G16" s="28"/>
      <c r="H16" s="88"/>
      <c r="I16" s="88"/>
      <c r="J16" s="58"/>
      <c r="K16" s="59"/>
      <c r="L16" s="76"/>
    </row>
    <row r="17" spans="1:12" ht="15.95" customHeight="1" x14ac:dyDescent="0.25">
      <c r="A17" s="13"/>
      <c r="B17" s="355">
        <f>B15+25</f>
        <v>71250</v>
      </c>
      <c r="C17" s="11">
        <f>59.901-'Rock Exc'!C17</f>
        <v>55.400999999999549</v>
      </c>
      <c r="D17" s="11">
        <f>59.652-'Rock Exc'!D17</f>
        <v>55.151999999999546</v>
      </c>
      <c r="E17" s="30"/>
      <c r="F17" s="63"/>
      <c r="G17" s="30"/>
      <c r="H17" s="88"/>
      <c r="I17" s="88"/>
      <c r="J17" s="58"/>
      <c r="K17" s="60"/>
      <c r="L17" s="76"/>
    </row>
    <row r="18" spans="1:12" ht="15.95" customHeight="1" x14ac:dyDescent="0.25">
      <c r="A18" s="13"/>
      <c r="B18" s="355"/>
      <c r="C18" s="11"/>
      <c r="D18" s="22"/>
      <c r="E18" s="30">
        <f>((((C17+C19)/2+(D17+D19)/2))*(B19-B17))/27</f>
        <v>100.38425925925841</v>
      </c>
      <c r="F18" s="63"/>
      <c r="G18" s="30"/>
      <c r="H18" s="88"/>
      <c r="I18" s="88"/>
      <c r="J18" s="58"/>
      <c r="K18" s="60"/>
      <c r="L18" s="76"/>
    </row>
    <row r="19" spans="1:12" ht="15.75" customHeight="1" x14ac:dyDescent="0.25">
      <c r="A19" s="13"/>
      <c r="B19" s="355">
        <f>B17+25</f>
        <v>71275</v>
      </c>
      <c r="C19" s="11">
        <f>57.692-'Rock Exc'!C19</f>
        <v>53.191999999999545</v>
      </c>
      <c r="D19" s="11">
        <f>57.585-'Rock Exc'!D19</f>
        <v>53.084999999999546</v>
      </c>
      <c r="E19" s="30"/>
      <c r="F19" s="63"/>
      <c r="G19" s="22"/>
      <c r="H19" s="88"/>
      <c r="I19" s="88"/>
      <c r="J19" s="43"/>
      <c r="K19" s="60"/>
      <c r="L19" s="76"/>
    </row>
    <row r="20" spans="1:12" ht="15.75" customHeight="1" x14ac:dyDescent="0.25">
      <c r="A20" s="13"/>
      <c r="B20" s="355"/>
      <c r="C20" s="11"/>
      <c r="D20" s="22"/>
      <c r="E20" s="30">
        <f>((((C19+C21)/2+(D19+D21)/2))*(B21-B19))/27</f>
        <v>98.556481481480645</v>
      </c>
      <c r="F20" s="63"/>
      <c r="G20" s="22"/>
      <c r="H20" s="88"/>
      <c r="I20" s="88"/>
      <c r="J20" s="43"/>
      <c r="K20" s="60"/>
      <c r="L20" s="76"/>
    </row>
    <row r="21" spans="1:12" ht="15.75" customHeight="1" x14ac:dyDescent="0.25">
      <c r="A21" s="13"/>
      <c r="B21" s="355">
        <v>71300</v>
      </c>
      <c r="C21" s="11">
        <f>58.541-'Rock Exc'!C21</f>
        <v>54.040999999999542</v>
      </c>
      <c r="D21" s="11">
        <f>57.064-'Rock Exc'!D21</f>
        <v>52.563999999999545</v>
      </c>
      <c r="E21" s="22"/>
      <c r="F21" s="63"/>
      <c r="G21" s="22"/>
      <c r="H21" s="88"/>
      <c r="I21" s="88"/>
      <c r="J21" s="43"/>
      <c r="K21" s="60"/>
      <c r="L21" s="76"/>
    </row>
    <row r="22" spans="1:12" ht="15.95" customHeight="1" x14ac:dyDescent="0.25">
      <c r="A22" s="13"/>
      <c r="B22" s="11"/>
      <c r="C22" s="11"/>
      <c r="D22" s="11" t="s">
        <v>13</v>
      </c>
      <c r="E22" s="30">
        <f>SUM(E13:E21)</f>
        <v>370.88848148149123</v>
      </c>
      <c r="F22" s="22"/>
      <c r="G22" s="11"/>
      <c r="H22" s="11"/>
      <c r="I22" s="63"/>
      <c r="J22" s="58"/>
      <c r="K22" s="59">
        <f>E22</f>
        <v>370.88848148149123</v>
      </c>
      <c r="L22" s="76"/>
    </row>
    <row r="23" spans="1:12" ht="15.95" customHeight="1" x14ac:dyDescent="0.25">
      <c r="A23" s="13"/>
      <c r="B23" s="84"/>
      <c r="C23" s="10"/>
      <c r="D23" s="11"/>
      <c r="E23" s="11"/>
      <c r="F23" s="11"/>
      <c r="G23" s="87"/>
      <c r="H23" s="88"/>
      <c r="I23" s="339"/>
      <c r="J23" s="58"/>
      <c r="K23" s="57"/>
      <c r="L23" s="76"/>
    </row>
    <row r="24" spans="1:12" ht="15.95" customHeight="1" x14ac:dyDescent="0.25">
      <c r="A24" s="13"/>
      <c r="B24" s="73"/>
      <c r="C24" s="22"/>
      <c r="D24" s="11"/>
      <c r="E24" s="10"/>
      <c r="F24" s="34"/>
      <c r="G24" s="52"/>
      <c r="H24" s="82"/>
      <c r="I24" s="63"/>
      <c r="J24" s="58"/>
      <c r="K24" s="132"/>
      <c r="L24" s="76"/>
    </row>
    <row r="25" spans="1:12" ht="18.75" customHeight="1" x14ac:dyDescent="0.25">
      <c r="A25" s="13"/>
      <c r="B25" s="73"/>
      <c r="C25" s="22"/>
      <c r="D25" s="11"/>
      <c r="E25" s="54"/>
      <c r="F25" s="54"/>
      <c r="G25" s="53"/>
      <c r="H25" s="53"/>
      <c r="I25" s="63"/>
      <c r="J25" s="58"/>
      <c r="K25" s="60"/>
      <c r="L25" s="76"/>
    </row>
    <row r="26" spans="1:12" ht="15.95" customHeight="1" x14ac:dyDescent="0.25">
      <c r="A26" s="13"/>
      <c r="B26" s="73"/>
      <c r="C26" s="22"/>
      <c r="D26" s="11"/>
      <c r="E26" s="11"/>
      <c r="F26" s="11"/>
      <c r="G26" s="11"/>
      <c r="H26" s="11"/>
      <c r="I26" s="63"/>
      <c r="J26" s="58"/>
      <c r="K26" s="60"/>
      <c r="L26" s="76"/>
    </row>
    <row r="27" spans="1:12" ht="15.95" customHeight="1" x14ac:dyDescent="0.25">
      <c r="A27" s="13"/>
      <c r="B27" s="360"/>
      <c r="C27" s="30"/>
      <c r="D27" s="28"/>
      <c r="E27" s="28"/>
      <c r="F27" s="11"/>
      <c r="G27" s="11"/>
      <c r="H27" s="11"/>
      <c r="I27" s="63"/>
      <c r="J27" s="58"/>
      <c r="K27" s="60"/>
      <c r="L27" s="76"/>
    </row>
    <row r="28" spans="1:12" ht="15.95" customHeight="1" x14ac:dyDescent="0.25">
      <c r="A28" s="13"/>
      <c r="B28" s="355"/>
      <c r="C28" s="11"/>
      <c r="D28" s="30"/>
      <c r="E28" s="11"/>
      <c r="F28" s="11"/>
      <c r="G28" s="11"/>
      <c r="H28" s="11"/>
      <c r="I28" s="63"/>
      <c r="J28" s="58"/>
      <c r="K28" s="60"/>
      <c r="L28" s="76"/>
    </row>
    <row r="29" spans="1:12" ht="15.95" customHeight="1" x14ac:dyDescent="0.25">
      <c r="A29" s="13"/>
      <c r="B29" s="360"/>
      <c r="C29" s="11"/>
      <c r="D29" s="30"/>
      <c r="E29" s="22"/>
      <c r="F29" s="11"/>
      <c r="G29" s="11"/>
      <c r="H29" s="30"/>
      <c r="I29" s="63"/>
      <c r="J29" s="58"/>
      <c r="K29" s="60"/>
      <c r="L29" s="76"/>
    </row>
    <row r="30" spans="1:12" ht="15.95" customHeight="1" x14ac:dyDescent="0.25">
      <c r="A30" s="13"/>
      <c r="B30" s="355"/>
      <c r="C30" s="11"/>
      <c r="D30" s="30"/>
      <c r="E30" s="356"/>
      <c r="F30" s="30"/>
      <c r="G30" s="11"/>
      <c r="H30" s="30"/>
      <c r="I30" s="63"/>
      <c r="J30" s="58"/>
      <c r="K30" s="60"/>
      <c r="L30" s="76"/>
    </row>
    <row r="31" spans="1:12" ht="15.95" customHeight="1" x14ac:dyDescent="0.25">
      <c r="A31" s="13"/>
      <c r="B31" s="360"/>
      <c r="C31" s="11"/>
      <c r="D31" s="30"/>
      <c r="E31" s="22"/>
      <c r="F31" s="10"/>
      <c r="G31" s="10"/>
      <c r="H31" s="10"/>
      <c r="I31" s="63"/>
      <c r="J31" s="58"/>
      <c r="K31" s="60"/>
      <c r="L31" s="76"/>
    </row>
    <row r="32" spans="1:12" ht="15.95" customHeight="1" x14ac:dyDescent="0.25">
      <c r="A32" s="13"/>
      <c r="B32" s="355"/>
      <c r="C32" s="11"/>
      <c r="D32" s="30"/>
      <c r="E32" s="356"/>
      <c r="F32" s="10"/>
      <c r="G32" s="10"/>
      <c r="H32" s="11"/>
      <c r="I32" s="63"/>
      <c r="J32" s="58"/>
      <c r="K32" s="60"/>
      <c r="L32" s="76"/>
    </row>
    <row r="33" spans="1:12" ht="15.95" customHeight="1" x14ac:dyDescent="0.25">
      <c r="A33" s="13"/>
      <c r="B33" s="360"/>
      <c r="C33" s="11"/>
      <c r="D33" s="30"/>
      <c r="E33" s="22"/>
      <c r="F33" s="10"/>
      <c r="G33" s="12"/>
      <c r="H33" s="10"/>
      <c r="I33" s="63"/>
      <c r="J33" s="58"/>
      <c r="K33" s="60"/>
      <c r="L33" s="76"/>
    </row>
    <row r="34" spans="1:12" ht="15.95" customHeight="1" x14ac:dyDescent="0.25">
      <c r="A34" s="60"/>
      <c r="B34" s="11"/>
      <c r="C34" s="11"/>
      <c r="D34" s="30"/>
      <c r="E34" s="356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360"/>
      <c r="C35" s="11"/>
      <c r="D35" s="30"/>
      <c r="E35" s="10"/>
      <c r="F35" s="10"/>
      <c r="G35" s="10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30"/>
      <c r="E36" s="356"/>
      <c r="F36" s="10"/>
      <c r="G36" s="10"/>
      <c r="H36" s="10"/>
      <c r="I36" s="63"/>
      <c r="J36" s="58"/>
      <c r="K36" s="60"/>
      <c r="L36" s="76"/>
    </row>
    <row r="37" spans="1:12" ht="15.95" customHeight="1" x14ac:dyDescent="0.25">
      <c r="A37" s="60"/>
      <c r="B37" s="360"/>
      <c r="C37" s="11"/>
      <c r="D37" s="30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30"/>
      <c r="E38" s="356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360"/>
      <c r="C39" s="104"/>
      <c r="D39" s="10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30"/>
      <c r="E40" s="22"/>
      <c r="F40" s="10"/>
      <c r="G40" s="12"/>
      <c r="H40" s="10"/>
      <c r="I40" s="63"/>
      <c r="J40" s="58"/>
      <c r="K40" s="59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2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0"/>
      <c r="H43" s="10"/>
      <c r="I43" s="63"/>
      <c r="J43" s="58"/>
      <c r="K43" s="60"/>
      <c r="L43" s="76"/>
    </row>
    <row r="44" spans="1:12" ht="15.95" customHeight="1" x14ac:dyDescent="0.25">
      <c r="A44" s="71"/>
      <c r="B44" s="10"/>
      <c r="C44" s="25"/>
      <c r="D44" s="25"/>
      <c r="E44" s="100"/>
      <c r="F44" s="100"/>
      <c r="G44" s="97"/>
      <c r="H44" s="25"/>
      <c r="I44" s="92"/>
      <c r="J44" s="32"/>
      <c r="K44" s="71"/>
      <c r="L44" s="77"/>
    </row>
    <row r="45" spans="1:12" ht="15.95" customHeight="1" thickBot="1" x14ac:dyDescent="0.3">
      <c r="A45" s="71"/>
      <c r="B45" s="67"/>
      <c r="C45" s="67"/>
      <c r="D45" s="67"/>
      <c r="E45" s="101"/>
      <c r="F45" s="101"/>
      <c r="G45" s="98"/>
      <c r="H45" s="67"/>
      <c r="I45" s="99"/>
      <c r="J45" s="68"/>
      <c r="K45" s="71"/>
      <c r="L45" s="77"/>
    </row>
    <row r="46" spans="1:12" ht="15.95" customHeight="1" thickBot="1" x14ac:dyDescent="0.3">
      <c r="A46" s="445" t="s">
        <v>13</v>
      </c>
      <c r="B46" s="446"/>
      <c r="C46" s="447"/>
      <c r="D46" s="447"/>
      <c r="E46" s="447"/>
      <c r="F46" s="447"/>
      <c r="G46" s="447"/>
      <c r="H46" s="447"/>
      <c r="I46" s="447"/>
      <c r="J46" s="448"/>
      <c r="K46" s="79">
        <f>ROUNDUP(SUM(K9:K45),0)</f>
        <v>371</v>
      </c>
      <c r="L46" s="80">
        <f>K46</f>
        <v>371</v>
      </c>
    </row>
  </sheetData>
  <mergeCells count="11">
    <mergeCell ref="A7:J7"/>
    <mergeCell ref="A46:J46"/>
    <mergeCell ref="I1:J1"/>
    <mergeCell ref="I2:J2"/>
    <mergeCell ref="C4:D4"/>
    <mergeCell ref="F4:G4"/>
    <mergeCell ref="I4:L4"/>
    <mergeCell ref="C5:J5"/>
    <mergeCell ref="C11:D11"/>
    <mergeCell ref="E11:E12"/>
    <mergeCell ref="B11:B12"/>
  </mergeCells>
  <printOptions horizontalCentered="1"/>
  <pageMargins left="0.5" right="0.5" top="0.5" bottom="0.5" header="0.5" footer="0.25"/>
  <pageSetup scale="90" fitToHeight="2" orientation="portrait" horizontalDpi="1200" verticalDpi="1200" r:id="rId1"/>
  <headerFooter>
    <oddFooter>&amp;R&amp;9Printed &amp;D &amp;T</oddFooter>
  </headerFooter>
  <rowBreaks count="1" manualBreakCount="1">
    <brk id="46" max="1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L47"/>
  <sheetViews>
    <sheetView showWhiteSpace="0" view="pageBreakPreview" zoomScale="85" zoomScaleNormal="100" zoomScaleSheetLayoutView="85" workbookViewId="0">
      <selection activeCell="AD16" sqref="AD16"/>
    </sheetView>
  </sheetViews>
  <sheetFormatPr defaultColWidth="2.85546875" defaultRowHeight="15" customHeight="1" x14ac:dyDescent="0.25"/>
  <cols>
    <col min="2" max="2" width="11" customWidth="1"/>
    <col min="3" max="3" width="7.7109375" customWidth="1"/>
    <col min="4" max="4" width="9.7109375" customWidth="1"/>
    <col min="5" max="5" width="9" customWidth="1"/>
    <col min="6" max="6" width="11.140625" customWidth="1"/>
    <col min="7" max="7" width="9.5703125" customWidth="1"/>
    <col min="8" max="8" width="10.42578125" customWidth="1"/>
    <col min="9" max="9" width="8.5703125" customWidth="1"/>
    <col min="10" max="10" width="4.140625" customWidth="1"/>
    <col min="11" max="11" width="10.5703125" customWidth="1"/>
    <col min="12" max="12" width="10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220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1+'UNCLASS. EX.'!I2:J2</f>
        <v>6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56" t="s">
        <v>219</v>
      </c>
      <c r="D5" s="456"/>
      <c r="E5" s="456"/>
      <c r="F5" s="456"/>
      <c r="G5" s="456"/>
      <c r="H5" s="456"/>
      <c r="I5" s="456"/>
      <c r="J5" s="456"/>
      <c r="K5" s="111" t="s">
        <v>8</v>
      </c>
      <c r="L5" s="113" t="s">
        <v>84</v>
      </c>
    </row>
    <row r="6" spans="1:12" ht="20.100000000000001" customHeight="1" thickBot="1" x14ac:dyDescent="0.3">
      <c r="A6" s="129"/>
      <c r="B6" s="29"/>
      <c r="C6" s="199"/>
      <c r="D6" s="29"/>
      <c r="E6" s="29"/>
      <c r="F6" s="199"/>
      <c r="G6" s="29"/>
      <c r="H6" s="29"/>
      <c r="I6" s="29"/>
      <c r="J6" s="29"/>
      <c r="K6" s="29"/>
      <c r="L6" s="155"/>
    </row>
    <row r="7" spans="1:12" ht="15" customHeight="1" thickBot="1" x14ac:dyDescent="0.3">
      <c r="A7" s="441" t="s">
        <v>18</v>
      </c>
      <c r="B7" s="442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93"/>
      <c r="B8" s="83"/>
      <c r="C8" s="104"/>
      <c r="D8" s="11"/>
      <c r="E8" s="10"/>
      <c r="F8" s="10"/>
      <c r="G8" s="10"/>
      <c r="H8" s="10"/>
      <c r="I8" s="63"/>
      <c r="J8" s="58"/>
      <c r="K8" s="7"/>
      <c r="L8" s="75"/>
    </row>
    <row r="9" spans="1:12" ht="15.95" customHeight="1" x14ac:dyDescent="0.25">
      <c r="A9" s="13"/>
      <c r="B9" s="73" t="s">
        <v>60</v>
      </c>
      <c r="C9" s="104"/>
      <c r="D9" s="94"/>
      <c r="E9" s="10"/>
      <c r="F9" s="10"/>
      <c r="G9" s="10"/>
      <c r="H9" s="10"/>
      <c r="I9" s="63"/>
      <c r="J9" s="58"/>
      <c r="K9" s="60"/>
      <c r="L9" s="76"/>
    </row>
    <row r="10" spans="1:12" ht="15.95" customHeight="1" x14ac:dyDescent="0.25">
      <c r="A10" s="13"/>
      <c r="B10" s="73" t="s">
        <v>236</v>
      </c>
      <c r="C10" s="22"/>
      <c r="D10" s="11"/>
      <c r="E10" s="10"/>
      <c r="F10" s="10"/>
      <c r="G10" s="10"/>
      <c r="H10" s="25"/>
      <c r="I10" s="92"/>
      <c r="J10" s="58"/>
      <c r="K10" s="60"/>
      <c r="L10" s="76"/>
    </row>
    <row r="11" spans="1:12" ht="15.95" customHeight="1" x14ac:dyDescent="0.25">
      <c r="A11" s="13"/>
      <c r="B11" s="463" t="s">
        <v>239</v>
      </c>
      <c r="C11" s="459" t="s">
        <v>240</v>
      </c>
      <c r="D11" s="460"/>
      <c r="E11" s="461" t="s">
        <v>241</v>
      </c>
      <c r="F11" s="63"/>
      <c r="G11" s="22"/>
      <c r="H11" s="96"/>
      <c r="I11" s="185"/>
      <c r="J11" s="58"/>
      <c r="K11" s="60"/>
      <c r="L11" s="76"/>
    </row>
    <row r="12" spans="1:12" ht="15.95" customHeight="1" x14ac:dyDescent="0.25">
      <c r="A12" s="13"/>
      <c r="B12" s="464"/>
      <c r="C12" s="358" t="s">
        <v>237</v>
      </c>
      <c r="D12" s="359" t="s">
        <v>238</v>
      </c>
      <c r="E12" s="462"/>
      <c r="F12" s="88"/>
      <c r="G12" s="88"/>
      <c r="H12" s="88"/>
      <c r="I12" s="88"/>
      <c r="J12" s="58"/>
      <c r="K12" s="103"/>
      <c r="L12" s="76"/>
    </row>
    <row r="13" spans="1:12" ht="15.95" customHeight="1" x14ac:dyDescent="0.25">
      <c r="A13" s="13"/>
      <c r="B13" s="366">
        <v>71210.2</v>
      </c>
      <c r="C13" s="30">
        <f>10*(1144.7-1144.25)</f>
        <v>4.5000000000004547</v>
      </c>
      <c r="D13" s="30">
        <f>10*(1144.7-1144.25)</f>
        <v>4.5000000000004547</v>
      </c>
      <c r="E13" s="30"/>
      <c r="F13" s="88"/>
      <c r="G13" s="88"/>
      <c r="H13" s="88"/>
      <c r="I13" s="88"/>
      <c r="J13" s="58"/>
      <c r="K13" s="103"/>
      <c r="L13" s="76"/>
    </row>
    <row r="14" spans="1:12" ht="15.95" customHeight="1" x14ac:dyDescent="0.25">
      <c r="A14" s="13"/>
      <c r="B14" s="355"/>
      <c r="C14" s="11"/>
      <c r="D14" s="11"/>
      <c r="E14" s="356">
        <f>((C13+C15)/2*(B15-B13)+(D13+D15)/2*(B15-B13))/27</f>
        <v>4.9333333333348026</v>
      </c>
      <c r="F14" s="88"/>
      <c r="G14" s="88"/>
      <c r="H14" s="88"/>
      <c r="I14" s="88"/>
      <c r="J14" s="58"/>
      <c r="K14" s="103"/>
      <c r="L14" s="76"/>
    </row>
    <row r="15" spans="1:12" ht="15.95" customHeight="1" x14ac:dyDescent="0.25">
      <c r="A15" s="13"/>
      <c r="B15" s="357">
        <v>71225</v>
      </c>
      <c r="C15" s="30">
        <f>10*(1144.7-1144.25)</f>
        <v>4.5000000000004547</v>
      </c>
      <c r="D15" s="30">
        <f>10*(1144.7-1144.25)</f>
        <v>4.5000000000004547</v>
      </c>
      <c r="E15" s="28"/>
      <c r="F15" s="63"/>
      <c r="G15" s="22"/>
      <c r="H15" s="88"/>
      <c r="I15" s="88"/>
      <c r="J15" s="58"/>
      <c r="K15" s="59"/>
      <c r="L15" s="76"/>
    </row>
    <row r="16" spans="1:12" ht="15.95" customHeight="1" x14ac:dyDescent="0.25">
      <c r="A16" s="13"/>
      <c r="B16" s="355"/>
      <c r="C16" s="11"/>
      <c r="D16" s="11"/>
      <c r="E16" s="356">
        <f>((C15+C17)/2*(B17-B15)+(D15+D17)/2*(B17-B15))/27</f>
        <v>8.3333333333341759</v>
      </c>
      <c r="F16" s="63"/>
      <c r="G16" s="28"/>
      <c r="H16" s="88"/>
      <c r="I16" s="88"/>
      <c r="J16" s="58"/>
      <c r="K16" s="59"/>
      <c r="L16" s="76"/>
    </row>
    <row r="17" spans="1:12" ht="15.75" customHeight="1" x14ac:dyDescent="0.25">
      <c r="A17" s="13"/>
      <c r="B17" s="355">
        <f>B15+25</f>
        <v>71250</v>
      </c>
      <c r="C17" s="30">
        <f>10*(1144.7-1144.25)</f>
        <v>4.5000000000004547</v>
      </c>
      <c r="D17" s="30">
        <f>10*(1144.7-1144.25)</f>
        <v>4.5000000000004547</v>
      </c>
      <c r="E17" s="22"/>
      <c r="F17" s="63"/>
      <c r="G17" s="30"/>
      <c r="H17" s="88"/>
      <c r="I17" s="88"/>
      <c r="J17" s="58"/>
      <c r="K17" s="60"/>
      <c r="L17" s="76"/>
    </row>
    <row r="18" spans="1:12" ht="15.75" customHeight="1" x14ac:dyDescent="0.25">
      <c r="A18" s="13"/>
      <c r="B18" s="355"/>
      <c r="C18" s="11"/>
      <c r="D18" s="22"/>
      <c r="E18" s="356">
        <f>((C17+C19)/2*(B19-B17)+(D17+D19)/2*(B19-B17))/27</f>
        <v>8.3333333333341759</v>
      </c>
      <c r="F18" s="63"/>
      <c r="G18" s="30"/>
      <c r="H18" s="88"/>
      <c r="I18" s="88"/>
      <c r="J18" s="58"/>
      <c r="K18" s="60"/>
      <c r="L18" s="76"/>
    </row>
    <row r="19" spans="1:12" ht="15.95" customHeight="1" x14ac:dyDescent="0.25">
      <c r="A19" s="13"/>
      <c r="B19" s="355">
        <f>B17+25</f>
        <v>71275</v>
      </c>
      <c r="C19" s="30">
        <f>10*(1144.7-1144.25)</f>
        <v>4.5000000000004547</v>
      </c>
      <c r="D19" s="30">
        <f>10*(1144.7-1144.25)</f>
        <v>4.5000000000004547</v>
      </c>
      <c r="E19" s="22"/>
      <c r="F19" s="63"/>
      <c r="G19" s="22"/>
      <c r="H19" s="88"/>
      <c r="I19" s="88"/>
      <c r="J19" s="43"/>
      <c r="K19" s="60"/>
      <c r="L19" s="76"/>
    </row>
    <row r="20" spans="1:12" ht="15.95" customHeight="1" x14ac:dyDescent="0.25">
      <c r="A20" s="13"/>
      <c r="B20" s="355"/>
      <c r="C20" s="11"/>
      <c r="D20" s="22"/>
      <c r="E20" s="356">
        <f>((C19+C21)/2*(B21-B19)+(D19+D21)/2*(B21-B19))/27</f>
        <v>8.3333333333341759</v>
      </c>
      <c r="F20" s="63"/>
      <c r="G20" s="22"/>
      <c r="H20" s="88"/>
      <c r="I20" s="88"/>
      <c r="J20" s="43"/>
      <c r="K20" s="60"/>
      <c r="L20" s="76"/>
    </row>
    <row r="21" spans="1:12" ht="15.95" customHeight="1" x14ac:dyDescent="0.25">
      <c r="A21" s="13"/>
      <c r="B21" s="355">
        <f t="shared" ref="B21" si="0">B19+25</f>
        <v>71300</v>
      </c>
      <c r="C21" s="30">
        <f>10*(1144.7-1144.25)</f>
        <v>4.5000000000004547</v>
      </c>
      <c r="D21" s="30">
        <f>10*(1144.7-1144.25)</f>
        <v>4.5000000000004547</v>
      </c>
      <c r="E21" s="22"/>
      <c r="F21" s="63"/>
      <c r="G21" s="22"/>
      <c r="H21" s="88"/>
      <c r="I21" s="88"/>
      <c r="J21" s="43"/>
      <c r="K21" s="60"/>
      <c r="L21" s="76"/>
    </row>
    <row r="22" spans="1:12" ht="15.95" customHeight="1" x14ac:dyDescent="0.25">
      <c r="A22" s="13"/>
      <c r="B22" s="11"/>
      <c r="C22" s="11"/>
      <c r="D22" s="11" t="s">
        <v>13</v>
      </c>
      <c r="E22" s="22">
        <f>SUM(E14:E21)</f>
        <v>29.93333333333733</v>
      </c>
      <c r="F22" s="22"/>
      <c r="G22" s="11"/>
      <c r="H22" s="11"/>
      <c r="I22" s="63"/>
      <c r="J22" s="58"/>
      <c r="K22" s="59">
        <f>E22</f>
        <v>29.93333333333733</v>
      </c>
      <c r="L22" s="76"/>
    </row>
    <row r="23" spans="1:12" ht="15.95" customHeight="1" x14ac:dyDescent="0.25">
      <c r="A23" s="13"/>
      <c r="B23" s="73"/>
      <c r="C23" s="22"/>
      <c r="D23" s="11"/>
      <c r="E23" s="10"/>
      <c r="F23" s="10"/>
      <c r="G23" s="10"/>
      <c r="H23" s="10"/>
      <c r="I23" s="63"/>
      <c r="J23" s="58"/>
      <c r="K23" s="57"/>
      <c r="L23" s="76"/>
    </row>
    <row r="24" spans="1:12" ht="15.95" customHeight="1" x14ac:dyDescent="0.25">
      <c r="A24" s="13"/>
      <c r="B24" s="10"/>
      <c r="C24" s="22"/>
      <c r="D24" s="11"/>
      <c r="E24" s="10"/>
      <c r="F24" s="10"/>
      <c r="G24" s="12"/>
      <c r="H24" s="12"/>
      <c r="I24" s="63"/>
      <c r="J24" s="58"/>
      <c r="K24" s="59"/>
      <c r="L24" s="76"/>
    </row>
    <row r="25" spans="1:12" ht="15.95" customHeight="1" x14ac:dyDescent="0.25">
      <c r="A25" s="13"/>
      <c r="B25" s="10"/>
      <c r="C25" s="11"/>
      <c r="D25" s="11"/>
      <c r="E25" s="10"/>
      <c r="F25" s="11"/>
      <c r="G25" s="11"/>
      <c r="H25" s="11"/>
      <c r="I25" s="63"/>
      <c r="J25" s="58"/>
      <c r="K25" s="60"/>
      <c r="L25" s="76"/>
    </row>
    <row r="26" spans="1:12" ht="15.95" customHeight="1" x14ac:dyDescent="0.25">
      <c r="A26" s="13"/>
      <c r="B26" s="15"/>
      <c r="C26" s="11"/>
      <c r="D26" s="11"/>
      <c r="E26" s="10"/>
      <c r="F26" s="11"/>
      <c r="G26" s="11"/>
      <c r="H26" s="11"/>
      <c r="I26" s="63"/>
      <c r="J26" s="58"/>
      <c r="K26" s="60"/>
      <c r="L26" s="76"/>
    </row>
    <row r="27" spans="1:12" ht="15.95" customHeight="1" x14ac:dyDescent="0.25">
      <c r="A27" s="13"/>
      <c r="B27" s="10"/>
      <c r="C27" s="86"/>
      <c r="D27" s="30"/>
      <c r="E27" s="19"/>
      <c r="F27" s="11"/>
      <c r="G27" s="11"/>
      <c r="H27" s="30"/>
      <c r="I27" s="63"/>
      <c r="J27" s="58"/>
      <c r="K27" s="60"/>
      <c r="L27" s="76"/>
    </row>
    <row r="28" spans="1:12" ht="15.95" customHeight="1" x14ac:dyDescent="0.25">
      <c r="A28" s="13"/>
      <c r="B28" s="15"/>
      <c r="C28" s="86"/>
      <c r="D28" s="30"/>
      <c r="E28" s="19"/>
      <c r="F28" s="30"/>
      <c r="G28" s="11"/>
      <c r="H28" s="30"/>
      <c r="I28" s="63"/>
      <c r="J28" s="58"/>
      <c r="K28" s="60"/>
      <c r="L28" s="76"/>
    </row>
    <row r="29" spans="1:12" ht="15.95" customHeight="1" x14ac:dyDescent="0.25">
      <c r="A29" s="13"/>
      <c r="B29" s="10"/>
      <c r="C29" s="104"/>
      <c r="D29" s="11"/>
      <c r="E29" s="10"/>
      <c r="F29" s="10"/>
      <c r="G29" s="10"/>
      <c r="H29" s="10"/>
      <c r="I29" s="63"/>
      <c r="J29" s="58"/>
      <c r="K29" s="60"/>
      <c r="L29" s="76"/>
    </row>
    <row r="30" spans="1:12" ht="15.95" customHeight="1" x14ac:dyDescent="0.25">
      <c r="A30" s="13"/>
      <c r="B30" s="10"/>
      <c r="C30" s="104"/>
      <c r="D30" s="11"/>
      <c r="E30" s="10"/>
      <c r="F30" s="10"/>
      <c r="G30" s="10"/>
      <c r="H30" s="11"/>
      <c r="I30" s="63"/>
      <c r="J30" s="58"/>
      <c r="K30" s="60"/>
      <c r="L30" s="76"/>
    </row>
    <row r="31" spans="1:12" ht="15.95" customHeight="1" x14ac:dyDescent="0.25">
      <c r="A31" s="13"/>
      <c r="B31" s="10"/>
      <c r="C31" s="104"/>
      <c r="D31" s="11"/>
      <c r="E31" s="10"/>
      <c r="F31" s="10"/>
      <c r="G31" s="12"/>
      <c r="H31" s="10"/>
      <c r="I31" s="63"/>
      <c r="J31" s="58"/>
      <c r="K31" s="60"/>
      <c r="L31" s="76"/>
    </row>
    <row r="32" spans="1:12" ht="15.95" customHeight="1" x14ac:dyDescent="0.25">
      <c r="A32" s="60"/>
      <c r="B32" s="10"/>
      <c r="C32" s="104"/>
      <c r="D32" s="11"/>
      <c r="E32" s="10"/>
      <c r="F32" s="10"/>
      <c r="G32" s="10"/>
      <c r="H32" s="10"/>
      <c r="I32" s="63"/>
      <c r="J32" s="58"/>
      <c r="K32" s="60"/>
      <c r="L32" s="76"/>
    </row>
    <row r="33" spans="1:12" ht="15.95" customHeight="1" x14ac:dyDescent="0.25">
      <c r="A33" s="60"/>
      <c r="B33" s="10"/>
      <c r="C33" s="104"/>
      <c r="D33" s="11"/>
      <c r="E33" s="10"/>
      <c r="F33" s="10"/>
      <c r="G33" s="10"/>
      <c r="H33" s="10"/>
      <c r="I33" s="63"/>
      <c r="J33" s="58"/>
      <c r="K33" s="60"/>
      <c r="L33" s="76"/>
    </row>
    <row r="34" spans="1:12" ht="15.95" customHeight="1" x14ac:dyDescent="0.25">
      <c r="A34" s="60"/>
      <c r="B34" s="10"/>
      <c r="C34" s="104"/>
      <c r="D34" s="11"/>
      <c r="E34" s="10"/>
      <c r="F34" s="10"/>
      <c r="G34" s="10"/>
      <c r="H34" s="10"/>
      <c r="I34" s="63"/>
      <c r="J34" s="58"/>
      <c r="K34" s="60"/>
      <c r="L34" s="76"/>
    </row>
    <row r="35" spans="1:12" ht="15.95" customHeight="1" x14ac:dyDescent="0.25">
      <c r="A35" s="60"/>
      <c r="B35" s="10"/>
      <c r="C35" s="104"/>
      <c r="D35" s="11"/>
      <c r="E35" s="10"/>
      <c r="F35" s="10"/>
      <c r="G35" s="12"/>
      <c r="H35" s="10"/>
      <c r="I35" s="63"/>
      <c r="J35" s="58"/>
      <c r="K35" s="60"/>
      <c r="L35" s="76"/>
    </row>
    <row r="36" spans="1:12" ht="15.95" customHeight="1" x14ac:dyDescent="0.25">
      <c r="A36" s="60"/>
      <c r="B36" s="10"/>
      <c r="C36" s="104"/>
      <c r="D36" s="11"/>
      <c r="E36" s="10"/>
      <c r="F36" s="10"/>
      <c r="G36" s="12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104"/>
      <c r="D37" s="11"/>
      <c r="E37" s="10"/>
      <c r="F37" s="10"/>
      <c r="G37" s="12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104"/>
      <c r="D38" s="11"/>
      <c r="E38" s="10"/>
      <c r="F38" s="10"/>
      <c r="G38" s="12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104"/>
      <c r="D39" s="11"/>
      <c r="E39" s="10"/>
      <c r="F39" s="10"/>
      <c r="G39" s="12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104"/>
      <c r="D40" s="11"/>
      <c r="E40" s="10"/>
      <c r="F40" s="10"/>
      <c r="G40" s="10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104"/>
      <c r="D41" s="11"/>
      <c r="E41" s="10"/>
      <c r="F41" s="10"/>
      <c r="G41" s="12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104"/>
      <c r="D42" s="11"/>
      <c r="E42" s="10"/>
      <c r="F42" s="10"/>
      <c r="G42" s="12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104"/>
      <c r="D43" s="11"/>
      <c r="E43" s="10"/>
      <c r="F43" s="10"/>
      <c r="G43" s="12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104"/>
      <c r="D44" s="11"/>
      <c r="E44" s="10"/>
      <c r="F44" s="10"/>
      <c r="G44" s="10"/>
      <c r="H44" s="10"/>
      <c r="I44" s="63"/>
      <c r="J44" s="58"/>
      <c r="K44" s="60"/>
      <c r="L44" s="76"/>
    </row>
    <row r="45" spans="1:12" ht="15.95" customHeight="1" x14ac:dyDescent="0.25">
      <c r="A45" s="71"/>
      <c r="B45" s="10"/>
      <c r="C45" s="25"/>
      <c r="D45" s="25"/>
      <c r="E45" s="100"/>
      <c r="F45" s="100"/>
      <c r="G45" s="97"/>
      <c r="H45" s="25"/>
      <c r="I45" s="92"/>
      <c r="J45" s="32"/>
      <c r="K45" s="71"/>
      <c r="L45" s="77"/>
    </row>
    <row r="46" spans="1:12" ht="15.95" customHeight="1" thickBot="1" x14ac:dyDescent="0.3">
      <c r="A46" s="71"/>
      <c r="B46" s="67"/>
      <c r="C46" s="67"/>
      <c r="D46" s="67"/>
      <c r="E46" s="101"/>
      <c r="F46" s="101"/>
      <c r="G46" s="98"/>
      <c r="H46" s="67"/>
      <c r="I46" s="99"/>
      <c r="J46" s="68"/>
      <c r="K46" s="71"/>
      <c r="L46" s="77"/>
    </row>
    <row r="47" spans="1:12" ht="15.95" customHeight="1" thickBot="1" x14ac:dyDescent="0.3">
      <c r="A47" s="445" t="s">
        <v>13</v>
      </c>
      <c r="B47" s="446"/>
      <c r="C47" s="447"/>
      <c r="D47" s="447"/>
      <c r="E47" s="447"/>
      <c r="F47" s="447"/>
      <c r="G47" s="447"/>
      <c r="H47" s="447"/>
      <c r="I47" s="447"/>
      <c r="J47" s="448"/>
      <c r="K47" s="79">
        <f>ROUNDUP(SUM(K9:K46),0)</f>
        <v>30</v>
      </c>
      <c r="L47" s="80">
        <f>K47</f>
        <v>30</v>
      </c>
    </row>
  </sheetData>
  <mergeCells count="11">
    <mergeCell ref="A7:J7"/>
    <mergeCell ref="A47:J47"/>
    <mergeCell ref="I1:J1"/>
    <mergeCell ref="I2:J2"/>
    <mergeCell ref="C4:D4"/>
    <mergeCell ref="F4:G4"/>
    <mergeCell ref="I4:L4"/>
    <mergeCell ref="C5:J5"/>
    <mergeCell ref="B11:B12"/>
    <mergeCell ref="C11:D11"/>
    <mergeCell ref="E11:E12"/>
  </mergeCells>
  <printOptions horizontalCentered="1"/>
  <pageMargins left="0.5" right="0.5" top="0.5" bottom="0.5" header="0.5" footer="0.25"/>
  <pageSetup scale="90" orientation="portrait" horizontalDpi="1200" verticalDpi="1200" r:id="rId1"/>
  <headerFooter>
    <oddFooter>&amp;R&amp;9Printed &amp;D &amp;T</oddFooter>
  </headerFooter>
  <rowBreaks count="1" manualBreakCount="1">
    <brk id="45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L171"/>
  <sheetViews>
    <sheetView showWhiteSpace="0" view="pageBreakPreview" topLeftCell="A136" zoomScale="80" zoomScaleNormal="100" zoomScaleSheetLayoutView="80" workbookViewId="0">
      <selection activeCell="AD16" sqref="AD16"/>
    </sheetView>
  </sheetViews>
  <sheetFormatPr defaultColWidth="2.85546875" defaultRowHeight="15" customHeight="1" x14ac:dyDescent="0.25"/>
  <cols>
    <col min="2" max="2" width="8.7109375" customWidth="1"/>
    <col min="3" max="3" width="8.28515625" customWidth="1"/>
    <col min="4" max="4" width="11.85546875" bestFit="1" customWidth="1"/>
    <col min="5" max="5" width="10.85546875" customWidth="1"/>
    <col min="6" max="6" width="9.85546875" customWidth="1"/>
    <col min="7" max="7" width="9.42578125" customWidth="1"/>
    <col min="8" max="8" width="10.42578125" customWidth="1"/>
    <col min="9" max="9" width="9.85546875" customWidth="1"/>
    <col min="10" max="10" width="9" customWidth="1"/>
    <col min="11" max="11" width="11.28515625" customWidth="1"/>
    <col min="12" max="12" width="11.85546875" customWidth="1"/>
  </cols>
  <sheetData>
    <row r="1" spans="1:12" ht="15" customHeight="1" x14ac:dyDescent="0.4">
      <c r="A1" s="118" t="s">
        <v>0</v>
      </c>
      <c r="B1" s="119"/>
      <c r="C1" s="120"/>
      <c r="D1" s="121" t="s">
        <v>2</v>
      </c>
      <c r="E1" s="403" t="s">
        <v>229</v>
      </c>
      <c r="F1" s="121" t="s">
        <v>4</v>
      </c>
      <c r="G1" s="349">
        <v>45107</v>
      </c>
      <c r="H1" s="121" t="s">
        <v>5</v>
      </c>
      <c r="I1" s="449" t="s">
        <v>328</v>
      </c>
      <c r="J1" s="450"/>
      <c r="K1" s="120"/>
      <c r="L1" s="123"/>
    </row>
    <row r="2" spans="1:12" ht="15" customHeight="1" x14ac:dyDescent="0.4">
      <c r="A2" s="124" t="s">
        <v>1</v>
      </c>
      <c r="B2" s="109"/>
      <c r="D2" s="2" t="s">
        <v>3</v>
      </c>
      <c r="E2" s="404" t="s">
        <v>356</v>
      </c>
      <c r="F2" s="2" t="s">
        <v>4</v>
      </c>
      <c r="G2" s="350">
        <v>45134</v>
      </c>
      <c r="H2" s="3" t="s">
        <v>6</v>
      </c>
      <c r="I2" s="451">
        <f>'Rock Exc'!I2:J2+1</f>
        <v>7</v>
      </c>
      <c r="J2" s="452"/>
      <c r="L2" s="110"/>
    </row>
    <row r="3" spans="1:12" ht="9.75" customHeight="1" x14ac:dyDescent="0.25">
      <c r="A3" s="70"/>
      <c r="L3" s="110"/>
    </row>
    <row r="4" spans="1:12" ht="20.100000000000001" customHeight="1" x14ac:dyDescent="0.25">
      <c r="A4" s="168" t="s">
        <v>7</v>
      </c>
      <c r="B4" s="111"/>
      <c r="C4" s="453">
        <v>108774</v>
      </c>
      <c r="D4" s="453"/>
      <c r="E4" s="112" t="s">
        <v>91</v>
      </c>
      <c r="F4" s="453" t="s">
        <v>218</v>
      </c>
      <c r="G4" s="453"/>
      <c r="H4" s="112" t="s">
        <v>11</v>
      </c>
      <c r="I4" s="454"/>
      <c r="J4" s="454"/>
      <c r="K4" s="454"/>
      <c r="L4" s="455"/>
    </row>
    <row r="5" spans="1:12" ht="20.100000000000001" customHeight="1" x14ac:dyDescent="0.25">
      <c r="A5" s="168" t="s">
        <v>10</v>
      </c>
      <c r="B5" s="111"/>
      <c r="C5" s="465" t="s">
        <v>333</v>
      </c>
      <c r="D5" s="465"/>
      <c r="E5" s="465"/>
      <c r="F5" s="465"/>
      <c r="G5" s="465"/>
      <c r="H5" s="465"/>
      <c r="I5" s="465"/>
      <c r="J5" s="465"/>
      <c r="K5" s="111" t="s">
        <v>8</v>
      </c>
      <c r="L5" s="113" t="s">
        <v>34</v>
      </c>
    </row>
    <row r="6" spans="1:12" ht="20.100000000000001" customHeight="1" thickBot="1" x14ac:dyDescent="0.3">
      <c r="A6" s="129"/>
      <c r="B6" s="29"/>
      <c r="C6" s="29"/>
      <c r="D6" s="29"/>
      <c r="E6" s="29"/>
      <c r="F6" s="29"/>
      <c r="G6" s="29"/>
      <c r="H6" s="29"/>
      <c r="I6" s="29"/>
      <c r="J6" s="29"/>
      <c r="K6" s="29"/>
      <c r="L6" s="155"/>
    </row>
    <row r="7" spans="1:12" ht="15" customHeight="1" thickBot="1" x14ac:dyDescent="0.3">
      <c r="A7" s="441"/>
      <c r="B7" s="443"/>
      <c r="C7" s="443"/>
      <c r="D7" s="443"/>
      <c r="E7" s="443"/>
      <c r="F7" s="443"/>
      <c r="G7" s="443"/>
      <c r="H7" s="443"/>
      <c r="I7" s="443"/>
      <c r="J7" s="444"/>
      <c r="K7" s="105" t="s">
        <v>12</v>
      </c>
      <c r="L7" s="74" t="s">
        <v>13</v>
      </c>
    </row>
    <row r="8" spans="1:12" ht="15.95" customHeight="1" x14ac:dyDescent="0.25">
      <c r="A8" s="21"/>
      <c r="B8" s="114"/>
      <c r="C8" s="8"/>
      <c r="D8" s="8"/>
      <c r="E8" s="8"/>
      <c r="F8" s="8"/>
      <c r="G8" s="8"/>
      <c r="H8" s="8"/>
      <c r="I8" s="8"/>
      <c r="J8" s="8"/>
      <c r="K8" s="7"/>
      <c r="L8" s="108"/>
    </row>
    <row r="9" spans="1:12" ht="15.95" customHeight="1" x14ac:dyDescent="0.25">
      <c r="A9" s="60"/>
      <c r="B9" s="321" t="s">
        <v>248</v>
      </c>
      <c r="C9" s="58"/>
      <c r="D9" s="58"/>
      <c r="E9" s="58"/>
      <c r="F9" s="58"/>
      <c r="G9" s="58"/>
      <c r="H9" s="58"/>
      <c r="I9" s="58"/>
      <c r="J9" s="58"/>
      <c r="K9" s="60"/>
      <c r="L9" s="76"/>
    </row>
    <row r="10" spans="1:12" s="308" customFormat="1" ht="39.950000000000003" customHeight="1" x14ac:dyDescent="0.25">
      <c r="A10" s="313"/>
      <c r="B10" s="314"/>
      <c r="C10" s="314" t="s">
        <v>244</v>
      </c>
      <c r="D10" s="314" t="s">
        <v>126</v>
      </c>
      <c r="E10" s="314" t="s">
        <v>127</v>
      </c>
      <c r="F10" s="96" t="s">
        <v>245</v>
      </c>
      <c r="G10" s="96" t="s">
        <v>246</v>
      </c>
      <c r="H10" s="314" t="s">
        <v>14</v>
      </c>
      <c r="I10" s="314"/>
      <c r="J10" s="318"/>
      <c r="K10" s="313"/>
      <c r="L10" s="317"/>
    </row>
    <row r="11" spans="1:12" ht="15.95" customHeight="1" x14ac:dyDescent="0.25">
      <c r="A11" s="60"/>
      <c r="B11" s="10"/>
      <c r="C11" s="63">
        <v>1</v>
      </c>
      <c r="D11" s="11" t="s">
        <v>303</v>
      </c>
      <c r="E11" s="10" t="str">
        <f>RIGHT(D11,3)</f>
        <v>104</v>
      </c>
      <c r="F11" s="22">
        <v>1147</v>
      </c>
      <c r="G11" s="22">
        <v>1134</v>
      </c>
      <c r="H11" s="22">
        <f>F11-G11</f>
        <v>13</v>
      </c>
      <c r="I11" s="63"/>
      <c r="J11" s="58"/>
      <c r="K11" s="60"/>
      <c r="L11" s="76"/>
    </row>
    <row r="12" spans="1:12" ht="15.95" customHeight="1" x14ac:dyDescent="0.25">
      <c r="A12" s="60"/>
      <c r="B12" s="10"/>
      <c r="C12" s="63">
        <v>3</v>
      </c>
      <c r="D12" s="11" t="s">
        <v>303</v>
      </c>
      <c r="E12" s="10" t="str">
        <f t="shared" ref="E12:E34" si="0">RIGHT(D12,3)</f>
        <v>104</v>
      </c>
      <c r="F12" s="22">
        <v>1149</v>
      </c>
      <c r="G12" s="22">
        <v>1134</v>
      </c>
      <c r="H12" s="22">
        <f t="shared" ref="H12:H33" si="1">F12-G12</f>
        <v>15</v>
      </c>
      <c r="I12" s="63"/>
      <c r="J12" s="58"/>
      <c r="K12" s="60"/>
      <c r="L12" s="76"/>
    </row>
    <row r="13" spans="1:12" ht="15.95" customHeight="1" x14ac:dyDescent="0.25">
      <c r="A13" s="60"/>
      <c r="B13" s="10"/>
      <c r="C13" s="63">
        <v>5</v>
      </c>
      <c r="D13" s="11" t="s">
        <v>303</v>
      </c>
      <c r="E13" s="10" t="str">
        <f t="shared" si="0"/>
        <v>104</v>
      </c>
      <c r="F13" s="22">
        <v>1151</v>
      </c>
      <c r="G13" s="22">
        <v>1134</v>
      </c>
      <c r="H13" s="22">
        <f t="shared" si="1"/>
        <v>17</v>
      </c>
      <c r="I13" s="63"/>
      <c r="J13" s="58"/>
      <c r="K13" s="60"/>
      <c r="L13" s="76"/>
    </row>
    <row r="14" spans="1:12" ht="15.95" customHeight="1" x14ac:dyDescent="0.25">
      <c r="A14" s="60"/>
      <c r="B14" s="10"/>
      <c r="C14" s="63">
        <v>7</v>
      </c>
      <c r="D14" s="11" t="s">
        <v>303</v>
      </c>
      <c r="E14" s="10" t="str">
        <f t="shared" si="0"/>
        <v>104</v>
      </c>
      <c r="F14" s="22">
        <v>1153</v>
      </c>
      <c r="G14" s="22">
        <v>1131</v>
      </c>
      <c r="H14" s="22">
        <f t="shared" si="1"/>
        <v>22</v>
      </c>
      <c r="I14" s="63"/>
      <c r="J14" s="58"/>
      <c r="K14" s="60"/>
      <c r="L14" s="76"/>
    </row>
    <row r="15" spans="1:12" ht="15.95" customHeight="1" x14ac:dyDescent="0.25">
      <c r="A15" s="60"/>
      <c r="B15" s="10"/>
      <c r="C15" s="63">
        <v>9</v>
      </c>
      <c r="D15" s="11" t="s">
        <v>303</v>
      </c>
      <c r="E15" s="10" t="str">
        <f t="shared" si="0"/>
        <v>104</v>
      </c>
      <c r="F15" s="22">
        <v>1155</v>
      </c>
      <c r="G15" s="22">
        <v>1131</v>
      </c>
      <c r="H15" s="22">
        <f t="shared" si="1"/>
        <v>24</v>
      </c>
      <c r="I15" s="63"/>
      <c r="J15" s="58"/>
      <c r="K15" s="57"/>
      <c r="L15" s="76"/>
    </row>
    <row r="16" spans="1:12" ht="15.95" customHeight="1" x14ac:dyDescent="0.25">
      <c r="A16" s="60"/>
      <c r="B16" s="10"/>
      <c r="C16" s="63">
        <v>11</v>
      </c>
      <c r="D16" s="11" t="s">
        <v>303</v>
      </c>
      <c r="E16" s="10" t="str">
        <f t="shared" si="0"/>
        <v>104</v>
      </c>
      <c r="F16" s="22">
        <v>1157</v>
      </c>
      <c r="G16" s="22">
        <v>1131</v>
      </c>
      <c r="H16" s="22">
        <f t="shared" si="1"/>
        <v>26</v>
      </c>
      <c r="I16" s="63"/>
      <c r="J16" s="58"/>
      <c r="K16" s="60"/>
      <c r="L16" s="76"/>
    </row>
    <row r="17" spans="1:12" ht="15.95" customHeight="1" x14ac:dyDescent="0.25">
      <c r="A17" s="60"/>
      <c r="B17" s="178"/>
      <c r="C17" s="63">
        <v>13</v>
      </c>
      <c r="D17" s="11" t="s">
        <v>303</v>
      </c>
      <c r="E17" s="10" t="str">
        <f t="shared" si="0"/>
        <v>104</v>
      </c>
      <c r="F17" s="22">
        <v>1159</v>
      </c>
      <c r="G17" s="22">
        <v>1131</v>
      </c>
      <c r="H17" s="22">
        <f t="shared" si="1"/>
        <v>28</v>
      </c>
      <c r="I17" s="63"/>
      <c r="J17" s="312"/>
      <c r="K17" s="310"/>
      <c r="L17" s="76"/>
    </row>
    <row r="18" spans="1:12" s="308" customFormat="1" ht="15.95" customHeight="1" x14ac:dyDescent="0.25">
      <c r="A18" s="313"/>
      <c r="B18" s="306"/>
      <c r="C18" s="63">
        <v>15</v>
      </c>
      <c r="D18" s="11" t="s">
        <v>263</v>
      </c>
      <c r="E18" s="10" t="str">
        <f t="shared" si="0"/>
        <v>131</v>
      </c>
      <c r="F18" s="22">
        <v>1161</v>
      </c>
      <c r="G18" s="22">
        <v>1125</v>
      </c>
      <c r="H18" s="22">
        <f t="shared" si="1"/>
        <v>36</v>
      </c>
      <c r="I18" s="63"/>
      <c r="J18" s="315"/>
      <c r="K18" s="316"/>
      <c r="L18" s="317"/>
    </row>
    <row r="19" spans="1:12" ht="15.95" customHeight="1" x14ac:dyDescent="0.25">
      <c r="A19" s="60"/>
      <c r="B19" s="34"/>
      <c r="C19" s="63">
        <v>17</v>
      </c>
      <c r="D19" s="11" t="s">
        <v>263</v>
      </c>
      <c r="E19" s="10" t="str">
        <f t="shared" si="0"/>
        <v>131</v>
      </c>
      <c r="F19" s="22">
        <v>1161</v>
      </c>
      <c r="G19" s="22">
        <v>1125</v>
      </c>
      <c r="H19" s="22">
        <f t="shared" si="1"/>
        <v>36</v>
      </c>
      <c r="I19" s="63"/>
      <c r="J19" s="43"/>
      <c r="K19" s="310"/>
      <c r="L19" s="76"/>
    </row>
    <row r="20" spans="1:12" ht="15.95" customHeight="1" x14ac:dyDescent="0.25">
      <c r="A20" s="60"/>
      <c r="B20" s="34"/>
      <c r="C20" s="63">
        <v>19</v>
      </c>
      <c r="D20" s="11" t="s">
        <v>263</v>
      </c>
      <c r="E20" s="10" t="str">
        <f t="shared" si="0"/>
        <v>131</v>
      </c>
      <c r="F20" s="22">
        <v>1163</v>
      </c>
      <c r="G20" s="22">
        <v>1125</v>
      </c>
      <c r="H20" s="22">
        <f t="shared" si="1"/>
        <v>38</v>
      </c>
      <c r="I20" s="63"/>
      <c r="J20" s="43"/>
      <c r="K20" s="310"/>
      <c r="L20" s="76"/>
    </row>
    <row r="21" spans="1:12" ht="15.95" customHeight="1" x14ac:dyDescent="0.25">
      <c r="A21" s="60"/>
      <c r="B21" s="34"/>
      <c r="C21" s="63">
        <v>21</v>
      </c>
      <c r="D21" s="11" t="s">
        <v>263</v>
      </c>
      <c r="E21" s="10" t="str">
        <f t="shared" si="0"/>
        <v>131</v>
      </c>
      <c r="F21" s="22">
        <v>1163</v>
      </c>
      <c r="G21" s="22">
        <v>1125</v>
      </c>
      <c r="H21" s="22">
        <f t="shared" si="1"/>
        <v>38</v>
      </c>
      <c r="I21" s="63"/>
      <c r="J21" s="43"/>
      <c r="K21" s="310"/>
      <c r="L21" s="76"/>
    </row>
    <row r="22" spans="1:12" ht="15.95" customHeight="1" x14ac:dyDescent="0.25">
      <c r="A22" s="60"/>
      <c r="B22" s="10"/>
      <c r="C22" s="63">
        <v>23</v>
      </c>
      <c r="D22" s="11" t="s">
        <v>263</v>
      </c>
      <c r="E22" s="10" t="str">
        <f t="shared" si="0"/>
        <v>131</v>
      </c>
      <c r="F22" s="22">
        <v>1163</v>
      </c>
      <c r="G22" s="22">
        <v>1125</v>
      </c>
      <c r="H22" s="22">
        <f t="shared" si="1"/>
        <v>38</v>
      </c>
      <c r="I22" s="63"/>
      <c r="J22" s="58"/>
      <c r="K22" s="59"/>
      <c r="L22" s="76"/>
    </row>
    <row r="23" spans="1:12" ht="15.95" customHeight="1" x14ac:dyDescent="0.25">
      <c r="A23" s="60"/>
      <c r="B23" s="10"/>
      <c r="C23" s="63">
        <v>25</v>
      </c>
      <c r="D23" s="11" t="s">
        <v>263</v>
      </c>
      <c r="E23" s="10" t="str">
        <f t="shared" si="0"/>
        <v>131</v>
      </c>
      <c r="F23" s="22">
        <v>1163</v>
      </c>
      <c r="G23" s="22">
        <v>1125</v>
      </c>
      <c r="H23" s="22">
        <f t="shared" si="1"/>
        <v>38</v>
      </c>
      <c r="I23" s="63"/>
      <c r="J23" s="58"/>
      <c r="K23" s="60"/>
      <c r="L23" s="76"/>
    </row>
    <row r="24" spans="1:12" ht="15.95" customHeight="1" x14ac:dyDescent="0.25">
      <c r="A24" s="60"/>
      <c r="B24" s="10"/>
      <c r="C24" s="63">
        <v>27</v>
      </c>
      <c r="D24" s="11" t="s">
        <v>263</v>
      </c>
      <c r="E24" s="10" t="str">
        <f t="shared" si="0"/>
        <v>131</v>
      </c>
      <c r="F24" s="22">
        <v>1163</v>
      </c>
      <c r="G24" s="22">
        <v>1125</v>
      </c>
      <c r="H24" s="22">
        <f t="shared" si="1"/>
        <v>38</v>
      </c>
      <c r="I24" s="63"/>
      <c r="J24" s="58"/>
      <c r="K24" s="60"/>
      <c r="L24" s="76"/>
    </row>
    <row r="25" spans="1:12" ht="15.95" customHeight="1" x14ac:dyDescent="0.25">
      <c r="A25" s="60"/>
      <c r="B25" s="10"/>
      <c r="C25" s="63">
        <v>29</v>
      </c>
      <c r="D25" s="11" t="s">
        <v>263</v>
      </c>
      <c r="E25" s="10" t="str">
        <f t="shared" si="0"/>
        <v>131</v>
      </c>
      <c r="F25" s="22">
        <v>1165</v>
      </c>
      <c r="G25" s="22">
        <v>1123</v>
      </c>
      <c r="H25" s="22">
        <f t="shared" si="1"/>
        <v>42</v>
      </c>
      <c r="I25" s="63"/>
      <c r="J25" s="58"/>
      <c r="K25" s="60"/>
      <c r="L25" s="76"/>
    </row>
    <row r="26" spans="1:12" ht="15.95" customHeight="1" x14ac:dyDescent="0.25">
      <c r="A26" s="60"/>
      <c r="B26" s="10"/>
      <c r="C26" s="63">
        <v>31</v>
      </c>
      <c r="D26" s="11" t="s">
        <v>263</v>
      </c>
      <c r="E26" s="10" t="str">
        <f t="shared" si="0"/>
        <v>131</v>
      </c>
      <c r="F26" s="22">
        <v>1165</v>
      </c>
      <c r="G26" s="22">
        <v>1123</v>
      </c>
      <c r="H26" s="22">
        <f t="shared" si="1"/>
        <v>42</v>
      </c>
      <c r="I26" s="63"/>
      <c r="J26" s="58"/>
      <c r="K26" s="60"/>
      <c r="L26" s="76"/>
    </row>
    <row r="27" spans="1:12" ht="15.95" customHeight="1" x14ac:dyDescent="0.25">
      <c r="A27" s="60"/>
      <c r="B27" s="10"/>
      <c r="C27" s="63">
        <v>33</v>
      </c>
      <c r="D27" s="11" t="s">
        <v>263</v>
      </c>
      <c r="E27" s="10" t="str">
        <f t="shared" si="0"/>
        <v>131</v>
      </c>
      <c r="F27" s="22">
        <v>1165</v>
      </c>
      <c r="G27" s="22">
        <v>1123</v>
      </c>
      <c r="H27" s="22">
        <f t="shared" si="1"/>
        <v>42</v>
      </c>
      <c r="I27" s="63"/>
      <c r="J27" s="58"/>
      <c r="K27" s="60"/>
      <c r="L27" s="76"/>
    </row>
    <row r="28" spans="1:12" ht="15.95" customHeight="1" x14ac:dyDescent="0.25">
      <c r="A28" s="60"/>
      <c r="B28" s="10"/>
      <c r="C28" s="63">
        <v>35</v>
      </c>
      <c r="D28" s="11" t="s">
        <v>263</v>
      </c>
      <c r="E28" s="10" t="str">
        <f t="shared" si="0"/>
        <v>131</v>
      </c>
      <c r="F28" s="22">
        <v>1165</v>
      </c>
      <c r="G28" s="22">
        <v>1123</v>
      </c>
      <c r="H28" s="22">
        <f t="shared" si="1"/>
        <v>42</v>
      </c>
      <c r="I28" s="63"/>
      <c r="J28" s="58"/>
      <c r="K28" s="60"/>
      <c r="L28" s="76"/>
    </row>
    <row r="29" spans="1:12" ht="15.95" customHeight="1" x14ac:dyDescent="0.25">
      <c r="A29" s="60"/>
      <c r="B29" s="10"/>
      <c r="C29" s="63">
        <v>37</v>
      </c>
      <c r="D29" s="11" t="s">
        <v>263</v>
      </c>
      <c r="E29" s="10" t="str">
        <f t="shared" si="0"/>
        <v>131</v>
      </c>
      <c r="F29" s="22">
        <v>1167</v>
      </c>
      <c r="G29" s="22">
        <v>1121</v>
      </c>
      <c r="H29" s="22">
        <f t="shared" si="1"/>
        <v>46</v>
      </c>
      <c r="I29" s="63"/>
      <c r="J29" s="58"/>
      <c r="K29" s="60"/>
      <c r="L29" s="76"/>
    </row>
    <row r="30" spans="1:12" ht="15.95" customHeight="1" x14ac:dyDescent="0.25">
      <c r="A30" s="60"/>
      <c r="B30" s="10"/>
      <c r="C30" s="63">
        <v>39</v>
      </c>
      <c r="D30" s="11" t="s">
        <v>263</v>
      </c>
      <c r="E30" s="10" t="str">
        <f t="shared" si="0"/>
        <v>131</v>
      </c>
      <c r="F30" s="22">
        <v>1167</v>
      </c>
      <c r="G30" s="22">
        <v>1121</v>
      </c>
      <c r="H30" s="22">
        <f t="shared" si="1"/>
        <v>46</v>
      </c>
      <c r="I30" s="63"/>
      <c r="J30" s="58"/>
      <c r="K30" s="60"/>
      <c r="L30" s="76"/>
    </row>
    <row r="31" spans="1:12" ht="15.95" customHeight="1" x14ac:dyDescent="0.25">
      <c r="A31" s="60"/>
      <c r="B31" s="10"/>
      <c r="C31" s="63">
        <v>41</v>
      </c>
      <c r="D31" s="11" t="s">
        <v>263</v>
      </c>
      <c r="E31" s="10" t="str">
        <f t="shared" si="0"/>
        <v>131</v>
      </c>
      <c r="F31" s="22">
        <v>1167</v>
      </c>
      <c r="G31" s="22">
        <v>1133</v>
      </c>
      <c r="H31" s="22">
        <f t="shared" si="1"/>
        <v>34</v>
      </c>
      <c r="I31" s="63"/>
      <c r="J31" s="58"/>
      <c r="K31" s="60"/>
      <c r="L31" s="76"/>
    </row>
    <row r="32" spans="1:12" ht="15.95" customHeight="1" x14ac:dyDescent="0.25">
      <c r="A32" s="60"/>
      <c r="B32" s="10"/>
      <c r="C32" s="63">
        <v>43</v>
      </c>
      <c r="D32" s="11" t="s">
        <v>304</v>
      </c>
      <c r="E32" s="10" t="str">
        <f t="shared" si="0"/>
        <v>117</v>
      </c>
      <c r="F32" s="22">
        <v>1167</v>
      </c>
      <c r="G32" s="22">
        <v>1135</v>
      </c>
      <c r="H32" s="22">
        <f t="shared" si="1"/>
        <v>32</v>
      </c>
      <c r="I32" s="63"/>
      <c r="J32" s="58"/>
      <c r="K32" s="60"/>
      <c r="L32" s="76"/>
    </row>
    <row r="33" spans="1:12" ht="15.95" customHeight="1" x14ac:dyDescent="0.25">
      <c r="A33" s="60"/>
      <c r="B33" s="10"/>
      <c r="C33" s="63">
        <v>45</v>
      </c>
      <c r="D33" s="11" t="s">
        <v>304</v>
      </c>
      <c r="E33" s="10" t="str">
        <f t="shared" si="0"/>
        <v>117</v>
      </c>
      <c r="F33" s="22">
        <v>1167</v>
      </c>
      <c r="G33" s="22">
        <v>1135</v>
      </c>
      <c r="H33" s="22">
        <f t="shared" si="1"/>
        <v>32</v>
      </c>
      <c r="I33" s="63"/>
      <c r="J33" s="58"/>
      <c r="K33" s="60"/>
      <c r="L33" s="76"/>
    </row>
    <row r="34" spans="1:12" ht="15.95" customHeight="1" x14ac:dyDescent="0.25">
      <c r="A34" s="60"/>
      <c r="B34" s="10"/>
      <c r="C34" s="63">
        <v>47</v>
      </c>
      <c r="D34" s="11" t="s">
        <v>303</v>
      </c>
      <c r="E34" s="10" t="str">
        <f t="shared" si="0"/>
        <v>104</v>
      </c>
      <c r="F34" s="22">
        <v>1167</v>
      </c>
      <c r="G34" s="22">
        <v>1145</v>
      </c>
      <c r="H34" s="22">
        <f>F34-G34</f>
        <v>22</v>
      </c>
      <c r="I34" s="63"/>
      <c r="J34" s="58"/>
      <c r="K34" s="57"/>
      <c r="L34" s="76"/>
    </row>
    <row r="35" spans="1:12" ht="15.95" customHeight="1" x14ac:dyDescent="0.25">
      <c r="A35" s="60"/>
      <c r="B35" s="10"/>
      <c r="C35" s="22"/>
      <c r="D35" s="11"/>
      <c r="E35" s="10"/>
      <c r="F35" s="10"/>
      <c r="G35" s="154" t="s">
        <v>50</v>
      </c>
      <c r="H35" s="22">
        <f>SUM(H11:H34)</f>
        <v>787</v>
      </c>
      <c r="I35" s="63"/>
      <c r="J35" s="58"/>
      <c r="K35" s="57">
        <f>H35</f>
        <v>787</v>
      </c>
      <c r="L35" s="76"/>
    </row>
    <row r="36" spans="1:12" ht="15.95" customHeight="1" x14ac:dyDescent="0.25">
      <c r="A36" s="60"/>
      <c r="B36" s="10"/>
      <c r="C36" s="22"/>
      <c r="D36" s="11"/>
      <c r="E36" s="10"/>
      <c r="F36" s="10"/>
      <c r="G36" s="154"/>
      <c r="H36" s="10"/>
      <c r="I36" s="63"/>
      <c r="J36" s="58"/>
      <c r="K36" s="60"/>
      <c r="L36" s="76"/>
    </row>
    <row r="37" spans="1:12" ht="15.95" customHeight="1" x14ac:dyDescent="0.25">
      <c r="A37" s="60"/>
      <c r="B37" s="10"/>
      <c r="C37" s="22"/>
      <c r="D37" s="11"/>
      <c r="E37" s="10"/>
      <c r="F37" s="10"/>
      <c r="G37" s="154"/>
      <c r="H37" s="10"/>
      <c r="I37" s="63"/>
      <c r="J37" s="58"/>
      <c r="K37" s="60"/>
      <c r="L37" s="76"/>
    </row>
    <row r="38" spans="1:12" ht="15.95" customHeight="1" x14ac:dyDescent="0.25">
      <c r="A38" s="60"/>
      <c r="B38" s="10"/>
      <c r="C38" s="22"/>
      <c r="D38" s="11"/>
      <c r="E38" s="10"/>
      <c r="F38" s="10"/>
      <c r="G38" s="154"/>
      <c r="H38" s="10"/>
      <c r="I38" s="63"/>
      <c r="J38" s="58"/>
      <c r="K38" s="60"/>
      <c r="L38" s="76"/>
    </row>
    <row r="39" spans="1:12" ht="15.95" customHeight="1" x14ac:dyDescent="0.25">
      <c r="A39" s="60"/>
      <c r="B39" s="10"/>
      <c r="C39" s="22"/>
      <c r="D39" s="11"/>
      <c r="E39" s="10"/>
      <c r="F39" s="10"/>
      <c r="G39" s="154"/>
      <c r="H39" s="10"/>
      <c r="I39" s="63"/>
      <c r="J39" s="58"/>
      <c r="K39" s="60"/>
      <c r="L39" s="76"/>
    </row>
    <row r="40" spans="1:12" ht="15.95" customHeight="1" x14ac:dyDescent="0.25">
      <c r="A40" s="60"/>
      <c r="B40" s="10"/>
      <c r="C40" s="22"/>
      <c r="D40" s="11"/>
      <c r="E40" s="10"/>
      <c r="F40" s="10"/>
      <c r="G40" s="154"/>
      <c r="H40" s="10"/>
      <c r="I40" s="63"/>
      <c r="J40" s="58"/>
      <c r="K40" s="60"/>
      <c r="L40" s="76"/>
    </row>
    <row r="41" spans="1:12" ht="15.95" customHeight="1" x14ac:dyDescent="0.25">
      <c r="A41" s="60"/>
      <c r="B41" s="10"/>
      <c r="C41" s="22"/>
      <c r="D41" s="11"/>
      <c r="E41" s="10"/>
      <c r="F41" s="10"/>
      <c r="G41" s="154"/>
      <c r="H41" s="10"/>
      <c r="I41" s="63"/>
      <c r="J41" s="58"/>
      <c r="K41" s="60"/>
      <c r="L41" s="76"/>
    </row>
    <row r="42" spans="1:12" ht="15.95" customHeight="1" x14ac:dyDescent="0.25">
      <c r="A42" s="60"/>
      <c r="B42" s="10"/>
      <c r="C42" s="22"/>
      <c r="D42" s="11"/>
      <c r="E42" s="10"/>
      <c r="F42" s="10"/>
      <c r="G42" s="154"/>
      <c r="H42" s="10"/>
      <c r="I42" s="63"/>
      <c r="J42" s="58"/>
      <c r="K42" s="60"/>
      <c r="L42" s="76"/>
    </row>
    <row r="43" spans="1:12" ht="15.95" customHeight="1" x14ac:dyDescent="0.25">
      <c r="A43" s="60"/>
      <c r="B43" s="10"/>
      <c r="C43" s="22"/>
      <c r="D43" s="11"/>
      <c r="E43" s="10"/>
      <c r="F43" s="10"/>
      <c r="G43" s="154"/>
      <c r="H43" s="10"/>
      <c r="I43" s="63"/>
      <c r="J43" s="58"/>
      <c r="K43" s="60"/>
      <c r="L43" s="76"/>
    </row>
    <row r="44" spans="1:12" ht="15.95" customHeight="1" x14ac:dyDescent="0.25">
      <c r="A44" s="60"/>
      <c r="B44" s="10"/>
      <c r="C44" s="22"/>
      <c r="D44" s="11"/>
      <c r="E44" s="10"/>
      <c r="F44" s="10"/>
      <c r="G44" s="154"/>
      <c r="H44" s="10"/>
      <c r="I44" s="63"/>
      <c r="J44" s="58"/>
      <c r="K44" s="60"/>
      <c r="L44" s="76"/>
    </row>
    <row r="45" spans="1:12" ht="15.95" customHeight="1" x14ac:dyDescent="0.25">
      <c r="A45" s="60"/>
      <c r="B45" s="10"/>
      <c r="C45" s="22"/>
      <c r="D45" s="11"/>
      <c r="E45" s="10"/>
      <c r="F45" s="10"/>
      <c r="G45" s="154"/>
      <c r="H45" s="10"/>
      <c r="I45" s="63"/>
      <c r="J45" s="58"/>
      <c r="K45" s="60"/>
      <c r="L45" s="76"/>
    </row>
    <row r="46" spans="1:12" ht="15.95" customHeight="1" x14ac:dyDescent="0.25">
      <c r="A46" s="60"/>
      <c r="B46" s="10"/>
      <c r="C46" s="22"/>
      <c r="D46" s="11"/>
      <c r="E46" s="10"/>
      <c r="F46" s="10"/>
      <c r="G46" s="154"/>
      <c r="H46" s="10"/>
      <c r="I46" s="63"/>
      <c r="J46" s="58"/>
      <c r="K46" s="60"/>
      <c r="L46" s="76"/>
    </row>
    <row r="47" spans="1:12" ht="15.95" customHeight="1" x14ac:dyDescent="0.25">
      <c r="A47" s="60"/>
      <c r="B47" s="10"/>
      <c r="C47" s="22"/>
      <c r="D47" s="11"/>
      <c r="E47" s="10"/>
      <c r="F47" s="10"/>
      <c r="G47" s="154"/>
      <c r="H47" s="10"/>
      <c r="I47" s="63"/>
      <c r="J47" s="58"/>
      <c r="K47" s="60"/>
      <c r="L47" s="76"/>
    </row>
    <row r="48" spans="1:12" ht="15.95" customHeight="1" x14ac:dyDescent="0.25">
      <c r="A48" s="60"/>
      <c r="B48" s="10"/>
      <c r="C48" s="22"/>
      <c r="D48" s="11"/>
      <c r="E48" s="10"/>
      <c r="F48" s="10"/>
      <c r="G48" s="154"/>
      <c r="H48" s="10"/>
      <c r="I48" s="63"/>
      <c r="J48" s="58"/>
      <c r="K48" s="60"/>
      <c r="L48" s="76"/>
    </row>
    <row r="49" spans="1:12" ht="15.95" customHeight="1" x14ac:dyDescent="0.25">
      <c r="A49" s="60"/>
      <c r="B49" s="10"/>
      <c r="C49" s="22"/>
      <c r="D49" s="11"/>
      <c r="E49" s="10"/>
      <c r="F49" s="10"/>
      <c r="G49" s="154"/>
      <c r="H49" s="10"/>
      <c r="I49" s="63"/>
      <c r="J49" s="58"/>
      <c r="K49" s="60"/>
      <c r="L49" s="76"/>
    </row>
    <row r="50" spans="1:12" ht="15.95" customHeight="1" x14ac:dyDescent="0.25">
      <c r="A50" s="60"/>
      <c r="B50" s="10"/>
      <c r="C50" s="22"/>
      <c r="D50" s="11"/>
      <c r="E50" s="10"/>
      <c r="F50" s="10"/>
      <c r="G50" s="154"/>
      <c r="H50" s="10"/>
      <c r="I50" s="63"/>
      <c r="J50" s="58"/>
      <c r="K50" s="60"/>
      <c r="L50" s="76"/>
    </row>
    <row r="51" spans="1:12" ht="15.95" customHeight="1" x14ac:dyDescent="0.25">
      <c r="A51" s="60"/>
      <c r="B51" s="10"/>
      <c r="C51" s="22"/>
      <c r="D51" s="11"/>
      <c r="E51" s="10"/>
      <c r="F51" s="10"/>
      <c r="G51" s="154"/>
      <c r="H51" s="10"/>
      <c r="I51" s="63"/>
      <c r="J51" s="58"/>
      <c r="K51" s="60"/>
      <c r="L51" s="76"/>
    </row>
    <row r="52" spans="1:12" ht="15.95" customHeight="1" x14ac:dyDescent="0.25">
      <c r="A52" s="60"/>
      <c r="B52" s="10"/>
      <c r="C52" s="22"/>
      <c r="D52" s="11"/>
      <c r="E52" s="10"/>
      <c r="F52" s="10"/>
      <c r="G52" s="154"/>
      <c r="H52" s="10"/>
      <c r="I52" s="63"/>
      <c r="J52" s="58"/>
      <c r="K52" s="60"/>
      <c r="L52" s="76"/>
    </row>
    <row r="53" spans="1:12" ht="15.95" customHeight="1" x14ac:dyDescent="0.25">
      <c r="A53" s="60"/>
      <c r="B53" s="10"/>
      <c r="C53" s="22"/>
      <c r="D53" s="11"/>
      <c r="E53" s="10"/>
      <c r="F53" s="10"/>
      <c r="G53" s="154"/>
      <c r="H53" s="10"/>
      <c r="I53" s="63"/>
      <c r="J53" s="58"/>
      <c r="K53" s="60"/>
      <c r="L53" s="76"/>
    </row>
    <row r="54" spans="1:12" ht="15.95" customHeight="1" x14ac:dyDescent="0.25">
      <c r="A54" s="60"/>
      <c r="B54" s="10"/>
      <c r="C54" s="22"/>
      <c r="D54" s="11"/>
      <c r="E54" s="10"/>
      <c r="F54" s="10"/>
      <c r="G54" s="154"/>
      <c r="H54" s="10"/>
      <c r="I54" s="63"/>
      <c r="J54" s="58"/>
      <c r="K54" s="60"/>
      <c r="L54" s="76"/>
    </row>
    <row r="55" spans="1:12" ht="15.95" customHeight="1" x14ac:dyDescent="0.25">
      <c r="A55" s="71"/>
      <c r="B55" s="10"/>
      <c r="C55" s="22"/>
      <c r="D55" s="11"/>
      <c r="E55" s="10"/>
      <c r="F55" s="10"/>
      <c r="G55" s="10"/>
      <c r="H55" s="10"/>
      <c r="I55" s="63"/>
      <c r="J55" s="58"/>
      <c r="K55" s="71"/>
      <c r="L55" s="77"/>
    </row>
    <row r="56" spans="1:12" ht="15.95" customHeight="1" thickBot="1" x14ac:dyDescent="0.3">
      <c r="A56" s="14"/>
      <c r="B56" s="10"/>
      <c r="C56" s="22"/>
      <c r="D56" s="11"/>
      <c r="E56" s="10"/>
      <c r="F56" s="10"/>
      <c r="G56" s="10"/>
      <c r="H56" s="10"/>
      <c r="I56" s="63"/>
      <c r="J56" s="58"/>
      <c r="K56" s="71"/>
      <c r="L56" s="77"/>
    </row>
    <row r="57" spans="1:12" ht="15.95" customHeight="1" thickBot="1" x14ac:dyDescent="0.3">
      <c r="A57" s="105"/>
      <c r="B57" s="385"/>
      <c r="C57" s="385"/>
      <c r="D57" s="385"/>
      <c r="E57" s="385"/>
      <c r="F57" s="385"/>
      <c r="G57" s="385"/>
      <c r="H57" s="385"/>
      <c r="I57" s="130"/>
      <c r="J57" s="130" t="s">
        <v>50</v>
      </c>
      <c r="K57" s="79">
        <f>SUM(K8:K56)</f>
        <v>787</v>
      </c>
      <c r="L57" s="80"/>
    </row>
    <row r="58" spans="1:12" s="126" customFormat="1" ht="15" customHeight="1" x14ac:dyDescent="0.4">
      <c r="A58" s="118" t="s">
        <v>0</v>
      </c>
      <c r="B58" s="119"/>
      <c r="C58" s="120"/>
      <c r="D58" s="121" t="s">
        <v>2</v>
      </c>
      <c r="E58" s="403" t="s">
        <v>229</v>
      </c>
      <c r="F58" s="121" t="s">
        <v>4</v>
      </c>
      <c r="G58" s="349">
        <f>G1</f>
        <v>45107</v>
      </c>
      <c r="H58" s="121" t="s">
        <v>5</v>
      </c>
      <c r="I58" s="449" t="s">
        <v>328</v>
      </c>
      <c r="J58" s="450"/>
      <c r="K58" s="120"/>
      <c r="L58" s="123"/>
    </row>
    <row r="59" spans="1:12" ht="15" customHeight="1" x14ac:dyDescent="0.4">
      <c r="A59" s="124" t="s">
        <v>1</v>
      </c>
      <c r="B59" s="109"/>
      <c r="D59" s="2" t="s">
        <v>3</v>
      </c>
      <c r="E59" s="404" t="str">
        <f>E2</f>
        <v>WER</v>
      </c>
      <c r="F59" s="2" t="s">
        <v>4</v>
      </c>
      <c r="G59" s="350">
        <f>G2</f>
        <v>45134</v>
      </c>
      <c r="H59" s="3" t="s">
        <v>6</v>
      </c>
      <c r="I59" s="451">
        <f>I2+1</f>
        <v>8</v>
      </c>
      <c r="J59" s="452"/>
      <c r="L59" s="110"/>
    </row>
    <row r="60" spans="1:12" ht="15" customHeight="1" x14ac:dyDescent="0.25">
      <c r="A60" s="70"/>
      <c r="L60" s="110"/>
    </row>
    <row r="61" spans="1:12" ht="15" customHeight="1" x14ac:dyDescent="0.25">
      <c r="A61" s="168" t="s">
        <v>7</v>
      </c>
      <c r="B61" s="111"/>
      <c r="C61" s="453">
        <v>108774</v>
      </c>
      <c r="D61" s="453"/>
      <c r="E61" s="112" t="s">
        <v>91</v>
      </c>
      <c r="F61" s="453" t="s">
        <v>218</v>
      </c>
      <c r="G61" s="453"/>
      <c r="H61" s="112" t="s">
        <v>11</v>
      </c>
      <c r="I61" s="454"/>
      <c r="J61" s="454"/>
      <c r="K61" s="454"/>
      <c r="L61" s="455"/>
    </row>
    <row r="62" spans="1:12" ht="15" customHeight="1" x14ac:dyDescent="0.25">
      <c r="A62" s="168" t="s">
        <v>10</v>
      </c>
      <c r="B62" s="111"/>
      <c r="C62" s="465" t="s">
        <v>333</v>
      </c>
      <c r="D62" s="465"/>
      <c r="E62" s="465"/>
      <c r="F62" s="465"/>
      <c r="G62" s="465"/>
      <c r="H62" s="465"/>
      <c r="I62" s="465"/>
      <c r="J62" s="465"/>
      <c r="K62" s="111" t="s">
        <v>8</v>
      </c>
      <c r="L62" s="113" t="s">
        <v>34</v>
      </c>
    </row>
    <row r="63" spans="1:12" ht="15" customHeight="1" thickBot="1" x14ac:dyDescent="0.3">
      <c r="A63" s="1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155"/>
    </row>
    <row r="64" spans="1:12" ht="15" customHeight="1" thickBot="1" x14ac:dyDescent="0.3">
      <c r="A64" s="441"/>
      <c r="B64" s="443"/>
      <c r="C64" s="443"/>
      <c r="D64" s="443"/>
      <c r="E64" s="443"/>
      <c r="F64" s="443"/>
      <c r="G64" s="443"/>
      <c r="H64" s="443"/>
      <c r="I64" s="443"/>
      <c r="J64" s="444"/>
      <c r="K64" s="105" t="s">
        <v>12</v>
      </c>
      <c r="L64" s="74" t="s">
        <v>13</v>
      </c>
    </row>
    <row r="65" spans="1:12" ht="15" customHeight="1" x14ac:dyDescent="0.25">
      <c r="A65" s="21"/>
      <c r="B65" s="114"/>
      <c r="C65" s="8"/>
      <c r="D65" s="8"/>
      <c r="E65" s="8"/>
      <c r="F65" s="8"/>
      <c r="G65" s="8"/>
      <c r="H65" s="8"/>
      <c r="I65" s="8"/>
      <c r="J65" s="8"/>
      <c r="K65" s="7"/>
      <c r="L65" s="108"/>
    </row>
    <row r="66" spans="1:12" ht="15" customHeight="1" x14ac:dyDescent="0.25">
      <c r="A66" s="60"/>
      <c r="B66" s="321" t="s">
        <v>249</v>
      </c>
      <c r="C66" s="58"/>
      <c r="D66" s="58"/>
      <c r="E66" s="58"/>
      <c r="F66" s="58"/>
      <c r="G66" s="58"/>
      <c r="H66" s="58"/>
      <c r="I66" s="58"/>
      <c r="J66" s="58"/>
      <c r="K66" s="60"/>
      <c r="L66" s="76"/>
    </row>
    <row r="67" spans="1:12" ht="15" customHeight="1" x14ac:dyDescent="0.25">
      <c r="A67" s="313"/>
      <c r="B67" s="314"/>
      <c r="C67" s="314" t="s">
        <v>244</v>
      </c>
      <c r="D67" s="314" t="s">
        <v>126</v>
      </c>
      <c r="E67" s="314" t="s">
        <v>127</v>
      </c>
      <c r="F67" s="96" t="s">
        <v>245</v>
      </c>
      <c r="G67" s="96" t="s">
        <v>246</v>
      </c>
      <c r="H67" s="314" t="s">
        <v>14</v>
      </c>
      <c r="I67" s="314"/>
      <c r="J67" s="318"/>
      <c r="K67" s="313"/>
      <c r="L67" s="317"/>
    </row>
    <row r="68" spans="1:12" ht="15" customHeight="1" x14ac:dyDescent="0.25">
      <c r="A68" s="60"/>
      <c r="B68" s="10"/>
      <c r="C68" s="63">
        <v>2</v>
      </c>
      <c r="D68" s="11" t="s">
        <v>303</v>
      </c>
      <c r="E68" s="10" t="str">
        <f>RIGHT(D68,3)</f>
        <v>104</v>
      </c>
      <c r="F68" s="22">
        <v>1147</v>
      </c>
      <c r="G68" s="22">
        <v>1134</v>
      </c>
      <c r="H68" s="22">
        <f>F68-G68</f>
        <v>13</v>
      </c>
      <c r="I68" s="63"/>
      <c r="J68" s="58"/>
      <c r="K68" s="60"/>
      <c r="L68" s="76"/>
    </row>
    <row r="69" spans="1:12" ht="15" customHeight="1" x14ac:dyDescent="0.25">
      <c r="A69" s="60"/>
      <c r="B69" s="10"/>
      <c r="C69" s="63">
        <v>4</v>
      </c>
      <c r="D69" s="11" t="s">
        <v>303</v>
      </c>
      <c r="E69" s="10" t="str">
        <f t="shared" ref="E69:E91" si="2">RIGHT(D69,3)</f>
        <v>104</v>
      </c>
      <c r="F69" s="22">
        <v>1149</v>
      </c>
      <c r="G69" s="22">
        <v>1134</v>
      </c>
      <c r="H69" s="22">
        <f t="shared" ref="H69:H91" si="3">F69-G69</f>
        <v>15</v>
      </c>
      <c r="I69" s="63"/>
      <c r="J69" s="58"/>
      <c r="K69" s="60"/>
      <c r="L69" s="76"/>
    </row>
    <row r="70" spans="1:12" ht="15" customHeight="1" x14ac:dyDescent="0.25">
      <c r="A70" s="60"/>
      <c r="B70" s="10"/>
      <c r="C70" s="63">
        <v>6</v>
      </c>
      <c r="D70" s="11" t="s">
        <v>303</v>
      </c>
      <c r="E70" s="10" t="str">
        <f t="shared" si="2"/>
        <v>104</v>
      </c>
      <c r="F70" s="22">
        <v>1151</v>
      </c>
      <c r="G70" s="22">
        <v>1134</v>
      </c>
      <c r="H70" s="22">
        <f t="shared" si="3"/>
        <v>17</v>
      </c>
      <c r="I70" s="63"/>
      <c r="J70" s="58"/>
      <c r="K70" s="60"/>
      <c r="L70" s="76"/>
    </row>
    <row r="71" spans="1:12" ht="15" customHeight="1" x14ac:dyDescent="0.25">
      <c r="A71" s="60"/>
      <c r="B71" s="10"/>
      <c r="C71" s="63">
        <v>8</v>
      </c>
      <c r="D71" s="11" t="s">
        <v>303</v>
      </c>
      <c r="E71" s="10" t="str">
        <f t="shared" si="2"/>
        <v>104</v>
      </c>
      <c r="F71" s="22">
        <v>1153</v>
      </c>
      <c r="G71" s="22">
        <v>1131</v>
      </c>
      <c r="H71" s="22">
        <f t="shared" si="3"/>
        <v>22</v>
      </c>
      <c r="I71" s="63"/>
      <c r="J71" s="58"/>
      <c r="K71" s="60"/>
      <c r="L71" s="76"/>
    </row>
    <row r="72" spans="1:12" ht="15" customHeight="1" x14ac:dyDescent="0.25">
      <c r="A72" s="60"/>
      <c r="B72" s="10"/>
      <c r="C72" s="63">
        <v>10</v>
      </c>
      <c r="D72" s="11" t="s">
        <v>303</v>
      </c>
      <c r="E72" s="10" t="str">
        <f t="shared" si="2"/>
        <v>104</v>
      </c>
      <c r="F72" s="22">
        <v>1155</v>
      </c>
      <c r="G72" s="22">
        <v>1131</v>
      </c>
      <c r="H72" s="22">
        <f t="shared" si="3"/>
        <v>24</v>
      </c>
      <c r="I72" s="63"/>
      <c r="J72" s="58"/>
      <c r="K72" s="57"/>
      <c r="L72" s="76"/>
    </row>
    <row r="73" spans="1:12" ht="15" customHeight="1" x14ac:dyDescent="0.25">
      <c r="A73" s="60"/>
      <c r="B73" s="10"/>
      <c r="C73" s="63">
        <v>12</v>
      </c>
      <c r="D73" s="11" t="s">
        <v>303</v>
      </c>
      <c r="E73" s="10" t="str">
        <f t="shared" si="2"/>
        <v>104</v>
      </c>
      <c r="F73" s="22">
        <v>1157</v>
      </c>
      <c r="G73" s="22">
        <v>1131</v>
      </c>
      <c r="H73" s="22">
        <f t="shared" si="3"/>
        <v>26</v>
      </c>
      <c r="I73" s="63"/>
      <c r="J73" s="58"/>
      <c r="K73" s="60"/>
      <c r="L73" s="76"/>
    </row>
    <row r="74" spans="1:12" ht="15" customHeight="1" x14ac:dyDescent="0.25">
      <c r="A74" s="60"/>
      <c r="B74" s="178"/>
      <c r="C74" s="63">
        <v>14</v>
      </c>
      <c r="D74" s="11" t="s">
        <v>303</v>
      </c>
      <c r="E74" s="10" t="str">
        <f t="shared" si="2"/>
        <v>104</v>
      </c>
      <c r="F74" s="22">
        <v>1159</v>
      </c>
      <c r="G74" s="22">
        <v>1131</v>
      </c>
      <c r="H74" s="22">
        <f t="shared" si="3"/>
        <v>28</v>
      </c>
      <c r="I74" s="63"/>
      <c r="J74" s="312"/>
      <c r="K74" s="310"/>
      <c r="L74" s="76"/>
    </row>
    <row r="75" spans="1:12" ht="15" customHeight="1" x14ac:dyDescent="0.25">
      <c r="A75" s="313"/>
      <c r="B75" s="306"/>
      <c r="C75" s="63">
        <v>16</v>
      </c>
      <c r="D75" s="11" t="s">
        <v>263</v>
      </c>
      <c r="E75" s="10" t="str">
        <f t="shared" si="2"/>
        <v>131</v>
      </c>
      <c r="F75" s="22">
        <v>1161</v>
      </c>
      <c r="G75" s="22">
        <v>1125</v>
      </c>
      <c r="H75" s="22">
        <f t="shared" si="3"/>
        <v>36</v>
      </c>
      <c r="I75" s="63"/>
      <c r="J75" s="315"/>
      <c r="K75" s="316"/>
      <c r="L75" s="317"/>
    </row>
    <row r="76" spans="1:12" ht="15" customHeight="1" x14ac:dyDescent="0.25">
      <c r="A76" s="60"/>
      <c r="B76" s="34"/>
      <c r="C76" s="63">
        <v>18</v>
      </c>
      <c r="D76" s="11" t="s">
        <v>263</v>
      </c>
      <c r="E76" s="10" t="str">
        <f t="shared" si="2"/>
        <v>131</v>
      </c>
      <c r="F76" s="22">
        <v>1161</v>
      </c>
      <c r="G76" s="22">
        <v>1125</v>
      </c>
      <c r="H76" s="22">
        <f t="shared" si="3"/>
        <v>36</v>
      </c>
      <c r="I76" s="63"/>
      <c r="J76" s="43"/>
      <c r="K76" s="310"/>
      <c r="L76" s="76"/>
    </row>
    <row r="77" spans="1:12" ht="15" customHeight="1" x14ac:dyDescent="0.25">
      <c r="A77" s="60"/>
      <c r="B77" s="34"/>
      <c r="C77" s="63">
        <v>20</v>
      </c>
      <c r="D77" s="11" t="s">
        <v>263</v>
      </c>
      <c r="E77" s="10" t="str">
        <f t="shared" si="2"/>
        <v>131</v>
      </c>
      <c r="F77" s="22">
        <v>1163</v>
      </c>
      <c r="G77" s="22">
        <v>1125</v>
      </c>
      <c r="H77" s="22">
        <f t="shared" si="3"/>
        <v>38</v>
      </c>
      <c r="I77" s="63"/>
      <c r="J77" s="43"/>
      <c r="K77" s="310"/>
      <c r="L77" s="76"/>
    </row>
    <row r="78" spans="1:12" ht="15" customHeight="1" x14ac:dyDescent="0.25">
      <c r="A78" s="60"/>
      <c r="B78" s="34"/>
      <c r="C78" s="63">
        <v>22</v>
      </c>
      <c r="D78" s="11" t="s">
        <v>263</v>
      </c>
      <c r="E78" s="10" t="str">
        <f t="shared" si="2"/>
        <v>131</v>
      </c>
      <c r="F78" s="22">
        <v>1163</v>
      </c>
      <c r="G78" s="22">
        <v>1125</v>
      </c>
      <c r="H78" s="22">
        <f t="shared" si="3"/>
        <v>38</v>
      </c>
      <c r="I78" s="63"/>
      <c r="J78" s="43"/>
      <c r="K78" s="310"/>
      <c r="L78" s="76"/>
    </row>
    <row r="79" spans="1:12" ht="15" customHeight="1" x14ac:dyDescent="0.25">
      <c r="A79" s="60"/>
      <c r="B79" s="10"/>
      <c r="C79" s="63">
        <v>24</v>
      </c>
      <c r="D79" s="11" t="s">
        <v>263</v>
      </c>
      <c r="E79" s="10" t="str">
        <f t="shared" si="2"/>
        <v>131</v>
      </c>
      <c r="F79" s="22">
        <v>1163</v>
      </c>
      <c r="G79" s="22">
        <v>1125</v>
      </c>
      <c r="H79" s="22">
        <f t="shared" si="3"/>
        <v>38</v>
      </c>
      <c r="I79" s="63"/>
      <c r="J79" s="58"/>
      <c r="K79" s="59"/>
      <c r="L79" s="76"/>
    </row>
    <row r="80" spans="1:12" ht="15" customHeight="1" x14ac:dyDescent="0.25">
      <c r="A80" s="60"/>
      <c r="B80" s="10"/>
      <c r="C80" s="63">
        <v>26</v>
      </c>
      <c r="D80" s="11" t="s">
        <v>263</v>
      </c>
      <c r="E80" s="10" t="str">
        <f t="shared" si="2"/>
        <v>131</v>
      </c>
      <c r="F80" s="22">
        <v>1163</v>
      </c>
      <c r="G80" s="22">
        <v>1125</v>
      </c>
      <c r="H80" s="22">
        <f t="shared" si="3"/>
        <v>38</v>
      </c>
      <c r="I80" s="63"/>
      <c r="J80" s="58"/>
      <c r="K80" s="60"/>
      <c r="L80" s="76"/>
    </row>
    <row r="81" spans="1:12" ht="15" customHeight="1" x14ac:dyDescent="0.25">
      <c r="A81" s="60"/>
      <c r="B81" s="10"/>
      <c r="C81" s="63">
        <v>28</v>
      </c>
      <c r="D81" s="11" t="s">
        <v>263</v>
      </c>
      <c r="E81" s="10" t="str">
        <f t="shared" si="2"/>
        <v>131</v>
      </c>
      <c r="F81" s="22">
        <v>1163</v>
      </c>
      <c r="G81" s="22">
        <v>1125</v>
      </c>
      <c r="H81" s="22">
        <f t="shared" si="3"/>
        <v>38</v>
      </c>
      <c r="I81" s="63"/>
      <c r="J81" s="58"/>
      <c r="K81" s="60"/>
      <c r="L81" s="76"/>
    </row>
    <row r="82" spans="1:12" ht="15" customHeight="1" x14ac:dyDescent="0.25">
      <c r="A82" s="60"/>
      <c r="B82" s="10"/>
      <c r="C82" s="63">
        <v>30</v>
      </c>
      <c r="D82" s="11" t="s">
        <v>263</v>
      </c>
      <c r="E82" s="10" t="str">
        <f t="shared" si="2"/>
        <v>131</v>
      </c>
      <c r="F82" s="22">
        <v>1165</v>
      </c>
      <c r="G82" s="22">
        <v>1123</v>
      </c>
      <c r="H82" s="22">
        <f t="shared" si="3"/>
        <v>42</v>
      </c>
      <c r="I82" s="63"/>
      <c r="J82" s="58"/>
      <c r="K82" s="60"/>
      <c r="L82" s="76"/>
    </row>
    <row r="83" spans="1:12" ht="15" customHeight="1" x14ac:dyDescent="0.25">
      <c r="A83" s="60"/>
      <c r="B83" s="10"/>
      <c r="C83" s="63">
        <v>32</v>
      </c>
      <c r="D83" s="11" t="s">
        <v>263</v>
      </c>
      <c r="E83" s="10" t="str">
        <f t="shared" si="2"/>
        <v>131</v>
      </c>
      <c r="F83" s="22">
        <v>1165</v>
      </c>
      <c r="G83" s="22">
        <v>1123</v>
      </c>
      <c r="H83" s="22">
        <f t="shared" si="3"/>
        <v>42</v>
      </c>
      <c r="I83" s="63"/>
      <c r="J83" s="58"/>
      <c r="K83" s="60"/>
      <c r="L83" s="76"/>
    </row>
    <row r="84" spans="1:12" ht="15" customHeight="1" x14ac:dyDescent="0.25">
      <c r="A84" s="60"/>
      <c r="B84" s="10"/>
      <c r="C84" s="63">
        <v>34</v>
      </c>
      <c r="D84" s="11" t="s">
        <v>263</v>
      </c>
      <c r="E84" s="10" t="str">
        <f t="shared" si="2"/>
        <v>131</v>
      </c>
      <c r="F84" s="22">
        <v>1165</v>
      </c>
      <c r="G84" s="22">
        <v>1123</v>
      </c>
      <c r="H84" s="22">
        <f t="shared" si="3"/>
        <v>42</v>
      </c>
      <c r="I84" s="63"/>
      <c r="J84" s="58"/>
      <c r="K84" s="60"/>
      <c r="L84" s="76"/>
    </row>
    <row r="85" spans="1:12" ht="15" customHeight="1" x14ac:dyDescent="0.25">
      <c r="A85" s="60"/>
      <c r="B85" s="10"/>
      <c r="C85" s="63">
        <v>36</v>
      </c>
      <c r="D85" s="11" t="s">
        <v>263</v>
      </c>
      <c r="E85" s="10" t="str">
        <f t="shared" si="2"/>
        <v>131</v>
      </c>
      <c r="F85" s="22">
        <v>1165</v>
      </c>
      <c r="G85" s="22">
        <v>1123</v>
      </c>
      <c r="H85" s="22">
        <f t="shared" si="3"/>
        <v>42</v>
      </c>
      <c r="I85" s="63"/>
      <c r="J85" s="58"/>
      <c r="K85" s="60"/>
      <c r="L85" s="76"/>
    </row>
    <row r="86" spans="1:12" ht="15" customHeight="1" x14ac:dyDescent="0.25">
      <c r="A86" s="60"/>
      <c r="B86" s="10"/>
      <c r="C86" s="63">
        <v>38</v>
      </c>
      <c r="D86" s="11" t="s">
        <v>263</v>
      </c>
      <c r="E86" s="10" t="str">
        <f t="shared" si="2"/>
        <v>131</v>
      </c>
      <c r="F86" s="22">
        <v>1167</v>
      </c>
      <c r="G86" s="22">
        <v>1121</v>
      </c>
      <c r="H86" s="22">
        <f t="shared" si="3"/>
        <v>46</v>
      </c>
      <c r="I86" s="63"/>
      <c r="J86" s="58"/>
      <c r="K86" s="60"/>
      <c r="L86" s="76"/>
    </row>
    <row r="87" spans="1:12" ht="15" customHeight="1" x14ac:dyDescent="0.25">
      <c r="A87" s="60"/>
      <c r="B87" s="10"/>
      <c r="C87" s="63">
        <v>40</v>
      </c>
      <c r="D87" s="11" t="s">
        <v>263</v>
      </c>
      <c r="E87" s="10" t="str">
        <f t="shared" si="2"/>
        <v>131</v>
      </c>
      <c r="F87" s="22">
        <v>1167</v>
      </c>
      <c r="G87" s="22">
        <v>1121</v>
      </c>
      <c r="H87" s="22">
        <f t="shared" si="3"/>
        <v>46</v>
      </c>
      <c r="I87" s="63"/>
      <c r="J87" s="58"/>
      <c r="K87" s="60"/>
      <c r="L87" s="76"/>
    </row>
    <row r="88" spans="1:12" ht="15" customHeight="1" x14ac:dyDescent="0.25">
      <c r="A88" s="60"/>
      <c r="B88" s="10"/>
      <c r="C88" s="63">
        <v>42</v>
      </c>
      <c r="D88" s="11" t="s">
        <v>263</v>
      </c>
      <c r="E88" s="10" t="str">
        <f t="shared" si="2"/>
        <v>131</v>
      </c>
      <c r="F88" s="22">
        <v>1167</v>
      </c>
      <c r="G88" s="22">
        <v>1121</v>
      </c>
      <c r="H88" s="22">
        <f t="shared" si="3"/>
        <v>46</v>
      </c>
      <c r="I88" s="63"/>
      <c r="J88" s="58"/>
      <c r="K88" s="60"/>
      <c r="L88" s="76"/>
    </row>
    <row r="89" spans="1:12" ht="15" customHeight="1" x14ac:dyDescent="0.25">
      <c r="A89" s="60"/>
      <c r="B89" s="10"/>
      <c r="C89" s="63">
        <v>44</v>
      </c>
      <c r="D89" s="11" t="s">
        <v>264</v>
      </c>
      <c r="E89" s="10" t="str">
        <f t="shared" si="2"/>
        <v>176</v>
      </c>
      <c r="F89" s="22">
        <v>1167</v>
      </c>
      <c r="G89" s="22">
        <v>1125</v>
      </c>
      <c r="H89" s="22">
        <f t="shared" si="3"/>
        <v>42</v>
      </c>
      <c r="I89" s="63"/>
      <c r="J89" s="58"/>
      <c r="K89" s="60"/>
      <c r="L89" s="76"/>
    </row>
    <row r="90" spans="1:12" ht="15" customHeight="1" x14ac:dyDescent="0.25">
      <c r="A90" s="60"/>
      <c r="B90" s="10"/>
      <c r="C90" s="63">
        <v>46</v>
      </c>
      <c r="D90" s="11" t="s">
        <v>304</v>
      </c>
      <c r="E90" s="10" t="str">
        <f t="shared" si="2"/>
        <v>117</v>
      </c>
      <c r="F90" s="22">
        <v>1167</v>
      </c>
      <c r="G90" s="22">
        <v>1131</v>
      </c>
      <c r="H90" s="22">
        <f t="shared" si="3"/>
        <v>36</v>
      </c>
      <c r="I90" s="63"/>
      <c r="J90" s="58"/>
      <c r="K90" s="60"/>
      <c r="L90" s="76"/>
    </row>
    <row r="91" spans="1:12" ht="15" customHeight="1" x14ac:dyDescent="0.25">
      <c r="A91" s="60"/>
      <c r="B91" s="10"/>
      <c r="C91" s="63">
        <v>48</v>
      </c>
      <c r="D91" s="11" t="s">
        <v>303</v>
      </c>
      <c r="E91" s="10" t="str">
        <f t="shared" si="2"/>
        <v>104</v>
      </c>
      <c r="F91" s="22">
        <v>1167</v>
      </c>
      <c r="G91" s="22">
        <v>1143</v>
      </c>
      <c r="H91" s="22">
        <f t="shared" si="3"/>
        <v>24</v>
      </c>
      <c r="I91" s="63"/>
      <c r="J91" s="58"/>
      <c r="K91" s="57"/>
      <c r="L91" s="76"/>
    </row>
    <row r="92" spans="1:12" ht="15" customHeight="1" x14ac:dyDescent="0.25">
      <c r="A92" s="60"/>
      <c r="B92" s="10"/>
      <c r="C92" s="22"/>
      <c r="D92" s="11"/>
      <c r="E92" s="10"/>
      <c r="F92" s="10"/>
      <c r="G92" s="154" t="s">
        <v>50</v>
      </c>
      <c r="H92" s="22">
        <f>SUM(H68:H91)</f>
        <v>815</v>
      </c>
      <c r="I92" s="63"/>
      <c r="J92" s="58"/>
      <c r="K92" s="57">
        <f>H92</f>
        <v>815</v>
      </c>
      <c r="L92" s="76"/>
    </row>
    <row r="93" spans="1:12" ht="15" customHeight="1" x14ac:dyDescent="0.25">
      <c r="A93" s="60"/>
      <c r="B93" s="10"/>
      <c r="C93" s="22"/>
      <c r="D93" s="11"/>
      <c r="E93" s="10"/>
      <c r="F93" s="10"/>
      <c r="G93" s="154"/>
      <c r="H93" s="10"/>
      <c r="I93" s="63"/>
      <c r="J93" s="58"/>
      <c r="K93" s="60"/>
      <c r="L93" s="76"/>
    </row>
    <row r="94" spans="1:12" ht="15" customHeight="1" x14ac:dyDescent="0.25">
      <c r="A94" s="60"/>
      <c r="B94" s="10"/>
      <c r="C94" s="22"/>
      <c r="D94" s="11"/>
      <c r="E94" s="10"/>
      <c r="F94" s="10"/>
      <c r="G94" s="154"/>
      <c r="H94" s="10"/>
      <c r="I94" s="63"/>
      <c r="J94" s="58"/>
      <c r="K94" s="60"/>
      <c r="L94" s="76"/>
    </row>
    <row r="95" spans="1:12" ht="15" customHeight="1" x14ac:dyDescent="0.25">
      <c r="A95" s="60"/>
      <c r="B95" s="10"/>
      <c r="C95" s="22"/>
      <c r="D95" s="11"/>
      <c r="E95" s="10"/>
      <c r="F95" s="10"/>
      <c r="G95" s="154"/>
      <c r="H95" s="10"/>
      <c r="I95" s="63"/>
      <c r="J95" s="58"/>
      <c r="K95" s="60"/>
      <c r="L95" s="76"/>
    </row>
    <row r="96" spans="1:12" ht="15" customHeight="1" x14ac:dyDescent="0.25">
      <c r="A96" s="60"/>
      <c r="B96" s="10"/>
      <c r="C96" s="22"/>
      <c r="D96" s="11"/>
      <c r="E96" s="10"/>
      <c r="F96" s="10"/>
      <c r="G96" s="154"/>
      <c r="H96" s="10"/>
      <c r="I96" s="63"/>
      <c r="J96" s="58"/>
      <c r="K96" s="60"/>
      <c r="L96" s="76"/>
    </row>
    <row r="97" spans="1:12" ht="15" customHeight="1" x14ac:dyDescent="0.25">
      <c r="A97" s="60"/>
      <c r="B97" s="10"/>
      <c r="C97" s="22"/>
      <c r="D97" s="11"/>
      <c r="E97" s="10"/>
      <c r="F97" s="10"/>
      <c r="G97" s="154"/>
      <c r="H97" s="10"/>
      <c r="I97" s="63"/>
      <c r="J97" s="58"/>
      <c r="K97" s="60"/>
      <c r="L97" s="76"/>
    </row>
    <row r="98" spans="1:12" ht="15" customHeight="1" x14ac:dyDescent="0.25">
      <c r="A98" s="60"/>
      <c r="B98" s="10"/>
      <c r="C98" s="22"/>
      <c r="D98" s="11"/>
      <c r="E98" s="10"/>
      <c r="F98" s="10"/>
      <c r="G98" s="154"/>
      <c r="H98" s="10"/>
      <c r="I98" s="63"/>
      <c r="J98" s="58"/>
      <c r="K98" s="60"/>
      <c r="L98" s="76"/>
    </row>
    <row r="99" spans="1:12" ht="15" customHeight="1" x14ac:dyDescent="0.25">
      <c r="A99" s="60"/>
      <c r="B99" s="10"/>
      <c r="C99" s="22"/>
      <c r="D99" s="11"/>
      <c r="E99" s="10"/>
      <c r="F99" s="10"/>
      <c r="G99" s="154"/>
      <c r="H99" s="10"/>
      <c r="I99" s="63"/>
      <c r="J99" s="58"/>
      <c r="K99" s="60"/>
      <c r="L99" s="76"/>
    </row>
    <row r="100" spans="1:12" ht="15" customHeight="1" x14ac:dyDescent="0.25">
      <c r="A100" s="60"/>
      <c r="B100" s="10"/>
      <c r="C100" s="22"/>
      <c r="D100" s="11"/>
      <c r="E100" s="10"/>
      <c r="F100" s="10"/>
      <c r="G100" s="154"/>
      <c r="H100" s="10"/>
      <c r="I100" s="63"/>
      <c r="J100" s="58"/>
      <c r="K100" s="60"/>
      <c r="L100" s="76"/>
    </row>
    <row r="101" spans="1:12" ht="15" customHeight="1" x14ac:dyDescent="0.25">
      <c r="A101" s="60"/>
      <c r="B101" s="10"/>
      <c r="C101" s="22"/>
      <c r="D101" s="11"/>
      <c r="E101" s="10"/>
      <c r="F101" s="10"/>
      <c r="G101" s="154"/>
      <c r="H101" s="10"/>
      <c r="I101" s="63"/>
      <c r="J101" s="58"/>
      <c r="K101" s="60"/>
      <c r="L101" s="76"/>
    </row>
    <row r="102" spans="1:12" ht="15" customHeight="1" x14ac:dyDescent="0.25">
      <c r="A102" s="60"/>
      <c r="B102" s="10"/>
      <c r="C102" s="22"/>
      <c r="D102" s="11"/>
      <c r="E102" s="10"/>
      <c r="F102" s="10"/>
      <c r="G102" s="154"/>
      <c r="H102" s="10"/>
      <c r="I102" s="63"/>
      <c r="J102" s="58"/>
      <c r="K102" s="60"/>
      <c r="L102" s="76"/>
    </row>
    <row r="103" spans="1:12" ht="15" customHeight="1" x14ac:dyDescent="0.25">
      <c r="A103" s="60"/>
      <c r="B103" s="10"/>
      <c r="C103" s="22"/>
      <c r="D103" s="11"/>
      <c r="E103" s="10"/>
      <c r="F103" s="10"/>
      <c r="G103" s="154"/>
      <c r="H103" s="10"/>
      <c r="I103" s="63"/>
      <c r="J103" s="58"/>
      <c r="K103" s="60"/>
      <c r="L103" s="76"/>
    </row>
    <row r="104" spans="1:12" ht="15" customHeight="1" x14ac:dyDescent="0.25">
      <c r="A104" s="60"/>
      <c r="B104" s="10"/>
      <c r="C104" s="22"/>
      <c r="D104" s="11"/>
      <c r="E104" s="10"/>
      <c r="F104" s="10"/>
      <c r="G104" s="154"/>
      <c r="H104" s="10"/>
      <c r="I104" s="63"/>
      <c r="J104" s="58"/>
      <c r="K104" s="60"/>
      <c r="L104" s="76"/>
    </row>
    <row r="105" spans="1:12" ht="15" customHeight="1" x14ac:dyDescent="0.25">
      <c r="A105" s="60"/>
      <c r="B105" s="10"/>
      <c r="C105" s="22"/>
      <c r="D105" s="11"/>
      <c r="E105" s="10"/>
      <c r="F105" s="10"/>
      <c r="G105" s="154"/>
      <c r="H105" s="10"/>
      <c r="I105" s="63"/>
      <c r="J105" s="58"/>
      <c r="K105" s="60"/>
      <c r="L105" s="76"/>
    </row>
    <row r="106" spans="1:12" ht="15" customHeight="1" x14ac:dyDescent="0.25">
      <c r="A106" s="60"/>
      <c r="B106" s="10"/>
      <c r="C106" s="22"/>
      <c r="D106" s="11"/>
      <c r="E106" s="10"/>
      <c r="F106" s="10"/>
      <c r="G106" s="154"/>
      <c r="H106" s="10"/>
      <c r="I106" s="63"/>
      <c r="J106" s="58"/>
      <c r="K106" s="60"/>
      <c r="L106" s="76"/>
    </row>
    <row r="107" spans="1:12" ht="15" customHeight="1" x14ac:dyDescent="0.25">
      <c r="A107" s="60"/>
      <c r="B107" s="10"/>
      <c r="C107" s="22"/>
      <c r="D107" s="11"/>
      <c r="E107" s="10"/>
      <c r="F107" s="10"/>
      <c r="G107" s="154"/>
      <c r="H107" s="10"/>
      <c r="I107" s="63"/>
      <c r="J107" s="58"/>
      <c r="K107" s="60"/>
      <c r="L107" s="76"/>
    </row>
    <row r="108" spans="1:12" ht="15" customHeight="1" x14ac:dyDescent="0.25">
      <c r="A108" s="60"/>
      <c r="B108" s="10"/>
      <c r="C108" s="22"/>
      <c r="D108" s="11"/>
      <c r="E108" s="10"/>
      <c r="F108" s="10"/>
      <c r="G108" s="154"/>
      <c r="H108" s="10"/>
      <c r="I108" s="63"/>
      <c r="J108" s="58"/>
      <c r="K108" s="60"/>
      <c r="L108" s="76"/>
    </row>
    <row r="109" spans="1:12" ht="15" customHeight="1" x14ac:dyDescent="0.25">
      <c r="A109" s="60"/>
      <c r="B109" s="10"/>
      <c r="C109" s="22"/>
      <c r="D109" s="11"/>
      <c r="E109" s="10"/>
      <c r="F109" s="10"/>
      <c r="G109" s="154"/>
      <c r="H109" s="10"/>
      <c r="I109" s="63"/>
      <c r="J109" s="58"/>
      <c r="K109" s="60"/>
      <c r="L109" s="76"/>
    </row>
    <row r="110" spans="1:12" ht="15" customHeight="1" x14ac:dyDescent="0.25">
      <c r="A110" s="60"/>
      <c r="B110" s="10"/>
      <c r="C110" s="22"/>
      <c r="D110" s="11"/>
      <c r="E110" s="10"/>
      <c r="F110" s="10"/>
      <c r="G110" s="154"/>
      <c r="H110" s="10"/>
      <c r="I110" s="63"/>
      <c r="J110" s="58"/>
      <c r="K110" s="60"/>
      <c r="L110" s="76"/>
    </row>
    <row r="111" spans="1:12" ht="15" customHeight="1" x14ac:dyDescent="0.25">
      <c r="A111" s="60"/>
      <c r="B111" s="10"/>
      <c r="C111" s="22"/>
      <c r="D111" s="11"/>
      <c r="E111" s="10"/>
      <c r="F111" s="10"/>
      <c r="G111" s="154"/>
      <c r="H111" s="10"/>
      <c r="I111" s="63"/>
      <c r="J111" s="58"/>
      <c r="K111" s="60"/>
      <c r="L111" s="76"/>
    </row>
    <row r="112" spans="1:12" ht="15" customHeight="1" x14ac:dyDescent="0.25">
      <c r="A112" s="71"/>
      <c r="B112" s="10"/>
      <c r="C112" s="22"/>
      <c r="D112" s="11"/>
      <c r="E112" s="10"/>
      <c r="F112" s="10"/>
      <c r="G112" s="10"/>
      <c r="H112" s="10"/>
      <c r="I112" s="63"/>
      <c r="J112" s="58"/>
      <c r="K112" s="71"/>
      <c r="L112" s="77"/>
    </row>
    <row r="113" spans="1:12" ht="15" customHeight="1" thickBot="1" x14ac:dyDescent="0.3">
      <c r="A113" s="14"/>
      <c r="B113" s="10"/>
      <c r="C113" s="22"/>
      <c r="D113" s="11"/>
      <c r="E113" s="10"/>
      <c r="F113" s="10"/>
      <c r="G113" s="10"/>
      <c r="H113" s="10"/>
      <c r="I113" s="63"/>
      <c r="J113" s="58"/>
      <c r="K113" s="71"/>
      <c r="L113" s="77"/>
    </row>
    <row r="114" spans="1:12" ht="15" customHeight="1" thickBot="1" x14ac:dyDescent="0.3">
      <c r="A114" s="105"/>
      <c r="B114" s="385"/>
      <c r="C114" s="385"/>
      <c r="D114" s="385"/>
      <c r="E114" s="385"/>
      <c r="F114" s="385"/>
      <c r="G114" s="385"/>
      <c r="H114" s="385"/>
      <c r="I114" s="130"/>
      <c r="J114" s="130" t="s">
        <v>50</v>
      </c>
      <c r="K114" s="79">
        <f>SUM(K65:K113)</f>
        <v>815</v>
      </c>
      <c r="L114" s="80"/>
    </row>
    <row r="115" spans="1:12" ht="15" customHeight="1" x14ac:dyDescent="0.4">
      <c r="A115" s="118" t="s">
        <v>0</v>
      </c>
      <c r="B115" s="119"/>
      <c r="C115" s="120"/>
      <c r="D115" s="121" t="s">
        <v>2</v>
      </c>
      <c r="E115" s="403" t="s">
        <v>229</v>
      </c>
      <c r="F115" s="121" t="s">
        <v>4</v>
      </c>
      <c r="G115" s="349">
        <f>G58</f>
        <v>45107</v>
      </c>
      <c r="H115" s="121" t="s">
        <v>5</v>
      </c>
      <c r="I115" s="449" t="s">
        <v>328</v>
      </c>
      <c r="J115" s="450"/>
      <c r="K115" s="120"/>
      <c r="L115" s="123"/>
    </row>
    <row r="116" spans="1:12" ht="15" customHeight="1" x14ac:dyDescent="0.4">
      <c r="A116" s="124" t="s">
        <v>1</v>
      </c>
      <c r="B116" s="109"/>
      <c r="D116" s="2" t="s">
        <v>3</v>
      </c>
      <c r="E116" s="404" t="str">
        <f>E59</f>
        <v>WER</v>
      </c>
      <c r="F116" s="2" t="s">
        <v>4</v>
      </c>
      <c r="G116" s="350">
        <f>G59</f>
        <v>45134</v>
      </c>
      <c r="H116" s="3" t="s">
        <v>6</v>
      </c>
      <c r="I116" s="451">
        <f>1+I59</f>
        <v>9</v>
      </c>
      <c r="J116" s="452"/>
      <c r="L116" s="110"/>
    </row>
    <row r="117" spans="1:12" ht="15" customHeight="1" x14ac:dyDescent="0.25">
      <c r="A117" s="70"/>
      <c r="L117" s="110"/>
    </row>
    <row r="118" spans="1:12" ht="15" customHeight="1" x14ac:dyDescent="0.25">
      <c r="A118" s="168" t="s">
        <v>7</v>
      </c>
      <c r="B118" s="111"/>
      <c r="C118" s="453">
        <v>108774</v>
      </c>
      <c r="D118" s="453"/>
      <c r="E118" s="112" t="s">
        <v>91</v>
      </c>
      <c r="F118" s="453" t="s">
        <v>218</v>
      </c>
      <c r="G118" s="453"/>
      <c r="H118" s="112" t="s">
        <v>11</v>
      </c>
      <c r="I118" s="454"/>
      <c r="J118" s="454"/>
      <c r="K118" s="454"/>
      <c r="L118" s="455"/>
    </row>
    <row r="119" spans="1:12" ht="15" customHeight="1" x14ac:dyDescent="0.25">
      <c r="A119" s="168" t="s">
        <v>10</v>
      </c>
      <c r="B119" s="111"/>
      <c r="C119" s="465" t="s">
        <v>333</v>
      </c>
      <c r="D119" s="465"/>
      <c r="E119" s="465"/>
      <c r="F119" s="465"/>
      <c r="G119" s="465"/>
      <c r="H119" s="465"/>
      <c r="I119" s="465"/>
      <c r="J119" s="465"/>
      <c r="K119" s="111" t="s">
        <v>8</v>
      </c>
      <c r="L119" s="113" t="s">
        <v>34</v>
      </c>
    </row>
    <row r="120" spans="1:12" ht="15" customHeight="1" thickBot="1" x14ac:dyDescent="0.3">
      <c r="A120" s="1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155"/>
    </row>
    <row r="121" spans="1:12" ht="15" customHeight="1" thickBot="1" x14ac:dyDescent="0.3">
      <c r="A121" s="441"/>
      <c r="B121" s="443"/>
      <c r="C121" s="443"/>
      <c r="D121" s="443"/>
      <c r="E121" s="443"/>
      <c r="F121" s="443"/>
      <c r="G121" s="443"/>
      <c r="H121" s="443"/>
      <c r="I121" s="443"/>
      <c r="J121" s="444"/>
      <c r="K121" s="105" t="s">
        <v>12</v>
      </c>
      <c r="L121" s="74" t="s">
        <v>13</v>
      </c>
    </row>
    <row r="122" spans="1:12" ht="15" customHeight="1" x14ac:dyDescent="0.25">
      <c r="A122" s="21"/>
      <c r="B122" s="114"/>
      <c r="C122" s="8"/>
      <c r="D122" s="8"/>
      <c r="E122" s="8"/>
      <c r="F122" s="8"/>
      <c r="G122" s="8"/>
      <c r="H122" s="8"/>
      <c r="I122" s="8"/>
      <c r="J122" s="8"/>
      <c r="K122" s="7"/>
      <c r="L122" s="108"/>
    </row>
    <row r="123" spans="1:12" ht="15" customHeight="1" x14ac:dyDescent="0.25">
      <c r="A123" s="60"/>
      <c r="B123" s="321" t="s">
        <v>250</v>
      </c>
      <c r="C123" s="58"/>
      <c r="D123" s="58"/>
      <c r="E123" s="58"/>
      <c r="F123" s="58"/>
      <c r="G123" s="58"/>
      <c r="H123" s="58"/>
      <c r="I123" s="58"/>
      <c r="J123" s="58"/>
      <c r="K123" s="60"/>
      <c r="L123" s="76"/>
    </row>
    <row r="124" spans="1:12" ht="15" customHeight="1" x14ac:dyDescent="0.25">
      <c r="A124" s="313"/>
      <c r="B124" s="314"/>
      <c r="C124" s="314" t="s">
        <v>244</v>
      </c>
      <c r="D124" s="314" t="s">
        <v>126</v>
      </c>
      <c r="E124" s="314" t="s">
        <v>127</v>
      </c>
      <c r="F124" s="96" t="s">
        <v>245</v>
      </c>
      <c r="G124" s="96" t="s">
        <v>246</v>
      </c>
      <c r="H124" s="314" t="s">
        <v>14</v>
      </c>
      <c r="I124" s="314"/>
      <c r="J124" s="318"/>
      <c r="K124" s="313"/>
      <c r="L124" s="317"/>
    </row>
    <row r="125" spans="1:12" ht="15" customHeight="1" x14ac:dyDescent="0.25">
      <c r="A125" s="60"/>
      <c r="B125" s="10"/>
      <c r="C125" s="63">
        <v>49</v>
      </c>
      <c r="D125" s="11" t="s">
        <v>305</v>
      </c>
      <c r="E125" s="10" t="str">
        <f t="shared" ref="E125:E136" si="4">RIGHT(D125,3)</f>
        <v>162</v>
      </c>
      <c r="F125" s="22">
        <v>1176</v>
      </c>
      <c r="G125" s="22">
        <v>1126</v>
      </c>
      <c r="H125" s="22">
        <f>F125-G125</f>
        <v>50</v>
      </c>
      <c r="I125" s="63"/>
      <c r="J125" s="58"/>
      <c r="K125" s="60"/>
      <c r="L125" s="76"/>
    </row>
    <row r="126" spans="1:12" ht="15" customHeight="1" x14ac:dyDescent="0.25">
      <c r="A126" s="60"/>
      <c r="B126" s="10"/>
      <c r="C126" s="63">
        <v>51</v>
      </c>
      <c r="D126" s="11" t="s">
        <v>305</v>
      </c>
      <c r="E126" s="10" t="str">
        <f t="shared" si="4"/>
        <v>162</v>
      </c>
      <c r="F126" s="22">
        <v>1174</v>
      </c>
      <c r="G126" s="22">
        <v>1126</v>
      </c>
      <c r="H126" s="22">
        <f t="shared" ref="H126:H136" si="5">F126-G126</f>
        <v>48</v>
      </c>
      <c r="I126" s="63"/>
      <c r="J126" s="58"/>
      <c r="K126" s="60"/>
      <c r="L126" s="76"/>
    </row>
    <row r="127" spans="1:12" ht="15" customHeight="1" x14ac:dyDescent="0.25">
      <c r="A127" s="60"/>
      <c r="B127" s="10"/>
      <c r="C127" s="63">
        <v>53</v>
      </c>
      <c r="D127" s="11" t="s">
        <v>305</v>
      </c>
      <c r="E127" s="10" t="str">
        <f t="shared" si="4"/>
        <v>162</v>
      </c>
      <c r="F127" s="22">
        <v>1172</v>
      </c>
      <c r="G127" s="22">
        <v>1126</v>
      </c>
      <c r="H127" s="22">
        <f t="shared" si="5"/>
        <v>46</v>
      </c>
      <c r="I127" s="63"/>
      <c r="J127" s="58"/>
      <c r="K127" s="60"/>
      <c r="L127" s="76"/>
    </row>
    <row r="128" spans="1:12" ht="15" customHeight="1" x14ac:dyDescent="0.25">
      <c r="A128" s="60"/>
      <c r="B128" s="10"/>
      <c r="C128" s="63">
        <v>55</v>
      </c>
      <c r="D128" s="11" t="s">
        <v>305</v>
      </c>
      <c r="E128" s="10" t="str">
        <f t="shared" si="4"/>
        <v>162</v>
      </c>
      <c r="F128" s="22">
        <v>1170</v>
      </c>
      <c r="G128" s="22">
        <v>1129</v>
      </c>
      <c r="H128" s="22">
        <f t="shared" si="5"/>
        <v>41</v>
      </c>
      <c r="I128" s="63"/>
      <c r="J128" s="58"/>
      <c r="K128" s="60"/>
      <c r="L128" s="76"/>
    </row>
    <row r="129" spans="1:12" ht="15" customHeight="1" x14ac:dyDescent="0.25">
      <c r="A129" s="60"/>
      <c r="B129" s="10"/>
      <c r="C129" s="63">
        <v>57</v>
      </c>
      <c r="D129" s="11" t="s">
        <v>263</v>
      </c>
      <c r="E129" s="10" t="str">
        <f t="shared" si="4"/>
        <v>131</v>
      </c>
      <c r="F129" s="22">
        <v>1168</v>
      </c>
      <c r="G129" s="22">
        <v>1131</v>
      </c>
      <c r="H129" s="22">
        <f t="shared" si="5"/>
        <v>37</v>
      </c>
      <c r="I129" s="63"/>
      <c r="J129" s="58"/>
      <c r="K129" s="57"/>
      <c r="L129" s="76"/>
    </row>
    <row r="130" spans="1:12" ht="15" customHeight="1" x14ac:dyDescent="0.25">
      <c r="A130" s="60"/>
      <c r="B130" s="10"/>
      <c r="C130" s="63">
        <v>59</v>
      </c>
      <c r="D130" s="11" t="s">
        <v>263</v>
      </c>
      <c r="E130" s="10" t="str">
        <f t="shared" si="4"/>
        <v>131</v>
      </c>
      <c r="F130" s="22">
        <v>1166</v>
      </c>
      <c r="G130" s="22">
        <v>1131</v>
      </c>
      <c r="H130" s="22">
        <f t="shared" si="5"/>
        <v>35</v>
      </c>
      <c r="I130" s="63"/>
      <c r="J130" s="58"/>
      <c r="K130" s="60"/>
      <c r="L130" s="76"/>
    </row>
    <row r="131" spans="1:12" ht="15" customHeight="1" x14ac:dyDescent="0.25">
      <c r="A131" s="60"/>
      <c r="B131" s="178"/>
      <c r="C131" s="63">
        <v>61</v>
      </c>
      <c r="D131" s="11" t="s">
        <v>263</v>
      </c>
      <c r="E131" s="10" t="str">
        <f t="shared" si="4"/>
        <v>131</v>
      </c>
      <c r="F131" s="22">
        <v>1164</v>
      </c>
      <c r="G131" s="22">
        <v>1131</v>
      </c>
      <c r="H131" s="22">
        <f t="shared" si="5"/>
        <v>33</v>
      </c>
      <c r="I131" s="63"/>
      <c r="J131" s="312"/>
      <c r="K131" s="310"/>
      <c r="L131" s="76"/>
    </row>
    <row r="132" spans="1:12" ht="15" customHeight="1" x14ac:dyDescent="0.25">
      <c r="A132" s="313"/>
      <c r="B132" s="306"/>
      <c r="C132" s="63">
        <v>63</v>
      </c>
      <c r="D132" s="11" t="s">
        <v>304</v>
      </c>
      <c r="E132" s="10" t="str">
        <f t="shared" si="4"/>
        <v>117</v>
      </c>
      <c r="F132" s="22">
        <v>1162</v>
      </c>
      <c r="G132" s="22">
        <v>1136</v>
      </c>
      <c r="H132" s="22">
        <f t="shared" si="5"/>
        <v>26</v>
      </c>
      <c r="I132" s="63"/>
      <c r="J132" s="315"/>
      <c r="K132" s="316"/>
      <c r="L132" s="317"/>
    </row>
    <row r="133" spans="1:12" ht="15" customHeight="1" x14ac:dyDescent="0.25">
      <c r="A133" s="313"/>
      <c r="B133" s="306"/>
      <c r="C133" s="63">
        <v>65</v>
      </c>
      <c r="D133" s="11" t="s">
        <v>304</v>
      </c>
      <c r="E133" s="10" t="str">
        <f t="shared" si="4"/>
        <v>117</v>
      </c>
      <c r="F133" s="22">
        <v>1160</v>
      </c>
      <c r="G133" s="22">
        <v>1136</v>
      </c>
      <c r="H133" s="22">
        <f t="shared" si="5"/>
        <v>24</v>
      </c>
      <c r="I133" s="63"/>
      <c r="J133" s="386"/>
      <c r="K133" s="387"/>
      <c r="L133" s="317"/>
    </row>
    <row r="134" spans="1:12" ht="15" customHeight="1" x14ac:dyDescent="0.25">
      <c r="A134" s="313"/>
      <c r="B134" s="306"/>
      <c r="C134" s="63">
        <v>67</v>
      </c>
      <c r="D134" s="11" t="s">
        <v>303</v>
      </c>
      <c r="E134" s="10" t="str">
        <f t="shared" si="4"/>
        <v>104</v>
      </c>
      <c r="F134" s="22">
        <v>1158</v>
      </c>
      <c r="G134" s="22">
        <v>1139</v>
      </c>
      <c r="H134" s="22">
        <f t="shared" si="5"/>
        <v>19</v>
      </c>
      <c r="I134" s="63"/>
      <c r="J134" s="386"/>
      <c r="K134" s="387"/>
      <c r="L134" s="317"/>
    </row>
    <row r="135" spans="1:12" ht="15" customHeight="1" x14ac:dyDescent="0.25">
      <c r="A135" s="313"/>
      <c r="B135" s="306"/>
      <c r="C135" s="63">
        <v>69</v>
      </c>
      <c r="D135" s="11" t="s">
        <v>303</v>
      </c>
      <c r="E135" s="10" t="str">
        <f t="shared" si="4"/>
        <v>104</v>
      </c>
      <c r="F135" s="22">
        <v>1156</v>
      </c>
      <c r="G135" s="22">
        <v>1139</v>
      </c>
      <c r="H135" s="22">
        <f t="shared" si="5"/>
        <v>17</v>
      </c>
      <c r="I135" s="63"/>
      <c r="J135" s="386"/>
      <c r="K135" s="387"/>
      <c r="L135" s="317"/>
    </row>
    <row r="136" spans="1:12" ht="15" customHeight="1" x14ac:dyDescent="0.25">
      <c r="A136" s="313"/>
      <c r="B136" s="306"/>
      <c r="C136" s="63">
        <v>71</v>
      </c>
      <c r="D136" s="11" t="s">
        <v>303</v>
      </c>
      <c r="E136" s="10" t="str">
        <f t="shared" si="4"/>
        <v>104</v>
      </c>
      <c r="F136" s="22">
        <v>1154</v>
      </c>
      <c r="G136" s="22">
        <v>1139</v>
      </c>
      <c r="H136" s="22">
        <f t="shared" si="5"/>
        <v>15</v>
      </c>
      <c r="I136" s="63"/>
      <c r="J136" s="386"/>
      <c r="K136" s="387"/>
      <c r="L136" s="317"/>
    </row>
    <row r="137" spans="1:12" ht="15" customHeight="1" x14ac:dyDescent="0.25">
      <c r="A137" s="60"/>
      <c r="B137" s="34"/>
      <c r="C137" s="63"/>
      <c r="D137" s="11"/>
      <c r="E137" s="10"/>
      <c r="F137" s="22"/>
      <c r="G137" s="22" t="s">
        <v>50</v>
      </c>
      <c r="H137" s="22">
        <f>SUM(H125:H136)</f>
        <v>391</v>
      </c>
      <c r="I137" s="63"/>
      <c r="J137" s="58"/>
      <c r="K137" s="57">
        <f>H137</f>
        <v>391</v>
      </c>
      <c r="L137" s="76"/>
    </row>
    <row r="138" spans="1:12" ht="15" customHeight="1" x14ac:dyDescent="0.25">
      <c r="A138" s="60"/>
      <c r="B138" s="34"/>
      <c r="C138" s="63"/>
      <c r="D138" s="11"/>
      <c r="E138" s="10"/>
      <c r="F138" s="22"/>
      <c r="G138" s="22"/>
      <c r="H138" s="22"/>
      <c r="I138" s="63"/>
      <c r="J138" s="43"/>
      <c r="K138" s="310"/>
      <c r="L138" s="76"/>
    </row>
    <row r="139" spans="1:12" ht="15" customHeight="1" x14ac:dyDescent="0.25">
      <c r="A139" s="60"/>
      <c r="B139" s="34"/>
      <c r="C139" s="63"/>
      <c r="D139" s="11"/>
      <c r="E139" s="10"/>
      <c r="F139" s="22"/>
      <c r="G139" s="22"/>
      <c r="H139" s="22"/>
      <c r="I139" s="63"/>
      <c r="J139" s="43"/>
      <c r="K139" s="310"/>
      <c r="L139" s="76"/>
    </row>
    <row r="140" spans="1:12" ht="15" customHeight="1" x14ac:dyDescent="0.25">
      <c r="A140" s="60"/>
      <c r="B140" s="321" t="s">
        <v>251</v>
      </c>
      <c r="C140" s="58"/>
      <c r="D140" s="58"/>
      <c r="E140" s="58"/>
      <c r="F140" s="58"/>
      <c r="G140" s="58"/>
      <c r="H140" s="58"/>
      <c r="I140" s="58"/>
      <c r="J140" s="58"/>
      <c r="K140" s="60"/>
      <c r="L140" s="76"/>
    </row>
    <row r="141" spans="1:12" ht="15" customHeight="1" x14ac:dyDescent="0.25">
      <c r="A141" s="60"/>
      <c r="B141" s="314"/>
      <c r="C141" s="314" t="s">
        <v>244</v>
      </c>
      <c r="D141" s="314" t="s">
        <v>126</v>
      </c>
      <c r="E141" s="314" t="s">
        <v>127</v>
      </c>
      <c r="F141" s="96" t="s">
        <v>245</v>
      </c>
      <c r="G141" s="96" t="s">
        <v>246</v>
      </c>
      <c r="H141" s="314" t="s">
        <v>14</v>
      </c>
      <c r="I141" s="314"/>
      <c r="J141" s="318"/>
      <c r="K141" s="313"/>
      <c r="L141" s="76"/>
    </row>
    <row r="142" spans="1:12" ht="15" customHeight="1" x14ac:dyDescent="0.25">
      <c r="A142" s="60"/>
      <c r="B142" s="10"/>
      <c r="C142" s="63">
        <v>50</v>
      </c>
      <c r="D142" s="11" t="s">
        <v>305</v>
      </c>
      <c r="E142" s="10" t="str">
        <f t="shared" ref="E142:E153" si="6">RIGHT(D142,3)</f>
        <v>162</v>
      </c>
      <c r="F142" s="22">
        <v>1176</v>
      </c>
      <c r="G142" s="22">
        <v>1126</v>
      </c>
      <c r="H142" s="22">
        <f>F142-G142</f>
        <v>50</v>
      </c>
      <c r="I142" s="63"/>
      <c r="J142" s="58"/>
      <c r="K142" s="60"/>
      <c r="L142" s="76"/>
    </row>
    <row r="143" spans="1:12" ht="15" customHeight="1" x14ac:dyDescent="0.25">
      <c r="A143" s="60"/>
      <c r="B143" s="10"/>
      <c r="C143" s="63">
        <v>52</v>
      </c>
      <c r="D143" s="11" t="s">
        <v>305</v>
      </c>
      <c r="E143" s="10" t="str">
        <f t="shared" si="6"/>
        <v>162</v>
      </c>
      <c r="F143" s="22">
        <v>1174</v>
      </c>
      <c r="G143" s="22">
        <v>1126</v>
      </c>
      <c r="H143" s="22">
        <f t="shared" ref="H143:H153" si="7">F143-G143</f>
        <v>48</v>
      </c>
      <c r="I143" s="63"/>
      <c r="J143" s="58"/>
      <c r="K143" s="60"/>
      <c r="L143" s="76"/>
    </row>
    <row r="144" spans="1:12" ht="15" customHeight="1" x14ac:dyDescent="0.25">
      <c r="A144" s="60"/>
      <c r="B144" s="10"/>
      <c r="C144" s="63">
        <v>54</v>
      </c>
      <c r="D144" s="11" t="s">
        <v>305</v>
      </c>
      <c r="E144" s="10" t="str">
        <f t="shared" si="6"/>
        <v>162</v>
      </c>
      <c r="F144" s="22">
        <v>1172</v>
      </c>
      <c r="G144" s="22">
        <v>1126</v>
      </c>
      <c r="H144" s="22">
        <f t="shared" si="7"/>
        <v>46</v>
      </c>
      <c r="I144" s="63"/>
      <c r="J144" s="58"/>
      <c r="K144" s="60"/>
      <c r="L144" s="76"/>
    </row>
    <row r="145" spans="1:12" ht="15" customHeight="1" x14ac:dyDescent="0.25">
      <c r="A145" s="60"/>
      <c r="B145" s="10"/>
      <c r="C145" s="63">
        <v>56</v>
      </c>
      <c r="D145" s="11" t="s">
        <v>305</v>
      </c>
      <c r="E145" s="10" t="str">
        <f t="shared" si="6"/>
        <v>162</v>
      </c>
      <c r="F145" s="22">
        <v>1170</v>
      </c>
      <c r="G145" s="22">
        <v>1129</v>
      </c>
      <c r="H145" s="22">
        <f t="shared" si="7"/>
        <v>41</v>
      </c>
      <c r="I145" s="63"/>
      <c r="J145" s="58"/>
      <c r="K145" s="60"/>
      <c r="L145" s="76"/>
    </row>
    <row r="146" spans="1:12" ht="15" customHeight="1" x14ac:dyDescent="0.25">
      <c r="A146" s="60"/>
      <c r="B146" s="10"/>
      <c r="C146" s="63">
        <v>58</v>
      </c>
      <c r="D146" s="11" t="s">
        <v>263</v>
      </c>
      <c r="E146" s="10" t="str">
        <f t="shared" si="6"/>
        <v>131</v>
      </c>
      <c r="F146" s="22">
        <v>1168</v>
      </c>
      <c r="G146" s="22">
        <v>1131</v>
      </c>
      <c r="H146" s="22">
        <f t="shared" si="7"/>
        <v>37</v>
      </c>
      <c r="I146" s="63"/>
      <c r="J146" s="58"/>
      <c r="K146" s="57"/>
      <c r="L146" s="76"/>
    </row>
    <row r="147" spans="1:12" ht="15" customHeight="1" x14ac:dyDescent="0.25">
      <c r="A147" s="60"/>
      <c r="B147" s="10"/>
      <c r="C147" s="63">
        <v>60</v>
      </c>
      <c r="D147" s="11" t="s">
        <v>263</v>
      </c>
      <c r="E147" s="10" t="str">
        <f t="shared" si="6"/>
        <v>131</v>
      </c>
      <c r="F147" s="22">
        <v>1166</v>
      </c>
      <c r="G147" s="22">
        <v>1131</v>
      </c>
      <c r="H147" s="22">
        <f t="shared" si="7"/>
        <v>35</v>
      </c>
      <c r="I147" s="63"/>
      <c r="J147" s="58"/>
      <c r="K147" s="60"/>
      <c r="L147" s="76"/>
    </row>
    <row r="148" spans="1:12" ht="15" customHeight="1" x14ac:dyDescent="0.25">
      <c r="A148" s="60"/>
      <c r="B148" s="178"/>
      <c r="C148" s="63">
        <v>62</v>
      </c>
      <c r="D148" s="11" t="s">
        <v>263</v>
      </c>
      <c r="E148" s="10" t="str">
        <f t="shared" si="6"/>
        <v>131</v>
      </c>
      <c r="F148" s="22">
        <v>1164</v>
      </c>
      <c r="G148" s="22">
        <v>1131</v>
      </c>
      <c r="H148" s="22">
        <f t="shared" si="7"/>
        <v>33</v>
      </c>
      <c r="I148" s="63"/>
      <c r="J148" s="312"/>
      <c r="K148" s="310"/>
      <c r="L148" s="76"/>
    </row>
    <row r="149" spans="1:12" ht="15" customHeight="1" x14ac:dyDescent="0.25">
      <c r="A149" s="60"/>
      <c r="B149" s="306"/>
      <c r="C149" s="63">
        <v>64</v>
      </c>
      <c r="D149" s="11" t="s">
        <v>304</v>
      </c>
      <c r="E149" s="10" t="str">
        <f t="shared" si="6"/>
        <v>117</v>
      </c>
      <c r="F149" s="22">
        <v>1162</v>
      </c>
      <c r="G149" s="22">
        <v>1136</v>
      </c>
      <c r="H149" s="22">
        <f t="shared" si="7"/>
        <v>26</v>
      </c>
      <c r="I149" s="63"/>
      <c r="J149" s="315"/>
      <c r="K149" s="316"/>
      <c r="L149" s="76"/>
    </row>
    <row r="150" spans="1:12" ht="15" customHeight="1" x14ac:dyDescent="0.25">
      <c r="A150" s="60"/>
      <c r="B150" s="306"/>
      <c r="C150" s="63">
        <v>66</v>
      </c>
      <c r="D150" s="11" t="s">
        <v>304</v>
      </c>
      <c r="E150" s="10" t="str">
        <f t="shared" si="6"/>
        <v>117</v>
      </c>
      <c r="F150" s="22">
        <v>1160</v>
      </c>
      <c r="G150" s="22">
        <v>1136</v>
      </c>
      <c r="H150" s="22">
        <f t="shared" si="7"/>
        <v>24</v>
      </c>
      <c r="I150" s="63"/>
      <c r="J150" s="386"/>
      <c r="K150" s="387"/>
      <c r="L150" s="76"/>
    </row>
    <row r="151" spans="1:12" ht="15" customHeight="1" x14ac:dyDescent="0.25">
      <c r="A151" s="60"/>
      <c r="B151" s="306"/>
      <c r="C151" s="63">
        <v>68</v>
      </c>
      <c r="D151" s="11" t="s">
        <v>303</v>
      </c>
      <c r="E151" s="10" t="str">
        <f t="shared" si="6"/>
        <v>104</v>
      </c>
      <c r="F151" s="22">
        <v>1158</v>
      </c>
      <c r="G151" s="22">
        <v>1139</v>
      </c>
      <c r="H151" s="22">
        <f t="shared" si="7"/>
        <v>19</v>
      </c>
      <c r="I151" s="63"/>
      <c r="J151" s="386"/>
      <c r="K151" s="387"/>
      <c r="L151" s="76"/>
    </row>
    <row r="152" spans="1:12" ht="15" customHeight="1" x14ac:dyDescent="0.25">
      <c r="A152" s="60"/>
      <c r="B152" s="306"/>
      <c r="C152" s="63">
        <v>70</v>
      </c>
      <c r="D152" s="11" t="s">
        <v>303</v>
      </c>
      <c r="E152" s="10" t="str">
        <f t="shared" si="6"/>
        <v>104</v>
      </c>
      <c r="F152" s="22">
        <v>1156</v>
      </c>
      <c r="G152" s="22">
        <v>1139</v>
      </c>
      <c r="H152" s="22">
        <f t="shared" si="7"/>
        <v>17</v>
      </c>
      <c r="I152" s="63"/>
      <c r="J152" s="386"/>
      <c r="K152" s="387"/>
      <c r="L152" s="76"/>
    </row>
    <row r="153" spans="1:12" ht="15" customHeight="1" x14ac:dyDescent="0.25">
      <c r="A153" s="60"/>
      <c r="B153" s="306"/>
      <c r="C153" s="63">
        <v>72</v>
      </c>
      <c r="D153" s="11" t="s">
        <v>303</v>
      </c>
      <c r="E153" s="10" t="str">
        <f t="shared" si="6"/>
        <v>104</v>
      </c>
      <c r="F153" s="22">
        <v>1154</v>
      </c>
      <c r="G153" s="22">
        <v>1139</v>
      </c>
      <c r="H153" s="22">
        <f t="shared" si="7"/>
        <v>15</v>
      </c>
      <c r="I153" s="63"/>
      <c r="J153" s="386"/>
      <c r="K153" s="387"/>
      <c r="L153" s="76"/>
    </row>
    <row r="154" spans="1:12" ht="15" customHeight="1" x14ac:dyDescent="0.25">
      <c r="A154" s="60"/>
      <c r="B154" s="34"/>
      <c r="C154" s="63"/>
      <c r="D154" s="11"/>
      <c r="E154" s="10"/>
      <c r="F154" s="22"/>
      <c r="G154" s="22" t="s">
        <v>50</v>
      </c>
      <c r="H154" s="22">
        <f>SUM(H142:H153)</f>
        <v>391</v>
      </c>
      <c r="I154" s="63"/>
      <c r="J154" s="58"/>
      <c r="K154" s="57">
        <f>H154</f>
        <v>391</v>
      </c>
      <c r="L154" s="76"/>
    </row>
    <row r="155" spans="1:12" ht="15" customHeight="1" x14ac:dyDescent="0.25">
      <c r="A155" s="60"/>
      <c r="B155" s="10"/>
      <c r="C155" s="63"/>
      <c r="D155" s="11"/>
      <c r="E155" s="10"/>
      <c r="F155" s="22"/>
      <c r="G155" s="22"/>
      <c r="H155" s="22"/>
      <c r="I155" s="63"/>
      <c r="J155" s="58"/>
      <c r="K155" s="60"/>
      <c r="L155" s="76"/>
    </row>
    <row r="156" spans="1:12" ht="15" customHeight="1" x14ac:dyDescent="0.25">
      <c r="A156" s="60"/>
      <c r="B156" s="321"/>
      <c r="C156" s="58"/>
      <c r="D156" s="58"/>
      <c r="E156" s="58"/>
      <c r="F156" s="22"/>
      <c r="G156" s="22"/>
      <c r="H156" s="22"/>
      <c r="I156" s="63"/>
      <c r="J156" s="58"/>
      <c r="K156" s="57"/>
      <c r="L156" s="76"/>
    </row>
    <row r="157" spans="1:12" ht="15" customHeight="1" x14ac:dyDescent="0.25">
      <c r="A157" s="60"/>
      <c r="B157" s="10"/>
      <c r="C157" s="63"/>
      <c r="D157" s="11"/>
      <c r="E157" s="10"/>
      <c r="F157" s="22"/>
      <c r="G157" s="63"/>
      <c r="H157" s="10"/>
      <c r="I157" s="63"/>
      <c r="J157" s="58"/>
      <c r="K157" s="60"/>
      <c r="L157" s="76"/>
    </row>
    <row r="158" spans="1:12" ht="15" customHeight="1" x14ac:dyDescent="0.25">
      <c r="A158" s="60"/>
      <c r="B158" s="10"/>
      <c r="C158" s="63"/>
      <c r="D158" s="11"/>
      <c r="E158" s="10"/>
      <c r="F158" s="22"/>
      <c r="G158" s="63"/>
      <c r="H158" s="10"/>
      <c r="I158" s="63"/>
      <c r="J158" s="58"/>
      <c r="K158" s="60"/>
      <c r="L158" s="76"/>
    </row>
    <row r="159" spans="1:12" ht="15" customHeight="1" x14ac:dyDescent="0.25">
      <c r="A159" s="60"/>
      <c r="B159" s="10"/>
      <c r="C159" s="63"/>
      <c r="D159" s="11"/>
      <c r="E159" s="10"/>
      <c r="F159" s="22"/>
      <c r="G159" s="63"/>
      <c r="H159" s="10"/>
      <c r="I159" s="63"/>
      <c r="J159" s="58"/>
      <c r="K159" s="60"/>
      <c r="L159" s="76"/>
    </row>
    <row r="160" spans="1:12" ht="15" customHeight="1" x14ac:dyDescent="0.25">
      <c r="A160" s="60"/>
      <c r="B160" s="10"/>
      <c r="C160" s="63"/>
      <c r="D160" s="11"/>
      <c r="E160" s="10"/>
      <c r="F160" s="22"/>
      <c r="G160" s="63"/>
      <c r="H160" s="10"/>
      <c r="I160" s="63"/>
      <c r="J160" s="58"/>
      <c r="K160" s="60"/>
      <c r="L160" s="76"/>
    </row>
    <row r="161" spans="1:12" ht="15" customHeight="1" x14ac:dyDescent="0.25">
      <c r="A161" s="60"/>
      <c r="B161" s="10"/>
      <c r="C161" s="63"/>
      <c r="D161" s="11"/>
      <c r="E161" s="10"/>
      <c r="F161" s="22"/>
      <c r="G161" s="63"/>
      <c r="H161" s="10"/>
      <c r="I161" s="63"/>
      <c r="J161" s="58"/>
      <c r="K161" s="60"/>
      <c r="L161" s="76"/>
    </row>
    <row r="162" spans="1:12" x14ac:dyDescent="0.25">
      <c r="A162" s="60"/>
      <c r="B162" s="10"/>
      <c r="C162" s="96"/>
      <c r="D162" s="314"/>
      <c r="E162" s="314"/>
      <c r="F162" s="314"/>
      <c r="G162" s="314"/>
      <c r="H162" s="10"/>
      <c r="I162" s="63"/>
      <c r="J162" s="58"/>
      <c r="K162" s="60"/>
      <c r="L162" s="76"/>
    </row>
    <row r="163" spans="1:12" ht="15" customHeight="1" x14ac:dyDescent="0.25">
      <c r="A163" s="60"/>
      <c r="B163" s="10"/>
      <c r="C163" s="22"/>
      <c r="D163" s="11"/>
      <c r="E163" s="10"/>
      <c r="F163" s="22"/>
      <c r="G163" s="63"/>
      <c r="H163" s="10"/>
      <c r="I163" s="63"/>
      <c r="J163" s="58"/>
      <c r="K163" s="60"/>
      <c r="L163" s="76"/>
    </row>
    <row r="164" spans="1:12" ht="15" customHeight="1" x14ac:dyDescent="0.25">
      <c r="A164" s="60"/>
      <c r="B164" s="10"/>
      <c r="C164" s="22"/>
      <c r="D164" s="11"/>
      <c r="E164" s="10"/>
      <c r="F164" s="22"/>
      <c r="G164" s="63"/>
      <c r="H164" s="10"/>
      <c r="I164" s="63"/>
      <c r="J164" s="58"/>
      <c r="K164" s="60"/>
      <c r="L164" s="76"/>
    </row>
    <row r="165" spans="1:12" ht="15" customHeight="1" x14ac:dyDescent="0.25">
      <c r="A165" s="60"/>
      <c r="B165" s="10"/>
      <c r="C165" s="22"/>
      <c r="D165" s="11"/>
      <c r="E165" s="10"/>
      <c r="F165" s="10"/>
      <c r="G165" s="63"/>
      <c r="H165" s="10"/>
      <c r="I165" s="63"/>
      <c r="J165" s="58"/>
      <c r="K165" s="57"/>
      <c r="L165" s="76"/>
    </row>
    <row r="166" spans="1:12" ht="15" customHeight="1" x14ac:dyDescent="0.25">
      <c r="A166" s="60"/>
      <c r="B166" s="10"/>
      <c r="C166" s="22"/>
      <c r="D166" s="11"/>
      <c r="E166" s="10"/>
      <c r="F166" s="10"/>
      <c r="G166" s="154"/>
      <c r="H166" s="10"/>
      <c r="I166" s="63"/>
      <c r="J166" s="58"/>
      <c r="K166" s="60"/>
      <c r="L166" s="76"/>
    </row>
    <row r="167" spans="1:12" ht="15" customHeight="1" x14ac:dyDescent="0.25">
      <c r="A167" s="60"/>
      <c r="B167" s="10"/>
      <c r="C167" s="22"/>
      <c r="D167" s="11"/>
      <c r="E167" s="10"/>
      <c r="F167" s="10"/>
      <c r="G167" s="154"/>
      <c r="H167" s="10"/>
      <c r="I167" s="63"/>
      <c r="J167" s="58"/>
      <c r="K167" s="60"/>
      <c r="L167" s="76"/>
    </row>
    <row r="168" spans="1:12" ht="15" customHeight="1" x14ac:dyDescent="0.25">
      <c r="A168" s="60"/>
      <c r="B168" s="10"/>
      <c r="C168" s="22"/>
      <c r="D168" s="11"/>
      <c r="E168" s="10"/>
      <c r="F168" s="10"/>
      <c r="G168" s="154"/>
      <c r="H168" s="10"/>
      <c r="I168" s="63"/>
      <c r="J168" s="58"/>
      <c r="K168" s="60"/>
      <c r="L168" s="76"/>
    </row>
    <row r="169" spans="1:12" ht="15" customHeight="1" x14ac:dyDescent="0.25">
      <c r="A169" s="71"/>
      <c r="B169" s="10"/>
      <c r="C169" s="22"/>
      <c r="D169" s="11"/>
      <c r="E169" s="10"/>
      <c r="F169" s="10"/>
      <c r="G169" s="10"/>
      <c r="H169" s="10"/>
      <c r="I169" s="63"/>
      <c r="J169" s="58"/>
      <c r="K169" s="71"/>
      <c r="L169" s="77"/>
    </row>
    <row r="170" spans="1:12" ht="15" customHeight="1" thickBot="1" x14ac:dyDescent="0.3">
      <c r="A170" s="14"/>
      <c r="B170" s="10"/>
      <c r="C170" s="22"/>
      <c r="D170" s="11"/>
      <c r="E170" s="10"/>
      <c r="F170" s="10"/>
      <c r="G170" s="10"/>
      <c r="H170" s="10"/>
      <c r="I170" s="63"/>
      <c r="J170" s="58"/>
      <c r="K170" s="71"/>
      <c r="L170" s="77"/>
    </row>
    <row r="171" spans="1:12" ht="15" customHeight="1" thickBot="1" x14ac:dyDescent="0.3">
      <c r="A171" s="105"/>
      <c r="B171" s="385"/>
      <c r="C171" s="385"/>
      <c r="D171" s="385"/>
      <c r="E171" s="385"/>
      <c r="F171" s="385"/>
      <c r="G171" s="385"/>
      <c r="H171" s="385"/>
      <c r="I171" s="130"/>
      <c r="J171" s="130" t="s">
        <v>50</v>
      </c>
      <c r="K171" s="79">
        <f>SUM(K122:K170)</f>
        <v>782</v>
      </c>
      <c r="L171" s="80">
        <f>K57+K114+K171</f>
        <v>2384</v>
      </c>
    </row>
  </sheetData>
  <mergeCells count="21">
    <mergeCell ref="C5:J5"/>
    <mergeCell ref="I1:J1"/>
    <mergeCell ref="I2:J2"/>
    <mergeCell ref="C4:D4"/>
    <mergeCell ref="F4:G4"/>
    <mergeCell ref="I4:L4"/>
    <mergeCell ref="A7:J7"/>
    <mergeCell ref="I58:J58"/>
    <mergeCell ref="I59:J59"/>
    <mergeCell ref="C61:D61"/>
    <mergeCell ref="F61:G61"/>
    <mergeCell ref="I61:L61"/>
    <mergeCell ref="C119:J119"/>
    <mergeCell ref="A121:J121"/>
    <mergeCell ref="C62:J62"/>
    <mergeCell ref="A64:J64"/>
    <mergeCell ref="I115:J115"/>
    <mergeCell ref="I116:J116"/>
    <mergeCell ref="C118:D118"/>
    <mergeCell ref="F118:G118"/>
    <mergeCell ref="I118:L118"/>
  </mergeCells>
  <printOptions horizontalCentered="1"/>
  <pageMargins left="0.5" right="0.5" top="0.5" bottom="0.5" header="0.5" footer="0.25"/>
  <pageSetup scale="79" fitToHeight="2" orientation="portrait" horizontalDpi="1200" verticalDpi="1200" r:id="rId1"/>
  <headerFooter>
    <oddFooter>&amp;R&amp;9Printed &amp;D &amp;T</oddFooter>
  </headerFooter>
  <rowBreaks count="2" manualBreakCount="2">
    <brk id="57" max="11" man="1"/>
    <brk id="11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62</vt:i4>
      </vt:variant>
      <vt:variant>
        <vt:lpstr>Named Ranges</vt:lpstr>
      </vt:variant>
      <vt:variant>
        <vt:i4>59</vt:i4>
      </vt:variant>
    </vt:vector>
  </HeadingPairs>
  <TitlesOfParts>
    <vt:vector size="121" baseType="lpstr">
      <vt:lpstr>STAGE 3 PLAN SHEET QUANT TABLE</vt:lpstr>
      <vt:lpstr>SUMMARY</vt:lpstr>
      <vt:lpstr>STR REMOVED</vt:lpstr>
      <vt:lpstr>EXCAVATION</vt:lpstr>
      <vt:lpstr>EMBANKMENT</vt:lpstr>
      <vt:lpstr>COF</vt:lpstr>
      <vt:lpstr>UNCLASS. EX.</vt:lpstr>
      <vt:lpstr>Rock Exc</vt:lpstr>
      <vt:lpstr>STEEL PILES</vt:lpstr>
      <vt:lpstr>REBAR</vt:lpstr>
      <vt:lpstr>DOWEL</vt:lpstr>
      <vt:lpstr>CIP Conc. Wall Closure</vt:lpstr>
      <vt:lpstr>Footing</vt:lpstr>
      <vt:lpstr>Headwall</vt:lpstr>
      <vt:lpstr>Tunnel</vt:lpstr>
      <vt:lpstr>GRAFFITI SEALING</vt:lpstr>
      <vt:lpstr>CONC. SEALING</vt:lpstr>
      <vt:lpstr>TYPE 2 WATERPROOFING</vt:lpstr>
      <vt:lpstr>STR. STEEL</vt:lpstr>
      <vt:lpstr>POROUS BACKFILL</vt:lpstr>
      <vt:lpstr>6" PCPP</vt:lpstr>
      <vt:lpstr>6" NPCPP</vt:lpstr>
      <vt:lpstr>PATCHING</vt:lpstr>
      <vt:lpstr>36" DRILLED SHAFTS</vt:lpstr>
      <vt:lpstr>36" ROCK SOCKETS</vt:lpstr>
      <vt:lpstr>LAGGING</vt:lpstr>
      <vt:lpstr>PAVED GUTTER</vt:lpstr>
      <vt:lpstr>FENCE</vt:lpstr>
      <vt:lpstr>SEEDING</vt:lpstr>
      <vt:lpstr>ASBESTOS</vt:lpstr>
      <vt:lpstr>LUMIN</vt:lpstr>
      <vt:lpstr>POLY ASPHALT JT.</vt:lpstr>
      <vt:lpstr>CONC. PVMT.</vt:lpstr>
      <vt:lpstr>AGG. BASE</vt:lpstr>
      <vt:lpstr>Sheet1</vt:lpstr>
      <vt:lpstr>MODULAR WALL</vt:lpstr>
      <vt:lpstr>RR TIES</vt:lpstr>
      <vt:lpstr>WEAR REM</vt:lpstr>
      <vt:lpstr>PILE MOB.</vt:lpstr>
      <vt:lpstr>HP10X42 FURN.</vt:lpstr>
      <vt:lpstr>HP10X42 DRIV.</vt:lpstr>
      <vt:lpstr>SLOPE PROT.</vt:lpstr>
      <vt:lpstr>RCP</vt:lpstr>
      <vt:lpstr>RCP APP</vt:lpstr>
      <vt:lpstr>PAINTING INT. COAT</vt:lpstr>
      <vt:lpstr>PAINTING FIN. COAT</vt:lpstr>
      <vt:lpstr>PARAPET CONC.</vt:lpstr>
      <vt:lpstr>1" PEJF</vt:lpstr>
      <vt:lpstr>APPR SLAB REMOVED</vt:lpstr>
      <vt:lpstr>DECK CONC.</vt:lpstr>
      <vt:lpstr>SHEAR STUDS</vt:lpstr>
      <vt:lpstr>PIER BRGS</vt:lpstr>
      <vt:lpstr>ABUT BRGS</vt:lpstr>
      <vt:lpstr>RAIL</vt:lpstr>
      <vt:lpstr>DSTRIP</vt:lpstr>
      <vt:lpstr>30" ROCK SOCKETS</vt:lpstr>
      <vt:lpstr>42" DRILLED SHAFTS</vt:lpstr>
      <vt:lpstr>42" ROCK SOCKETS</vt:lpstr>
      <vt:lpstr>48" DRILLED SHAFTS</vt:lpstr>
      <vt:lpstr>GUIDE</vt:lpstr>
      <vt:lpstr>NEOPRENE SHEETING</vt:lpstr>
      <vt:lpstr>2" PEJF</vt:lpstr>
      <vt:lpstr>'1" PEJF'!Print_Area</vt:lpstr>
      <vt:lpstr>'2" PEJF'!Print_Area</vt:lpstr>
      <vt:lpstr>'30" ROCK SOCKETS'!Print_Area</vt:lpstr>
      <vt:lpstr>'36" DRILLED SHAFTS'!Print_Area</vt:lpstr>
      <vt:lpstr>'36" ROCK SOCKETS'!Print_Area</vt:lpstr>
      <vt:lpstr>'42" DRILLED SHAFTS'!Print_Area</vt:lpstr>
      <vt:lpstr>'42" ROCK SOCKETS'!Print_Area</vt:lpstr>
      <vt:lpstr>'48" DRILLED SHAFTS'!Print_Area</vt:lpstr>
      <vt:lpstr>'6" NPCPP'!Print_Area</vt:lpstr>
      <vt:lpstr>'6" PCPP'!Print_Area</vt:lpstr>
      <vt:lpstr>'ABUT BRGS'!Print_Area</vt:lpstr>
      <vt:lpstr>'AGG. BASE'!Print_Area</vt:lpstr>
      <vt:lpstr>'APPR SLAB REMOVED'!Print_Area</vt:lpstr>
      <vt:lpstr>ASBESTOS!Print_Area</vt:lpstr>
      <vt:lpstr>'CIP Conc. Wall Closure'!Print_Area</vt:lpstr>
      <vt:lpstr>COF!Print_Area</vt:lpstr>
      <vt:lpstr>'CONC. PVMT.'!Print_Area</vt:lpstr>
      <vt:lpstr>'CONC. SEALING'!Print_Area</vt:lpstr>
      <vt:lpstr>'DECK CONC.'!Print_Area</vt:lpstr>
      <vt:lpstr>DOWEL!Print_Area</vt:lpstr>
      <vt:lpstr>DSTRIP!Print_Area</vt:lpstr>
      <vt:lpstr>EMBANKMENT!Print_Area</vt:lpstr>
      <vt:lpstr>EXCAVATION!Print_Area</vt:lpstr>
      <vt:lpstr>FENCE!Print_Area</vt:lpstr>
      <vt:lpstr>Footing!Print_Area</vt:lpstr>
      <vt:lpstr>'GRAFFITI SEALING'!Print_Area</vt:lpstr>
      <vt:lpstr>GUIDE!Print_Area</vt:lpstr>
      <vt:lpstr>Headwall!Print_Area</vt:lpstr>
      <vt:lpstr>'HP10X42 DRIV.'!Print_Area</vt:lpstr>
      <vt:lpstr>'HP10X42 FURN.'!Print_Area</vt:lpstr>
      <vt:lpstr>LAGGING!Print_Area</vt:lpstr>
      <vt:lpstr>LUMIN!Print_Area</vt:lpstr>
      <vt:lpstr>'MODULAR WALL'!Print_Area</vt:lpstr>
      <vt:lpstr>'NEOPRENE SHEETING'!Print_Area</vt:lpstr>
      <vt:lpstr>'PAINTING FIN. COAT'!Print_Area</vt:lpstr>
      <vt:lpstr>'PAINTING INT. COAT'!Print_Area</vt:lpstr>
      <vt:lpstr>'PARAPET CONC.'!Print_Area</vt:lpstr>
      <vt:lpstr>PATCHING!Print_Area</vt:lpstr>
      <vt:lpstr>'PAVED GUTTER'!Print_Area</vt:lpstr>
      <vt:lpstr>'PIER BRGS'!Print_Area</vt:lpstr>
      <vt:lpstr>'PILE MOB.'!Print_Area</vt:lpstr>
      <vt:lpstr>'POLY ASPHALT JT.'!Print_Area</vt:lpstr>
      <vt:lpstr>'POROUS BACKFILL'!Print_Area</vt:lpstr>
      <vt:lpstr>RAIL!Print_Area</vt:lpstr>
      <vt:lpstr>RCP!Print_Area</vt:lpstr>
      <vt:lpstr>'RCP APP'!Print_Area</vt:lpstr>
      <vt:lpstr>REBAR!Print_Area</vt:lpstr>
      <vt:lpstr>'Rock Exc'!Print_Area</vt:lpstr>
      <vt:lpstr>'RR TIES'!Print_Area</vt:lpstr>
      <vt:lpstr>SEEDING!Print_Area</vt:lpstr>
      <vt:lpstr>'SHEAR STUDS'!Print_Area</vt:lpstr>
      <vt:lpstr>'SLOPE PROT.'!Print_Area</vt:lpstr>
      <vt:lpstr>'STEEL PILES'!Print_Area</vt:lpstr>
      <vt:lpstr>'STR REMOVED'!Print_Area</vt:lpstr>
      <vt:lpstr>'STR. STEEL'!Print_Area</vt:lpstr>
      <vt:lpstr>Tunnel!Print_Area</vt:lpstr>
      <vt:lpstr>'TYPE 2 WATERPROOFING'!Print_Area</vt:lpstr>
      <vt:lpstr>'UNCLASS. EX.'!Print_Area</vt:lpstr>
      <vt:lpstr>'WEAR REM'!Print_Area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teberhardt</dc:creator>
  <cp:lastModifiedBy>Penman, Jillian</cp:lastModifiedBy>
  <cp:lastPrinted>2023-07-28T19:02:19Z</cp:lastPrinted>
  <dcterms:created xsi:type="dcterms:W3CDTF">2010-02-03T19:41:28Z</dcterms:created>
  <dcterms:modified xsi:type="dcterms:W3CDTF">2024-08-26T15:13:18Z</dcterms:modified>
</cp:coreProperties>
</file>