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N:\01\60\08388-00\108774\400-Engineering\Structures\SFN_0701572\EngData\Quantities\"/>
    </mc:Choice>
  </mc:AlternateContent>
  <xr:revisionPtr revIDLastSave="0" documentId="13_ncr:1_{487BBEFA-80FB-4BB8-9904-8FD35094D7C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GE 2 BLANK" sheetId="39" r:id="rId1"/>
    <sheet name="FINAL QUANTITIES" sheetId="14" r:id="rId2"/>
    <sheet name="202E11200" sheetId="31" r:id="rId3"/>
    <sheet name="304E20000" sheetId="33" r:id="rId4"/>
    <sheet name="503E11100" sheetId="34" r:id="rId5"/>
    <sheet name="509E10000" sheetId="37" r:id="rId6"/>
    <sheet name="511E53010" sheetId="32" r:id="rId7"/>
    <sheet name="512E10100" sheetId="29" r:id="rId8"/>
    <sheet name="516E13200" sheetId="41" r:id="rId9"/>
    <sheet name="518E21200" sheetId="30" r:id="rId10"/>
    <sheet name="530E00200" sheetId="35" r:id="rId11"/>
    <sheet name="870E10001" sheetId="20" r:id="rId12"/>
    <sheet name="870E11000" sheetId="24" r:id="rId13"/>
    <sheet name="870E11100" sheetId="25" r:id="rId14"/>
    <sheet name="870E12000" sheetId="26" r:id="rId15"/>
    <sheet name="870E12100" sheetId="27" r:id="rId16"/>
    <sheet name="870E14000" sheetId="28" r:id="rId17"/>
    <sheet name="878E25000" sheetId="36" r:id="rId18"/>
    <sheet name="Sheet1" sheetId="40" r:id="rId19"/>
    <sheet name="530E50030" sheetId="38" r:id="rId20"/>
  </sheets>
  <definedNames>
    <definedName name="_xlnm.Print_Area" localSheetId="2">'202E11200'!$A$1:$L$38</definedName>
    <definedName name="_xlnm.Print_Area" localSheetId="3">'304E20000'!$A$1:$L$38</definedName>
    <definedName name="_xlnm.Print_Area" localSheetId="4">'503E11100'!$A$1:$L$38</definedName>
    <definedName name="_xlnm.Print_Area" localSheetId="5">'509E10000'!$A$1:$L$41</definedName>
    <definedName name="_xlnm.Print_Area" localSheetId="6">'511E53010'!$A$1:$L$40</definedName>
    <definedName name="_xlnm.Print_Area" localSheetId="7">'512E10100'!$A$1:$L$39</definedName>
    <definedName name="_xlnm.Print_Area" localSheetId="8">'516E13200'!$A$1:$L$36</definedName>
    <definedName name="_xlnm.Print_Area" localSheetId="9">'518E21200'!$A$1:$L$76</definedName>
    <definedName name="_xlnm.Print_Area" localSheetId="10">'530E00200'!$A$1:$L$38</definedName>
    <definedName name="_xlnm.Print_Area" localSheetId="19">'530E50030'!$A$1:$L$38</definedName>
    <definedName name="_xlnm.Print_Area" localSheetId="11">'870E10001'!$A$1:$L$38</definedName>
    <definedName name="_xlnm.Print_Area" localSheetId="12">'870E11000'!$A$1:$L$42</definedName>
    <definedName name="_xlnm.Print_Area" localSheetId="13">'870E11100'!$A$1:$L$38</definedName>
    <definedName name="_xlnm.Print_Area" localSheetId="14">'870E12000'!$A$1:$L$38</definedName>
    <definedName name="_xlnm.Print_Area" localSheetId="15">'870E12100'!$A$1:$L$38</definedName>
    <definedName name="_xlnm.Print_Area" localSheetId="16">'870E14000'!$A$1:$L$38</definedName>
    <definedName name="_xlnm.Print_Area" localSheetId="17">'878E25000'!$A$1:$L$38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  <c r="D13" i="32"/>
  <c r="D15" i="32" s="1"/>
  <c r="I2" i="30" l="1"/>
  <c r="I40" i="30" s="1"/>
  <c r="I2" i="35" s="1"/>
  <c r="I2" i="20" s="1"/>
  <c r="I2" i="24" s="1"/>
  <c r="I2" i="25" s="1"/>
  <c r="I2" i="26" s="1"/>
  <c r="I2" i="27" s="1"/>
  <c r="I2" i="28" s="1"/>
  <c r="I2" i="36" s="1"/>
  <c r="I2" i="41"/>
  <c r="K24" i="32"/>
  <c r="D23" i="32"/>
  <c r="D24" i="32" s="1"/>
  <c r="D20" i="33"/>
  <c r="D21" i="33" s="1"/>
  <c r="K21" i="33" s="1"/>
  <c r="G40" i="30"/>
  <c r="E40" i="30"/>
  <c r="K9" i="37" l="1"/>
  <c r="D29" i="25" l="1"/>
  <c r="D32" i="25"/>
  <c r="D31" i="25"/>
  <c r="D30" i="25"/>
  <c r="D22" i="25"/>
  <c r="D21" i="25"/>
  <c r="D20" i="25"/>
  <c r="D19" i="25"/>
  <c r="D18" i="25"/>
  <c r="D17" i="25"/>
  <c r="D16" i="25"/>
  <c r="D15" i="25"/>
  <c r="D14" i="25"/>
  <c r="D13" i="25"/>
  <c r="D12" i="25"/>
  <c r="E13" i="24"/>
  <c r="E68" i="30"/>
  <c r="E67" i="30"/>
  <c r="E62" i="30"/>
  <c r="E61" i="30"/>
  <c r="E49" i="30"/>
  <c r="E55" i="30"/>
  <c r="E56" i="30"/>
  <c r="E50" i="30"/>
  <c r="D21" i="29"/>
  <c r="D22" i="29"/>
  <c r="D20" i="29"/>
  <c r="D13" i="41" l="1"/>
  <c r="F14" i="14" l="1"/>
  <c r="E14" i="14"/>
  <c r="C14" i="14"/>
  <c r="B14" i="14"/>
  <c r="K13" i="41"/>
  <c r="K36" i="41" s="1"/>
  <c r="L36" i="41" s="1"/>
  <c r="D14" i="14" s="1"/>
  <c r="D10" i="26" l="1"/>
  <c r="D13" i="26"/>
  <c r="B31" i="25"/>
  <c r="B31" i="24"/>
  <c r="E11" i="30"/>
  <c r="E17" i="30"/>
  <c r="E23" i="30"/>
  <c r="D13" i="29"/>
  <c r="E29" i="25" l="1"/>
  <c r="E32" i="25"/>
  <c r="E32" i="24"/>
  <c r="E31" i="24"/>
  <c r="E30" i="24"/>
  <c r="E29" i="24"/>
  <c r="E30" i="25"/>
  <c r="E31" i="25"/>
  <c r="D20" i="20"/>
  <c r="D19" i="20"/>
  <c r="D18" i="20"/>
  <c r="D17" i="20"/>
  <c r="D22" i="20" s="1"/>
  <c r="E70" i="30"/>
  <c r="E64" i="30"/>
  <c r="E58" i="30"/>
  <c r="E52" i="30"/>
  <c r="D23" i="29"/>
  <c r="E33" i="25" l="1"/>
  <c r="E34" i="25" s="1"/>
  <c r="K34" i="25" s="1"/>
  <c r="E72" i="30"/>
  <c r="E73" i="30" s="1"/>
  <c r="K73" i="30" s="1"/>
  <c r="K76" i="30" s="1"/>
  <c r="E33" i="24"/>
  <c r="E34" i="24" s="1"/>
  <c r="K34" i="24" s="1"/>
  <c r="D12" i="33"/>
  <c r="D13" i="33" s="1"/>
  <c r="D24" i="29" l="1"/>
  <c r="D26" i="29" s="1"/>
  <c r="D27" i="29" s="1"/>
  <c r="K27" i="29" s="1"/>
  <c r="D12" i="29"/>
  <c r="D11" i="29"/>
  <c r="D10" i="29"/>
  <c r="D16" i="32"/>
  <c r="D16" i="29" l="1"/>
  <c r="D17" i="29" s="1"/>
  <c r="K17" i="29" s="1"/>
  <c r="D14" i="29"/>
  <c r="E12" i="30"/>
  <c r="D12" i="20"/>
  <c r="D11" i="20"/>
  <c r="D10" i="20"/>
  <c r="D14" i="20" s="1"/>
  <c r="D21" i="24"/>
  <c r="E22" i="24" s="1"/>
  <c r="E18" i="24"/>
  <c r="E19" i="24"/>
  <c r="E20" i="24"/>
  <c r="E13" i="25"/>
  <c r="E18" i="25"/>
  <c r="E19" i="25"/>
  <c r="E20" i="25"/>
  <c r="E21" i="25"/>
  <c r="E22" i="25"/>
  <c r="E17" i="25"/>
  <c r="E21" i="24" l="1"/>
  <c r="F25" i="39"/>
  <c r="D25" i="39"/>
  <c r="C25" i="39"/>
  <c r="B25" i="39"/>
  <c r="F24" i="39"/>
  <c r="E24" i="39"/>
  <c r="C24" i="39"/>
  <c r="B24" i="39"/>
  <c r="F23" i="39"/>
  <c r="E23" i="39"/>
  <c r="C23" i="39"/>
  <c r="B23" i="39"/>
  <c r="F21" i="39"/>
  <c r="E21" i="39"/>
  <c r="C21" i="39"/>
  <c r="B21" i="39"/>
  <c r="F20" i="39"/>
  <c r="E20" i="39"/>
  <c r="C20" i="39"/>
  <c r="B20" i="39"/>
  <c r="F19" i="39"/>
  <c r="E19" i="39"/>
  <c r="C19" i="39"/>
  <c r="B19" i="39"/>
  <c r="F18" i="39"/>
  <c r="E18" i="39"/>
  <c r="C18" i="39"/>
  <c r="B18" i="39"/>
  <c r="F16" i="39"/>
  <c r="D16" i="39"/>
  <c r="C16" i="39"/>
  <c r="B16" i="39"/>
  <c r="F15" i="39"/>
  <c r="D15" i="39"/>
  <c r="C15" i="39"/>
  <c r="B15" i="39"/>
  <c r="F14" i="39"/>
  <c r="E14" i="39"/>
  <c r="C14" i="39"/>
  <c r="B14" i="39"/>
  <c r="F13" i="39"/>
  <c r="E13" i="39"/>
  <c r="C13" i="39"/>
  <c r="B13" i="39"/>
  <c r="F11" i="39"/>
  <c r="E11" i="39"/>
  <c r="C11" i="39"/>
  <c r="B11" i="39"/>
  <c r="F10" i="39"/>
  <c r="E10" i="39"/>
  <c r="C10" i="39"/>
  <c r="B10" i="39"/>
  <c r="F9" i="39"/>
  <c r="D9" i="39"/>
  <c r="C9" i="39"/>
  <c r="B9" i="39"/>
  <c r="F8" i="39"/>
  <c r="E8" i="39"/>
  <c r="C8" i="39"/>
  <c r="B8" i="39"/>
  <c r="F7" i="39"/>
  <c r="D7" i="39"/>
  <c r="C7" i="39"/>
  <c r="B7" i="39"/>
  <c r="B13" i="14" l="1"/>
  <c r="C13" i="14"/>
  <c r="E13" i="14"/>
  <c r="F13" i="14"/>
  <c r="F17" i="14"/>
  <c r="F16" i="14"/>
  <c r="C17" i="14"/>
  <c r="D17" i="14"/>
  <c r="B17" i="14"/>
  <c r="B16" i="14"/>
  <c r="K38" i="38"/>
  <c r="F10" i="14"/>
  <c r="E10" i="14"/>
  <c r="C10" i="14"/>
  <c r="B10" i="14"/>
  <c r="F26" i="14" l="1"/>
  <c r="D26" i="14"/>
  <c r="C26" i="14"/>
  <c r="B26" i="14"/>
  <c r="K38" i="36"/>
  <c r="D16" i="14"/>
  <c r="K38" i="35"/>
  <c r="F9" i="14"/>
  <c r="D9" i="14"/>
  <c r="C9" i="14"/>
  <c r="B9" i="14"/>
  <c r="F8" i="14"/>
  <c r="E8" i="14"/>
  <c r="C8" i="14"/>
  <c r="B8" i="14"/>
  <c r="K13" i="33"/>
  <c r="F11" i="14"/>
  <c r="E11" i="14"/>
  <c r="C11" i="14"/>
  <c r="B11" i="14"/>
  <c r="K38" i="34"/>
  <c r="F7" i="14"/>
  <c r="D7" i="14"/>
  <c r="C7" i="14"/>
  <c r="B7" i="14"/>
  <c r="K38" i="31"/>
  <c r="K38" i="33" l="1"/>
  <c r="L38" i="33" s="1"/>
  <c r="D8" i="14" s="1"/>
  <c r="K13" i="27"/>
  <c r="K13" i="26"/>
  <c r="E15" i="25"/>
  <c r="E16" i="25"/>
  <c r="E17" i="24"/>
  <c r="E16" i="24"/>
  <c r="E15" i="24"/>
  <c r="E14" i="24"/>
  <c r="K22" i="20"/>
  <c r="E25" i="30"/>
  <c r="K41" i="37" l="1"/>
  <c r="L41" i="37" s="1"/>
  <c r="D10" i="14" s="1"/>
  <c r="E23" i="24"/>
  <c r="E24" i="24" s="1"/>
  <c r="E14" i="25"/>
  <c r="E23" i="25" s="1"/>
  <c r="E14" i="30"/>
  <c r="E20" i="30"/>
  <c r="E27" i="30" l="1"/>
  <c r="E28" i="30" s="1"/>
  <c r="K28" i="30" s="1"/>
  <c r="E24" i="25"/>
  <c r="K24" i="25" s="1"/>
  <c r="K38" i="25" s="1"/>
  <c r="F15" i="14"/>
  <c r="E15" i="14"/>
  <c r="C15" i="14"/>
  <c r="B15" i="14"/>
  <c r="B19" i="14"/>
  <c r="C19" i="14"/>
  <c r="E19" i="14"/>
  <c r="F19" i="14"/>
  <c r="F25" i="14"/>
  <c r="E25" i="14"/>
  <c r="C25" i="14"/>
  <c r="B25" i="14"/>
  <c r="K10" i="28"/>
  <c r="K38" i="28" s="1"/>
  <c r="L38" i="28" s="1"/>
  <c r="D25" i="14" s="1"/>
  <c r="F24" i="14"/>
  <c r="E24" i="14"/>
  <c r="D24" i="14"/>
  <c r="C24" i="14"/>
  <c r="B24" i="14"/>
  <c r="F22" i="14"/>
  <c r="E22" i="14"/>
  <c r="C22" i="14"/>
  <c r="B22" i="14"/>
  <c r="K10" i="27"/>
  <c r="K38" i="27" s="1"/>
  <c r="L38" i="27" s="1"/>
  <c r="K10" i="26"/>
  <c r="F21" i="14"/>
  <c r="E21" i="14"/>
  <c r="C21" i="14"/>
  <c r="B21" i="14"/>
  <c r="K38" i="26" l="1"/>
  <c r="L38" i="26" s="1"/>
  <c r="D22" i="14" s="1"/>
  <c r="K38" i="30"/>
  <c r="L76" i="30" s="1"/>
  <c r="D15" i="14" s="1"/>
  <c r="K39" i="29"/>
  <c r="L39" i="29" s="1"/>
  <c r="D13" i="14" s="1"/>
  <c r="L38" i="25"/>
  <c r="D21" i="14" s="1"/>
  <c r="F20" i="14" l="1"/>
  <c r="E20" i="14"/>
  <c r="C20" i="14"/>
  <c r="B20" i="14"/>
  <c r="K14" i="20"/>
  <c r="K24" i="24" l="1"/>
  <c r="K42" i="24" s="1"/>
  <c r="L42" i="24" s="1"/>
  <c r="D20" i="14" s="1"/>
  <c r="K38" i="20"/>
  <c r="L38" i="20" s="1"/>
  <c r="D19" i="14" s="1"/>
  <c r="K16" i="32"/>
  <c r="K40" i="32" l="1"/>
  <c r="L40" i="32" s="1"/>
  <c r="D11" i="14" s="1"/>
</calcChain>
</file>

<file path=xl/sharedStrings.xml><?xml version="1.0" encoding="utf-8"?>
<sst xmlns="http://schemas.openxmlformats.org/spreadsheetml/2006/main" count="661" uniqueCount="115">
  <si>
    <t>ITEM</t>
  </si>
  <si>
    <t>UNIT</t>
  </si>
  <si>
    <t>DESCRIPTION</t>
  </si>
  <si>
    <t>TOTAL</t>
  </si>
  <si>
    <t>SHEET REF.</t>
  </si>
  <si>
    <t>FT</t>
  </si>
  <si>
    <t>QUANTITY</t>
  </si>
  <si>
    <t>MADE BY:</t>
  </si>
  <si>
    <t>JSP</t>
  </si>
  <si>
    <t>DATE:</t>
  </si>
  <si>
    <t>ITEM NUMBER:</t>
  </si>
  <si>
    <t>CALCULATIONS</t>
  </si>
  <si>
    <t>CHECKED BY:</t>
  </si>
  <si>
    <t>PAGE NUMBER:</t>
  </si>
  <si>
    <t>PID NO.</t>
  </si>
  <si>
    <t>PROJECT</t>
  </si>
  <si>
    <t>STRUCTURE</t>
  </si>
  <si>
    <t>ITEM NAME</t>
  </si>
  <si>
    <t>PAY UNIT</t>
  </si>
  <si>
    <t>SUB TOTAL</t>
  </si>
  <si>
    <t>CY</t>
  </si>
  <si>
    <t>By: JSP</t>
  </si>
  <si>
    <t>ESTIMATED QUANTITIES</t>
  </si>
  <si>
    <t>CF</t>
  </si>
  <si>
    <t>Checked: WER</t>
  </si>
  <si>
    <t>SF</t>
  </si>
  <si>
    <t>LENGTH</t>
  </si>
  <si>
    <t>870E10001</t>
  </si>
  <si>
    <t>EXTENSION</t>
  </si>
  <si>
    <t>BEL-National Road</t>
  </si>
  <si>
    <t>PREFABRICATED MODULAR RETAINING WALL, AS PER PLAN</t>
  </si>
  <si>
    <t>870E11000</t>
  </si>
  <si>
    <t>WALL EXCAVATION</t>
  </si>
  <si>
    <t>AREA (SF)</t>
  </si>
  <si>
    <t>VOLUME (CF)</t>
  </si>
  <si>
    <t>870E11100</t>
  </si>
  <si>
    <t>NATURAL SOIL</t>
  </si>
  <si>
    <t>AREA</t>
  </si>
  <si>
    <t>870E12000</t>
  </si>
  <si>
    <t>870E12100</t>
  </si>
  <si>
    <t>6" DRAINAGE PIPE, PERFORATED</t>
  </si>
  <si>
    <t>6" DRAINAGE PIPE, NON-PERFORATED</t>
  </si>
  <si>
    <t>870E14000</t>
  </si>
  <si>
    <t>ON-SITE ASSISTANCE</t>
  </si>
  <si>
    <t>DAY</t>
  </si>
  <si>
    <t>DAYS</t>
  </si>
  <si>
    <t>512E10100</t>
  </si>
  <si>
    <t>SY</t>
  </si>
  <si>
    <t>SEALING OF CONCRETE SURFACES (EPOXY-URETHANE)</t>
  </si>
  <si>
    <t>518E21200</t>
  </si>
  <si>
    <t>POROUS BACKFILL WITH GEOTEXTILE FABRIC</t>
  </si>
  <si>
    <t>SFN 0701572 (Retaining Wall)</t>
  </si>
  <si>
    <t>SUBTOTAL</t>
  </si>
  <si>
    <t>LOWER PLAZA OVERLOOK</t>
  </si>
  <si>
    <t>SECTION B-B</t>
  </si>
  <si>
    <t>SECTION C-C</t>
  </si>
  <si>
    <t>SECTION D-D</t>
  </si>
  <si>
    <t>TOP LENGTH</t>
  </si>
  <si>
    <t>WIDTH</t>
  </si>
  <si>
    <t>UPPER PLAZA OVERLOOK</t>
  </si>
  <si>
    <t>SECTION B-B FACE</t>
  </si>
  <si>
    <t>SECTION C-C FACE</t>
  </si>
  <si>
    <t>SECTION D-D FACE</t>
  </si>
  <si>
    <t>VOLUME</t>
  </si>
  <si>
    <t>STATION</t>
  </si>
  <si>
    <t>202E11200</t>
  </si>
  <si>
    <t>LS</t>
  </si>
  <si>
    <t>PORTIONS OF STRUCTURE REMOVED</t>
  </si>
  <si>
    <t>LUMP SUM ITEM</t>
  </si>
  <si>
    <t>North Modular Block Wall (Upper Plaza Overlook)</t>
  </si>
  <si>
    <t>Area</t>
  </si>
  <si>
    <t>304E20000</t>
  </si>
  <si>
    <t>AGGREGATE BASE</t>
  </si>
  <si>
    <t>Thickness</t>
  </si>
  <si>
    <t>IN</t>
  </si>
  <si>
    <t>Volume</t>
  </si>
  <si>
    <t>503E11100</t>
  </si>
  <si>
    <t>COFFERDAMS AND EXCAVATION BRACING</t>
  </si>
  <si>
    <t>530E00200</t>
  </si>
  <si>
    <t>SPECIAL - STRUCTURES: REMOVAL, SURFACE PREPARATION, PAINTING AND REINSTALLATION OF METAL STAIRS AND RAILING</t>
  </si>
  <si>
    <t>878E25000</t>
  </si>
  <si>
    <t>INSPECTION AND COMPACTION TESTING OF UNBOUND MATERIALS</t>
  </si>
  <si>
    <t>509E10000</t>
  </si>
  <si>
    <t>EPOXY COATED STEEL REINFORCEMENT</t>
  </si>
  <si>
    <t>LB</t>
  </si>
  <si>
    <t>IN.</t>
  </si>
  <si>
    <t>Subtotal</t>
  </si>
  <si>
    <t>511E53010</t>
  </si>
  <si>
    <t>Slab  Area</t>
  </si>
  <si>
    <t>CLASS QC1 CONCRETE, MISC.: CONCRETE SLAB ON GRADE</t>
  </si>
  <si>
    <t>530E50030</t>
  </si>
  <si>
    <t>SPECIAL - RETAINING WALL: 10"x10" PRESSURE TREATED TIMBER</t>
  </si>
  <si>
    <t>63 /68</t>
  </si>
  <si>
    <t>SECTION B-B (STA. 1+00.00 TO STA. 1+34.00)</t>
  </si>
  <si>
    <t>SECTION C-C (STA. 1+34.00 to STA. 1+44.00)</t>
  </si>
  <si>
    <t>SECTION D-D (STA. 1+44.00 TO STA. 1+66.00)</t>
  </si>
  <si>
    <t>Slab Thickness</t>
  </si>
  <si>
    <t>EAST FACE</t>
  </si>
  <si>
    <t>NORTH FACE</t>
  </si>
  <si>
    <t>WEST FACE</t>
  </si>
  <si>
    <t>NORTH FACE UNDER STEPS</t>
  </si>
  <si>
    <t>NORTH FACE WEST OF STEPS</t>
  </si>
  <si>
    <t>LOWER PLAZA TOTAL</t>
  </si>
  <si>
    <t>UPPER PLAZA TOTAL</t>
  </si>
  <si>
    <t>LENGTH (FT)</t>
  </si>
  <si>
    <t>1/2" PREFORMED EXPANSION JOINT FILLER</t>
  </si>
  <si>
    <t>HEIGHT</t>
  </si>
  <si>
    <t>516E13200</t>
  </si>
  <si>
    <t>2 /7</t>
  </si>
  <si>
    <t>CALC BY: JSP</t>
  </si>
  <si>
    <t>CHECK BY: WER</t>
  </si>
  <si>
    <t>WER</t>
  </si>
  <si>
    <t>Modular Block Wall (Lower Plaza Overlook)</t>
  </si>
  <si>
    <t>Lower Plaza Overlook</t>
  </si>
  <si>
    <t>Concrete Below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</si>
</sst>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/d/yy;@"/>
    <numFmt numFmtId="165" formatCode="0.0"/>
    <numFmt numFmtId="166" formatCode="_(* #,##0_);_(* \(#,##0\);_(* &quot;-&quot;??_);_(@_)"/>
    <numFmt numFmtId="167" formatCode="0.000"/>
    <numFmt numFmtId="168" formatCode="0.0000"/>
    <numFmt numFmtId="169" formatCode="#\+##.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7">
    <xf numFmtId="0" fontId="0" fillId="0" borderId="0" xfId="0"/>
    <xf numFmtId="2" fontId="0" fillId="0" borderId="23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/>
    <xf numFmtId="0" fontId="0" fillId="0" borderId="4" xfId="0" applyBorder="1"/>
    <xf numFmtId="0" fontId="6" fillId="0" borderId="5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164" fontId="0" fillId="0" borderId="7" xfId="0" quotePrefix="1" applyNumberFormat="1" applyBorder="1" applyAlignment="1">
      <alignment horizontal="center" vertical="justify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5" fillId="0" borderId="0" xfId="0" applyFont="1"/>
    <xf numFmtId="0" fontId="6" fillId="0" borderId="10" xfId="0" applyFont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0" fillId="0" borderId="15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6" fontId="0" fillId="0" borderId="25" xfId="1" applyNumberFormat="1" applyFont="1" applyBorder="1"/>
    <xf numFmtId="0" fontId="0" fillId="0" borderId="26" xfId="0" applyBorder="1" applyAlignment="1">
      <alignment horizontal="center"/>
    </xf>
    <xf numFmtId="165" fontId="0" fillId="0" borderId="23" xfId="0" applyNumberFormat="1" applyBorder="1" applyAlignment="1">
      <alignment horizontal="left"/>
    </xf>
    <xf numFmtId="166" fontId="0" fillId="0" borderId="27" xfId="1" applyNumberFormat="1" applyFont="1" applyBorder="1" applyAlignment="1">
      <alignment horizontal="center"/>
    </xf>
    <xf numFmtId="0" fontId="0" fillId="0" borderId="23" xfId="0" applyBorder="1"/>
    <xf numFmtId="3" fontId="7" fillId="0" borderId="23" xfId="0" applyNumberFormat="1" applyFont="1" applyBorder="1" applyAlignment="1">
      <alignment horizontal="center"/>
    </xf>
    <xf numFmtId="166" fontId="0" fillId="0" borderId="29" xfId="1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43" fontId="0" fillId="0" borderId="30" xfId="1" applyFont="1" applyBorder="1" applyAlignment="1">
      <alignment horizontal="center"/>
    </xf>
    <xf numFmtId="0" fontId="0" fillId="0" borderId="30" xfId="0" applyBorder="1" applyAlignment="1">
      <alignment horizontal="left"/>
    </xf>
    <xf numFmtId="1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166" fontId="0" fillId="0" borderId="32" xfId="1" applyNumberFormat="1" applyFont="1" applyBorder="1"/>
    <xf numFmtId="166" fontId="0" fillId="0" borderId="24" xfId="1" applyNumberFormat="1" applyFont="1" applyBorder="1" applyAlignment="1">
      <alignment horizontal="center"/>
    </xf>
    <xf numFmtId="166" fontId="0" fillId="0" borderId="33" xfId="1" applyNumberFormat="1" applyFont="1" applyBorder="1" applyAlignment="1">
      <alignment horizontal="center"/>
    </xf>
    <xf numFmtId="165" fontId="0" fillId="0" borderId="23" xfId="0" applyNumberFormat="1" applyBorder="1" applyAlignment="1">
      <alignment horizontal="center" vertical="center" wrapText="1"/>
    </xf>
    <xf numFmtId="167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34" xfId="0" applyBorder="1"/>
    <xf numFmtId="2" fontId="0" fillId="0" borderId="22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26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23" xfId="0" applyBorder="1" applyAlignment="1">
      <alignment horizontal="right"/>
    </xf>
    <xf numFmtId="0" fontId="1" fillId="0" borderId="0" xfId="0" applyFont="1"/>
    <xf numFmtId="166" fontId="0" fillId="0" borderId="27" xfId="1" applyNumberFormat="1" applyFont="1" applyFill="1" applyBorder="1" applyAlignment="1">
      <alignment horizontal="center"/>
    </xf>
    <xf numFmtId="165" fontId="0" fillId="0" borderId="24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0" fillId="0" borderId="23" xfId="0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7" fillId="0" borderId="2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1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left"/>
    </xf>
    <xf numFmtId="2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0" borderId="38" xfId="0" applyBorder="1" applyAlignment="1">
      <alignment horizontal="right"/>
    </xf>
    <xf numFmtId="0" fontId="3" fillId="0" borderId="44" xfId="0" applyFont="1" applyBorder="1" applyAlignment="1">
      <alignment horizontal="left"/>
    </xf>
    <xf numFmtId="2" fontId="0" fillId="0" borderId="23" xfId="0" applyNumberFormat="1" applyBorder="1" applyAlignment="1">
      <alignment horizontal="right"/>
    </xf>
    <xf numFmtId="2" fontId="7" fillId="0" borderId="23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165" fontId="7" fillId="0" borderId="23" xfId="0" applyNumberFormat="1" applyFont="1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2" fontId="0" fillId="0" borderId="23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0" fillId="0" borderId="23" xfId="0" applyNumberFormat="1" applyBorder="1" applyAlignment="1">
      <alignment horizontal="right"/>
    </xf>
    <xf numFmtId="0" fontId="0" fillId="0" borderId="51" xfId="0" applyBorder="1" applyAlignment="1">
      <alignment horizontal="center"/>
    </xf>
    <xf numFmtId="165" fontId="0" fillId="0" borderId="44" xfId="0" applyNumberFormat="1" applyBorder="1" applyAlignment="1">
      <alignment horizontal="right"/>
    </xf>
    <xf numFmtId="0" fontId="0" fillId="0" borderId="44" xfId="0" applyBorder="1" applyAlignment="1">
      <alignment horizontal="left"/>
    </xf>
    <xf numFmtId="167" fontId="0" fillId="0" borderId="44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165" fontId="0" fillId="0" borderId="33" xfId="1" applyNumberFormat="1" applyFont="1" applyFill="1" applyBorder="1" applyAlignment="1">
      <alignment horizontal="center"/>
    </xf>
    <xf numFmtId="1" fontId="0" fillId="0" borderId="38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/>
    <xf numFmtId="11" fontId="1" fillId="0" borderId="53" xfId="0" applyNumberFormat="1" applyFont="1" applyBorder="1" applyAlignment="1">
      <alignment horizontal="center" vertical="center"/>
    </xf>
    <xf numFmtId="1" fontId="1" fillId="0" borderId="54" xfId="0" quotePrefix="1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Border="1"/>
    <xf numFmtId="0" fontId="1" fillId="0" borderId="60" xfId="0" applyFont="1" applyBorder="1"/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right"/>
    </xf>
    <xf numFmtId="2" fontId="3" fillId="0" borderId="39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5" fontId="3" fillId="0" borderId="23" xfId="0" applyNumberFormat="1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9" xfId="0" applyFont="1" applyBorder="1" applyAlignment="1">
      <alignment horizontal="center"/>
    </xf>
    <xf numFmtId="0" fontId="3" fillId="0" borderId="45" xfId="0" applyFont="1" applyBorder="1" applyAlignment="1">
      <alignment horizontal="right"/>
    </xf>
    <xf numFmtId="0" fontId="3" fillId="0" borderId="46" xfId="0" applyFont="1" applyBorder="1" applyAlignment="1">
      <alignment horizontal="left"/>
    </xf>
    <xf numFmtId="1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14" fontId="1" fillId="0" borderId="19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28" xfId="1" applyNumberFormat="1" applyFont="1" applyFill="1" applyBorder="1" applyAlignment="1">
      <alignment horizontal="center"/>
    </xf>
    <xf numFmtId="3" fontId="0" fillId="0" borderId="0" xfId="1" applyNumberFormat="1" applyFont="1" applyFill="1" applyBorder="1" applyAlignment="1">
      <alignment horizontal="center"/>
    </xf>
    <xf numFmtId="0" fontId="0" fillId="0" borderId="11" xfId="0" applyBorder="1" applyAlignment="1">
      <alignment horizontal="left" wrapText="1" shrinkToFit="1"/>
    </xf>
    <xf numFmtId="0" fontId="0" fillId="0" borderId="11" xfId="0" applyBorder="1" applyAlignment="1">
      <alignment horizontal="left" shrinkToFit="1"/>
    </xf>
    <xf numFmtId="11" fontId="0" fillId="0" borderId="6" xfId="0" quotePrefix="1" applyNumberFormat="1" applyBorder="1" applyAlignment="1">
      <alignment horizontal="center" vertical="justify"/>
    </xf>
    <xf numFmtId="11" fontId="0" fillId="0" borderId="7" xfId="0" quotePrefix="1" applyNumberFormat="1" applyBorder="1" applyAlignment="1">
      <alignment horizontal="center" vertical="justify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left" vertical="top" wrapText="1" shrinkToFit="1"/>
    </xf>
    <xf numFmtId="0" fontId="0" fillId="0" borderId="19" xfId="0" applyBorder="1" applyAlignment="1">
      <alignment horizontal="left" vertical="top" wrapText="1" shrinkToFit="1"/>
    </xf>
    <xf numFmtId="2" fontId="0" fillId="0" borderId="45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3" fillId="0" borderId="64" xfId="0" applyNumberFormat="1" applyFont="1" applyBorder="1" applyAlignment="1">
      <alignment horizontal="center"/>
    </xf>
    <xf numFmtId="2" fontId="3" fillId="0" borderId="65" xfId="0" applyNumberFormat="1" applyFont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69" fontId="0" fillId="0" borderId="42" xfId="0" applyNumberFormat="1" applyBorder="1" applyAlignment="1">
      <alignment horizontal="center"/>
    </xf>
    <xf numFmtId="169" fontId="0" fillId="0" borderId="43" xfId="0" applyNumberForma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</xdr:row>
      <xdr:rowOff>180976</xdr:rowOff>
    </xdr:from>
    <xdr:to>
      <xdr:col>10</xdr:col>
      <xdr:colOff>9525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flipV="1">
          <a:off x="1095375" y="1038226"/>
          <a:ext cx="5695950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133350</xdr:rowOff>
    </xdr:from>
    <xdr:to>
      <xdr:col>11</xdr:col>
      <xdr:colOff>669916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133350</xdr:rowOff>
    </xdr:from>
    <xdr:to>
      <xdr:col>11</xdr:col>
      <xdr:colOff>669916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133350"/>
          <a:ext cx="1308091" cy="295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865" y="133350"/>
          <a:ext cx="1174741" cy="278168"/>
        </a:xfrm>
        <a:prstGeom prst="rect">
          <a:avLst/>
        </a:prstGeom>
      </xdr:spPr>
    </xdr:pic>
    <xdr:clientData/>
  </xdr:twoCellAnchor>
  <xdr:oneCellAnchor>
    <xdr:from>
      <xdr:col>10</xdr:col>
      <xdr:colOff>47625</xdr:colOff>
      <xdr:row>38</xdr:row>
      <xdr:rowOff>133350</xdr:rowOff>
    </xdr:from>
    <xdr:ext cx="1308091" cy="29531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133350</xdr:rowOff>
    </xdr:from>
    <xdr:to>
      <xdr:col>12</xdr:col>
      <xdr:colOff>3166</xdr:colOff>
      <xdr:row>1</xdr:row>
      <xdr:rowOff>190538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33350"/>
          <a:ext cx="1308091" cy="295313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</xdr:row>
      <xdr:rowOff>180976</xdr:rowOff>
    </xdr:from>
    <xdr:to>
      <xdr:col>10</xdr:col>
      <xdr:colOff>9525</xdr:colOff>
      <xdr:row>5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V="1">
          <a:off x="1095375" y="1038226"/>
          <a:ext cx="5695950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workbookViewId="0">
      <selection activeCell="F29" sqref="F29"/>
    </sheetView>
  </sheetViews>
  <sheetFormatPr defaultColWidth="9" defaultRowHeight="15" x14ac:dyDescent="0.25"/>
  <cols>
    <col min="2" max="2" width="9.28515625" bestFit="1" customWidth="1"/>
    <col min="3" max="3" width="11.140625" bestFit="1" customWidth="1"/>
    <col min="5" max="5" width="12.7109375" customWidth="1"/>
    <col min="6" max="6" width="99.28515625" bestFit="1" customWidth="1"/>
    <col min="7" max="7" width="15.7109375" customWidth="1"/>
    <col min="9" max="9" width="20.7109375" customWidth="1"/>
    <col min="10" max="10" width="10.7109375" customWidth="1"/>
    <col min="11" max="11" width="15.7109375" customWidth="1"/>
  </cols>
  <sheetData>
    <row r="2" spans="2:11" x14ac:dyDescent="0.25">
      <c r="B2" s="129" t="s">
        <v>21</v>
      </c>
      <c r="C2" s="129"/>
      <c r="D2" s="129"/>
      <c r="E2" s="129"/>
      <c r="F2" s="129"/>
      <c r="G2" s="69">
        <v>45107</v>
      </c>
    </row>
    <row r="3" spans="2:11" ht="15.75" thickBot="1" x14ac:dyDescent="0.3">
      <c r="B3" s="129" t="s">
        <v>24</v>
      </c>
      <c r="C3" s="129"/>
      <c r="D3" s="129"/>
      <c r="E3" s="129"/>
      <c r="F3" s="129"/>
      <c r="G3" s="69"/>
    </row>
    <row r="4" spans="2:11" ht="15.75" thickBot="1" x14ac:dyDescent="0.3">
      <c r="B4" s="130" t="s">
        <v>22</v>
      </c>
      <c r="C4" s="131"/>
      <c r="D4" s="131"/>
      <c r="E4" s="131"/>
      <c r="F4" s="131"/>
      <c r="G4" s="132"/>
      <c r="H4" s="60"/>
      <c r="I4" s="60"/>
      <c r="J4" s="60"/>
      <c r="K4" s="60"/>
    </row>
    <row r="5" spans="2:11" ht="15.75" thickBot="1" x14ac:dyDescent="0.3">
      <c r="B5" s="113" t="s">
        <v>0</v>
      </c>
      <c r="C5" s="114" t="s">
        <v>28</v>
      </c>
      <c r="D5" s="114" t="s">
        <v>3</v>
      </c>
      <c r="E5" s="114" t="s">
        <v>1</v>
      </c>
      <c r="F5" s="114" t="s">
        <v>2</v>
      </c>
      <c r="G5" s="115" t="s">
        <v>4</v>
      </c>
    </row>
    <row r="6" spans="2:11" x14ac:dyDescent="0.25">
      <c r="B6" s="109"/>
      <c r="C6" s="110"/>
      <c r="D6" s="110"/>
      <c r="E6" s="110"/>
      <c r="F6" s="111"/>
      <c r="G6" s="112"/>
    </row>
    <row r="7" spans="2:11" x14ac:dyDescent="0.25">
      <c r="B7" s="100" t="str">
        <f>LEFT('202E11200'!I1,3)</f>
        <v>202</v>
      </c>
      <c r="C7" s="89" t="str">
        <f>RIGHT('202E11200'!I1,5)</f>
        <v>11200</v>
      </c>
      <c r="D7" s="89" t="str">
        <f>'202E11200'!L38</f>
        <v>LS</v>
      </c>
      <c r="E7" s="89"/>
      <c r="F7" s="70" t="str">
        <f>'202E11200'!C5</f>
        <v>PORTIONS OF STRUCTURE REMOVED</v>
      </c>
      <c r="G7" s="101"/>
    </row>
    <row r="8" spans="2:11" x14ac:dyDescent="0.25">
      <c r="B8" s="100" t="str">
        <f>LEFT('304E20000'!I1,3)</f>
        <v>304</v>
      </c>
      <c r="C8" s="89" t="str">
        <f>RIGHT('304E20000'!I1,5)</f>
        <v>20000</v>
      </c>
      <c r="D8" s="72"/>
      <c r="E8" s="89" t="str">
        <f>'304E20000'!L5</f>
        <v>CY</v>
      </c>
      <c r="F8" s="70" t="str">
        <f>'304E20000'!C5</f>
        <v>AGGREGATE BASE</v>
      </c>
      <c r="G8" s="101"/>
    </row>
    <row r="9" spans="2:11" x14ac:dyDescent="0.25">
      <c r="B9" s="100" t="str">
        <f>LEFT('503E11100'!I1,3)</f>
        <v>503</v>
      </c>
      <c r="C9" s="89" t="str">
        <f>RIGHT('503E11100'!I1,5)</f>
        <v>11100</v>
      </c>
      <c r="D9" s="89" t="str">
        <f>'503E11100'!L38</f>
        <v>LS</v>
      </c>
      <c r="E9" s="89"/>
      <c r="F9" s="70" t="str">
        <f>'503E11100'!C5</f>
        <v>COFFERDAMS AND EXCAVATION BRACING</v>
      </c>
      <c r="G9" s="101"/>
    </row>
    <row r="10" spans="2:11" x14ac:dyDescent="0.25">
      <c r="B10" s="100" t="str">
        <f>LEFT('509E10000'!I1,3)</f>
        <v>509</v>
      </c>
      <c r="C10" s="89" t="str">
        <f>RIGHT('509E10000'!I1,5)</f>
        <v>10000</v>
      </c>
      <c r="D10" s="89"/>
      <c r="E10" s="89" t="str">
        <f>'509E10000'!L5</f>
        <v>LB</v>
      </c>
      <c r="F10" s="70" t="str">
        <f>'509E10000'!C5</f>
        <v>EPOXY COATED STEEL REINFORCEMENT</v>
      </c>
      <c r="G10" s="101"/>
    </row>
    <row r="11" spans="2:11" x14ac:dyDescent="0.25">
      <c r="B11" s="100" t="str">
        <f>LEFT('511E53010'!I1,3)</f>
        <v>511</v>
      </c>
      <c r="C11" s="89" t="str">
        <f>RIGHT('511E53010'!I1,5)</f>
        <v>53010</v>
      </c>
      <c r="D11" s="72"/>
      <c r="E11" s="89" t="str">
        <f>'511E53010'!L5</f>
        <v>CY</v>
      </c>
      <c r="F11" s="70" t="str">
        <f>'511E53010'!C5</f>
        <v>CLASS QC1 CONCRETE, MISC.: CONCRETE SLAB ON GRADE</v>
      </c>
      <c r="G11" s="101"/>
    </row>
    <row r="12" spans="2:11" x14ac:dyDescent="0.25">
      <c r="B12" s="100"/>
      <c r="C12" s="89"/>
      <c r="D12" s="72"/>
      <c r="E12" s="89"/>
      <c r="F12" s="70"/>
      <c r="G12" s="101"/>
    </row>
    <row r="13" spans="2:11" x14ac:dyDescent="0.25">
      <c r="B13" s="100" t="str">
        <f>LEFT('512E10100'!I1,3)</f>
        <v>512</v>
      </c>
      <c r="C13" s="89" t="str">
        <f>RIGHT('512E10100'!I1,5)</f>
        <v>10100</v>
      </c>
      <c r="D13" s="72"/>
      <c r="E13" s="89" t="str">
        <f>'512E10100'!L5</f>
        <v>SY</v>
      </c>
      <c r="F13" s="70" t="str">
        <f>'512E10100'!C5</f>
        <v>SEALING OF CONCRETE SURFACES (EPOXY-URETHANE)</v>
      </c>
      <c r="G13" s="101"/>
    </row>
    <row r="14" spans="2:11" x14ac:dyDescent="0.25">
      <c r="B14" s="100" t="str">
        <f>LEFT('518E21200'!I1,3)</f>
        <v>518</v>
      </c>
      <c r="C14" s="89" t="str">
        <f>RIGHT('518E21200'!I1,5)</f>
        <v>21200</v>
      </c>
      <c r="D14" s="72"/>
      <c r="E14" s="89" t="str">
        <f>'518E21200'!L5</f>
        <v>CY</v>
      </c>
      <c r="F14" s="70" t="str">
        <f>'518E21200'!C5</f>
        <v>POROUS BACKFILL WITH GEOTEXTILE FABRIC</v>
      </c>
      <c r="G14" s="101"/>
    </row>
    <row r="15" spans="2:11" x14ac:dyDescent="0.25">
      <c r="B15" s="100" t="str">
        <f>LEFT('530E00200'!C5,7)</f>
        <v>SPECIAL</v>
      </c>
      <c r="C15" s="71" t="str">
        <f>'530E00200'!I1</f>
        <v>530E00200</v>
      </c>
      <c r="D15" s="72" t="str">
        <f>'530E00200'!L38</f>
        <v>LS</v>
      </c>
      <c r="E15" s="89"/>
      <c r="F15" s="70" t="str">
        <f>RIGHT('530E00200'!C5,97)</f>
        <v>STRUCTURES: REMOVAL, SURFACE PREPARATION, PAINTING AND REINSTALLATION OF METAL STAIRS AND RAILING</v>
      </c>
      <c r="G15" s="101"/>
    </row>
    <row r="16" spans="2:11" hidden="1" x14ac:dyDescent="0.25">
      <c r="B16" s="100" t="str">
        <f>LEFT('530E50030'!C5,7)</f>
        <v>SPECIAL</v>
      </c>
      <c r="C16" s="71" t="str">
        <f>'530E50030'!I1</f>
        <v>530E50030</v>
      </c>
      <c r="D16" s="72" t="str">
        <f>'530E50030'!L38</f>
        <v>LS</v>
      </c>
      <c r="E16" s="89"/>
      <c r="F16" s="70" t="str">
        <f>RIGHT('530E50030'!C5,47)</f>
        <v>RETAINING WALL: 10"x10" PRESSURE TREATED TIMBER</v>
      </c>
      <c r="G16" s="101"/>
    </row>
    <row r="17" spans="2:7" x14ac:dyDescent="0.25">
      <c r="B17" s="100"/>
      <c r="C17" s="71"/>
      <c r="D17" s="72"/>
      <c r="E17" s="89"/>
      <c r="F17" s="70"/>
      <c r="G17" s="101"/>
    </row>
    <row r="18" spans="2:7" x14ac:dyDescent="0.25">
      <c r="B18" s="102" t="str">
        <f>LEFT('870E10001'!I1,3)</f>
        <v>870</v>
      </c>
      <c r="C18" s="71" t="str">
        <f>RIGHT('870E10001'!I1,5)</f>
        <v>10001</v>
      </c>
      <c r="D18" s="72"/>
      <c r="E18" s="89" t="str">
        <f>'870E10001'!L5</f>
        <v>SF</v>
      </c>
      <c r="F18" s="70" t="str">
        <f>'870E10001'!C5</f>
        <v>PREFABRICATED MODULAR RETAINING WALL, AS PER PLAN</v>
      </c>
      <c r="G18" s="103" t="s">
        <v>92</v>
      </c>
    </row>
    <row r="19" spans="2:7" x14ac:dyDescent="0.25">
      <c r="B19" s="100" t="str">
        <f>LEFT('870E11000'!I1,3)</f>
        <v>870</v>
      </c>
      <c r="C19" s="89" t="str">
        <f>RIGHT('870E11000'!I1,5)</f>
        <v>11000</v>
      </c>
      <c r="D19" s="72"/>
      <c r="E19" s="89" t="str">
        <f>'870E11000'!L5</f>
        <v>CY</v>
      </c>
      <c r="F19" s="70" t="str">
        <f>'870E11000'!C5</f>
        <v>WALL EXCAVATION</v>
      </c>
      <c r="G19" s="101"/>
    </row>
    <row r="20" spans="2:7" x14ac:dyDescent="0.25">
      <c r="B20" s="100" t="str">
        <f>LEFT('870E11100'!I1,3)</f>
        <v>870</v>
      </c>
      <c r="C20" s="89" t="str">
        <f>RIGHT('870E11100'!I1,5)</f>
        <v>11100</v>
      </c>
      <c r="D20" s="72"/>
      <c r="E20" s="89" t="str">
        <f>'870E11100'!L5</f>
        <v>CY</v>
      </c>
      <c r="F20" s="70" t="str">
        <f>'870E11100'!C5</f>
        <v>NATURAL SOIL</v>
      </c>
      <c r="G20" s="101"/>
    </row>
    <row r="21" spans="2:7" x14ac:dyDescent="0.25">
      <c r="B21" s="100" t="str">
        <f>LEFT('870E12000'!I1,3)</f>
        <v>870</v>
      </c>
      <c r="C21" s="89" t="str">
        <f>RIGHT('870E12000'!I1,5)</f>
        <v>12000</v>
      </c>
      <c r="D21" s="72"/>
      <c r="E21" s="89" t="str">
        <f>'870E12000'!L5</f>
        <v>FT</v>
      </c>
      <c r="F21" s="70" t="str">
        <f>'870E12000'!C5</f>
        <v>6" DRAINAGE PIPE, PERFORATED</v>
      </c>
      <c r="G21" s="101"/>
    </row>
    <row r="22" spans="2:7" x14ac:dyDescent="0.25">
      <c r="B22" s="100"/>
      <c r="C22" s="89"/>
      <c r="D22" s="72"/>
      <c r="E22" s="89"/>
      <c r="F22" s="70"/>
      <c r="G22" s="101"/>
    </row>
    <row r="23" spans="2:7" x14ac:dyDescent="0.25">
      <c r="B23" s="100" t="str">
        <f>LEFT('870E12100'!I1,3)</f>
        <v>870</v>
      </c>
      <c r="C23" s="89" t="str">
        <f>RIGHT('870E12100'!I1,5)</f>
        <v>12100</v>
      </c>
      <c r="D23" s="72"/>
      <c r="E23" s="89" t="str">
        <f>'870E12100'!L5</f>
        <v>FT</v>
      </c>
      <c r="F23" s="70" t="str">
        <f>'870E12100'!C5</f>
        <v>6" DRAINAGE PIPE, NON-PERFORATED</v>
      </c>
      <c r="G23" s="101"/>
    </row>
    <row r="24" spans="2:7" x14ac:dyDescent="0.25">
      <c r="B24" s="100" t="str">
        <f>LEFT('870E14000'!I1,3)</f>
        <v>870</v>
      </c>
      <c r="C24" s="89" t="str">
        <f>RIGHT('870E14000'!I1,5)</f>
        <v>14000</v>
      </c>
      <c r="D24" s="72"/>
      <c r="E24" s="89" t="str">
        <f>'870E14000'!L5</f>
        <v>DAY</v>
      </c>
      <c r="F24" s="70" t="str">
        <f>'870E14000'!C5</f>
        <v>ON-SITE ASSISTANCE</v>
      </c>
      <c r="G24" s="101"/>
    </row>
    <row r="25" spans="2:7" x14ac:dyDescent="0.25">
      <c r="B25" s="100" t="str">
        <f>LEFT('878E25000'!I1,3)</f>
        <v>878</v>
      </c>
      <c r="C25" s="89" t="str">
        <f>RIGHT('878E25000'!I1,5)</f>
        <v>25000</v>
      </c>
      <c r="D25" s="72" t="str">
        <f>'878E25000'!L5</f>
        <v>LS</v>
      </c>
      <c r="E25" s="89"/>
      <c r="F25" s="70" t="str">
        <f>'878E25000'!C5</f>
        <v>INSPECTION AND COMPACTION TESTING OF UNBOUND MATERIALS</v>
      </c>
      <c r="G25" s="101"/>
    </row>
    <row r="26" spans="2:7" ht="15.75" thickBot="1" x14ac:dyDescent="0.3">
      <c r="B26" s="104"/>
      <c r="C26" s="105"/>
      <c r="D26" s="106"/>
      <c r="E26" s="105"/>
      <c r="F26" s="107"/>
      <c r="G26" s="108"/>
    </row>
  </sheetData>
  <mergeCells count="3">
    <mergeCell ref="B2:F2"/>
    <mergeCell ref="B3:F3"/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76"/>
  <sheetViews>
    <sheetView view="pageBreakPreview" zoomScaleNormal="100" zoomScaleSheetLayoutView="100" workbookViewId="0">
      <selection activeCell="I41" sqref="I41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49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'516E13200'!I2:J2+1</f>
        <v>8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50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20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64" t="s">
        <v>93</v>
      </c>
      <c r="D10" s="1"/>
      <c r="E10" s="64"/>
      <c r="F10" s="28"/>
      <c r="G10" s="65"/>
      <c r="H10" s="65"/>
      <c r="I10" s="29"/>
      <c r="J10" s="56"/>
      <c r="K10" s="63"/>
      <c r="L10" s="61"/>
      <c r="Q10" s="35"/>
    </row>
    <row r="11" spans="1:19" x14ac:dyDescent="0.25">
      <c r="A11" s="66"/>
      <c r="B11" s="59"/>
      <c r="C11" s="59"/>
      <c r="D11" s="78" t="s">
        <v>37</v>
      </c>
      <c r="E11" s="1">
        <f>(10.5-1)*2</f>
        <v>19</v>
      </c>
      <c r="F11" s="64" t="s">
        <v>25</v>
      </c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59"/>
      <c r="C12" s="75"/>
      <c r="D12" s="78" t="s">
        <v>26</v>
      </c>
      <c r="E12" s="1">
        <f>4+24+6</f>
        <v>34</v>
      </c>
      <c r="F12" s="64" t="s">
        <v>5</v>
      </c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75"/>
      <c r="D13" s="1"/>
      <c r="E13" s="28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1" t="s">
        <v>52</v>
      </c>
      <c r="E14" s="1">
        <f>E11*E12</f>
        <v>646</v>
      </c>
      <c r="F14" s="64" t="s">
        <v>23</v>
      </c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57"/>
      <c r="B16" s="65"/>
      <c r="C16" s="64" t="s">
        <v>94</v>
      </c>
      <c r="D16" s="1"/>
      <c r="E16" s="28"/>
      <c r="F16" s="28"/>
      <c r="G16" s="65"/>
      <c r="H16" s="65"/>
      <c r="I16" s="48"/>
      <c r="J16" s="56"/>
      <c r="K16" s="46"/>
      <c r="L16" s="33"/>
    </row>
    <row r="17" spans="1:19" x14ac:dyDescent="0.25">
      <c r="A17" s="31"/>
      <c r="B17" s="65"/>
      <c r="C17" s="59"/>
      <c r="D17" s="78" t="s">
        <v>37</v>
      </c>
      <c r="E17" s="1">
        <f>(7.5-1)*2</f>
        <v>13</v>
      </c>
      <c r="F17" s="64" t="s">
        <v>25</v>
      </c>
      <c r="G17" s="65"/>
      <c r="H17" s="65"/>
      <c r="I17" s="48"/>
      <c r="J17" s="56"/>
      <c r="K17" s="46"/>
      <c r="L17" s="61"/>
    </row>
    <row r="18" spans="1:19" x14ac:dyDescent="0.25">
      <c r="A18" s="31"/>
      <c r="B18" s="65"/>
      <c r="C18" s="75"/>
      <c r="D18" s="78" t="s">
        <v>26</v>
      </c>
      <c r="E18" s="1">
        <v>10</v>
      </c>
      <c r="F18" s="64" t="s">
        <v>5</v>
      </c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75"/>
      <c r="D19" s="1"/>
      <c r="E19" s="28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59"/>
      <c r="D20" s="1" t="s">
        <v>52</v>
      </c>
      <c r="E20" s="1">
        <f>E17*E18</f>
        <v>130</v>
      </c>
      <c r="F20" s="64" t="s">
        <v>23</v>
      </c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28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4" t="s">
        <v>95</v>
      </c>
      <c r="D22" s="1"/>
      <c r="E22" s="28"/>
      <c r="F22" s="28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59"/>
      <c r="D23" s="78" t="s">
        <v>63</v>
      </c>
      <c r="E23" s="1">
        <f>2*(9-1)*2+14*(10.5-1)*2+2*(9-1)*2+2*(7.5-1)*2+2*(6-1)*2</f>
        <v>376</v>
      </c>
      <c r="F23" s="64" t="s">
        <v>23</v>
      </c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75"/>
      <c r="D24" s="1"/>
      <c r="E24" s="28"/>
      <c r="F24" s="28"/>
      <c r="G24" s="28"/>
      <c r="H24" s="28"/>
      <c r="I24" s="29"/>
      <c r="J24" s="56"/>
      <c r="K24" s="46"/>
      <c r="L24" s="61"/>
    </row>
    <row r="25" spans="1:19" x14ac:dyDescent="0.25">
      <c r="A25" s="31"/>
      <c r="B25" s="65"/>
      <c r="C25" s="59"/>
      <c r="D25" s="1" t="s">
        <v>52</v>
      </c>
      <c r="E25" s="1">
        <f>E23</f>
        <v>376</v>
      </c>
      <c r="F25" s="64" t="s">
        <v>23</v>
      </c>
      <c r="G25" s="65"/>
      <c r="H25" s="65"/>
      <c r="I25" s="48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2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81" t="s">
        <v>102</v>
      </c>
      <c r="E27" s="1">
        <f>E14+E20+E25</f>
        <v>1152</v>
      </c>
      <c r="F27" s="64" t="s">
        <v>23</v>
      </c>
      <c r="G27" s="28"/>
      <c r="H27" s="49"/>
      <c r="I27" s="28"/>
      <c r="J27" s="56"/>
      <c r="K27" s="62"/>
      <c r="L27" s="61"/>
    </row>
    <row r="28" spans="1:19" x14ac:dyDescent="0.25">
      <c r="A28" s="31"/>
      <c r="B28" s="65"/>
      <c r="C28" s="65"/>
      <c r="D28" s="116" t="s">
        <v>102</v>
      </c>
      <c r="E28" s="117">
        <f>E27/27</f>
        <v>42.666666666666664</v>
      </c>
      <c r="F28" s="65" t="s">
        <v>20</v>
      </c>
      <c r="G28" s="50"/>
      <c r="H28" s="50"/>
      <c r="I28" s="34"/>
      <c r="J28" s="56"/>
      <c r="K28" s="62">
        <f>E28</f>
        <v>42.666666666666664</v>
      </c>
      <c r="L28" s="33"/>
    </row>
    <row r="29" spans="1:19" x14ac:dyDescent="0.25">
      <c r="A29" s="31"/>
      <c r="B29" s="65"/>
      <c r="C29" s="65"/>
      <c r="D29" s="65"/>
      <c r="E29" s="79"/>
      <c r="F29" s="1"/>
      <c r="G29" s="28"/>
      <c r="H29" s="28"/>
      <c r="I29" s="29"/>
      <c r="J29" s="56"/>
      <c r="K29" s="63"/>
      <c r="L29" s="33"/>
    </row>
    <row r="30" spans="1:19" x14ac:dyDescent="0.25">
      <c r="A30" s="31"/>
      <c r="B30" s="65"/>
      <c r="C30" s="65"/>
      <c r="D30" s="65"/>
      <c r="E30" s="65"/>
      <c r="F30" s="65"/>
      <c r="G30" s="65"/>
      <c r="H30" s="65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59"/>
      <c r="F31" s="65"/>
      <c r="G31" s="59"/>
      <c r="H31" s="29"/>
      <c r="I31" s="29"/>
      <c r="J31" s="56"/>
      <c r="K31" s="62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42.666666666666664</v>
      </c>
      <c r="L38" s="43"/>
    </row>
    <row r="39" spans="1:12" ht="18.75" x14ac:dyDescent="0.4">
      <c r="A39" s="3" t="s">
        <v>6</v>
      </c>
      <c r="B39" s="4"/>
      <c r="C39" s="5"/>
      <c r="D39" s="6" t="s">
        <v>7</v>
      </c>
      <c r="E39" s="7" t="s">
        <v>8</v>
      </c>
      <c r="F39" s="6" t="s">
        <v>9</v>
      </c>
      <c r="G39" s="8">
        <v>45107</v>
      </c>
      <c r="H39" s="6" t="s">
        <v>10</v>
      </c>
      <c r="I39" s="149" t="s">
        <v>49</v>
      </c>
      <c r="J39" s="150"/>
      <c r="K39" s="5"/>
      <c r="L39" s="9"/>
    </row>
    <row r="40" spans="1:12" ht="18.75" x14ac:dyDescent="0.4">
      <c r="A40" s="10" t="s">
        <v>11</v>
      </c>
      <c r="B40" s="11"/>
      <c r="D40" s="12" t="s">
        <v>12</v>
      </c>
      <c r="E40" s="13" t="str">
        <f>E2</f>
        <v>WER</v>
      </c>
      <c r="F40" s="12" t="s">
        <v>9</v>
      </c>
      <c r="G40" s="14">
        <f>G2</f>
        <v>45134</v>
      </c>
      <c r="H40" s="15" t="s">
        <v>13</v>
      </c>
      <c r="I40" s="151">
        <f>I2+1</f>
        <v>9</v>
      </c>
      <c r="J40" s="152"/>
      <c r="L40" s="16"/>
    </row>
    <row r="41" spans="1:12" x14ac:dyDescent="0.25">
      <c r="A41" s="17"/>
      <c r="L41" s="16"/>
    </row>
    <row r="42" spans="1:12" x14ac:dyDescent="0.25">
      <c r="A42" s="18" t="s">
        <v>14</v>
      </c>
      <c r="B42" s="19"/>
      <c r="C42" s="153">
        <v>108774</v>
      </c>
      <c r="D42" s="153"/>
      <c r="E42" s="20" t="s">
        <v>15</v>
      </c>
      <c r="F42" s="154" t="s">
        <v>29</v>
      </c>
      <c r="G42" s="154"/>
      <c r="H42" s="20" t="s">
        <v>16</v>
      </c>
      <c r="I42" s="155" t="s">
        <v>51</v>
      </c>
      <c r="J42" s="155"/>
      <c r="K42" s="155"/>
      <c r="L42" s="156"/>
    </row>
    <row r="43" spans="1:12" x14ac:dyDescent="0.25">
      <c r="A43" s="18" t="s">
        <v>17</v>
      </c>
      <c r="B43" s="19"/>
      <c r="C43" s="147" t="s">
        <v>50</v>
      </c>
      <c r="D43" s="148"/>
      <c r="E43" s="148"/>
      <c r="F43" s="148"/>
      <c r="G43" s="148"/>
      <c r="H43" s="148"/>
      <c r="I43" s="148"/>
      <c r="J43" s="148"/>
      <c r="K43" s="19" t="s">
        <v>18</v>
      </c>
      <c r="L43" s="21" t="s">
        <v>20</v>
      </c>
    </row>
    <row r="44" spans="1:12" ht="15.75" thickBot="1" x14ac:dyDescent="0.3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</row>
    <row r="45" spans="1:12" ht="15.75" thickBot="1" x14ac:dyDescent="0.3">
      <c r="A45" s="140" t="s">
        <v>2</v>
      </c>
      <c r="B45" s="141"/>
      <c r="C45" s="141"/>
      <c r="D45" s="141"/>
      <c r="E45" s="141"/>
      <c r="F45" s="141"/>
      <c r="G45" s="141"/>
      <c r="H45" s="141"/>
      <c r="I45" s="141"/>
      <c r="J45" s="142"/>
      <c r="K45" s="25" t="s">
        <v>19</v>
      </c>
      <c r="L45" s="26" t="s">
        <v>3</v>
      </c>
    </row>
    <row r="46" spans="1:12" x14ac:dyDescent="0.25">
      <c r="A46" s="51"/>
      <c r="B46" s="27"/>
      <c r="C46" s="52"/>
      <c r="D46" s="53"/>
      <c r="E46" s="27"/>
      <c r="F46" s="27"/>
      <c r="G46" s="27"/>
      <c r="H46" s="27"/>
      <c r="I46" s="54"/>
      <c r="J46" s="55"/>
      <c r="K46" s="45"/>
      <c r="L46" s="30"/>
    </row>
    <row r="47" spans="1:12" x14ac:dyDescent="0.25">
      <c r="A47" s="66"/>
      <c r="B47" s="64" t="s">
        <v>59</v>
      </c>
      <c r="C47" s="28"/>
      <c r="D47" s="65"/>
      <c r="E47" s="59"/>
      <c r="F47" s="28"/>
      <c r="G47" s="28"/>
      <c r="H47" s="28"/>
      <c r="I47" s="29"/>
      <c r="J47" s="56"/>
      <c r="K47" s="63"/>
      <c r="L47" s="61"/>
    </row>
    <row r="48" spans="1:12" x14ac:dyDescent="0.25">
      <c r="A48" s="66"/>
      <c r="B48" s="64"/>
      <c r="C48" s="64" t="s">
        <v>97</v>
      </c>
      <c r="D48" s="1"/>
      <c r="E48" s="64"/>
      <c r="F48" s="28"/>
      <c r="G48" s="65"/>
      <c r="H48" s="65"/>
      <c r="I48" s="29"/>
      <c r="J48" s="56"/>
      <c r="K48" s="63"/>
      <c r="L48" s="61"/>
    </row>
    <row r="49" spans="1:12" x14ac:dyDescent="0.25">
      <c r="A49" s="66"/>
      <c r="B49" s="59"/>
      <c r="C49" s="59"/>
      <c r="D49" s="78" t="s">
        <v>37</v>
      </c>
      <c r="E49" s="1">
        <f>(10.5-10/12)*2</f>
        <v>19.333333333333332</v>
      </c>
      <c r="F49" s="64" t="s">
        <v>25</v>
      </c>
      <c r="G49" s="65"/>
      <c r="H49" s="65"/>
      <c r="I49" s="29"/>
      <c r="J49" s="56"/>
      <c r="K49" s="62"/>
      <c r="L49" s="61"/>
    </row>
    <row r="50" spans="1:12" x14ac:dyDescent="0.25">
      <c r="A50" s="66"/>
      <c r="B50" s="59"/>
      <c r="C50" s="75"/>
      <c r="D50" s="78" t="s">
        <v>26</v>
      </c>
      <c r="E50" s="1">
        <f>12-28/12</f>
        <v>9.6666666666666661</v>
      </c>
      <c r="F50" s="64" t="s">
        <v>5</v>
      </c>
      <c r="G50" s="65"/>
      <c r="H50" s="65"/>
      <c r="I50" s="29"/>
      <c r="J50" s="56"/>
      <c r="K50" s="62"/>
      <c r="L50" s="61"/>
    </row>
    <row r="51" spans="1:12" x14ac:dyDescent="0.25">
      <c r="A51" s="66"/>
      <c r="B51" s="59"/>
      <c r="C51" s="75"/>
      <c r="D51" s="1"/>
      <c r="E51" s="28"/>
      <c r="F51" s="28"/>
      <c r="G51" s="59"/>
      <c r="H51" s="29"/>
      <c r="I51" s="29"/>
      <c r="J51" s="56"/>
      <c r="K51" s="62"/>
      <c r="L51" s="61"/>
    </row>
    <row r="52" spans="1:12" x14ac:dyDescent="0.25">
      <c r="A52" s="31"/>
      <c r="B52" s="65"/>
      <c r="C52" s="59"/>
      <c r="D52" s="1" t="s">
        <v>52</v>
      </c>
      <c r="E52" s="1">
        <f>E49*E50</f>
        <v>186.88888888888886</v>
      </c>
      <c r="F52" s="64" t="s">
        <v>23</v>
      </c>
      <c r="G52" s="65"/>
      <c r="H52" s="65"/>
      <c r="I52" s="29"/>
      <c r="J52" s="56"/>
      <c r="K52" s="62"/>
      <c r="L52" s="61"/>
    </row>
    <row r="53" spans="1:12" x14ac:dyDescent="0.25">
      <c r="A53" s="66"/>
      <c r="B53" s="65"/>
      <c r="C53" s="32"/>
      <c r="D53" s="73"/>
      <c r="E53" s="28"/>
      <c r="F53" s="28"/>
      <c r="G53" s="28"/>
      <c r="H53" s="28"/>
      <c r="I53" s="29"/>
      <c r="J53" s="56"/>
      <c r="K53" s="46"/>
      <c r="L53" s="33"/>
    </row>
    <row r="54" spans="1:12" x14ac:dyDescent="0.25">
      <c r="A54" s="57"/>
      <c r="B54" s="65"/>
      <c r="C54" s="64" t="s">
        <v>100</v>
      </c>
      <c r="D54" s="1"/>
      <c r="E54" s="28"/>
      <c r="F54" s="28"/>
      <c r="G54" s="65"/>
      <c r="H54" s="65"/>
      <c r="I54" s="48"/>
      <c r="J54" s="56"/>
      <c r="K54" s="46"/>
      <c r="L54" s="33"/>
    </row>
    <row r="55" spans="1:12" x14ac:dyDescent="0.25">
      <c r="A55" s="31"/>
      <c r="B55" s="65"/>
      <c r="C55" s="59"/>
      <c r="D55" s="78" t="s">
        <v>37</v>
      </c>
      <c r="E55" s="1">
        <f>(7.5-0.5)*2</f>
        <v>14</v>
      </c>
      <c r="F55" s="64" t="s">
        <v>25</v>
      </c>
      <c r="G55" s="65"/>
      <c r="H55" s="65"/>
      <c r="I55" s="48"/>
      <c r="J55" s="56"/>
      <c r="K55" s="46"/>
      <c r="L55" s="61"/>
    </row>
    <row r="56" spans="1:12" x14ac:dyDescent="0.25">
      <c r="A56" s="31"/>
      <c r="B56" s="65"/>
      <c r="C56" s="75"/>
      <c r="D56" s="78" t="s">
        <v>26</v>
      </c>
      <c r="E56" s="1">
        <f>7-28/12</f>
        <v>4.6666666666666661</v>
      </c>
      <c r="F56" s="64" t="s">
        <v>5</v>
      </c>
      <c r="G56" s="28"/>
      <c r="H56" s="49"/>
      <c r="I56" s="28"/>
      <c r="J56" s="56"/>
      <c r="K56" s="62"/>
      <c r="L56" s="61"/>
    </row>
    <row r="57" spans="1:12" x14ac:dyDescent="0.25">
      <c r="A57" s="66"/>
      <c r="B57" s="65"/>
      <c r="C57" s="75"/>
      <c r="D57" s="1"/>
      <c r="E57" s="28"/>
      <c r="F57" s="28"/>
      <c r="G57" s="50"/>
      <c r="H57" s="50"/>
      <c r="I57" s="34"/>
      <c r="J57" s="56"/>
      <c r="K57" s="63"/>
      <c r="L57" s="61"/>
    </row>
    <row r="58" spans="1:12" x14ac:dyDescent="0.25">
      <c r="A58" s="66"/>
      <c r="B58" s="65"/>
      <c r="C58" s="59"/>
      <c r="D58" s="1" t="s">
        <v>52</v>
      </c>
      <c r="E58" s="1">
        <f>E55*E56</f>
        <v>65.333333333333329</v>
      </c>
      <c r="F58" s="64" t="s">
        <v>23</v>
      </c>
      <c r="G58" s="28"/>
      <c r="H58" s="28"/>
      <c r="I58" s="29"/>
      <c r="J58" s="56"/>
      <c r="K58" s="63"/>
      <c r="L58" s="61"/>
    </row>
    <row r="59" spans="1:12" x14ac:dyDescent="0.25">
      <c r="A59" s="31"/>
      <c r="B59" s="65"/>
      <c r="C59" s="65"/>
      <c r="D59" s="65"/>
      <c r="E59" s="28"/>
      <c r="F59" s="28"/>
      <c r="G59" s="65"/>
      <c r="H59" s="65"/>
      <c r="I59" s="29"/>
      <c r="J59" s="56"/>
      <c r="K59" s="63"/>
      <c r="L59" s="61"/>
    </row>
    <row r="60" spans="1:12" x14ac:dyDescent="0.25">
      <c r="A60" s="31"/>
      <c r="B60" s="65"/>
      <c r="C60" s="64" t="s">
        <v>101</v>
      </c>
      <c r="D60" s="1"/>
      <c r="E60" s="28"/>
      <c r="F60" s="28"/>
      <c r="G60" s="59"/>
      <c r="H60" s="29"/>
      <c r="I60" s="29"/>
      <c r="J60" s="56"/>
      <c r="K60" s="62"/>
      <c r="L60" s="61"/>
    </row>
    <row r="61" spans="1:12" x14ac:dyDescent="0.25">
      <c r="A61" s="31"/>
      <c r="B61" s="65"/>
      <c r="C61" s="59"/>
      <c r="D61" s="78" t="s">
        <v>37</v>
      </c>
      <c r="E61" s="1">
        <f>(9-10/12)*2</f>
        <v>16.333333333333332</v>
      </c>
      <c r="F61" s="64" t="s">
        <v>25</v>
      </c>
      <c r="G61" s="59"/>
      <c r="H61" s="29"/>
      <c r="I61" s="29"/>
      <c r="J61" s="56"/>
      <c r="K61" s="62"/>
      <c r="L61" s="61"/>
    </row>
    <row r="62" spans="1:12" x14ac:dyDescent="0.25">
      <c r="A62" s="31"/>
      <c r="B62" s="65"/>
      <c r="C62" s="75"/>
      <c r="D62" s="78" t="s">
        <v>26</v>
      </c>
      <c r="E62" s="1">
        <f>18+4/12-28/12</f>
        <v>15.999999999999998</v>
      </c>
      <c r="F62" s="64" t="s">
        <v>5</v>
      </c>
      <c r="G62" s="28"/>
      <c r="H62" s="28"/>
      <c r="I62" s="29"/>
      <c r="J62" s="56"/>
      <c r="K62" s="46"/>
      <c r="L62" s="61"/>
    </row>
    <row r="63" spans="1:12" x14ac:dyDescent="0.25">
      <c r="A63" s="31"/>
      <c r="B63" s="65"/>
      <c r="C63" s="59"/>
      <c r="D63" s="1"/>
      <c r="E63" s="28"/>
      <c r="F63" s="28"/>
      <c r="G63" s="65"/>
      <c r="H63" s="65"/>
      <c r="I63" s="48"/>
      <c r="J63" s="56"/>
      <c r="K63" s="46"/>
      <c r="L63" s="61"/>
    </row>
    <row r="64" spans="1:12" x14ac:dyDescent="0.25">
      <c r="A64" s="31"/>
      <c r="B64" s="65"/>
      <c r="C64" s="65"/>
      <c r="D64" s="1" t="s">
        <v>52</v>
      </c>
      <c r="E64" s="1">
        <f>E61*E62</f>
        <v>261.33333333333326</v>
      </c>
      <c r="F64" s="64" t="s">
        <v>23</v>
      </c>
      <c r="G64" s="65"/>
      <c r="H64" s="65"/>
      <c r="I64" s="48"/>
      <c r="J64" s="56"/>
      <c r="K64" s="46"/>
      <c r="L64" s="61"/>
    </row>
    <row r="65" spans="1:12" x14ac:dyDescent="0.25">
      <c r="A65" s="31"/>
      <c r="B65" s="65"/>
      <c r="C65" s="65"/>
      <c r="D65" s="1"/>
      <c r="E65" s="1"/>
      <c r="F65" s="64"/>
      <c r="G65" s="28"/>
      <c r="H65" s="49"/>
      <c r="I65" s="28"/>
      <c r="J65" s="56"/>
      <c r="K65" s="62"/>
      <c r="L65" s="61"/>
    </row>
    <row r="66" spans="1:12" x14ac:dyDescent="0.25">
      <c r="A66" s="31"/>
      <c r="B66" s="65"/>
      <c r="C66" s="64" t="s">
        <v>99</v>
      </c>
      <c r="D66" s="1"/>
      <c r="E66" s="28"/>
      <c r="F66" s="28"/>
      <c r="G66" s="50"/>
      <c r="H66" s="50"/>
      <c r="I66" s="34"/>
      <c r="J66" s="56"/>
      <c r="K66" s="62"/>
      <c r="L66" s="33"/>
    </row>
    <row r="67" spans="1:12" x14ac:dyDescent="0.25">
      <c r="A67" s="31"/>
      <c r="B67" s="65"/>
      <c r="C67" s="59"/>
      <c r="D67" s="78" t="s">
        <v>37</v>
      </c>
      <c r="E67" s="1">
        <f>(7.5-10/12)*2</f>
        <v>13.333333333333334</v>
      </c>
      <c r="F67" s="64" t="s">
        <v>25</v>
      </c>
      <c r="G67" s="28"/>
      <c r="H67" s="28"/>
      <c r="I67" s="29"/>
      <c r="J67" s="56"/>
      <c r="K67" s="63"/>
      <c r="L67" s="33"/>
    </row>
    <row r="68" spans="1:12" x14ac:dyDescent="0.25">
      <c r="A68" s="31"/>
      <c r="B68" s="65"/>
      <c r="C68" s="75"/>
      <c r="D68" s="78" t="s">
        <v>26</v>
      </c>
      <c r="E68" s="1">
        <f>5-28/12</f>
        <v>2.6666666666666665</v>
      </c>
      <c r="F68" s="64" t="s">
        <v>5</v>
      </c>
      <c r="G68" s="65"/>
      <c r="H68" s="65"/>
      <c r="I68" s="29"/>
      <c r="J68" s="56"/>
      <c r="K68" s="63"/>
      <c r="L68" s="33"/>
    </row>
    <row r="69" spans="1:12" x14ac:dyDescent="0.25">
      <c r="A69" s="31"/>
      <c r="B69" s="65"/>
      <c r="C69" s="59"/>
      <c r="D69" s="1"/>
      <c r="E69" s="28"/>
      <c r="F69" s="28"/>
      <c r="G69" s="59"/>
      <c r="H69" s="29"/>
      <c r="I69" s="29"/>
      <c r="J69" s="56"/>
      <c r="K69" s="62"/>
      <c r="L69" s="33"/>
    </row>
    <row r="70" spans="1:12" x14ac:dyDescent="0.25">
      <c r="A70" s="31"/>
      <c r="B70" s="65"/>
      <c r="C70" s="65"/>
      <c r="D70" s="1" t="s">
        <v>52</v>
      </c>
      <c r="E70" s="1">
        <f>E67*E68</f>
        <v>35.555555555555557</v>
      </c>
      <c r="F70" s="64" t="s">
        <v>23</v>
      </c>
      <c r="G70" s="59"/>
      <c r="H70" s="29"/>
      <c r="I70" s="29"/>
      <c r="J70" s="56"/>
      <c r="K70" s="62"/>
      <c r="L70" s="33"/>
    </row>
    <row r="71" spans="1:12" x14ac:dyDescent="0.25">
      <c r="A71" s="31"/>
      <c r="B71" s="65"/>
      <c r="C71" s="65"/>
      <c r="D71" s="65"/>
      <c r="E71" s="65"/>
      <c r="F71" s="65"/>
      <c r="G71" s="65"/>
      <c r="H71" s="65"/>
      <c r="I71" s="29"/>
      <c r="J71" s="56"/>
      <c r="K71" s="62"/>
      <c r="L71" s="33"/>
    </row>
    <row r="72" spans="1:12" x14ac:dyDescent="0.25">
      <c r="A72" s="31"/>
      <c r="B72" s="65"/>
      <c r="C72" s="65"/>
      <c r="D72" s="81" t="s">
        <v>103</v>
      </c>
      <c r="E72" s="1">
        <f>E52+E58+E64+E70</f>
        <v>549.11111111111097</v>
      </c>
      <c r="F72" s="64" t="s">
        <v>23</v>
      </c>
      <c r="G72" s="65"/>
      <c r="H72" s="65"/>
      <c r="I72" s="29"/>
      <c r="J72" s="56"/>
      <c r="K72" s="62"/>
      <c r="L72" s="33"/>
    </row>
    <row r="73" spans="1:12" x14ac:dyDescent="0.25">
      <c r="A73" s="31"/>
      <c r="B73" s="65"/>
      <c r="C73" s="65"/>
      <c r="D73" s="116" t="s">
        <v>103</v>
      </c>
      <c r="E73" s="117">
        <f>E72/27</f>
        <v>20.337448559670776</v>
      </c>
      <c r="F73" s="65" t="s">
        <v>20</v>
      </c>
      <c r="G73" s="65"/>
      <c r="H73" s="65"/>
      <c r="I73" s="29"/>
      <c r="J73" s="56"/>
      <c r="K73" s="62">
        <f>E73</f>
        <v>20.337448559670776</v>
      </c>
      <c r="L73" s="33"/>
    </row>
    <row r="74" spans="1:12" x14ac:dyDescent="0.25">
      <c r="A74" s="31"/>
      <c r="B74" s="28"/>
      <c r="C74" s="28"/>
      <c r="D74" s="28"/>
      <c r="E74" s="44"/>
      <c r="F74" s="28"/>
      <c r="G74" s="28"/>
      <c r="H74" s="49"/>
      <c r="I74" s="29"/>
      <c r="J74" s="56"/>
      <c r="K74" s="62"/>
      <c r="L74" s="33"/>
    </row>
    <row r="75" spans="1:12" ht="15.75" thickBot="1" x14ac:dyDescent="0.3">
      <c r="A75" s="58"/>
      <c r="B75" s="37"/>
      <c r="C75" s="37"/>
      <c r="D75" s="37"/>
      <c r="E75" s="38"/>
      <c r="F75" s="38"/>
      <c r="G75" s="39"/>
      <c r="H75" s="37"/>
      <c r="I75" s="40"/>
      <c r="J75" s="41"/>
      <c r="K75" s="47"/>
      <c r="L75" s="36"/>
    </row>
    <row r="76" spans="1:12" ht="15.75" thickBot="1" x14ac:dyDescent="0.3">
      <c r="A76" s="137" t="s">
        <v>3</v>
      </c>
      <c r="B76" s="138"/>
      <c r="C76" s="138"/>
      <c r="D76" s="138"/>
      <c r="E76" s="138"/>
      <c r="F76" s="138"/>
      <c r="G76" s="138"/>
      <c r="H76" s="138"/>
      <c r="I76" s="138"/>
      <c r="J76" s="139"/>
      <c r="K76" s="42">
        <f>SUM(K46:K75)</f>
        <v>20.337448559670776</v>
      </c>
      <c r="L76" s="43">
        <f>K38+K76</f>
        <v>63.00411522633744</v>
      </c>
    </row>
  </sheetData>
  <mergeCells count="21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  <mergeCell ref="C43:J43"/>
    <mergeCell ref="A45:J45"/>
    <mergeCell ref="A76:J76"/>
    <mergeCell ref="I39:J39"/>
    <mergeCell ref="I40:J40"/>
    <mergeCell ref="C42:D42"/>
    <mergeCell ref="F42:G42"/>
    <mergeCell ref="I42:L42"/>
  </mergeCells>
  <pageMargins left="0.7" right="0.7" top="0.75" bottom="0.75" header="0.3" footer="0.3"/>
  <pageSetup scale="83" orientation="portrait" r:id="rId1"/>
  <rowBreaks count="1" manualBreakCount="1">
    <brk id="38" max="11" man="1"/>
  </rowBreaks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78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'518E21200'!I40:J40+1</f>
        <v>10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57" t="s">
        <v>79</v>
      </c>
      <c r="D5" s="157"/>
      <c r="E5" s="157"/>
      <c r="F5" s="157"/>
      <c r="G5" s="157"/>
      <c r="H5" s="157"/>
      <c r="I5" s="157"/>
      <c r="J5" s="157"/>
      <c r="K5" s="19" t="s">
        <v>18</v>
      </c>
      <c r="L5" s="21" t="s">
        <v>66</v>
      </c>
    </row>
    <row r="6" spans="1:19" ht="15.75" thickBot="1" x14ac:dyDescent="0.3">
      <c r="A6" s="22"/>
      <c r="B6" s="23"/>
      <c r="C6" s="158"/>
      <c r="D6" s="158"/>
      <c r="E6" s="158"/>
      <c r="F6" s="158"/>
      <c r="G6" s="158"/>
      <c r="H6" s="158"/>
      <c r="I6" s="158"/>
      <c r="J6" s="158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68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28"/>
      <c r="E10" s="64"/>
      <c r="F10" s="28"/>
      <c r="G10" s="65"/>
      <c r="H10" s="65"/>
      <c r="I10" s="29"/>
      <c r="J10" s="56"/>
      <c r="K10" s="62"/>
      <c r="L10" s="61"/>
      <c r="Q10" s="35"/>
    </row>
    <row r="11" spans="1:19" x14ac:dyDescent="0.25">
      <c r="A11" s="66"/>
      <c r="B11" s="59"/>
      <c r="C11" s="59"/>
      <c r="D11" s="28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/>
      <c r="C12" s="59"/>
      <c r="D12" s="28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59"/>
      <c r="D13" s="28"/>
      <c r="E13" s="64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28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0</v>
      </c>
      <c r="L38" s="43" t="s">
        <v>66</v>
      </c>
    </row>
  </sheetData>
  <mergeCells count="13">
    <mergeCell ref="I1:J1"/>
    <mergeCell ref="I2:J2"/>
    <mergeCell ref="C4:D4"/>
    <mergeCell ref="F4:G4"/>
    <mergeCell ref="I4:L4"/>
    <mergeCell ref="A38:J38"/>
    <mergeCell ref="C5:J6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27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'530E00200'!I2:J2+1</f>
        <v>11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30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25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 t="s">
        <v>54</v>
      </c>
      <c r="D10" s="1">
        <f>(4+24+6)*(1183-1172.5)</f>
        <v>357</v>
      </c>
      <c r="E10" s="64" t="s">
        <v>25</v>
      </c>
      <c r="F10" s="28"/>
      <c r="G10" s="65"/>
      <c r="H10" s="65"/>
      <c r="I10" s="29"/>
      <c r="J10" s="56"/>
      <c r="K10" s="63"/>
      <c r="L10" s="61"/>
      <c r="Q10" s="35"/>
    </row>
    <row r="11" spans="1:19" x14ac:dyDescent="0.25">
      <c r="A11" s="66"/>
      <c r="B11" s="59"/>
      <c r="C11" s="59" t="s">
        <v>55</v>
      </c>
      <c r="D11" s="1">
        <f>10*(1180-1172.5)</f>
        <v>75</v>
      </c>
      <c r="E11" s="64" t="s">
        <v>25</v>
      </c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59"/>
      <c r="C12" s="59" t="s">
        <v>56</v>
      </c>
      <c r="D12" s="1">
        <f>2*(1181.5-1172.5)+14*(1183-1172.5)+2*((1181.5-1172.5)+(1180-1172.5)+(1178.5-1172.5))</f>
        <v>210</v>
      </c>
      <c r="E12" s="64" t="s">
        <v>25</v>
      </c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28"/>
      <c r="D13" s="80"/>
      <c r="E13" s="59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123" t="s">
        <v>102</v>
      </c>
      <c r="D14" s="117">
        <f>SUM(D10:D12)</f>
        <v>642</v>
      </c>
      <c r="E14" s="124" t="s">
        <v>25</v>
      </c>
      <c r="F14" s="28"/>
      <c r="G14" s="65"/>
      <c r="H14" s="65"/>
      <c r="I14" s="29"/>
      <c r="J14" s="56"/>
      <c r="K14" s="62">
        <f>D14</f>
        <v>642</v>
      </c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4" t="s">
        <v>59</v>
      </c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59" t="s">
        <v>97</v>
      </c>
      <c r="D17" s="1">
        <f>12*10.5</f>
        <v>126</v>
      </c>
      <c r="E17" s="64" t="s">
        <v>25</v>
      </c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59" t="s">
        <v>100</v>
      </c>
      <c r="D18" s="1">
        <f>7*7.5</f>
        <v>52.5</v>
      </c>
      <c r="E18" s="64" t="s">
        <v>25</v>
      </c>
      <c r="F18" s="65"/>
      <c r="G18" s="28"/>
      <c r="H18" s="49"/>
      <c r="I18" s="28"/>
      <c r="J18" s="56"/>
      <c r="K18" s="62"/>
      <c r="L18" s="61"/>
    </row>
    <row r="19" spans="1:19" x14ac:dyDescent="0.25">
      <c r="A19" s="31"/>
      <c r="B19" s="65"/>
      <c r="C19" s="59" t="s">
        <v>101</v>
      </c>
      <c r="D19" s="1">
        <f>(18+4/12)*9</f>
        <v>165</v>
      </c>
      <c r="E19" s="64" t="s">
        <v>25</v>
      </c>
      <c r="F19" s="65"/>
      <c r="G19" s="28"/>
      <c r="H19" s="49"/>
      <c r="I19" s="28"/>
      <c r="J19" s="56"/>
      <c r="K19" s="62"/>
      <c r="L19" s="61"/>
    </row>
    <row r="20" spans="1:19" x14ac:dyDescent="0.25">
      <c r="A20" s="31"/>
      <c r="B20" s="65"/>
      <c r="C20" s="59" t="s">
        <v>99</v>
      </c>
      <c r="D20" s="1">
        <f>5*7.5</f>
        <v>37.5</v>
      </c>
      <c r="E20" s="64" t="s">
        <v>25</v>
      </c>
      <c r="F20" s="65"/>
      <c r="G20" s="28"/>
      <c r="H20" s="49"/>
      <c r="I20" s="28"/>
      <c r="J20" s="56"/>
      <c r="K20" s="62"/>
      <c r="L20" s="61"/>
    </row>
    <row r="21" spans="1:19" x14ac:dyDescent="0.25">
      <c r="A21" s="66"/>
      <c r="B21" s="65"/>
      <c r="C21" s="65"/>
      <c r="D21" s="65"/>
      <c r="E21" s="65"/>
      <c r="F21" s="28"/>
      <c r="G21" s="50"/>
      <c r="H21" s="50"/>
      <c r="I21" s="34"/>
      <c r="J21" s="56"/>
      <c r="K21" s="63"/>
      <c r="L21" s="61"/>
      <c r="Q21" s="143"/>
      <c r="R21" s="144"/>
      <c r="S21" s="144"/>
    </row>
    <row r="22" spans="1:19" x14ac:dyDescent="0.25">
      <c r="A22" s="66"/>
      <c r="B22" s="65"/>
      <c r="C22" s="123" t="s">
        <v>103</v>
      </c>
      <c r="D22" s="117">
        <f>SUM(D17:D20)</f>
        <v>381</v>
      </c>
      <c r="E22" s="124" t="s">
        <v>25</v>
      </c>
      <c r="F22" s="28"/>
      <c r="G22" s="28"/>
      <c r="H22" s="28"/>
      <c r="I22" s="29"/>
      <c r="J22" s="56"/>
      <c r="K22" s="62">
        <f>D22</f>
        <v>381</v>
      </c>
      <c r="L22" s="61"/>
      <c r="Q22" s="67"/>
      <c r="R22" s="68"/>
      <c r="S22" s="68"/>
    </row>
    <row r="23" spans="1:19" x14ac:dyDescent="0.25">
      <c r="A23" s="31"/>
      <c r="B23" s="65"/>
      <c r="C23" s="65"/>
      <c r="D23" s="73"/>
      <c r="E23" s="65"/>
      <c r="F23" s="28"/>
      <c r="G23" s="65"/>
      <c r="H23" s="65"/>
      <c r="I23" s="29"/>
      <c r="J23" s="56"/>
      <c r="K23" s="63"/>
      <c r="L23" s="61"/>
    </row>
    <row r="24" spans="1:19" x14ac:dyDescent="0.25">
      <c r="A24" s="31"/>
      <c r="B24" s="65"/>
      <c r="C24" s="65"/>
      <c r="D24" s="65"/>
      <c r="E24" s="59"/>
      <c r="F24" s="65"/>
      <c r="G24" s="59"/>
      <c r="H24" s="29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65"/>
      <c r="F25" s="65"/>
      <c r="G25" s="59"/>
      <c r="H25" s="29"/>
      <c r="I25" s="29"/>
      <c r="J25" s="56"/>
      <c r="K25" s="62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1023</v>
      </c>
      <c r="L38" s="43">
        <f>K38</f>
        <v>1023</v>
      </c>
    </row>
  </sheetData>
  <mergeCells count="13">
    <mergeCell ref="A38:J38"/>
    <mergeCell ref="A7:J7"/>
    <mergeCell ref="Q9:S9"/>
    <mergeCell ref="Q11:S11"/>
    <mergeCell ref="Q13:S13"/>
    <mergeCell ref="Q14:S14"/>
    <mergeCell ref="Q21:S21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S42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31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'870E10001'!I2:J2+1</f>
        <v>12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32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20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ht="14.45" customHeight="1" x14ac:dyDescent="0.25">
      <c r="A10" s="66"/>
      <c r="B10" s="165" t="s">
        <v>64</v>
      </c>
      <c r="C10" s="166"/>
      <c r="D10" s="169" t="s">
        <v>33</v>
      </c>
      <c r="E10" s="173" t="s">
        <v>34</v>
      </c>
      <c r="F10" s="174"/>
      <c r="G10" s="65"/>
      <c r="H10" s="65"/>
      <c r="I10" s="29"/>
      <c r="J10" s="56"/>
      <c r="K10" s="63"/>
      <c r="L10" s="61"/>
      <c r="Q10" s="35"/>
    </row>
    <row r="11" spans="1:19" x14ac:dyDescent="0.25">
      <c r="A11" s="66"/>
      <c r="B11" s="167"/>
      <c r="C11" s="168"/>
      <c r="D11" s="170"/>
      <c r="E11" s="175"/>
      <c r="F11" s="176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171">
        <v>100</v>
      </c>
      <c r="C12" s="172"/>
      <c r="D12" s="98">
        <v>325</v>
      </c>
      <c r="E12" s="161"/>
      <c r="F12" s="162"/>
      <c r="G12" s="59"/>
      <c r="H12" s="29"/>
      <c r="I12" s="29"/>
      <c r="J12" s="56"/>
      <c r="K12" s="62"/>
      <c r="L12" s="61"/>
      <c r="Q12" s="143"/>
      <c r="R12" s="144"/>
      <c r="S12" s="144"/>
    </row>
    <row r="13" spans="1:19" x14ac:dyDescent="0.25">
      <c r="A13" s="31"/>
      <c r="B13" s="171">
        <v>102</v>
      </c>
      <c r="C13" s="172"/>
      <c r="D13" s="98">
        <v>367</v>
      </c>
      <c r="E13" s="159">
        <f>AVERAGE(D12:D13)*(B13-B12)</f>
        <v>692</v>
      </c>
      <c r="F13" s="160"/>
      <c r="G13" s="65"/>
      <c r="H13" s="65"/>
      <c r="I13" s="29"/>
      <c r="J13" s="56"/>
      <c r="K13" s="63"/>
      <c r="L13" s="61"/>
      <c r="Q13" s="145"/>
      <c r="R13" s="146"/>
      <c r="S13" s="146"/>
    </row>
    <row r="14" spans="1:19" x14ac:dyDescent="0.25">
      <c r="A14" s="66"/>
      <c r="B14" s="171">
        <v>104</v>
      </c>
      <c r="C14" s="172"/>
      <c r="D14" s="98">
        <v>536</v>
      </c>
      <c r="E14" s="159">
        <f t="shared" ref="E14:E17" si="0">AVERAGE(D13:D14)*(B14-B13)</f>
        <v>903</v>
      </c>
      <c r="F14" s="160"/>
      <c r="G14" s="28"/>
      <c r="H14" s="28"/>
      <c r="I14" s="29"/>
      <c r="J14" s="56"/>
      <c r="K14" s="46"/>
      <c r="L14" s="33"/>
    </row>
    <row r="15" spans="1:19" x14ac:dyDescent="0.25">
      <c r="A15" s="66"/>
      <c r="B15" s="171">
        <v>104.17</v>
      </c>
      <c r="C15" s="172"/>
      <c r="D15" s="98">
        <v>503</v>
      </c>
      <c r="E15" s="159">
        <f t="shared" si="0"/>
        <v>88.315000000000879</v>
      </c>
      <c r="F15" s="160"/>
      <c r="G15" s="28"/>
      <c r="H15" s="28"/>
      <c r="I15" s="29"/>
      <c r="J15" s="56"/>
      <c r="K15" s="46"/>
      <c r="L15" s="33"/>
    </row>
    <row r="16" spans="1:19" x14ac:dyDescent="0.25">
      <c r="A16" s="57"/>
      <c r="B16" s="171">
        <v>116</v>
      </c>
      <c r="C16" s="172"/>
      <c r="D16" s="98">
        <v>416</v>
      </c>
      <c r="E16" s="159">
        <f t="shared" si="0"/>
        <v>5435.8849999999993</v>
      </c>
      <c r="F16" s="160"/>
      <c r="G16" s="65"/>
      <c r="H16" s="65"/>
      <c r="I16" s="48"/>
      <c r="J16" s="56"/>
      <c r="K16" s="46"/>
      <c r="L16" s="33"/>
    </row>
    <row r="17" spans="1:19" x14ac:dyDescent="0.25">
      <c r="A17" s="31"/>
      <c r="B17" s="171">
        <v>131</v>
      </c>
      <c r="C17" s="172"/>
      <c r="D17" s="98">
        <v>392</v>
      </c>
      <c r="E17" s="159">
        <f t="shared" si="0"/>
        <v>6060</v>
      </c>
      <c r="F17" s="160"/>
      <c r="G17" s="65"/>
      <c r="H17" s="65"/>
      <c r="I17" s="48"/>
      <c r="J17" s="56"/>
      <c r="K17" s="46"/>
      <c r="L17" s="61"/>
    </row>
    <row r="18" spans="1:19" x14ac:dyDescent="0.25">
      <c r="A18" s="31"/>
      <c r="B18" s="171">
        <v>134</v>
      </c>
      <c r="C18" s="172"/>
      <c r="D18" s="98">
        <v>325</v>
      </c>
      <c r="E18" s="159">
        <f t="shared" ref="E18:E22" si="1">AVERAGE(D17:D18)*(B18-B17)</f>
        <v>1075.5</v>
      </c>
      <c r="F18" s="160"/>
      <c r="G18" s="65"/>
      <c r="H18" s="65"/>
      <c r="I18" s="48"/>
      <c r="J18" s="56"/>
      <c r="K18" s="46"/>
      <c r="L18" s="61"/>
    </row>
    <row r="19" spans="1:19" x14ac:dyDescent="0.25">
      <c r="A19" s="31"/>
      <c r="B19" s="171">
        <v>145</v>
      </c>
      <c r="C19" s="172"/>
      <c r="D19" s="98">
        <v>255</v>
      </c>
      <c r="E19" s="159">
        <f t="shared" si="1"/>
        <v>3190</v>
      </c>
      <c r="F19" s="160"/>
      <c r="G19" s="65"/>
      <c r="H19" s="65"/>
      <c r="I19" s="48"/>
      <c r="J19" s="56"/>
      <c r="K19" s="46"/>
      <c r="L19" s="61"/>
    </row>
    <row r="20" spans="1:19" x14ac:dyDescent="0.25">
      <c r="A20" s="31"/>
      <c r="B20" s="171">
        <v>155.83000000000001</v>
      </c>
      <c r="C20" s="172"/>
      <c r="D20" s="98">
        <v>368</v>
      </c>
      <c r="E20" s="159">
        <f t="shared" si="1"/>
        <v>3373.5450000000037</v>
      </c>
      <c r="F20" s="160"/>
      <c r="G20" s="65"/>
      <c r="H20" s="65"/>
      <c r="I20" s="48"/>
      <c r="J20" s="56"/>
      <c r="K20" s="46"/>
      <c r="L20" s="61"/>
    </row>
    <row r="21" spans="1:19" x14ac:dyDescent="0.25">
      <c r="A21" s="31"/>
      <c r="B21" s="171">
        <v>156</v>
      </c>
      <c r="C21" s="172"/>
      <c r="D21" s="98">
        <f>AVERAGE(393,378)</f>
        <v>385.5</v>
      </c>
      <c r="E21" s="159">
        <f t="shared" si="1"/>
        <v>64.047499999995296</v>
      </c>
      <c r="F21" s="160"/>
      <c r="G21" s="65"/>
      <c r="H21" s="65"/>
      <c r="I21" s="48"/>
      <c r="J21" s="56"/>
      <c r="K21" s="46"/>
      <c r="L21" s="61"/>
    </row>
    <row r="22" spans="1:19" x14ac:dyDescent="0.25">
      <c r="A22" s="31"/>
      <c r="B22" s="171">
        <v>161</v>
      </c>
      <c r="C22" s="172"/>
      <c r="D22" s="98">
        <v>288</v>
      </c>
      <c r="E22" s="159">
        <f t="shared" si="1"/>
        <v>1683.75</v>
      </c>
      <c r="F22" s="160"/>
      <c r="G22" s="65"/>
      <c r="H22" s="65"/>
      <c r="I22" s="48"/>
      <c r="J22" s="56"/>
      <c r="K22" s="46"/>
      <c r="L22" s="61"/>
    </row>
    <row r="23" spans="1:19" x14ac:dyDescent="0.25">
      <c r="A23" s="31"/>
      <c r="B23" s="65"/>
      <c r="C23" s="65"/>
      <c r="D23" s="59" t="s">
        <v>102</v>
      </c>
      <c r="E23" s="159">
        <f>SUM(E12:F22)</f>
        <v>22566.0425</v>
      </c>
      <c r="F23" s="160"/>
      <c r="G23" s="64" t="s">
        <v>23</v>
      </c>
      <c r="H23" s="49"/>
      <c r="I23" s="28"/>
      <c r="J23" s="56"/>
      <c r="K23" s="62"/>
      <c r="L23" s="61"/>
    </row>
    <row r="24" spans="1:19" x14ac:dyDescent="0.25">
      <c r="A24" s="66"/>
      <c r="B24" s="65"/>
      <c r="C24" s="65"/>
      <c r="D24" s="121" t="s">
        <v>102</v>
      </c>
      <c r="E24" s="163">
        <f>E23/27</f>
        <v>835.77935185185186</v>
      </c>
      <c r="F24" s="164"/>
      <c r="G24" s="65" t="s">
        <v>20</v>
      </c>
      <c r="H24" s="50"/>
      <c r="I24" s="34"/>
      <c r="J24" s="56"/>
      <c r="K24" s="62">
        <f>E24</f>
        <v>835.77935185185186</v>
      </c>
      <c r="L24" s="61"/>
      <c r="Q24" s="143"/>
      <c r="R24" s="144"/>
      <c r="S24" s="144"/>
    </row>
    <row r="25" spans="1:19" x14ac:dyDescent="0.25">
      <c r="A25" s="66"/>
      <c r="B25" s="65"/>
      <c r="C25" s="65"/>
      <c r="D25" s="65"/>
      <c r="E25" s="73"/>
      <c r="F25" s="44"/>
      <c r="G25" s="28"/>
      <c r="H25" s="28"/>
      <c r="I25" s="29"/>
      <c r="J25" s="56"/>
      <c r="K25" s="63"/>
      <c r="L25" s="61"/>
      <c r="Q25" s="67"/>
      <c r="R25" s="68"/>
      <c r="S25" s="68"/>
    </row>
    <row r="26" spans="1:19" x14ac:dyDescent="0.25">
      <c r="A26" s="31"/>
      <c r="B26" s="64" t="s">
        <v>59</v>
      </c>
      <c r="C26" s="65"/>
      <c r="D26" s="65"/>
      <c r="E26" s="65"/>
      <c r="F26" s="28"/>
      <c r="G26" s="65"/>
      <c r="H26" s="65"/>
      <c r="I26" s="29"/>
      <c r="J26" s="56"/>
      <c r="K26" s="63"/>
      <c r="L26" s="61"/>
    </row>
    <row r="27" spans="1:19" x14ac:dyDescent="0.25">
      <c r="A27" s="31"/>
      <c r="B27" s="165" t="s">
        <v>104</v>
      </c>
      <c r="C27" s="166"/>
      <c r="D27" s="169" t="s">
        <v>33</v>
      </c>
      <c r="E27" s="173" t="s">
        <v>34</v>
      </c>
      <c r="F27" s="174"/>
      <c r="G27" s="59"/>
      <c r="H27" s="29"/>
      <c r="I27" s="29"/>
      <c r="J27" s="56"/>
      <c r="K27" s="62"/>
      <c r="L27" s="61"/>
    </row>
    <row r="28" spans="1:19" x14ac:dyDescent="0.25">
      <c r="A28" s="31"/>
      <c r="B28" s="167"/>
      <c r="C28" s="168"/>
      <c r="D28" s="170"/>
      <c r="E28" s="175"/>
      <c r="F28" s="176"/>
      <c r="G28" s="65"/>
      <c r="H28" s="65"/>
      <c r="I28" s="29"/>
      <c r="J28" s="56"/>
      <c r="K28" s="62"/>
      <c r="L28" s="61"/>
    </row>
    <row r="29" spans="1:19" x14ac:dyDescent="0.25">
      <c r="A29" s="31"/>
      <c r="B29" s="161">
        <v>12</v>
      </c>
      <c r="C29" s="162"/>
      <c r="D29" s="98">
        <v>159</v>
      </c>
      <c r="E29" s="161">
        <f>B29*D29</f>
        <v>1908</v>
      </c>
      <c r="F29" s="162"/>
      <c r="G29" s="28"/>
      <c r="H29" s="28"/>
      <c r="I29" s="29"/>
      <c r="J29" s="56"/>
      <c r="K29" s="46"/>
      <c r="L29" s="61"/>
    </row>
    <row r="30" spans="1:19" x14ac:dyDescent="0.25">
      <c r="A30" s="31"/>
      <c r="B30" s="161">
        <v>7</v>
      </c>
      <c r="C30" s="162"/>
      <c r="D30" s="98">
        <v>141</v>
      </c>
      <c r="E30" s="161">
        <f t="shared" ref="E30:E32" si="2">B30*D30</f>
        <v>987</v>
      </c>
      <c r="F30" s="162"/>
      <c r="G30" s="65"/>
      <c r="H30" s="65"/>
      <c r="I30" s="48"/>
      <c r="J30" s="56"/>
      <c r="K30" s="46"/>
      <c r="L30" s="61"/>
    </row>
    <row r="31" spans="1:19" x14ac:dyDescent="0.25">
      <c r="A31" s="31"/>
      <c r="B31" s="161">
        <f>18+4/12</f>
        <v>18.333333333333332</v>
      </c>
      <c r="C31" s="162"/>
      <c r="D31" s="98">
        <v>141</v>
      </c>
      <c r="E31" s="161">
        <f t="shared" si="2"/>
        <v>2585</v>
      </c>
      <c r="F31" s="162"/>
      <c r="G31" s="65"/>
      <c r="H31" s="65"/>
      <c r="I31" s="48"/>
      <c r="J31" s="56"/>
      <c r="K31" s="62"/>
      <c r="L31" s="61"/>
    </row>
    <row r="32" spans="1:19" x14ac:dyDescent="0.25">
      <c r="A32" s="31"/>
      <c r="B32" s="161">
        <v>5</v>
      </c>
      <c r="C32" s="162"/>
      <c r="D32" s="98">
        <v>104</v>
      </c>
      <c r="E32" s="161">
        <f t="shared" si="2"/>
        <v>520</v>
      </c>
      <c r="F32" s="162"/>
      <c r="G32" s="28"/>
      <c r="H32" s="49"/>
      <c r="I32" s="28"/>
      <c r="J32" s="56"/>
      <c r="K32" s="62"/>
      <c r="L32" s="61"/>
    </row>
    <row r="33" spans="1:12" x14ac:dyDescent="0.25">
      <c r="A33" s="31"/>
      <c r="B33" s="65"/>
      <c r="C33" s="65"/>
      <c r="D33" s="59" t="s">
        <v>103</v>
      </c>
      <c r="E33" s="159">
        <f>SUM(E29:F32)</f>
        <v>6000</v>
      </c>
      <c r="F33" s="160"/>
      <c r="G33" s="64" t="s">
        <v>23</v>
      </c>
      <c r="H33" s="50"/>
      <c r="I33" s="34"/>
      <c r="J33" s="56"/>
      <c r="K33" s="62"/>
      <c r="L33" s="33"/>
    </row>
    <row r="34" spans="1:12" x14ac:dyDescent="0.25">
      <c r="A34" s="31"/>
      <c r="B34" s="65"/>
      <c r="C34" s="65"/>
      <c r="D34" s="121" t="s">
        <v>103</v>
      </c>
      <c r="E34" s="163">
        <f>E33/27</f>
        <v>222.22222222222223</v>
      </c>
      <c r="F34" s="164"/>
      <c r="G34" s="65" t="s">
        <v>20</v>
      </c>
      <c r="H34" s="28"/>
      <c r="I34" s="29"/>
      <c r="J34" s="56"/>
      <c r="K34" s="62">
        <f>E34</f>
        <v>222.22222222222223</v>
      </c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3"/>
      <c r="L35" s="33"/>
    </row>
    <row r="36" spans="1:12" x14ac:dyDescent="0.25">
      <c r="A36" s="31"/>
      <c r="B36" s="65"/>
      <c r="C36" s="65"/>
      <c r="D36" s="65"/>
      <c r="E36" s="59"/>
      <c r="F36" s="65"/>
      <c r="G36" s="59"/>
      <c r="H36" s="29"/>
      <c r="I36" s="29"/>
      <c r="J36" s="56"/>
      <c r="K36" s="62"/>
      <c r="L36" s="33"/>
    </row>
    <row r="37" spans="1:12" x14ac:dyDescent="0.25">
      <c r="A37" s="31"/>
      <c r="B37" s="65"/>
      <c r="C37" s="65"/>
      <c r="D37" s="65"/>
      <c r="E37" s="65"/>
      <c r="F37" s="65"/>
      <c r="G37" s="65"/>
      <c r="H37" s="65"/>
      <c r="I37" s="29"/>
      <c r="J37" s="56"/>
      <c r="K37" s="62"/>
      <c r="L37" s="33"/>
    </row>
    <row r="38" spans="1:12" x14ac:dyDescent="0.25">
      <c r="A38" s="31"/>
      <c r="B38" s="65"/>
      <c r="C38" s="65"/>
      <c r="D38" s="65"/>
      <c r="E38" s="65"/>
      <c r="F38" s="65"/>
      <c r="G38" s="65"/>
      <c r="H38" s="65"/>
      <c r="I38" s="29"/>
      <c r="J38" s="56"/>
      <c r="K38" s="62"/>
      <c r="L38" s="33"/>
    </row>
    <row r="39" spans="1:12" x14ac:dyDescent="0.25">
      <c r="A39" s="31"/>
      <c r="B39" s="65"/>
      <c r="C39" s="65"/>
      <c r="D39" s="65"/>
      <c r="E39" s="65"/>
      <c r="F39" s="65"/>
      <c r="G39" s="65"/>
      <c r="H39" s="65"/>
      <c r="I39" s="29"/>
      <c r="J39" s="56"/>
      <c r="K39" s="62"/>
      <c r="L39" s="33"/>
    </row>
    <row r="40" spans="1:12" x14ac:dyDescent="0.25">
      <c r="A40" s="31"/>
      <c r="B40" s="28"/>
      <c r="C40" s="28"/>
      <c r="D40" s="28"/>
      <c r="E40" s="28"/>
      <c r="F40" s="28"/>
      <c r="G40" s="28"/>
      <c r="H40" s="49"/>
      <c r="I40" s="29"/>
      <c r="J40" s="56"/>
      <c r="K40" s="62"/>
      <c r="L40" s="33"/>
    </row>
    <row r="41" spans="1:12" ht="15.75" thickBot="1" x14ac:dyDescent="0.3">
      <c r="A41" s="58"/>
      <c r="B41" s="37"/>
      <c r="C41" s="37"/>
      <c r="D41" s="37"/>
      <c r="E41" s="38"/>
      <c r="F41" s="38"/>
      <c r="G41" s="39"/>
      <c r="H41" s="37"/>
      <c r="I41" s="40"/>
      <c r="J41" s="41"/>
      <c r="K41" s="47"/>
      <c r="L41" s="36"/>
    </row>
    <row r="42" spans="1:12" ht="15.75" thickBot="1" x14ac:dyDescent="0.3">
      <c r="A42" s="137" t="s">
        <v>3</v>
      </c>
      <c r="B42" s="138"/>
      <c r="C42" s="138"/>
      <c r="D42" s="138"/>
      <c r="E42" s="138"/>
      <c r="F42" s="138"/>
      <c r="G42" s="138"/>
      <c r="H42" s="138"/>
      <c r="I42" s="138"/>
      <c r="J42" s="139"/>
      <c r="K42" s="42">
        <f>SUM(K8:K41)</f>
        <v>1058.0015740740741</v>
      </c>
      <c r="L42" s="43">
        <f>K42</f>
        <v>1058.0015740740741</v>
      </c>
    </row>
  </sheetData>
  <mergeCells count="53">
    <mergeCell ref="B27:C28"/>
    <mergeCell ref="D27:D28"/>
    <mergeCell ref="E27:F28"/>
    <mergeCell ref="B29:C29"/>
    <mergeCell ref="E29:F29"/>
    <mergeCell ref="C5:J5"/>
    <mergeCell ref="B22:C22"/>
    <mergeCell ref="E22:F22"/>
    <mergeCell ref="I1:J1"/>
    <mergeCell ref="I2:J2"/>
    <mergeCell ref="C4:D4"/>
    <mergeCell ref="F4:G4"/>
    <mergeCell ref="I4:L4"/>
    <mergeCell ref="A7:J7"/>
    <mergeCell ref="B18:C18"/>
    <mergeCell ref="E18:F18"/>
    <mergeCell ref="B19:C19"/>
    <mergeCell ref="E19:F19"/>
    <mergeCell ref="B20:C20"/>
    <mergeCell ref="E20:F20"/>
    <mergeCell ref="B21:C21"/>
    <mergeCell ref="Q24:S24"/>
    <mergeCell ref="E10:F11"/>
    <mergeCell ref="E12:F12"/>
    <mergeCell ref="E13:F13"/>
    <mergeCell ref="E14:F14"/>
    <mergeCell ref="E23:F23"/>
    <mergeCell ref="E24:F24"/>
    <mergeCell ref="E21:F21"/>
    <mergeCell ref="Q9:S9"/>
    <mergeCell ref="Q11:S11"/>
    <mergeCell ref="Q12:S12"/>
    <mergeCell ref="Q13:S13"/>
    <mergeCell ref="A42:J42"/>
    <mergeCell ref="B10:C11"/>
    <mergeCell ref="D10:D11"/>
    <mergeCell ref="B12:C12"/>
    <mergeCell ref="B13:C13"/>
    <mergeCell ref="B14:C14"/>
    <mergeCell ref="B15:C15"/>
    <mergeCell ref="B16:C16"/>
    <mergeCell ref="B17:C17"/>
    <mergeCell ref="E15:F15"/>
    <mergeCell ref="E16:F16"/>
    <mergeCell ref="E17:F17"/>
    <mergeCell ref="E33:F33"/>
    <mergeCell ref="B32:C32"/>
    <mergeCell ref="E34:F34"/>
    <mergeCell ref="B30:C30"/>
    <mergeCell ref="E30:F30"/>
    <mergeCell ref="B31:C31"/>
    <mergeCell ref="E31:F31"/>
    <mergeCell ref="E32:F32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35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'870E11000'!I2:J2+1</f>
        <v>13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36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20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165" t="s">
        <v>64</v>
      </c>
      <c r="C10" s="166"/>
      <c r="D10" s="169" t="s">
        <v>33</v>
      </c>
      <c r="E10" s="173" t="s">
        <v>34</v>
      </c>
      <c r="F10" s="174"/>
      <c r="G10" s="65"/>
      <c r="H10" s="65"/>
      <c r="I10" s="29"/>
      <c r="J10" s="56"/>
      <c r="K10" s="63"/>
      <c r="L10" s="61"/>
      <c r="Q10" s="35"/>
    </row>
    <row r="11" spans="1:19" x14ac:dyDescent="0.25">
      <c r="A11" s="66"/>
      <c r="B11" s="167"/>
      <c r="C11" s="168"/>
      <c r="D11" s="170"/>
      <c r="E11" s="175"/>
      <c r="F11" s="176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171">
        <v>100</v>
      </c>
      <c r="C12" s="172"/>
      <c r="D12" s="98">
        <f>174+5</f>
        <v>179</v>
      </c>
      <c r="E12" s="161"/>
      <c r="F12" s="162"/>
      <c r="G12" s="59"/>
      <c r="H12" s="29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171">
        <v>102</v>
      </c>
      <c r="C13" s="172"/>
      <c r="D13" s="99">
        <f>174+5</f>
        <v>179</v>
      </c>
      <c r="E13" s="159">
        <f>AVERAGE(D12:D13)*(B13-B12)</f>
        <v>358</v>
      </c>
      <c r="F13" s="160"/>
      <c r="G13" s="65"/>
      <c r="H13" s="65"/>
      <c r="I13" s="29"/>
      <c r="J13" s="56"/>
      <c r="K13" s="63"/>
      <c r="L13" s="61"/>
      <c r="Q13" s="143"/>
      <c r="R13" s="144"/>
      <c r="S13" s="144"/>
    </row>
    <row r="14" spans="1:19" x14ac:dyDescent="0.25">
      <c r="A14" s="31"/>
      <c r="B14" s="171">
        <v>104</v>
      </c>
      <c r="C14" s="172"/>
      <c r="D14" s="99">
        <f>5+174</f>
        <v>179</v>
      </c>
      <c r="E14" s="159">
        <f t="shared" ref="E14:E16" si="0">AVERAGE(D13:D14)*(B14-B13)</f>
        <v>358</v>
      </c>
      <c r="F14" s="160"/>
      <c r="G14" s="28"/>
      <c r="H14" s="28"/>
      <c r="I14" s="29"/>
      <c r="J14" s="56"/>
      <c r="K14" s="46"/>
      <c r="L14" s="61"/>
      <c r="Q14" s="145"/>
      <c r="R14" s="146"/>
      <c r="S14" s="146"/>
    </row>
    <row r="15" spans="1:19" x14ac:dyDescent="0.25">
      <c r="A15" s="66"/>
      <c r="B15" s="171">
        <v>104.17</v>
      </c>
      <c r="C15" s="172"/>
      <c r="D15" s="99">
        <f>5+174</f>
        <v>179</v>
      </c>
      <c r="E15" s="159">
        <f t="shared" si="0"/>
        <v>30.430000000000305</v>
      </c>
      <c r="F15" s="160"/>
      <c r="G15" s="28"/>
      <c r="H15" s="28"/>
      <c r="I15" s="29"/>
      <c r="J15" s="56"/>
      <c r="K15" s="46"/>
      <c r="L15" s="33"/>
    </row>
    <row r="16" spans="1:19" x14ac:dyDescent="0.25">
      <c r="A16" s="66"/>
      <c r="B16" s="171">
        <v>116</v>
      </c>
      <c r="C16" s="172"/>
      <c r="D16" s="99">
        <f>5+174</f>
        <v>179</v>
      </c>
      <c r="E16" s="159">
        <f t="shared" si="0"/>
        <v>2117.5699999999997</v>
      </c>
      <c r="F16" s="160"/>
      <c r="G16" s="65"/>
      <c r="H16" s="65"/>
      <c r="I16" s="48"/>
      <c r="J16" s="56"/>
      <c r="K16" s="46"/>
      <c r="L16" s="33"/>
    </row>
    <row r="17" spans="1:19" x14ac:dyDescent="0.25">
      <c r="A17" s="57"/>
      <c r="B17" s="171">
        <v>131</v>
      </c>
      <c r="C17" s="172"/>
      <c r="D17" s="99">
        <f>5+66</f>
        <v>71</v>
      </c>
      <c r="E17" s="159">
        <f>AVERAGE(D16:D17)*(B17-B16)</f>
        <v>1875</v>
      </c>
      <c r="F17" s="160"/>
      <c r="G17" s="65"/>
      <c r="H17" s="65"/>
      <c r="I17" s="48"/>
      <c r="J17" s="56"/>
      <c r="K17" s="46"/>
      <c r="L17" s="33"/>
    </row>
    <row r="18" spans="1:19" x14ac:dyDescent="0.25">
      <c r="A18" s="57"/>
      <c r="B18" s="171">
        <v>134</v>
      </c>
      <c r="C18" s="172"/>
      <c r="D18" s="99">
        <f>5+106</f>
        <v>111</v>
      </c>
      <c r="E18" s="159">
        <f t="shared" ref="E18:E22" si="1">AVERAGE(D17:D18)*(B18-B17)</f>
        <v>273</v>
      </c>
      <c r="F18" s="160"/>
      <c r="G18" s="65"/>
      <c r="H18" s="65"/>
      <c r="I18" s="48"/>
      <c r="J18" s="56"/>
      <c r="K18" s="46"/>
      <c r="L18" s="33"/>
    </row>
    <row r="19" spans="1:19" x14ac:dyDescent="0.25">
      <c r="A19" s="57"/>
      <c r="B19" s="171">
        <v>145</v>
      </c>
      <c r="C19" s="172"/>
      <c r="D19" s="99">
        <f>5+139</f>
        <v>144</v>
      </c>
      <c r="E19" s="159">
        <f t="shared" si="1"/>
        <v>1402.5</v>
      </c>
      <c r="F19" s="160"/>
      <c r="G19" s="65"/>
      <c r="H19" s="65"/>
      <c r="I19" s="48"/>
      <c r="J19" s="56"/>
      <c r="K19" s="46"/>
      <c r="L19" s="33"/>
    </row>
    <row r="20" spans="1:19" x14ac:dyDescent="0.25">
      <c r="A20" s="57"/>
      <c r="B20" s="171">
        <v>155.83000000000001</v>
      </c>
      <c r="C20" s="172"/>
      <c r="D20" s="99">
        <f>5+174</f>
        <v>179</v>
      </c>
      <c r="E20" s="159">
        <f t="shared" si="1"/>
        <v>1749.0450000000021</v>
      </c>
      <c r="F20" s="160"/>
      <c r="G20" s="65"/>
      <c r="H20" s="65"/>
      <c r="I20" s="48"/>
      <c r="J20" s="56"/>
      <c r="K20" s="46"/>
      <c r="L20" s="33"/>
    </row>
    <row r="21" spans="1:19" x14ac:dyDescent="0.25">
      <c r="A21" s="57"/>
      <c r="B21" s="171">
        <v>156</v>
      </c>
      <c r="C21" s="172"/>
      <c r="D21" s="99">
        <f>AVERAGE(174,62)+5</f>
        <v>123</v>
      </c>
      <c r="E21" s="159">
        <f t="shared" si="1"/>
        <v>25.669999999998112</v>
      </c>
      <c r="F21" s="160"/>
      <c r="G21" s="65"/>
      <c r="H21" s="65"/>
      <c r="I21" s="48"/>
      <c r="J21" s="56"/>
      <c r="K21" s="46"/>
      <c r="L21" s="33"/>
    </row>
    <row r="22" spans="1:19" x14ac:dyDescent="0.25">
      <c r="A22" s="57"/>
      <c r="B22" s="171">
        <v>161</v>
      </c>
      <c r="C22" s="172"/>
      <c r="D22" s="99">
        <f>39+5</f>
        <v>44</v>
      </c>
      <c r="E22" s="159">
        <f t="shared" si="1"/>
        <v>417.5</v>
      </c>
      <c r="F22" s="160"/>
      <c r="G22" s="65"/>
      <c r="H22" s="65"/>
      <c r="I22" s="48"/>
      <c r="J22" s="56"/>
      <c r="K22" s="46"/>
      <c r="L22" s="33"/>
    </row>
    <row r="23" spans="1:19" x14ac:dyDescent="0.25">
      <c r="A23" s="66"/>
      <c r="B23" s="65"/>
      <c r="C23" s="65"/>
      <c r="D23" s="59" t="s">
        <v>102</v>
      </c>
      <c r="E23" s="159">
        <f>SUM(E12:F22)</f>
        <v>8606.7150000000001</v>
      </c>
      <c r="F23" s="160"/>
      <c r="G23" s="64" t="s">
        <v>23</v>
      </c>
      <c r="H23" s="49"/>
      <c r="I23" s="28"/>
      <c r="J23" s="56"/>
      <c r="K23" s="62"/>
      <c r="L23" s="61"/>
      <c r="Q23" s="143"/>
      <c r="R23" s="144"/>
      <c r="S23" s="144"/>
    </row>
    <row r="24" spans="1:19" x14ac:dyDescent="0.25">
      <c r="A24" s="66"/>
      <c r="B24" s="65"/>
      <c r="C24" s="65"/>
      <c r="D24" s="121" t="s">
        <v>102</v>
      </c>
      <c r="E24" s="163">
        <f>E23/27</f>
        <v>318.76722222222224</v>
      </c>
      <c r="F24" s="164"/>
      <c r="G24" s="65" t="s">
        <v>20</v>
      </c>
      <c r="H24" s="50"/>
      <c r="I24" s="34"/>
      <c r="J24" s="56"/>
      <c r="K24" s="62">
        <f>E24</f>
        <v>318.76722222222224</v>
      </c>
      <c r="L24" s="61"/>
      <c r="Q24" s="67"/>
      <c r="R24" s="68"/>
      <c r="S24" s="68"/>
    </row>
    <row r="25" spans="1:19" x14ac:dyDescent="0.25">
      <c r="A25" s="31"/>
      <c r="B25" s="65"/>
      <c r="C25" s="65"/>
      <c r="D25" s="65"/>
      <c r="E25" s="73"/>
      <c r="F25" s="44"/>
      <c r="G25" s="28"/>
      <c r="H25" s="28"/>
      <c r="I25" s="29"/>
      <c r="J25" s="56"/>
      <c r="K25" s="63"/>
      <c r="L25" s="61"/>
    </row>
    <row r="26" spans="1:19" x14ac:dyDescent="0.25">
      <c r="A26" s="31"/>
      <c r="B26" s="64" t="s">
        <v>59</v>
      </c>
      <c r="C26" s="65"/>
      <c r="D26" s="65"/>
      <c r="E26" s="65"/>
      <c r="F26" s="28"/>
      <c r="G26" s="65"/>
      <c r="H26" s="65"/>
      <c r="I26" s="29"/>
      <c r="J26" s="56"/>
      <c r="K26" s="63"/>
      <c r="L26" s="61"/>
    </row>
    <row r="27" spans="1:19" x14ac:dyDescent="0.25">
      <c r="A27" s="31"/>
      <c r="B27" s="165" t="s">
        <v>104</v>
      </c>
      <c r="C27" s="166"/>
      <c r="D27" s="169" t="s">
        <v>33</v>
      </c>
      <c r="E27" s="173" t="s">
        <v>34</v>
      </c>
      <c r="F27" s="174"/>
      <c r="G27" s="59"/>
      <c r="H27" s="29"/>
      <c r="I27" s="29"/>
      <c r="J27" s="56"/>
      <c r="K27" s="62"/>
      <c r="L27" s="61"/>
    </row>
    <row r="28" spans="1:19" x14ac:dyDescent="0.25">
      <c r="A28" s="31"/>
      <c r="B28" s="167"/>
      <c r="C28" s="168"/>
      <c r="D28" s="170"/>
      <c r="E28" s="175"/>
      <c r="F28" s="176"/>
      <c r="G28" s="65"/>
      <c r="H28" s="65"/>
      <c r="I28" s="29"/>
      <c r="J28" s="56"/>
      <c r="K28" s="62"/>
      <c r="L28" s="61"/>
    </row>
    <row r="29" spans="1:19" x14ac:dyDescent="0.25">
      <c r="A29" s="31"/>
      <c r="B29" s="161">
        <v>12</v>
      </c>
      <c r="C29" s="162"/>
      <c r="D29" s="98">
        <f>97-19-4/12+16</f>
        <v>93.666666666666671</v>
      </c>
      <c r="E29" s="161">
        <f>B29*D29</f>
        <v>1124</v>
      </c>
      <c r="F29" s="162"/>
      <c r="G29" s="28"/>
      <c r="H29" s="28"/>
      <c r="I29" s="29"/>
      <c r="J29" s="56"/>
      <c r="K29" s="46"/>
      <c r="L29" s="61"/>
    </row>
    <row r="30" spans="1:19" x14ac:dyDescent="0.25">
      <c r="A30" s="31"/>
      <c r="B30" s="161">
        <v>7</v>
      </c>
      <c r="C30" s="162"/>
      <c r="D30" s="98">
        <f>77-14+17</f>
        <v>80</v>
      </c>
      <c r="E30" s="161">
        <f t="shared" ref="E30:E32" si="2">B30*D30</f>
        <v>560</v>
      </c>
      <c r="F30" s="162"/>
      <c r="G30" s="65"/>
      <c r="H30" s="65"/>
      <c r="I30" s="48"/>
      <c r="J30" s="56"/>
      <c r="K30" s="46"/>
      <c r="L30" s="61"/>
    </row>
    <row r="31" spans="1:19" x14ac:dyDescent="0.25">
      <c r="A31" s="31"/>
      <c r="B31" s="161">
        <f>18+4/12</f>
        <v>18.333333333333332</v>
      </c>
      <c r="C31" s="162"/>
      <c r="D31" s="98">
        <f>77-16-4/12+17</f>
        <v>77.666666666666657</v>
      </c>
      <c r="E31" s="161">
        <f t="shared" si="2"/>
        <v>1423.8888888888887</v>
      </c>
      <c r="F31" s="162"/>
      <c r="G31" s="65"/>
      <c r="H31" s="65"/>
      <c r="I31" s="48"/>
      <c r="J31" s="56"/>
      <c r="K31" s="62"/>
      <c r="L31" s="61"/>
    </row>
    <row r="32" spans="1:19" x14ac:dyDescent="0.25">
      <c r="A32" s="31"/>
      <c r="B32" s="161">
        <v>5</v>
      </c>
      <c r="C32" s="162"/>
      <c r="D32" s="98">
        <f>50-13-4/12+16</f>
        <v>52.666666666666664</v>
      </c>
      <c r="E32" s="161">
        <f t="shared" si="2"/>
        <v>263.33333333333331</v>
      </c>
      <c r="F32" s="162"/>
      <c r="G32" s="28"/>
      <c r="H32" s="49"/>
      <c r="I32" s="28"/>
      <c r="J32" s="56"/>
      <c r="K32" s="62"/>
      <c r="L32" s="61"/>
    </row>
    <row r="33" spans="1:12" x14ac:dyDescent="0.25">
      <c r="A33" s="31"/>
      <c r="B33" s="65"/>
      <c r="C33" s="65"/>
      <c r="D33" s="59" t="s">
        <v>103</v>
      </c>
      <c r="E33" s="159">
        <f>SUM(E29:F32)</f>
        <v>3371.2222222222222</v>
      </c>
      <c r="F33" s="160"/>
      <c r="G33" s="64" t="s">
        <v>23</v>
      </c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121" t="s">
        <v>103</v>
      </c>
      <c r="E34" s="163">
        <f>E33/27</f>
        <v>124.86008230452674</v>
      </c>
      <c r="F34" s="164"/>
      <c r="G34" s="65" t="s">
        <v>20</v>
      </c>
      <c r="H34" s="65"/>
      <c r="I34" s="29"/>
      <c r="J34" s="56"/>
      <c r="K34" s="62">
        <f>E34</f>
        <v>124.86008230452674</v>
      </c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443.62730452674896</v>
      </c>
      <c r="L38" s="43">
        <f>K38</f>
        <v>443.62730452674896</v>
      </c>
    </row>
  </sheetData>
  <mergeCells count="53">
    <mergeCell ref="E17:F17"/>
    <mergeCell ref="E23:F23"/>
    <mergeCell ref="E24:F24"/>
    <mergeCell ref="B18:C18"/>
    <mergeCell ref="B19:C19"/>
    <mergeCell ref="B20:C20"/>
    <mergeCell ref="B21:C21"/>
    <mergeCell ref="B22:C22"/>
    <mergeCell ref="E18:F18"/>
    <mergeCell ref="E19:F19"/>
    <mergeCell ref="E20:F20"/>
    <mergeCell ref="E21:F21"/>
    <mergeCell ref="E22:F22"/>
    <mergeCell ref="C5:J5"/>
    <mergeCell ref="B10:C11"/>
    <mergeCell ref="D10:D11"/>
    <mergeCell ref="E10:F11"/>
    <mergeCell ref="B12:C12"/>
    <mergeCell ref="E12:F12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23:S23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B27:C28"/>
    <mergeCell ref="D27:D28"/>
    <mergeCell ref="E27:F28"/>
    <mergeCell ref="B29:C29"/>
    <mergeCell ref="E29:F29"/>
    <mergeCell ref="E33:F33"/>
    <mergeCell ref="E34:F34"/>
    <mergeCell ref="B30:C30"/>
    <mergeCell ref="E30:F30"/>
    <mergeCell ref="B31:C31"/>
    <mergeCell ref="E31:F31"/>
    <mergeCell ref="B32:C32"/>
    <mergeCell ref="E32:F32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38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'870E11100'!I2:J2+1</f>
        <v>14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40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5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121" t="s">
        <v>26</v>
      </c>
      <c r="D10" s="117">
        <f>(4+28/12)+24+6+(22+2*28/12)+(10+28/12)+4*0.5</f>
        <v>77.333333333333329</v>
      </c>
      <c r="E10" s="65" t="s">
        <v>5</v>
      </c>
      <c r="F10" s="28"/>
      <c r="G10" s="65"/>
      <c r="H10" s="65"/>
      <c r="I10" s="29"/>
      <c r="J10" s="56"/>
      <c r="K10" s="62">
        <f>D10</f>
        <v>77.333333333333329</v>
      </c>
      <c r="L10" s="61"/>
      <c r="Q10" s="35"/>
    </row>
    <row r="11" spans="1:19" x14ac:dyDescent="0.25">
      <c r="A11" s="66"/>
      <c r="B11" s="59"/>
      <c r="C11" s="59"/>
      <c r="D11" s="44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 t="s">
        <v>59</v>
      </c>
      <c r="C12" s="59"/>
      <c r="D12" s="74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121" t="s">
        <v>26</v>
      </c>
      <c r="D13" s="117">
        <f>(12-28/12)+(7+18+4/12-2*28/12-1)+(5-28/12)+2*(28/12+1)</f>
        <v>38.666666666666664</v>
      </c>
      <c r="E13" s="65" t="s">
        <v>5</v>
      </c>
      <c r="F13" s="28"/>
      <c r="G13" s="59"/>
      <c r="H13" s="29"/>
      <c r="I13" s="29"/>
      <c r="J13" s="56"/>
      <c r="K13" s="62">
        <f>D13</f>
        <v>38.666666666666664</v>
      </c>
      <c r="L13" s="61"/>
      <c r="Q13" s="143"/>
      <c r="R13" s="144"/>
      <c r="S13" s="144"/>
    </row>
    <row r="14" spans="1:19" x14ac:dyDescent="0.25">
      <c r="A14" s="31"/>
      <c r="B14" s="65"/>
      <c r="C14" s="59"/>
      <c r="D14" s="1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116</v>
      </c>
      <c r="L38" s="43">
        <f>K38</f>
        <v>116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39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'870E12000'!I2:J2+1</f>
        <v>15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41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5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121" t="s">
        <v>26</v>
      </c>
      <c r="D10" s="117">
        <v>20</v>
      </c>
      <c r="E10" s="65" t="s">
        <v>5</v>
      </c>
      <c r="F10" s="28"/>
      <c r="G10" s="65"/>
      <c r="H10" s="65"/>
      <c r="I10" s="29"/>
      <c r="J10" s="56"/>
      <c r="K10" s="62">
        <f>D10</f>
        <v>20</v>
      </c>
      <c r="L10" s="61"/>
      <c r="Q10" s="35"/>
    </row>
    <row r="11" spans="1:19" x14ac:dyDescent="0.25">
      <c r="A11" s="66"/>
      <c r="B11" s="59"/>
      <c r="C11" s="59"/>
      <c r="D11" s="44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 t="s">
        <v>59</v>
      </c>
      <c r="C12" s="59"/>
      <c r="D12" s="74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121" t="s">
        <v>26</v>
      </c>
      <c r="D13" s="117">
        <v>20</v>
      </c>
      <c r="E13" s="65" t="s">
        <v>5</v>
      </c>
      <c r="F13" s="28"/>
      <c r="G13" s="59"/>
      <c r="H13" s="29"/>
      <c r="I13" s="29"/>
      <c r="J13" s="56"/>
      <c r="K13" s="62">
        <f>D13</f>
        <v>20</v>
      </c>
      <c r="L13" s="61"/>
      <c r="Q13" s="143"/>
      <c r="R13" s="144"/>
      <c r="S13" s="144"/>
    </row>
    <row r="14" spans="1:19" x14ac:dyDescent="0.25">
      <c r="A14" s="31"/>
      <c r="B14" s="65"/>
      <c r="C14" s="59"/>
      <c r="D14" s="1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40</v>
      </c>
      <c r="L38" s="43">
        <f>K38</f>
        <v>40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42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'870E12100'!I2:J2+1</f>
        <v>16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43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44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59"/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122">
        <v>2</v>
      </c>
      <c r="E10" s="65" t="s">
        <v>45</v>
      </c>
      <c r="F10" s="28"/>
      <c r="G10" s="65"/>
      <c r="H10" s="65"/>
      <c r="I10" s="29"/>
      <c r="J10" s="56"/>
      <c r="K10" s="62">
        <f>D10</f>
        <v>2</v>
      </c>
      <c r="L10" s="61"/>
      <c r="Q10" s="35"/>
    </row>
    <row r="11" spans="1:19" x14ac:dyDescent="0.25">
      <c r="A11" s="66"/>
      <c r="B11" s="59"/>
      <c r="C11" s="59"/>
      <c r="D11" s="44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59"/>
      <c r="C12" s="59"/>
      <c r="D12" s="74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75"/>
      <c r="D13" s="1"/>
      <c r="E13" s="76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1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2</v>
      </c>
      <c r="L38" s="43">
        <f>K38</f>
        <v>2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S38"/>
  <sheetViews>
    <sheetView view="pageBreakPreview" zoomScaleNormal="100" zoomScaleSheetLayoutView="100" workbookViewId="0">
      <selection activeCell="I3" sqref="I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80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'870E14000'!I2:J2+1</f>
        <v>17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81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66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68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28"/>
      <c r="E10" s="64"/>
      <c r="F10" s="28"/>
      <c r="G10" s="65"/>
      <c r="H10" s="65"/>
      <c r="I10" s="29"/>
      <c r="J10" s="56"/>
      <c r="K10" s="62"/>
      <c r="L10" s="61"/>
      <c r="Q10" s="35"/>
    </row>
    <row r="11" spans="1:19" x14ac:dyDescent="0.25">
      <c r="A11" s="66"/>
      <c r="B11" s="59"/>
      <c r="C11" s="59"/>
      <c r="D11" s="28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/>
      <c r="C12" s="59"/>
      <c r="D12" s="28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59"/>
      <c r="D13" s="28"/>
      <c r="E13" s="64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28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0</v>
      </c>
      <c r="L38" s="43" t="s">
        <v>66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7"/>
  <sheetViews>
    <sheetView tabSelected="1" workbookViewId="0">
      <selection activeCell="B4" sqref="B4:G27"/>
    </sheetView>
  </sheetViews>
  <sheetFormatPr defaultColWidth="9" defaultRowHeight="15" x14ac:dyDescent="0.25"/>
  <cols>
    <col min="2" max="2" width="9.28515625" bestFit="1" customWidth="1"/>
    <col min="3" max="3" width="11.140625" bestFit="1" customWidth="1"/>
    <col min="5" max="5" width="12.7109375" customWidth="1"/>
    <col min="6" max="6" width="110.7109375" customWidth="1"/>
    <col min="7" max="7" width="15.7109375" customWidth="1"/>
    <col min="9" max="9" width="20.7109375" customWidth="1"/>
    <col min="10" max="10" width="10.7109375" customWidth="1"/>
    <col min="11" max="11" width="15.7109375" customWidth="1"/>
  </cols>
  <sheetData>
    <row r="2" spans="2:11" x14ac:dyDescent="0.25">
      <c r="B2" s="129" t="s">
        <v>109</v>
      </c>
      <c r="C2" s="129"/>
      <c r="D2" s="129"/>
      <c r="E2" s="129"/>
      <c r="F2" s="129"/>
      <c r="G2" s="69">
        <v>45107</v>
      </c>
    </row>
    <row r="3" spans="2:11" ht="15.75" thickBot="1" x14ac:dyDescent="0.3">
      <c r="B3" s="136" t="s">
        <v>110</v>
      </c>
      <c r="C3" s="136"/>
      <c r="D3" s="136"/>
      <c r="E3" s="136"/>
      <c r="F3" s="136"/>
      <c r="G3" s="127">
        <v>45134</v>
      </c>
    </row>
    <row r="4" spans="2:11" ht="15.75" thickBot="1" x14ac:dyDescent="0.3">
      <c r="B4" s="133" t="s">
        <v>22</v>
      </c>
      <c r="C4" s="134"/>
      <c r="D4" s="134"/>
      <c r="E4" s="134"/>
      <c r="F4" s="134"/>
      <c r="G4" s="135"/>
      <c r="H4" s="60"/>
      <c r="I4" s="60"/>
      <c r="J4" s="60"/>
      <c r="K4" s="60"/>
    </row>
    <row r="5" spans="2:11" ht="15.75" thickBot="1" x14ac:dyDescent="0.3">
      <c r="B5" s="113" t="s">
        <v>0</v>
      </c>
      <c r="C5" s="114" t="s">
        <v>28</v>
      </c>
      <c r="D5" s="114" t="s">
        <v>3</v>
      </c>
      <c r="E5" s="114" t="s">
        <v>1</v>
      </c>
      <c r="F5" s="114" t="s">
        <v>2</v>
      </c>
      <c r="G5" s="115" t="s">
        <v>4</v>
      </c>
    </row>
    <row r="6" spans="2:11" x14ac:dyDescent="0.25">
      <c r="B6" s="109"/>
      <c r="C6" s="110"/>
      <c r="D6" s="110"/>
      <c r="E6" s="110"/>
      <c r="F6" s="111"/>
      <c r="G6" s="112"/>
    </row>
    <row r="7" spans="2:11" x14ac:dyDescent="0.25">
      <c r="B7" s="100" t="str">
        <f>LEFT('202E11200'!I1,3)</f>
        <v>202</v>
      </c>
      <c r="C7" s="89" t="str">
        <f>RIGHT('202E11200'!I1,5)</f>
        <v>11200</v>
      </c>
      <c r="D7" s="89" t="str">
        <f>'202E11200'!L38</f>
        <v>LS</v>
      </c>
      <c r="E7" s="89"/>
      <c r="F7" s="70" t="str">
        <f>'202E11200'!C5</f>
        <v>PORTIONS OF STRUCTURE REMOVED</v>
      </c>
      <c r="G7" s="101"/>
    </row>
    <row r="8" spans="2:11" x14ac:dyDescent="0.25">
      <c r="B8" s="100" t="str">
        <f>LEFT('304E20000'!I1,3)</f>
        <v>304</v>
      </c>
      <c r="C8" s="89" t="str">
        <f>RIGHT('304E20000'!I1,5)</f>
        <v>20000</v>
      </c>
      <c r="D8" s="72">
        <f>'304E20000'!L38</f>
        <v>7</v>
      </c>
      <c r="E8" s="89" t="str">
        <f>'304E20000'!L5</f>
        <v>CY</v>
      </c>
      <c r="F8" s="70" t="str">
        <f>'304E20000'!C5</f>
        <v>AGGREGATE BASE</v>
      </c>
      <c r="G8" s="101"/>
    </row>
    <row r="9" spans="2:11" x14ac:dyDescent="0.25">
      <c r="B9" s="100" t="str">
        <f>LEFT('503E11100'!I1,3)</f>
        <v>503</v>
      </c>
      <c r="C9" s="89" t="str">
        <f>RIGHT('503E11100'!I1,5)</f>
        <v>11100</v>
      </c>
      <c r="D9" s="89" t="str">
        <f>'503E11100'!L38</f>
        <v>LS</v>
      </c>
      <c r="E9" s="89"/>
      <c r="F9" s="70" t="str">
        <f>'503E11100'!C5</f>
        <v>COFFERDAMS AND EXCAVATION BRACING</v>
      </c>
      <c r="G9" s="101"/>
    </row>
    <row r="10" spans="2:11" x14ac:dyDescent="0.25">
      <c r="B10" s="100" t="str">
        <f>LEFT('509E10000'!I1,3)</f>
        <v>509</v>
      </c>
      <c r="C10" s="89" t="str">
        <f>RIGHT('509E10000'!I1,5)</f>
        <v>10000</v>
      </c>
      <c r="D10" s="72">
        <f>'509E10000'!L41</f>
        <v>55</v>
      </c>
      <c r="E10" s="89" t="str">
        <f>'509E10000'!L5</f>
        <v>LB</v>
      </c>
      <c r="F10" s="70" t="str">
        <f>'509E10000'!C5</f>
        <v>EPOXY COATED STEEL REINFORCEMENT</v>
      </c>
      <c r="G10" s="101"/>
    </row>
    <row r="11" spans="2:11" x14ac:dyDescent="0.25">
      <c r="B11" s="100" t="str">
        <f>LEFT('511E53010'!I1,3)</f>
        <v>511</v>
      </c>
      <c r="C11" s="89" t="str">
        <f>RIGHT('511E53010'!I1,5)</f>
        <v>53010</v>
      </c>
      <c r="D11" s="72">
        <f>'511E53010'!L40</f>
        <v>11</v>
      </c>
      <c r="E11" s="89" t="str">
        <f>'511E53010'!L5</f>
        <v>CY</v>
      </c>
      <c r="F11" s="70" t="str">
        <f>'511E53010'!C5</f>
        <v>CLASS QC1 CONCRETE, MISC.: CONCRETE SLAB ON GRADE</v>
      </c>
      <c r="G11" s="103" t="s">
        <v>108</v>
      </c>
    </row>
    <row r="12" spans="2:11" x14ac:dyDescent="0.25">
      <c r="B12" s="100"/>
      <c r="C12" s="89"/>
      <c r="D12" s="72"/>
      <c r="E12" s="89"/>
      <c r="F12" s="70"/>
      <c r="G12" s="101"/>
    </row>
    <row r="13" spans="2:11" x14ac:dyDescent="0.25">
      <c r="B13" s="100" t="str">
        <f>LEFT('512E10100'!I1,3)</f>
        <v>512</v>
      </c>
      <c r="C13" s="89" t="str">
        <f>RIGHT('512E10100'!I1,5)</f>
        <v>10100</v>
      </c>
      <c r="D13" s="72">
        <f>'512E10100'!L39</f>
        <v>106.4814814814815</v>
      </c>
      <c r="E13" s="89" t="str">
        <f>'512E10100'!L5</f>
        <v>SY</v>
      </c>
      <c r="F13" s="70" t="str">
        <f>'512E10100'!C5</f>
        <v>SEALING OF CONCRETE SURFACES (EPOXY-URETHANE)</v>
      </c>
      <c r="G13" s="101"/>
    </row>
    <row r="14" spans="2:11" x14ac:dyDescent="0.25">
      <c r="B14" s="100" t="str">
        <f>LEFT('516E13200'!I1,3)</f>
        <v>516</v>
      </c>
      <c r="C14" s="89" t="str">
        <f>RIGHT('516E13200'!I1,5)</f>
        <v>13200</v>
      </c>
      <c r="D14" s="72">
        <f>'516E13200'!L36</f>
        <v>56</v>
      </c>
      <c r="E14" s="89" t="str">
        <f>'516E13200'!L5</f>
        <v>SF</v>
      </c>
      <c r="F14" s="70" t="str">
        <f>'516E13200'!C5</f>
        <v>1/2" PREFORMED EXPANSION JOINT FILLER</v>
      </c>
      <c r="G14" s="101"/>
    </row>
    <row r="15" spans="2:11" x14ac:dyDescent="0.25">
      <c r="B15" s="100" t="str">
        <f>LEFT('518E21200'!I1,3)</f>
        <v>518</v>
      </c>
      <c r="C15" s="89" t="str">
        <f>RIGHT('518E21200'!I1,5)</f>
        <v>21200</v>
      </c>
      <c r="D15" s="72">
        <f>'518E21200'!L76</f>
        <v>63.00411522633744</v>
      </c>
      <c r="E15" s="89" t="str">
        <f>'518E21200'!L5</f>
        <v>CY</v>
      </c>
      <c r="F15" s="70" t="str">
        <f>'518E21200'!C5</f>
        <v>POROUS BACKFILL WITH GEOTEXTILE FABRIC</v>
      </c>
      <c r="G15" s="101"/>
    </row>
    <row r="16" spans="2:11" x14ac:dyDescent="0.25">
      <c r="B16" s="100" t="str">
        <f>LEFT('530E00200'!C5,7)</f>
        <v>SPECIAL</v>
      </c>
      <c r="C16" s="71" t="str">
        <f>""&amp;LEFT('530E00200'!I1,3)&amp;""&amp;RIGHT('530E00200'!I1,5)&amp;""</f>
        <v>53000200</v>
      </c>
      <c r="D16" s="72" t="str">
        <f>'530E00200'!L38</f>
        <v>LS</v>
      </c>
      <c r="E16" s="89"/>
      <c r="F16" s="70" t="str">
        <f>RIGHT('530E00200'!C5,97)</f>
        <v>STRUCTURES: REMOVAL, SURFACE PREPARATION, PAINTING AND REINSTALLATION OF METAL STAIRS AND RAILING</v>
      </c>
      <c r="G16" s="103" t="s">
        <v>108</v>
      </c>
    </row>
    <row r="17" spans="2:7" hidden="1" x14ac:dyDescent="0.25">
      <c r="B17" s="100" t="str">
        <f>LEFT('530E50030'!C5,7)</f>
        <v>SPECIAL</v>
      </c>
      <c r="C17" s="71" t="str">
        <f>'530E50030'!I1</f>
        <v>530E50030</v>
      </c>
      <c r="D17" s="72" t="str">
        <f>'530E50030'!L38</f>
        <v>LS</v>
      </c>
      <c r="E17" s="89"/>
      <c r="F17" s="70" t="str">
        <f>RIGHT('530E50030'!C5,47)</f>
        <v>RETAINING WALL: 10"x10" PRESSURE TREATED TIMBER</v>
      </c>
      <c r="G17" s="101"/>
    </row>
    <row r="18" spans="2:7" x14ac:dyDescent="0.25">
      <c r="B18" s="100"/>
      <c r="C18" s="71"/>
      <c r="D18" s="72"/>
      <c r="E18" s="89"/>
      <c r="F18" s="70"/>
      <c r="G18" s="101"/>
    </row>
    <row r="19" spans="2:7" x14ac:dyDescent="0.25">
      <c r="B19" s="102" t="str">
        <f>LEFT('870E10001'!I1,3)</f>
        <v>870</v>
      </c>
      <c r="C19" s="71" t="str">
        <f>RIGHT('870E10001'!I1,5)</f>
        <v>10001</v>
      </c>
      <c r="D19" s="72">
        <f>'870E10001'!L38</f>
        <v>1023</v>
      </c>
      <c r="E19" s="89" t="str">
        <f>'870E10001'!L5</f>
        <v>SF</v>
      </c>
      <c r="F19" s="70" t="str">
        <f>'870E10001'!C5</f>
        <v>PREFABRICATED MODULAR RETAINING WALL, AS PER PLAN</v>
      </c>
      <c r="G19" s="103" t="s">
        <v>108</v>
      </c>
    </row>
    <row r="20" spans="2:7" x14ac:dyDescent="0.25">
      <c r="B20" s="100" t="str">
        <f>LEFT('870E11000'!I1,3)</f>
        <v>870</v>
      </c>
      <c r="C20" s="89" t="str">
        <f>RIGHT('870E11000'!I1,5)</f>
        <v>11000</v>
      </c>
      <c r="D20" s="72">
        <f>'870E11000'!L42</f>
        <v>1058.0015740740741</v>
      </c>
      <c r="E20" s="89" t="str">
        <f>'870E11000'!L5</f>
        <v>CY</v>
      </c>
      <c r="F20" s="70" t="str">
        <f>'870E11000'!C5</f>
        <v>WALL EXCAVATION</v>
      </c>
      <c r="G20" s="101"/>
    </row>
    <row r="21" spans="2:7" x14ac:dyDescent="0.25">
      <c r="B21" s="100" t="str">
        <f>LEFT('870E11100'!I1,3)</f>
        <v>870</v>
      </c>
      <c r="C21" s="89" t="str">
        <f>RIGHT('870E11100'!I1,5)</f>
        <v>11100</v>
      </c>
      <c r="D21" s="72">
        <f>'870E11100'!L38</f>
        <v>443.62730452674896</v>
      </c>
      <c r="E21" s="89" t="str">
        <f>'870E11100'!L5</f>
        <v>CY</v>
      </c>
      <c r="F21" s="70" t="str">
        <f>'870E11100'!C5</f>
        <v>NATURAL SOIL</v>
      </c>
      <c r="G21" s="101"/>
    </row>
    <row r="22" spans="2:7" x14ac:dyDescent="0.25">
      <c r="B22" s="100" t="str">
        <f>LEFT('870E12000'!I1,3)</f>
        <v>870</v>
      </c>
      <c r="C22" s="89" t="str">
        <f>RIGHT('870E12000'!I1,5)</f>
        <v>12000</v>
      </c>
      <c r="D22" s="72">
        <f>'870E12000'!L38</f>
        <v>116</v>
      </c>
      <c r="E22" s="89" t="str">
        <f>'870E12000'!L5</f>
        <v>FT</v>
      </c>
      <c r="F22" s="70" t="str">
        <f>'870E12000'!C5</f>
        <v>6" DRAINAGE PIPE, PERFORATED</v>
      </c>
      <c r="G22" s="101"/>
    </row>
    <row r="23" spans="2:7" x14ac:dyDescent="0.25">
      <c r="B23" s="100"/>
      <c r="C23" s="89"/>
      <c r="D23" s="72"/>
      <c r="E23" s="89"/>
      <c r="F23" s="70"/>
      <c r="G23" s="101"/>
    </row>
    <row r="24" spans="2:7" x14ac:dyDescent="0.25">
      <c r="B24" s="100" t="str">
        <f>LEFT('870E12100'!I1,3)</f>
        <v>870</v>
      </c>
      <c r="C24" s="89" t="str">
        <f>RIGHT('870E12100'!I1,5)</f>
        <v>12100</v>
      </c>
      <c r="D24" s="72">
        <f>'870E12100'!L38</f>
        <v>40</v>
      </c>
      <c r="E24" s="89" t="str">
        <f>'870E12100'!L5</f>
        <v>FT</v>
      </c>
      <c r="F24" s="70" t="str">
        <f>'870E12100'!C5</f>
        <v>6" DRAINAGE PIPE, NON-PERFORATED</v>
      </c>
      <c r="G24" s="101"/>
    </row>
    <row r="25" spans="2:7" x14ac:dyDescent="0.25">
      <c r="B25" s="100" t="str">
        <f>LEFT('870E14000'!I1,3)</f>
        <v>870</v>
      </c>
      <c r="C25" s="89" t="str">
        <f>RIGHT('870E14000'!I1,5)</f>
        <v>14000</v>
      </c>
      <c r="D25" s="72">
        <f>'870E14000'!L38</f>
        <v>2</v>
      </c>
      <c r="E25" s="89" t="str">
        <f>'870E14000'!L5</f>
        <v>DAY</v>
      </c>
      <c r="F25" s="70" t="str">
        <f>'870E14000'!C5</f>
        <v>ON-SITE ASSISTANCE</v>
      </c>
      <c r="G25" s="101"/>
    </row>
    <row r="26" spans="2:7" x14ac:dyDescent="0.25">
      <c r="B26" s="100" t="str">
        <f>LEFT('878E25000'!I1,3)</f>
        <v>878</v>
      </c>
      <c r="C26" s="89" t="str">
        <f>RIGHT('878E25000'!I1,5)</f>
        <v>25000</v>
      </c>
      <c r="D26" s="72" t="str">
        <f>'878E25000'!L5</f>
        <v>LS</v>
      </c>
      <c r="E26" s="89"/>
      <c r="F26" s="70" t="str">
        <f>'878E25000'!C5</f>
        <v>INSPECTION AND COMPACTION TESTING OF UNBOUND MATERIALS</v>
      </c>
      <c r="G26" s="101"/>
    </row>
    <row r="27" spans="2:7" ht="15.75" thickBot="1" x14ac:dyDescent="0.3">
      <c r="B27" s="104"/>
      <c r="C27" s="105"/>
      <c r="D27" s="106"/>
      <c r="E27" s="105"/>
      <c r="F27" s="107"/>
      <c r="G27" s="108"/>
    </row>
  </sheetData>
  <mergeCells count="3">
    <mergeCell ref="B4:G4"/>
    <mergeCell ref="B2:F2"/>
    <mergeCell ref="B3:F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S38"/>
  <sheetViews>
    <sheetView view="pageBreakPreview" zoomScaleNormal="100" zoomScaleSheetLayoutView="100" workbookViewId="0">
      <selection activeCell="G2" sqref="G2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90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/>
      <c r="F2" s="12" t="s">
        <v>9</v>
      </c>
      <c r="G2" s="14"/>
      <c r="H2" s="15" t="s">
        <v>13</v>
      </c>
      <c r="I2" s="151">
        <v>1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57" t="s">
        <v>91</v>
      </c>
      <c r="D5" s="157"/>
      <c r="E5" s="157"/>
      <c r="F5" s="157"/>
      <c r="G5" s="157"/>
      <c r="H5" s="157"/>
      <c r="I5" s="157"/>
      <c r="J5" s="157"/>
      <c r="K5" s="19" t="s">
        <v>18</v>
      </c>
      <c r="L5" s="21" t="s">
        <v>66</v>
      </c>
    </row>
    <row r="6" spans="1:19" ht="15.75" thickBot="1" x14ac:dyDescent="0.3">
      <c r="A6" s="22"/>
      <c r="B6" s="23"/>
      <c r="C6" s="158"/>
      <c r="D6" s="158"/>
      <c r="E6" s="158"/>
      <c r="F6" s="158"/>
      <c r="G6" s="158"/>
      <c r="H6" s="158"/>
      <c r="I6" s="158"/>
      <c r="J6" s="158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68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28"/>
      <c r="E10" s="64"/>
      <c r="F10" s="28"/>
      <c r="G10" s="65"/>
      <c r="H10" s="65"/>
      <c r="I10" s="29"/>
      <c r="J10" s="56"/>
      <c r="K10" s="62"/>
      <c r="L10" s="61"/>
      <c r="Q10" s="35"/>
    </row>
    <row r="11" spans="1:19" x14ac:dyDescent="0.25">
      <c r="A11" s="66"/>
      <c r="B11" s="59"/>
      <c r="C11" s="59"/>
      <c r="D11" s="28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/>
      <c r="C12" s="59"/>
      <c r="D12" s="28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59"/>
      <c r="D13" s="28"/>
      <c r="E13" s="64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28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0</v>
      </c>
      <c r="L38" s="43" t="s">
        <v>66</v>
      </c>
    </row>
  </sheetData>
  <mergeCells count="13">
    <mergeCell ref="A38:J38"/>
    <mergeCell ref="A7:J7"/>
    <mergeCell ref="Q9:S9"/>
    <mergeCell ref="Q11:S11"/>
    <mergeCell ref="Q13:S13"/>
    <mergeCell ref="Q14:S14"/>
    <mergeCell ref="Q19:S19"/>
    <mergeCell ref="C5:J6"/>
    <mergeCell ref="I1:J1"/>
    <mergeCell ref="I2:J2"/>
    <mergeCell ref="C4:D4"/>
    <mergeCell ref="F4:G4"/>
    <mergeCell ref="I4:L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38"/>
  <sheetViews>
    <sheetView view="pageBreakPreview" zoomScaleNormal="100" zoomScaleSheetLayoutView="100" workbookViewId="0">
      <selection activeCell="K35" sqref="K35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65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1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67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66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68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28"/>
      <c r="E10" s="64"/>
      <c r="F10" s="28"/>
      <c r="G10" s="65"/>
      <c r="H10" s="65"/>
      <c r="I10" s="29"/>
      <c r="J10" s="56"/>
      <c r="K10" s="62"/>
      <c r="L10" s="61"/>
      <c r="Q10" s="35"/>
    </row>
    <row r="11" spans="1:19" x14ac:dyDescent="0.25">
      <c r="A11" s="66"/>
      <c r="B11" s="59"/>
      <c r="C11" s="59"/>
      <c r="D11" s="28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/>
      <c r="C12" s="59"/>
      <c r="D12" s="28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59"/>
      <c r="D13" s="28"/>
      <c r="E13" s="64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28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0</v>
      </c>
      <c r="L38" s="43" t="s">
        <v>66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38"/>
  <sheetViews>
    <sheetView view="pageBreakPreview" topLeftCell="A4" zoomScaleNormal="100" zoomScaleSheetLayoutView="100" workbookViewId="0">
      <selection activeCell="G26" sqref="G26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71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2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72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20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5" t="s">
        <v>69</v>
      </c>
      <c r="C9" s="81"/>
      <c r="D9" s="82"/>
      <c r="E9" s="28"/>
      <c r="F9" s="28"/>
      <c r="G9" s="28"/>
      <c r="H9" s="28"/>
      <c r="I9" s="29"/>
      <c r="J9" s="83"/>
      <c r="K9" s="84"/>
      <c r="L9" s="61"/>
      <c r="Q9" s="143"/>
      <c r="R9" s="144"/>
      <c r="S9" s="144"/>
    </row>
    <row r="10" spans="1:19" x14ac:dyDescent="0.25">
      <c r="A10" s="66"/>
      <c r="B10" s="28"/>
      <c r="C10" s="81" t="s">
        <v>70</v>
      </c>
      <c r="D10" s="85">
        <v>237</v>
      </c>
      <c r="E10" s="28" t="s">
        <v>25</v>
      </c>
      <c r="F10" s="28"/>
      <c r="G10" s="28"/>
      <c r="H10" s="28"/>
      <c r="I10" s="29"/>
      <c r="J10" s="83"/>
      <c r="K10" s="86"/>
      <c r="L10" s="61"/>
      <c r="Q10" s="35"/>
    </row>
    <row r="11" spans="1:19" x14ac:dyDescent="0.25">
      <c r="A11" s="66"/>
      <c r="B11" s="28"/>
      <c r="C11" s="81" t="s">
        <v>73</v>
      </c>
      <c r="D11" s="87">
        <v>4</v>
      </c>
      <c r="E11" s="28" t="s">
        <v>74</v>
      </c>
      <c r="F11" s="28"/>
      <c r="G11" s="88"/>
      <c r="H11" s="88"/>
      <c r="I11" s="29"/>
      <c r="J11" s="83"/>
      <c r="K11" s="84"/>
      <c r="L11" s="61"/>
      <c r="Q11" s="143"/>
      <c r="R11" s="144"/>
      <c r="S11" s="144"/>
    </row>
    <row r="12" spans="1:19" x14ac:dyDescent="0.25">
      <c r="A12" s="66"/>
      <c r="B12" s="28"/>
      <c r="C12" s="81" t="s">
        <v>75</v>
      </c>
      <c r="D12" s="85">
        <f>D10*D11/12</f>
        <v>79</v>
      </c>
      <c r="E12" s="28" t="s">
        <v>23</v>
      </c>
      <c r="F12" s="28"/>
      <c r="G12" s="28"/>
      <c r="H12" s="28"/>
      <c r="I12" s="29"/>
      <c r="J12" s="83"/>
      <c r="K12" s="86"/>
      <c r="L12" s="61"/>
      <c r="Q12" s="67"/>
      <c r="R12" s="68"/>
      <c r="S12" s="68"/>
    </row>
    <row r="13" spans="1:19" x14ac:dyDescent="0.25">
      <c r="A13" s="66"/>
      <c r="B13" s="28"/>
      <c r="C13" s="116" t="s">
        <v>75</v>
      </c>
      <c r="D13" s="118">
        <f>D12/27</f>
        <v>2.925925925925926</v>
      </c>
      <c r="E13" s="119" t="s">
        <v>20</v>
      </c>
      <c r="F13" s="28"/>
      <c r="G13" s="28"/>
      <c r="H13" s="28"/>
      <c r="I13" s="29"/>
      <c r="J13" s="83"/>
      <c r="K13" s="86">
        <f>D13</f>
        <v>2.925925925925926</v>
      </c>
      <c r="L13" s="61"/>
      <c r="Q13" s="143"/>
      <c r="R13" s="144"/>
      <c r="S13" s="144"/>
    </row>
    <row r="14" spans="1:19" x14ac:dyDescent="0.25">
      <c r="A14" s="31"/>
      <c r="B14" s="65"/>
      <c r="C14" s="59"/>
      <c r="D14" s="44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 t="s">
        <v>112</v>
      </c>
      <c r="C17" s="81"/>
      <c r="D17" s="82"/>
      <c r="E17" s="28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28"/>
      <c r="C18" s="81" t="s">
        <v>70</v>
      </c>
      <c r="D18" s="85">
        <v>316</v>
      </c>
      <c r="E18" s="28" t="s">
        <v>25</v>
      </c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28"/>
      <c r="C19" s="81" t="s">
        <v>73</v>
      </c>
      <c r="D19" s="87">
        <v>4</v>
      </c>
      <c r="E19" s="28" t="s">
        <v>74</v>
      </c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28"/>
      <c r="C20" s="81" t="s">
        <v>75</v>
      </c>
      <c r="D20" s="85">
        <f>D18*D19/12</f>
        <v>105.33333333333333</v>
      </c>
      <c r="E20" s="28" t="s">
        <v>23</v>
      </c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28"/>
      <c r="C21" s="116" t="s">
        <v>75</v>
      </c>
      <c r="D21" s="118">
        <f>D20/27</f>
        <v>3.9012345679012346</v>
      </c>
      <c r="E21" s="119" t="s">
        <v>20</v>
      </c>
      <c r="F21" s="28"/>
      <c r="G21" s="65"/>
      <c r="H21" s="65"/>
      <c r="I21" s="29"/>
      <c r="J21" s="56"/>
      <c r="K21" s="86">
        <f>D21</f>
        <v>3.9012345679012346</v>
      </c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ROUNDUP(SUM(K8:K37),0)</f>
        <v>7</v>
      </c>
      <c r="L38" s="43">
        <f>K38</f>
        <v>7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38"/>
  <sheetViews>
    <sheetView view="pageBreakPreview" zoomScaleNormal="100" zoomScaleSheetLayoutView="100" workbookViewId="0">
      <selection activeCell="K35" sqref="K35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76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3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77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66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68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64"/>
      <c r="C10" s="59"/>
      <c r="D10" s="28"/>
      <c r="E10" s="64"/>
      <c r="F10" s="28"/>
      <c r="G10" s="65"/>
      <c r="H10" s="65"/>
      <c r="I10" s="29"/>
      <c r="J10" s="56"/>
      <c r="K10" s="62"/>
      <c r="L10" s="61"/>
      <c r="Q10" s="35"/>
    </row>
    <row r="11" spans="1:19" x14ac:dyDescent="0.25">
      <c r="A11" s="66"/>
      <c r="B11" s="59"/>
      <c r="C11" s="59"/>
      <c r="D11" s="28"/>
      <c r="E11" s="64"/>
      <c r="F11" s="28"/>
      <c r="G11" s="65"/>
      <c r="H11" s="65"/>
      <c r="I11" s="29"/>
      <c r="J11" s="56"/>
      <c r="K11" s="62"/>
      <c r="L11" s="61"/>
      <c r="Q11" s="143"/>
      <c r="R11" s="144"/>
      <c r="S11" s="144"/>
    </row>
    <row r="12" spans="1:19" x14ac:dyDescent="0.25">
      <c r="A12" s="66"/>
      <c r="B12" s="64"/>
      <c r="C12" s="59"/>
      <c r="D12" s="28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59"/>
      <c r="C13" s="59"/>
      <c r="D13" s="28"/>
      <c r="E13" s="64"/>
      <c r="F13" s="28"/>
      <c r="G13" s="59"/>
      <c r="H13" s="29"/>
      <c r="I13" s="29"/>
      <c r="J13" s="56"/>
      <c r="K13" s="62"/>
      <c r="L13" s="61"/>
      <c r="Q13" s="143"/>
      <c r="R13" s="144"/>
      <c r="S13" s="144"/>
    </row>
    <row r="14" spans="1:19" x14ac:dyDescent="0.25">
      <c r="A14" s="31"/>
      <c r="B14" s="65"/>
      <c r="C14" s="59"/>
      <c r="D14" s="28"/>
      <c r="E14" s="64"/>
      <c r="F14" s="28"/>
      <c r="G14" s="65"/>
      <c r="H14" s="65"/>
      <c r="I14" s="29"/>
      <c r="J14" s="56"/>
      <c r="K14" s="62"/>
      <c r="L14" s="61"/>
      <c r="Q14" s="145"/>
      <c r="R14" s="146"/>
      <c r="S14" s="146"/>
    </row>
    <row r="15" spans="1:19" x14ac:dyDescent="0.25">
      <c r="A15" s="66"/>
      <c r="B15" s="65"/>
      <c r="C15" s="32"/>
      <c r="D15" s="73"/>
      <c r="E15" s="28"/>
      <c r="F15" s="28"/>
      <c r="G15" s="28"/>
      <c r="H15" s="28"/>
      <c r="I15" s="29"/>
      <c r="J15" s="56"/>
      <c r="K15" s="46"/>
      <c r="L15" s="33"/>
    </row>
    <row r="16" spans="1:19" x14ac:dyDescent="0.25">
      <c r="A16" s="66"/>
      <c r="B16" s="65"/>
      <c r="C16" s="32"/>
      <c r="D16" s="32"/>
      <c r="E16" s="28"/>
      <c r="F16" s="28"/>
      <c r="G16" s="28"/>
      <c r="H16" s="28"/>
      <c r="I16" s="29"/>
      <c r="J16" s="56"/>
      <c r="K16" s="46"/>
      <c r="L16" s="33"/>
    </row>
    <row r="17" spans="1:19" x14ac:dyDescent="0.25">
      <c r="A17" s="57"/>
      <c r="B17" s="65"/>
      <c r="C17" s="65"/>
      <c r="D17" s="65"/>
      <c r="E17" s="65"/>
      <c r="F17" s="65"/>
      <c r="G17" s="65"/>
      <c r="H17" s="65"/>
      <c r="I17" s="48"/>
      <c r="J17" s="56"/>
      <c r="K17" s="46"/>
      <c r="L17" s="33"/>
    </row>
    <row r="18" spans="1:19" x14ac:dyDescent="0.25">
      <c r="A18" s="31"/>
      <c r="B18" s="65"/>
      <c r="C18" s="65"/>
      <c r="D18" s="65"/>
      <c r="E18" s="65"/>
      <c r="F18" s="65"/>
      <c r="G18" s="28"/>
      <c r="H18" s="49"/>
      <c r="I18" s="28"/>
      <c r="J18" s="56"/>
      <c r="K18" s="62"/>
      <c r="L18" s="61"/>
    </row>
    <row r="19" spans="1:19" x14ac:dyDescent="0.25">
      <c r="A19" s="66"/>
      <c r="B19" s="65"/>
      <c r="C19" s="65"/>
      <c r="D19" s="65"/>
      <c r="E19" s="65"/>
      <c r="F19" s="28"/>
      <c r="G19" s="50"/>
      <c r="H19" s="50"/>
      <c r="I19" s="34"/>
      <c r="J19" s="56"/>
      <c r="K19" s="63"/>
      <c r="L19" s="61"/>
      <c r="Q19" s="143"/>
      <c r="R19" s="144"/>
      <c r="S19" s="144"/>
    </row>
    <row r="20" spans="1:19" x14ac:dyDescent="0.25">
      <c r="A20" s="66"/>
      <c r="B20" s="65"/>
      <c r="C20" s="65"/>
      <c r="D20" s="65"/>
      <c r="E20" s="65"/>
      <c r="F20" s="28"/>
      <c r="G20" s="28"/>
      <c r="H20" s="28"/>
      <c r="I20" s="29"/>
      <c r="J20" s="56"/>
      <c r="K20" s="63"/>
      <c r="L20" s="61"/>
      <c r="Q20" s="67"/>
      <c r="R20" s="68"/>
      <c r="S20" s="68"/>
    </row>
    <row r="21" spans="1:19" x14ac:dyDescent="0.25">
      <c r="A21" s="31"/>
      <c r="B21" s="65"/>
      <c r="C21" s="65"/>
      <c r="D21" s="65"/>
      <c r="E21" s="65"/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65"/>
      <c r="D22" s="65"/>
      <c r="E22" s="59"/>
      <c r="F22" s="65"/>
      <c r="G22" s="59"/>
      <c r="H22" s="29"/>
      <c r="I22" s="29"/>
      <c r="J22" s="56"/>
      <c r="K22" s="62"/>
      <c r="L22" s="61"/>
    </row>
    <row r="23" spans="1:19" x14ac:dyDescent="0.25">
      <c r="A23" s="31"/>
      <c r="B23" s="65"/>
      <c r="C23" s="65"/>
      <c r="D23" s="65"/>
      <c r="E23" s="65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65"/>
      <c r="D24" s="65"/>
      <c r="E24" s="65"/>
      <c r="F24" s="65"/>
      <c r="G24" s="65"/>
      <c r="H24" s="65"/>
      <c r="I24" s="29"/>
      <c r="J24" s="56"/>
      <c r="K24" s="62"/>
      <c r="L24" s="61"/>
    </row>
    <row r="25" spans="1:19" x14ac:dyDescent="0.25">
      <c r="A25" s="31"/>
      <c r="B25" s="65"/>
      <c r="C25" s="65"/>
      <c r="D25" s="65"/>
      <c r="E25" s="59"/>
      <c r="F25" s="28"/>
      <c r="G25" s="28"/>
      <c r="H25" s="28"/>
      <c r="I25" s="29"/>
      <c r="J25" s="56"/>
      <c r="K25" s="46"/>
      <c r="L25" s="61"/>
    </row>
    <row r="26" spans="1:19" x14ac:dyDescent="0.25">
      <c r="A26" s="31"/>
      <c r="B26" s="65"/>
      <c r="C26" s="65"/>
      <c r="D26" s="65"/>
      <c r="E26" s="59"/>
      <c r="F26" s="1"/>
      <c r="G26" s="65"/>
      <c r="H26" s="65"/>
      <c r="I26" s="48"/>
      <c r="J26" s="56"/>
      <c r="K26" s="46"/>
      <c r="L26" s="61"/>
    </row>
    <row r="27" spans="1:19" x14ac:dyDescent="0.25">
      <c r="A27" s="31"/>
      <c r="B27" s="65"/>
      <c r="C27" s="65"/>
      <c r="D27" s="65"/>
      <c r="E27" s="59"/>
      <c r="F27" s="2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28"/>
      <c r="H28" s="49"/>
      <c r="I28" s="28"/>
      <c r="J28" s="56"/>
      <c r="K28" s="62"/>
      <c r="L28" s="61"/>
    </row>
    <row r="29" spans="1:19" x14ac:dyDescent="0.25">
      <c r="A29" s="31"/>
      <c r="B29" s="65"/>
      <c r="C29" s="65"/>
      <c r="D29" s="65"/>
      <c r="E29" s="59"/>
      <c r="F29" s="50"/>
      <c r="G29" s="50"/>
      <c r="H29" s="50"/>
      <c r="I29" s="34"/>
      <c r="J29" s="56"/>
      <c r="K29" s="63"/>
      <c r="L29" s="33"/>
    </row>
    <row r="30" spans="1:19" x14ac:dyDescent="0.25">
      <c r="A30" s="31"/>
      <c r="B30" s="65"/>
      <c r="C30" s="65"/>
      <c r="D30" s="65"/>
      <c r="E30" s="59"/>
      <c r="F30" s="1"/>
      <c r="G30" s="28"/>
      <c r="H30" s="28"/>
      <c r="I30" s="29"/>
      <c r="J30" s="56"/>
      <c r="K30" s="63"/>
      <c r="L30" s="33"/>
    </row>
    <row r="31" spans="1:19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65"/>
      <c r="G32" s="59"/>
      <c r="H32" s="29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28"/>
      <c r="C36" s="28"/>
      <c r="D36" s="28"/>
      <c r="E36" s="28"/>
      <c r="F36" s="28"/>
      <c r="G36" s="28"/>
      <c r="H36" s="49"/>
      <c r="I36" s="29"/>
      <c r="J36" s="56"/>
      <c r="K36" s="62"/>
      <c r="L36" s="33"/>
    </row>
    <row r="37" spans="1:12" ht="15.75" thickBot="1" x14ac:dyDescent="0.3">
      <c r="A37" s="58"/>
      <c r="B37" s="37"/>
      <c r="C37" s="37"/>
      <c r="D37" s="37"/>
      <c r="E37" s="38"/>
      <c r="F37" s="38"/>
      <c r="G37" s="39"/>
      <c r="H37" s="37"/>
      <c r="I37" s="40"/>
      <c r="J37" s="41"/>
      <c r="K37" s="47"/>
      <c r="L37" s="36"/>
    </row>
    <row r="38" spans="1:12" ht="15.75" thickBot="1" x14ac:dyDescent="0.3">
      <c r="A38" s="137" t="s">
        <v>3</v>
      </c>
      <c r="B38" s="138"/>
      <c r="C38" s="138"/>
      <c r="D38" s="138"/>
      <c r="E38" s="138"/>
      <c r="F38" s="138"/>
      <c r="G38" s="138"/>
      <c r="H38" s="138"/>
      <c r="I38" s="138"/>
      <c r="J38" s="139"/>
      <c r="K38" s="42">
        <f>SUM(K8:K37)</f>
        <v>0</v>
      </c>
      <c r="L38" s="43" t="s">
        <v>66</v>
      </c>
    </row>
  </sheetData>
  <mergeCells count="13">
    <mergeCell ref="C5:J5"/>
    <mergeCell ref="I1:J1"/>
    <mergeCell ref="I2:J2"/>
    <mergeCell ref="C4:D4"/>
    <mergeCell ref="F4:G4"/>
    <mergeCell ref="I4:L4"/>
    <mergeCell ref="A38:J38"/>
    <mergeCell ref="A7:J7"/>
    <mergeCell ref="Q9:S9"/>
    <mergeCell ref="Q11:S11"/>
    <mergeCell ref="Q13:S13"/>
    <mergeCell ref="Q14:S14"/>
    <mergeCell ref="Q19:S19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41"/>
  <sheetViews>
    <sheetView view="pageBreakPreview" zoomScaleNormal="100" zoomScaleSheetLayoutView="100" workbookViewId="0">
      <selection activeCell="K35" sqref="K35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82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4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83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84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/>
      <c r="C9" s="120" t="s">
        <v>86</v>
      </c>
      <c r="D9" s="128">
        <v>55</v>
      </c>
      <c r="E9" s="65" t="s">
        <v>84</v>
      </c>
      <c r="F9" s="2"/>
      <c r="G9" s="65"/>
      <c r="H9" s="65"/>
      <c r="I9" s="48"/>
      <c r="J9" s="56"/>
      <c r="K9" s="62">
        <f>D9</f>
        <v>55</v>
      </c>
      <c r="L9" s="61"/>
      <c r="Q9" s="143"/>
      <c r="R9" s="144"/>
      <c r="S9" s="144"/>
    </row>
    <row r="10" spans="1:19" x14ac:dyDescent="0.25">
      <c r="A10" s="66"/>
      <c r="B10" s="59"/>
      <c r="C10" s="59"/>
      <c r="D10" s="1"/>
      <c r="E10" s="64"/>
      <c r="F10" s="28"/>
      <c r="G10" s="65"/>
      <c r="H10" s="65"/>
      <c r="I10" s="29"/>
      <c r="J10" s="56"/>
      <c r="K10" s="62"/>
      <c r="L10" s="61"/>
      <c r="Q10" s="143"/>
      <c r="R10" s="144"/>
      <c r="S10" s="144"/>
    </row>
    <row r="11" spans="1:19" x14ac:dyDescent="0.25">
      <c r="A11" s="66"/>
      <c r="B11" s="64"/>
      <c r="C11" s="59"/>
      <c r="D11" s="1"/>
      <c r="E11" s="64"/>
      <c r="F11" s="28"/>
      <c r="G11" s="65"/>
      <c r="H11" s="65"/>
      <c r="I11" s="29"/>
      <c r="J11" s="56"/>
      <c r="K11" s="62"/>
      <c r="L11" s="61"/>
      <c r="Q11" s="67"/>
      <c r="R11" s="68"/>
      <c r="S11" s="68"/>
    </row>
    <row r="12" spans="1:19" x14ac:dyDescent="0.25">
      <c r="A12" s="66"/>
      <c r="B12" s="64"/>
      <c r="C12" s="59"/>
      <c r="D12" s="1"/>
      <c r="E12" s="64"/>
      <c r="F12" s="28"/>
      <c r="G12" s="65"/>
      <c r="H12" s="65"/>
      <c r="I12" s="29"/>
      <c r="J12" s="56"/>
      <c r="K12" s="62"/>
      <c r="L12" s="61"/>
      <c r="Q12" s="67"/>
      <c r="R12" s="68"/>
      <c r="S12" s="68"/>
    </row>
    <row r="13" spans="1:19" x14ac:dyDescent="0.25">
      <c r="A13" s="66"/>
      <c r="B13" s="64"/>
      <c r="C13" s="59"/>
      <c r="D13" s="29"/>
      <c r="E13" s="64"/>
      <c r="F13" s="28"/>
      <c r="G13" s="65"/>
      <c r="H13" s="65"/>
      <c r="I13" s="29"/>
      <c r="J13" s="56"/>
      <c r="K13" s="62"/>
      <c r="L13" s="61"/>
      <c r="Q13" s="67"/>
      <c r="R13" s="68"/>
      <c r="S13" s="68"/>
    </row>
    <row r="14" spans="1:19" x14ac:dyDescent="0.25">
      <c r="A14" s="66"/>
      <c r="B14" s="64"/>
      <c r="C14" s="59"/>
      <c r="D14" s="49"/>
      <c r="E14" s="64"/>
      <c r="F14" s="28"/>
      <c r="G14" s="65"/>
      <c r="H14" s="65"/>
      <c r="I14" s="29"/>
      <c r="J14" s="56"/>
      <c r="K14" s="62"/>
      <c r="L14" s="61"/>
      <c r="Q14" s="67"/>
      <c r="R14" s="68"/>
      <c r="S14" s="68"/>
    </row>
    <row r="15" spans="1:19" x14ac:dyDescent="0.25">
      <c r="A15" s="66"/>
      <c r="B15" s="59"/>
      <c r="C15" s="59"/>
      <c r="D15" s="28"/>
      <c r="E15" s="64"/>
      <c r="F15" s="28"/>
      <c r="G15" s="59"/>
      <c r="H15" s="29"/>
      <c r="I15" s="29"/>
      <c r="J15" s="56"/>
      <c r="K15" s="62"/>
      <c r="L15" s="61"/>
      <c r="Q15" s="143"/>
      <c r="R15" s="144"/>
      <c r="S15" s="144"/>
    </row>
    <row r="16" spans="1:19" x14ac:dyDescent="0.25">
      <c r="A16" s="31"/>
      <c r="B16" s="65"/>
      <c r="C16" s="59"/>
      <c r="D16" s="28"/>
      <c r="E16" s="64"/>
      <c r="F16" s="28"/>
      <c r="G16" s="65"/>
      <c r="H16" s="65"/>
      <c r="I16" s="29"/>
      <c r="J16" s="56"/>
      <c r="K16" s="62"/>
      <c r="L16" s="61"/>
      <c r="Q16" s="145"/>
      <c r="R16" s="146"/>
      <c r="S16" s="146"/>
    </row>
    <row r="17" spans="1:19" x14ac:dyDescent="0.25">
      <c r="A17" s="66"/>
      <c r="B17" s="65"/>
      <c r="C17" s="90"/>
      <c r="D17" s="28"/>
      <c r="E17" s="64"/>
      <c r="F17" s="28"/>
      <c r="G17" s="28"/>
      <c r="H17" s="28"/>
      <c r="I17" s="29"/>
      <c r="J17" s="56"/>
      <c r="K17" s="46"/>
      <c r="L17" s="33"/>
    </row>
    <row r="18" spans="1:19" x14ac:dyDescent="0.25">
      <c r="A18" s="57"/>
      <c r="B18" s="65"/>
      <c r="C18" s="65"/>
      <c r="D18" s="65"/>
      <c r="E18" s="65"/>
      <c r="F18" s="65"/>
      <c r="G18" s="65"/>
      <c r="H18" s="65"/>
      <c r="I18" s="48"/>
      <c r="J18" s="56"/>
      <c r="K18" s="46"/>
      <c r="L18" s="33"/>
    </row>
    <row r="19" spans="1:19" x14ac:dyDescent="0.25">
      <c r="A19" s="31"/>
      <c r="B19" s="65"/>
      <c r="C19" s="120"/>
      <c r="D19" s="65"/>
      <c r="E19" s="65"/>
      <c r="F19" s="65"/>
      <c r="G19" s="28"/>
      <c r="H19" s="49"/>
      <c r="I19" s="28"/>
      <c r="J19" s="56"/>
      <c r="K19" s="62"/>
      <c r="L19" s="61"/>
    </row>
    <row r="20" spans="1:19" x14ac:dyDescent="0.25">
      <c r="A20" s="66"/>
      <c r="B20" s="65"/>
      <c r="C20" s="65"/>
      <c r="D20" s="73"/>
      <c r="E20" s="65"/>
      <c r="F20" s="28"/>
      <c r="G20" s="50"/>
      <c r="H20" s="50"/>
      <c r="I20" s="34"/>
      <c r="J20" s="56"/>
      <c r="K20" s="63"/>
      <c r="L20" s="61"/>
      <c r="Q20" s="143"/>
      <c r="R20" s="144"/>
      <c r="S20" s="144"/>
    </row>
    <row r="21" spans="1:19" x14ac:dyDescent="0.25">
      <c r="A21" s="66"/>
      <c r="B21" s="64"/>
      <c r="C21" s="59"/>
      <c r="D21" s="1"/>
      <c r="E21" s="64"/>
      <c r="F21" s="28"/>
      <c r="G21" s="28"/>
      <c r="H21" s="28"/>
      <c r="I21" s="29"/>
      <c r="J21" s="56"/>
      <c r="K21" s="63"/>
      <c r="L21" s="61"/>
      <c r="Q21" s="67"/>
      <c r="R21" s="68"/>
      <c r="S21" s="68"/>
    </row>
    <row r="22" spans="1:19" x14ac:dyDescent="0.25">
      <c r="A22" s="31"/>
      <c r="B22" s="64"/>
      <c r="C22" s="59"/>
      <c r="D22" s="29"/>
      <c r="E22" s="64"/>
      <c r="F22" s="28"/>
      <c r="G22" s="65"/>
      <c r="H22" s="65"/>
      <c r="I22" s="29"/>
      <c r="J22" s="56"/>
      <c r="K22" s="63"/>
      <c r="L22" s="61"/>
    </row>
    <row r="23" spans="1:19" x14ac:dyDescent="0.25">
      <c r="A23" s="31"/>
      <c r="B23" s="64"/>
      <c r="C23" s="59"/>
      <c r="D23" s="49"/>
      <c r="E23" s="64"/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59"/>
      <c r="C24" s="59"/>
      <c r="D24" s="28"/>
      <c r="E24" s="64"/>
      <c r="F24" s="65"/>
      <c r="G24" s="59"/>
      <c r="H24" s="29"/>
      <c r="I24" s="29"/>
      <c r="J24" s="56"/>
      <c r="K24" s="62"/>
      <c r="L24" s="61"/>
    </row>
    <row r="25" spans="1:19" x14ac:dyDescent="0.25">
      <c r="A25" s="31"/>
      <c r="B25" s="65"/>
      <c r="C25" s="59"/>
      <c r="D25" s="28"/>
      <c r="E25" s="64"/>
      <c r="F25" s="65"/>
      <c r="G25" s="65"/>
      <c r="H25" s="65"/>
      <c r="I25" s="29"/>
      <c r="J25" s="56"/>
      <c r="K25" s="62"/>
      <c r="L25" s="61"/>
    </row>
    <row r="26" spans="1:19" x14ac:dyDescent="0.25">
      <c r="A26" s="31"/>
      <c r="B26" s="65"/>
      <c r="C26" s="90"/>
      <c r="D26" s="1"/>
      <c r="E26" s="64"/>
      <c r="F26" s="28"/>
      <c r="G26" s="28"/>
      <c r="H26" s="28"/>
      <c r="I26" s="29"/>
      <c r="J26" s="56"/>
      <c r="K26" s="46"/>
      <c r="L26" s="61"/>
    </row>
    <row r="27" spans="1:19" x14ac:dyDescent="0.25">
      <c r="A27" s="31"/>
      <c r="B27" s="65"/>
      <c r="C27" s="65"/>
      <c r="D27" s="65"/>
      <c r="E27" s="65"/>
      <c r="F27" s="1"/>
      <c r="G27" s="65"/>
      <c r="H27" s="65"/>
      <c r="I27" s="48"/>
      <c r="J27" s="56"/>
      <c r="K27" s="46"/>
      <c r="L27" s="61"/>
    </row>
    <row r="28" spans="1:19" x14ac:dyDescent="0.25">
      <c r="A28" s="31"/>
      <c r="B28" s="65"/>
      <c r="C28" s="120"/>
      <c r="D28" s="65"/>
      <c r="E28" s="65"/>
      <c r="F28" s="2"/>
      <c r="G28" s="65"/>
      <c r="H28" s="65"/>
      <c r="I28" s="48"/>
      <c r="J28" s="56"/>
      <c r="K28" s="62"/>
      <c r="L28" s="61"/>
    </row>
    <row r="29" spans="1:19" x14ac:dyDescent="0.25">
      <c r="A29" s="31"/>
      <c r="B29" s="65"/>
      <c r="C29" s="65"/>
      <c r="D29" s="73"/>
      <c r="E29" s="59"/>
      <c r="F29" s="1"/>
      <c r="G29" s="28"/>
      <c r="H29" s="49"/>
      <c r="I29" s="28"/>
      <c r="J29" s="56"/>
      <c r="K29" s="62"/>
      <c r="L29" s="61"/>
    </row>
    <row r="30" spans="1:19" x14ac:dyDescent="0.25">
      <c r="A30" s="31"/>
      <c r="B30" s="64"/>
      <c r="C30" s="120"/>
      <c r="D30" s="120"/>
      <c r="E30" s="65"/>
      <c r="F30" s="50"/>
      <c r="G30" s="50"/>
      <c r="H30" s="50"/>
      <c r="I30" s="34"/>
      <c r="J30" s="56"/>
      <c r="K30" s="63"/>
      <c r="L30" s="33"/>
    </row>
    <row r="31" spans="1:19" x14ac:dyDescent="0.25">
      <c r="A31" s="31"/>
      <c r="B31" s="65"/>
      <c r="C31" s="59"/>
      <c r="D31" s="125"/>
      <c r="E31" s="64"/>
      <c r="F31" s="1"/>
      <c r="G31" s="28"/>
      <c r="H31" s="28"/>
      <c r="I31" s="29"/>
      <c r="J31" s="56"/>
      <c r="K31" s="63"/>
      <c r="L31" s="33"/>
    </row>
    <row r="32" spans="1:19" x14ac:dyDescent="0.25">
      <c r="A32" s="31"/>
      <c r="B32" s="65"/>
      <c r="C32" s="59"/>
      <c r="D32" s="49"/>
      <c r="E32" s="64"/>
      <c r="F32" s="65"/>
      <c r="G32" s="65"/>
      <c r="H32" s="65"/>
      <c r="I32" s="29"/>
      <c r="J32" s="56"/>
      <c r="K32" s="63"/>
      <c r="L32" s="33"/>
    </row>
    <row r="33" spans="1:12" x14ac:dyDescent="0.25">
      <c r="A33" s="31"/>
      <c r="B33" s="65"/>
      <c r="C33" s="59"/>
      <c r="D33" s="28"/>
      <c r="E33" s="64"/>
      <c r="F33" s="65"/>
      <c r="G33" s="59"/>
      <c r="H33" s="29"/>
      <c r="I33" s="29"/>
      <c r="J33" s="56"/>
      <c r="K33" s="62"/>
      <c r="L33" s="33"/>
    </row>
    <row r="34" spans="1:12" x14ac:dyDescent="0.25">
      <c r="A34" s="31"/>
      <c r="B34" s="65"/>
      <c r="C34" s="59"/>
      <c r="D34" s="28"/>
      <c r="E34" s="64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90"/>
      <c r="D35" s="1"/>
      <c r="E35" s="64"/>
      <c r="F35" s="65"/>
      <c r="G35" s="65"/>
      <c r="H35" s="65"/>
      <c r="I35" s="1"/>
      <c r="J35" s="56"/>
      <c r="K35" s="62"/>
      <c r="L35" s="33"/>
    </row>
    <row r="36" spans="1:12" x14ac:dyDescent="0.25">
      <c r="A36" s="31"/>
      <c r="B36" s="65"/>
      <c r="C36" s="65"/>
      <c r="D36" s="65"/>
      <c r="E36" s="65"/>
      <c r="F36" s="65"/>
      <c r="G36" s="65"/>
      <c r="H36" s="65"/>
      <c r="I36" s="29"/>
      <c r="J36" s="56"/>
      <c r="K36" s="62"/>
      <c r="L36" s="33"/>
    </row>
    <row r="37" spans="1:12" x14ac:dyDescent="0.25">
      <c r="A37" s="31"/>
      <c r="B37" s="28"/>
      <c r="C37" s="90"/>
      <c r="D37" s="1"/>
      <c r="E37" s="64"/>
      <c r="F37" s="28"/>
      <c r="G37" s="28"/>
      <c r="H37" s="49"/>
      <c r="I37" s="29"/>
      <c r="J37" s="56"/>
      <c r="K37" s="62"/>
      <c r="L37" s="33"/>
    </row>
    <row r="38" spans="1:12" x14ac:dyDescent="0.25">
      <c r="A38" s="91"/>
      <c r="B38" s="74"/>
      <c r="C38" s="92"/>
      <c r="D38" s="77"/>
      <c r="E38" s="93"/>
      <c r="F38" s="74"/>
      <c r="G38" s="74"/>
      <c r="H38" s="94"/>
      <c r="I38" s="95"/>
      <c r="J38" s="96"/>
      <c r="K38" s="97"/>
      <c r="L38" s="36"/>
    </row>
    <row r="39" spans="1:12" x14ac:dyDescent="0.25">
      <c r="A39" s="91"/>
      <c r="B39" s="74"/>
      <c r="C39" s="92"/>
      <c r="D39" s="77"/>
      <c r="E39" s="93"/>
      <c r="F39" s="74"/>
      <c r="G39" s="74"/>
      <c r="H39" s="94"/>
      <c r="I39" s="95"/>
      <c r="J39" s="96"/>
      <c r="K39" s="97"/>
      <c r="L39" s="36"/>
    </row>
    <row r="40" spans="1:12" ht="15.75" thickBot="1" x14ac:dyDescent="0.3">
      <c r="A40" s="58"/>
      <c r="B40" s="37"/>
      <c r="C40" s="37"/>
      <c r="D40" s="37"/>
      <c r="E40" s="38"/>
      <c r="F40" s="38"/>
      <c r="G40" s="39"/>
      <c r="H40" s="37"/>
      <c r="I40" s="40"/>
      <c r="J40" s="41"/>
      <c r="K40" s="47"/>
      <c r="L40" s="36"/>
    </row>
    <row r="41" spans="1:12" ht="15.75" thickBot="1" x14ac:dyDescent="0.3">
      <c r="A41" s="137" t="s">
        <v>3</v>
      </c>
      <c r="B41" s="138"/>
      <c r="C41" s="138"/>
      <c r="D41" s="138"/>
      <c r="E41" s="138"/>
      <c r="F41" s="138"/>
      <c r="G41" s="138"/>
      <c r="H41" s="138"/>
      <c r="I41" s="138"/>
      <c r="J41" s="139"/>
      <c r="K41" s="42">
        <f>SUM(K8:K40)</f>
        <v>55</v>
      </c>
      <c r="L41" s="43">
        <f>K41</f>
        <v>55</v>
      </c>
    </row>
  </sheetData>
  <mergeCells count="13">
    <mergeCell ref="A41:J41"/>
    <mergeCell ref="Q20:S20"/>
    <mergeCell ref="I1:J1"/>
    <mergeCell ref="I2:J2"/>
    <mergeCell ref="C4:D4"/>
    <mergeCell ref="F4:G4"/>
    <mergeCell ref="I4:L4"/>
    <mergeCell ref="C5:J5"/>
    <mergeCell ref="A7:J7"/>
    <mergeCell ref="Q9:S9"/>
    <mergeCell ref="Q10:S10"/>
    <mergeCell ref="Q15:S15"/>
    <mergeCell ref="Q16:S16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40"/>
  <sheetViews>
    <sheetView view="pageBreakPreview" zoomScaleNormal="100" zoomScaleSheetLayoutView="100" workbookViewId="0">
      <selection activeCell="D13" sqref="D13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87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5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89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20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5" t="s">
        <v>69</v>
      </c>
      <c r="C9" s="81"/>
      <c r="D9" s="82"/>
      <c r="E9" s="28"/>
      <c r="F9" s="28"/>
      <c r="G9" s="28"/>
      <c r="H9" s="28"/>
      <c r="I9" s="29"/>
      <c r="J9" s="83"/>
      <c r="K9" s="84"/>
      <c r="L9" s="61"/>
      <c r="Q9" s="143"/>
      <c r="R9" s="144"/>
      <c r="S9" s="144"/>
    </row>
    <row r="10" spans="1:19" x14ac:dyDescent="0.25">
      <c r="A10" s="66"/>
      <c r="B10" s="28"/>
      <c r="C10" s="81" t="s">
        <v>88</v>
      </c>
      <c r="D10" s="85">
        <v>244</v>
      </c>
      <c r="E10" s="64" t="s">
        <v>25</v>
      </c>
      <c r="F10" s="28"/>
      <c r="G10" s="28"/>
      <c r="H10" s="28"/>
      <c r="I10" s="29"/>
      <c r="J10" s="83"/>
      <c r="K10" s="86"/>
      <c r="L10" s="61"/>
      <c r="Q10" s="35"/>
    </row>
    <row r="11" spans="1:19" x14ac:dyDescent="0.25">
      <c r="A11" s="66"/>
      <c r="B11" s="28"/>
      <c r="C11" s="81" t="s">
        <v>96</v>
      </c>
      <c r="D11" s="85">
        <v>6</v>
      </c>
      <c r="E11" s="64" t="s">
        <v>85</v>
      </c>
      <c r="F11" s="28"/>
      <c r="G11" s="28"/>
      <c r="H11" s="28"/>
      <c r="I11" s="29"/>
      <c r="J11" s="83"/>
      <c r="K11" s="86"/>
      <c r="L11" s="61"/>
      <c r="Q11" s="67"/>
    </row>
    <row r="12" spans="1:19" x14ac:dyDescent="0.25">
      <c r="A12" s="66"/>
      <c r="B12" s="28"/>
      <c r="C12" s="81"/>
      <c r="D12" s="87"/>
      <c r="E12" s="64"/>
      <c r="F12" s="28"/>
      <c r="G12" s="88"/>
      <c r="H12" s="88"/>
      <c r="I12" s="29"/>
      <c r="J12" s="83"/>
      <c r="K12" s="86"/>
      <c r="L12" s="61"/>
      <c r="Q12" s="143"/>
      <c r="R12" s="144"/>
      <c r="S12" s="144"/>
    </row>
    <row r="13" spans="1:19" x14ac:dyDescent="0.25">
      <c r="A13" s="66"/>
      <c r="B13" s="28"/>
      <c r="C13" s="81" t="s">
        <v>114</v>
      </c>
      <c r="D13" s="87">
        <f>((1+8/12)*1+0.5*1*1)*4.66</f>
        <v>10.096666666666666</v>
      </c>
      <c r="E13" s="64" t="s">
        <v>23</v>
      </c>
      <c r="F13" s="28"/>
      <c r="G13" s="88"/>
      <c r="H13" s="88"/>
      <c r="I13" s="29"/>
      <c r="J13" s="83"/>
      <c r="K13" s="86"/>
      <c r="L13" s="61"/>
      <c r="Q13" s="67"/>
      <c r="R13" s="68"/>
      <c r="S13" s="68"/>
    </row>
    <row r="14" spans="1:19" x14ac:dyDescent="0.25">
      <c r="A14" s="66"/>
      <c r="B14" s="28"/>
      <c r="C14" s="81"/>
      <c r="D14" s="87"/>
      <c r="E14" s="64"/>
      <c r="F14" s="28"/>
      <c r="G14" s="88"/>
      <c r="H14" s="88"/>
      <c r="I14" s="29"/>
      <c r="J14" s="83"/>
      <c r="K14" s="86"/>
      <c r="L14" s="61"/>
      <c r="Q14" s="67"/>
      <c r="R14" s="68"/>
      <c r="S14" s="68"/>
    </row>
    <row r="15" spans="1:19" x14ac:dyDescent="0.25">
      <c r="A15" s="66"/>
      <c r="B15" s="64"/>
      <c r="C15" s="90" t="s">
        <v>3</v>
      </c>
      <c r="D15" s="87">
        <f>D11/12*D10+D13</f>
        <v>132.09666666666666</v>
      </c>
      <c r="E15" s="64" t="s">
        <v>23</v>
      </c>
      <c r="F15" s="28"/>
      <c r="G15" s="28"/>
      <c r="H15" s="28"/>
      <c r="I15" s="29"/>
      <c r="J15" s="56"/>
      <c r="K15" s="46"/>
      <c r="L15" s="61"/>
      <c r="Q15" s="67"/>
      <c r="R15" s="68"/>
      <c r="S15" s="68"/>
    </row>
    <row r="16" spans="1:19" x14ac:dyDescent="0.25">
      <c r="A16" s="66"/>
      <c r="B16" s="59"/>
      <c r="C16" s="120" t="s">
        <v>3</v>
      </c>
      <c r="D16" s="118">
        <f>D15/27</f>
        <v>4.892469135802469</v>
      </c>
      <c r="E16" s="65" t="s">
        <v>20</v>
      </c>
      <c r="F16" s="28"/>
      <c r="G16" s="28"/>
      <c r="H16" s="28"/>
      <c r="I16" s="29"/>
      <c r="J16" s="56"/>
      <c r="K16" s="86">
        <f>D16</f>
        <v>4.892469135802469</v>
      </c>
      <c r="L16" s="61"/>
      <c r="Q16" s="143"/>
      <c r="R16" s="144"/>
      <c r="S16" s="144"/>
    </row>
    <row r="17" spans="1:19" x14ac:dyDescent="0.25">
      <c r="A17" s="31"/>
      <c r="B17" s="65"/>
      <c r="C17" s="59"/>
      <c r="D17" s="44"/>
      <c r="E17" s="64"/>
      <c r="F17" s="28"/>
      <c r="G17" s="65"/>
      <c r="H17" s="65"/>
      <c r="I17" s="29"/>
      <c r="J17" s="56"/>
      <c r="K17" s="62"/>
      <c r="L17" s="61"/>
      <c r="Q17" s="145"/>
      <c r="R17" s="146"/>
      <c r="S17" s="146"/>
    </row>
    <row r="18" spans="1:19" x14ac:dyDescent="0.25">
      <c r="A18" s="66"/>
      <c r="B18" s="65"/>
      <c r="C18" s="90"/>
      <c r="D18" s="87"/>
      <c r="E18" s="64"/>
      <c r="F18" s="28"/>
      <c r="G18" s="28"/>
      <c r="H18" s="28"/>
      <c r="I18" s="29"/>
      <c r="J18" s="56"/>
      <c r="K18" s="86"/>
      <c r="L18" s="33"/>
    </row>
    <row r="19" spans="1:19" x14ac:dyDescent="0.25">
      <c r="A19" s="66"/>
      <c r="B19" s="65" t="s">
        <v>113</v>
      </c>
      <c r="C19" s="81"/>
      <c r="D19" s="82"/>
      <c r="E19" s="28"/>
      <c r="F19" s="28"/>
      <c r="G19" s="28"/>
      <c r="H19" s="28"/>
      <c r="I19" s="29"/>
      <c r="J19" s="56"/>
      <c r="K19" s="62"/>
      <c r="L19" s="33"/>
    </row>
    <row r="20" spans="1:19" x14ac:dyDescent="0.25">
      <c r="A20" s="31"/>
      <c r="B20" s="28"/>
      <c r="C20" s="81" t="s">
        <v>88</v>
      </c>
      <c r="D20" s="85">
        <v>316</v>
      </c>
      <c r="E20" s="64" t="s">
        <v>25</v>
      </c>
      <c r="F20" s="28"/>
      <c r="G20" s="65"/>
      <c r="H20" s="65"/>
      <c r="I20" s="29"/>
      <c r="J20" s="56"/>
      <c r="K20" s="63"/>
      <c r="L20" s="61"/>
    </row>
    <row r="21" spans="1:19" x14ac:dyDescent="0.25">
      <c r="A21" s="31"/>
      <c r="B21" s="28"/>
      <c r="C21" s="81" t="s">
        <v>96</v>
      </c>
      <c r="D21" s="85">
        <v>6</v>
      </c>
      <c r="E21" s="64" t="s">
        <v>85</v>
      </c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28"/>
      <c r="C22" s="81"/>
      <c r="D22" s="87"/>
      <c r="E22" s="64"/>
      <c r="F22" s="28"/>
      <c r="G22" s="65"/>
      <c r="H22" s="65"/>
      <c r="I22" s="29"/>
      <c r="J22" s="56"/>
      <c r="K22" s="63"/>
      <c r="L22" s="61"/>
    </row>
    <row r="23" spans="1:19" x14ac:dyDescent="0.25">
      <c r="A23" s="31"/>
      <c r="B23" s="64"/>
      <c r="C23" s="90" t="s">
        <v>3</v>
      </c>
      <c r="D23" s="87">
        <f>D21/12*D20</f>
        <v>158</v>
      </c>
      <c r="E23" s="64" t="s">
        <v>23</v>
      </c>
      <c r="F23" s="28"/>
      <c r="G23" s="65"/>
      <c r="H23" s="65"/>
      <c r="I23" s="29"/>
      <c r="J23" s="56"/>
      <c r="K23" s="63"/>
      <c r="L23" s="61"/>
    </row>
    <row r="24" spans="1:19" x14ac:dyDescent="0.25">
      <c r="A24" s="31"/>
      <c r="B24" s="59"/>
      <c r="C24" s="120" t="s">
        <v>3</v>
      </c>
      <c r="D24" s="118">
        <f>D23/27</f>
        <v>5.8518518518518521</v>
      </c>
      <c r="E24" s="65" t="s">
        <v>20</v>
      </c>
      <c r="F24" s="28"/>
      <c r="G24" s="59"/>
      <c r="H24" s="29"/>
      <c r="I24" s="29"/>
      <c r="J24" s="56"/>
      <c r="K24" s="62">
        <f>D24</f>
        <v>5.8518518518518521</v>
      </c>
      <c r="L24" s="61"/>
    </row>
    <row r="25" spans="1:19" x14ac:dyDescent="0.25">
      <c r="A25" s="31"/>
      <c r="B25" s="65"/>
      <c r="C25" s="65"/>
      <c r="D25" s="65"/>
      <c r="E25" s="65"/>
      <c r="F25" s="65"/>
      <c r="G25" s="59"/>
      <c r="H25" s="29"/>
      <c r="I25" s="29"/>
      <c r="J25" s="56"/>
      <c r="K25" s="62"/>
      <c r="L25" s="61"/>
    </row>
    <row r="26" spans="1:19" x14ac:dyDescent="0.25">
      <c r="A26" s="31"/>
      <c r="B26" s="65"/>
      <c r="C26" s="65"/>
      <c r="D26" s="65"/>
      <c r="E26" s="65"/>
      <c r="F26" s="65"/>
      <c r="G26" s="65"/>
      <c r="H26" s="65"/>
      <c r="I26" s="29"/>
      <c r="J26" s="56"/>
      <c r="K26" s="62"/>
      <c r="L26" s="61"/>
    </row>
    <row r="27" spans="1:19" x14ac:dyDescent="0.25">
      <c r="A27" s="31"/>
      <c r="B27" s="65"/>
      <c r="C27" s="65"/>
      <c r="D27" s="65"/>
      <c r="E27" s="59"/>
      <c r="F27" s="28"/>
      <c r="G27" s="28"/>
      <c r="H27" s="28"/>
      <c r="I27" s="29"/>
      <c r="J27" s="56"/>
      <c r="K27" s="46"/>
      <c r="L27" s="61"/>
    </row>
    <row r="28" spans="1:19" x14ac:dyDescent="0.25">
      <c r="A28" s="31"/>
      <c r="B28" s="65"/>
      <c r="C28" s="65"/>
      <c r="D28" s="65"/>
      <c r="E28" s="59"/>
      <c r="F28" s="1"/>
      <c r="G28" s="65"/>
      <c r="H28" s="65"/>
      <c r="I28" s="48"/>
      <c r="J28" s="56"/>
      <c r="K28" s="46"/>
      <c r="L28" s="61"/>
    </row>
    <row r="29" spans="1:19" x14ac:dyDescent="0.25">
      <c r="A29" s="31"/>
      <c r="B29" s="65"/>
      <c r="C29" s="65"/>
      <c r="D29" s="65"/>
      <c r="E29" s="59"/>
      <c r="F29" s="2"/>
      <c r="G29" s="65"/>
      <c r="H29" s="65"/>
      <c r="I29" s="48"/>
      <c r="J29" s="56"/>
      <c r="K29" s="46"/>
      <c r="L29" s="61"/>
    </row>
    <row r="30" spans="1:19" x14ac:dyDescent="0.25">
      <c r="A30" s="31"/>
      <c r="B30" s="65"/>
      <c r="C30" s="65"/>
      <c r="D30" s="65"/>
      <c r="E30" s="59"/>
      <c r="F30" s="1"/>
      <c r="G30" s="28"/>
      <c r="H30" s="49"/>
      <c r="I30" s="28"/>
      <c r="J30" s="56"/>
      <c r="K30" s="62"/>
      <c r="L30" s="61"/>
    </row>
    <row r="31" spans="1:19" x14ac:dyDescent="0.25">
      <c r="A31" s="31"/>
      <c r="B31" s="65"/>
      <c r="C31" s="65"/>
      <c r="D31" s="65"/>
      <c r="E31" s="59"/>
      <c r="F31" s="50"/>
      <c r="G31" s="50"/>
      <c r="H31" s="50"/>
      <c r="I31" s="34"/>
      <c r="J31" s="56"/>
      <c r="K31" s="63"/>
      <c r="L31" s="33"/>
    </row>
    <row r="32" spans="1:19" x14ac:dyDescent="0.25">
      <c r="A32" s="31"/>
      <c r="B32" s="65"/>
      <c r="C32" s="65"/>
      <c r="D32" s="65"/>
      <c r="E32" s="59"/>
      <c r="F32" s="1"/>
      <c r="G32" s="28"/>
      <c r="H32" s="28"/>
      <c r="I32" s="29"/>
      <c r="J32" s="56"/>
      <c r="K32" s="63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3"/>
      <c r="L33" s="33"/>
    </row>
    <row r="34" spans="1:12" x14ac:dyDescent="0.25">
      <c r="A34" s="31"/>
      <c r="B34" s="65"/>
      <c r="C34" s="65"/>
      <c r="D34" s="65"/>
      <c r="E34" s="59"/>
      <c r="F34" s="65"/>
      <c r="G34" s="59"/>
      <c r="H34" s="29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65"/>
      <c r="C36" s="65"/>
      <c r="D36" s="65"/>
      <c r="E36" s="65"/>
      <c r="F36" s="65"/>
      <c r="G36" s="65"/>
      <c r="H36" s="65"/>
      <c r="I36" s="29"/>
      <c r="J36" s="56"/>
      <c r="K36" s="62"/>
      <c r="L36" s="33"/>
    </row>
    <row r="37" spans="1:12" x14ac:dyDescent="0.25">
      <c r="A37" s="31"/>
      <c r="B37" s="65"/>
      <c r="C37" s="65"/>
      <c r="D37" s="65"/>
      <c r="E37" s="65"/>
      <c r="F37" s="65"/>
      <c r="G37" s="65"/>
      <c r="H37" s="65"/>
      <c r="I37" s="29"/>
      <c r="J37" s="56"/>
      <c r="K37" s="62"/>
      <c r="L37" s="33"/>
    </row>
    <row r="38" spans="1:12" x14ac:dyDescent="0.25">
      <c r="A38" s="31"/>
      <c r="B38" s="28"/>
      <c r="C38" s="28"/>
      <c r="D38" s="28"/>
      <c r="E38" s="28"/>
      <c r="F38" s="28"/>
      <c r="G38" s="28"/>
      <c r="H38" s="49"/>
      <c r="I38" s="29"/>
      <c r="J38" s="56"/>
      <c r="K38" s="62"/>
      <c r="L38" s="33"/>
    </row>
    <row r="39" spans="1:12" ht="15.75" thickBot="1" x14ac:dyDescent="0.3">
      <c r="A39" s="58"/>
      <c r="B39" s="37"/>
      <c r="C39" s="37"/>
      <c r="D39" s="37"/>
      <c r="E39" s="38"/>
      <c r="F39" s="38"/>
      <c r="G39" s="39"/>
      <c r="H39" s="37"/>
      <c r="I39" s="40"/>
      <c r="J39" s="41"/>
      <c r="K39" s="47"/>
      <c r="L39" s="36"/>
    </row>
    <row r="40" spans="1:12" ht="15.75" thickBot="1" x14ac:dyDescent="0.3">
      <c r="A40" s="137" t="s">
        <v>3</v>
      </c>
      <c r="B40" s="138"/>
      <c r="C40" s="138"/>
      <c r="D40" s="138"/>
      <c r="E40" s="138"/>
      <c r="F40" s="138"/>
      <c r="G40" s="138"/>
      <c r="H40" s="138"/>
      <c r="I40" s="138"/>
      <c r="J40" s="139"/>
      <c r="K40" s="42">
        <f>ROUNDUP(SUM(K8:K39), 0)</f>
        <v>11</v>
      </c>
      <c r="L40" s="43">
        <f>K40</f>
        <v>11</v>
      </c>
    </row>
  </sheetData>
  <mergeCells count="12">
    <mergeCell ref="C5:J5"/>
    <mergeCell ref="I1:J1"/>
    <mergeCell ref="I2:J2"/>
    <mergeCell ref="C4:D4"/>
    <mergeCell ref="F4:G4"/>
    <mergeCell ref="I4:L4"/>
    <mergeCell ref="A40:J40"/>
    <mergeCell ref="A7:J7"/>
    <mergeCell ref="Q9:S9"/>
    <mergeCell ref="Q12:S12"/>
    <mergeCell ref="Q16:S16"/>
    <mergeCell ref="Q17:S17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39"/>
  <sheetViews>
    <sheetView view="pageBreakPreview" zoomScaleNormal="100" zoomScaleSheetLayoutView="100" workbookViewId="0">
      <selection activeCell="K35" sqref="K35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46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v>6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48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47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59"/>
      <c r="C10" s="59" t="s">
        <v>60</v>
      </c>
      <c r="D10" s="1">
        <f>(4+24+6)*(1183-1174)</f>
        <v>306</v>
      </c>
      <c r="E10" s="64" t="s">
        <v>25</v>
      </c>
      <c r="F10" s="1"/>
      <c r="G10" s="65"/>
      <c r="H10" s="65"/>
      <c r="I10" s="29"/>
      <c r="J10" s="56"/>
      <c r="K10" s="62"/>
      <c r="L10" s="61"/>
      <c r="Q10" s="143"/>
      <c r="R10" s="144"/>
      <c r="S10" s="144"/>
    </row>
    <row r="11" spans="1:19" x14ac:dyDescent="0.25">
      <c r="A11" s="66"/>
      <c r="B11" s="59"/>
      <c r="C11" s="75" t="s">
        <v>61</v>
      </c>
      <c r="D11" s="77">
        <f>10*(1180-1174)</f>
        <v>60</v>
      </c>
      <c r="E11" s="76" t="s">
        <v>25</v>
      </c>
      <c r="F11" s="28"/>
      <c r="G11" s="65"/>
      <c r="H11" s="65"/>
      <c r="I11" s="29"/>
      <c r="J11" s="56"/>
      <c r="K11" s="62"/>
      <c r="L11" s="61"/>
      <c r="Q11" s="67"/>
      <c r="R11" s="68"/>
      <c r="S11" s="68"/>
    </row>
    <row r="12" spans="1:19" x14ac:dyDescent="0.25">
      <c r="A12" s="66"/>
      <c r="B12" s="59"/>
      <c r="C12" s="59" t="s">
        <v>62</v>
      </c>
      <c r="D12" s="1">
        <f>2*(1181.5-1174)+14*(1183-1174)+2*((1181.5-1174)+(1180-1174)+(1178.5-1174))</f>
        <v>177</v>
      </c>
      <c r="E12" s="64" t="s">
        <v>25</v>
      </c>
      <c r="F12" s="59"/>
      <c r="G12" s="1"/>
      <c r="H12" s="64"/>
      <c r="I12" s="59"/>
      <c r="J12" s="56"/>
      <c r="K12" s="46"/>
      <c r="L12" s="61"/>
      <c r="Q12" s="143"/>
      <c r="R12" s="144"/>
      <c r="S12" s="144"/>
    </row>
    <row r="13" spans="1:19" x14ac:dyDescent="0.25">
      <c r="A13" s="31"/>
      <c r="B13" s="64"/>
      <c r="C13" s="59" t="s">
        <v>57</v>
      </c>
      <c r="D13" s="1">
        <f>(1183-1181.5)+4+24+6+3+10+2+2*1.5+14+3*2+3*1.5+(1178.5-1177.5)</f>
        <v>79</v>
      </c>
      <c r="E13" s="64" t="s">
        <v>5</v>
      </c>
      <c r="F13" s="59"/>
      <c r="G13" s="1"/>
      <c r="H13" s="64"/>
      <c r="I13" s="59"/>
      <c r="J13" s="56"/>
      <c r="K13" s="46"/>
      <c r="L13" s="61"/>
      <c r="Q13" s="145"/>
      <c r="R13" s="146"/>
      <c r="S13" s="146"/>
    </row>
    <row r="14" spans="1:19" x14ac:dyDescent="0.25">
      <c r="A14" s="66"/>
      <c r="B14" s="64"/>
      <c r="C14" s="59" t="s">
        <v>58</v>
      </c>
      <c r="D14" s="1">
        <f>28/12</f>
        <v>2.3333333333333335</v>
      </c>
      <c r="E14" s="64" t="s">
        <v>5</v>
      </c>
      <c r="F14" s="28"/>
      <c r="G14" s="28"/>
      <c r="H14" s="28"/>
      <c r="I14" s="29"/>
      <c r="J14" s="56"/>
      <c r="K14" s="46"/>
      <c r="L14" s="33"/>
    </row>
    <row r="15" spans="1:19" x14ac:dyDescent="0.25">
      <c r="A15" s="31"/>
      <c r="B15" s="59"/>
      <c r="C15" s="75"/>
      <c r="D15" s="77"/>
      <c r="E15" s="76"/>
      <c r="F15" s="65"/>
      <c r="G15" s="65"/>
      <c r="H15" s="65"/>
      <c r="I15" s="48"/>
      <c r="J15" s="56"/>
      <c r="K15" s="46"/>
      <c r="L15" s="61"/>
    </row>
    <row r="16" spans="1:19" x14ac:dyDescent="0.25">
      <c r="A16" s="31"/>
      <c r="B16" s="65"/>
      <c r="C16" s="75" t="s">
        <v>102</v>
      </c>
      <c r="D16" s="1">
        <f>D10+D11+D12+D13*D14</f>
        <v>727.33333333333337</v>
      </c>
      <c r="E16" s="76" t="s">
        <v>25</v>
      </c>
      <c r="F16" s="65"/>
      <c r="G16" s="28"/>
      <c r="H16" s="49"/>
      <c r="I16" s="28"/>
      <c r="J16" s="56"/>
      <c r="K16" s="62"/>
      <c r="L16" s="61"/>
    </row>
    <row r="17" spans="1:19" x14ac:dyDescent="0.25">
      <c r="A17" s="31"/>
      <c r="B17" s="65"/>
      <c r="C17" s="123" t="s">
        <v>102</v>
      </c>
      <c r="D17" s="117">
        <f>D16/9</f>
        <v>80.814814814814824</v>
      </c>
      <c r="E17" s="124" t="s">
        <v>47</v>
      </c>
      <c r="F17" s="65"/>
      <c r="G17" s="28"/>
      <c r="H17" s="49"/>
      <c r="I17" s="28"/>
      <c r="J17" s="56"/>
      <c r="K17" s="62">
        <f>D17</f>
        <v>80.814814814814824</v>
      </c>
      <c r="L17" s="61"/>
    </row>
    <row r="18" spans="1:19" x14ac:dyDescent="0.25">
      <c r="A18" s="66"/>
      <c r="B18" s="65"/>
      <c r="C18" s="65"/>
      <c r="D18" s="73"/>
      <c r="E18" s="65"/>
      <c r="F18" s="28"/>
      <c r="G18" s="50"/>
      <c r="H18" s="50"/>
      <c r="I18" s="34"/>
      <c r="J18" s="56"/>
      <c r="K18" s="63"/>
      <c r="L18" s="61"/>
      <c r="Q18" s="143"/>
      <c r="R18" s="144"/>
      <c r="S18" s="144"/>
    </row>
    <row r="19" spans="1:19" x14ac:dyDescent="0.25">
      <c r="A19" s="66"/>
      <c r="B19" s="64" t="s">
        <v>59</v>
      </c>
      <c r="C19" s="65"/>
      <c r="D19" s="65"/>
      <c r="E19" s="65"/>
      <c r="F19" s="28"/>
      <c r="G19" s="28"/>
      <c r="H19" s="28"/>
      <c r="I19" s="29"/>
      <c r="J19" s="56"/>
      <c r="K19" s="63"/>
      <c r="L19" s="61"/>
      <c r="Q19" s="67"/>
      <c r="R19" s="68"/>
      <c r="S19" s="68"/>
    </row>
    <row r="20" spans="1:19" x14ac:dyDescent="0.25">
      <c r="A20" s="31"/>
      <c r="B20" s="65"/>
      <c r="C20" s="59" t="s">
        <v>97</v>
      </c>
      <c r="D20" s="28">
        <f>0.5*12*4*1.5</f>
        <v>36</v>
      </c>
      <c r="E20" s="64" t="s">
        <v>25</v>
      </c>
      <c r="F20" s="28"/>
      <c r="G20" s="65"/>
      <c r="H20" s="65"/>
      <c r="I20" s="29"/>
      <c r="J20" s="56"/>
      <c r="K20" s="63"/>
      <c r="L20" s="61"/>
    </row>
    <row r="21" spans="1:19" x14ac:dyDescent="0.25">
      <c r="A21" s="31"/>
      <c r="B21" s="65"/>
      <c r="C21" s="59" t="s">
        <v>98</v>
      </c>
      <c r="D21" s="28">
        <f>7*2*1.5+(18+4/12)*3*1.5</f>
        <v>103.5</v>
      </c>
      <c r="E21" s="64" t="s">
        <v>25</v>
      </c>
      <c r="F21" s="28"/>
      <c r="G21" s="65"/>
      <c r="H21" s="65"/>
      <c r="I21" s="29"/>
      <c r="J21" s="56"/>
      <c r="K21" s="63"/>
      <c r="L21" s="61"/>
    </row>
    <row r="22" spans="1:19" x14ac:dyDescent="0.25">
      <c r="A22" s="31"/>
      <c r="B22" s="65"/>
      <c r="C22" s="59" t="s">
        <v>99</v>
      </c>
      <c r="D22" s="28">
        <f>0.5*5*2*1.5</f>
        <v>7.5</v>
      </c>
      <c r="E22" s="64" t="s">
        <v>25</v>
      </c>
      <c r="F22" s="28"/>
      <c r="G22" s="65"/>
      <c r="H22" s="65"/>
      <c r="I22" s="29"/>
      <c r="J22" s="56"/>
      <c r="K22" s="63"/>
      <c r="L22" s="61"/>
    </row>
    <row r="23" spans="1:19" x14ac:dyDescent="0.25">
      <c r="A23" s="31"/>
      <c r="B23" s="65"/>
      <c r="C23" s="59" t="s">
        <v>57</v>
      </c>
      <c r="D23" s="28">
        <f>9+8/12+1.5+4+8/12+1.5+16+2+8/12</f>
        <v>35.999999999999993</v>
      </c>
      <c r="E23" s="64" t="s">
        <v>5</v>
      </c>
      <c r="F23" s="65"/>
      <c r="G23" s="59"/>
      <c r="H23" s="29"/>
      <c r="I23" s="29"/>
      <c r="J23" s="56"/>
      <c r="K23" s="62"/>
      <c r="L23" s="61"/>
    </row>
    <row r="24" spans="1:19" x14ac:dyDescent="0.25">
      <c r="A24" s="31"/>
      <c r="B24" s="65"/>
      <c r="C24" s="59" t="s">
        <v>58</v>
      </c>
      <c r="D24" s="1">
        <f>28/12</f>
        <v>2.3333333333333335</v>
      </c>
      <c r="E24" s="64" t="s">
        <v>5</v>
      </c>
      <c r="F24" s="65"/>
      <c r="G24" s="59"/>
      <c r="H24" s="29"/>
      <c r="I24" s="29"/>
      <c r="J24" s="56"/>
      <c r="K24" s="62"/>
      <c r="L24" s="61"/>
    </row>
    <row r="25" spans="1:19" x14ac:dyDescent="0.25">
      <c r="A25" s="31"/>
      <c r="B25" s="65"/>
      <c r="C25" s="65"/>
      <c r="D25" s="80"/>
      <c r="E25" s="65"/>
      <c r="F25" s="65"/>
      <c r="G25" s="65"/>
      <c r="H25" s="65"/>
      <c r="I25" s="29"/>
      <c r="J25" s="56"/>
      <c r="K25" s="62"/>
      <c r="L25" s="61"/>
    </row>
    <row r="26" spans="1:19" x14ac:dyDescent="0.25">
      <c r="A26" s="31"/>
      <c r="B26" s="65"/>
      <c r="C26" s="75" t="s">
        <v>103</v>
      </c>
      <c r="D26" s="1">
        <f>D20+D21+D22+D23*D24</f>
        <v>231</v>
      </c>
      <c r="E26" s="76" t="s">
        <v>25</v>
      </c>
      <c r="F26" s="28"/>
      <c r="G26" s="28"/>
      <c r="H26" s="28"/>
      <c r="I26" s="29"/>
      <c r="J26" s="56"/>
      <c r="K26" s="46"/>
      <c r="L26" s="61"/>
    </row>
    <row r="27" spans="1:19" x14ac:dyDescent="0.25">
      <c r="A27" s="31"/>
      <c r="B27" s="65"/>
      <c r="C27" s="123" t="s">
        <v>103</v>
      </c>
      <c r="D27" s="117">
        <f>D26/9</f>
        <v>25.666666666666668</v>
      </c>
      <c r="E27" s="124" t="s">
        <v>47</v>
      </c>
      <c r="F27" s="28"/>
      <c r="G27" s="28"/>
      <c r="H27" s="28"/>
      <c r="I27" s="29"/>
      <c r="J27" s="56"/>
      <c r="K27" s="62">
        <f>D27</f>
        <v>25.666666666666668</v>
      </c>
      <c r="L27" s="61"/>
    </row>
    <row r="28" spans="1:19" x14ac:dyDescent="0.25">
      <c r="A28" s="31"/>
      <c r="B28" s="65"/>
      <c r="C28" s="65"/>
      <c r="D28" s="73"/>
      <c r="E28" s="59"/>
      <c r="F28" s="1"/>
      <c r="G28" s="65"/>
      <c r="H28" s="65"/>
      <c r="I28" s="48"/>
      <c r="J28" s="56"/>
      <c r="K28" s="46"/>
      <c r="L28" s="61"/>
    </row>
    <row r="29" spans="1:19" x14ac:dyDescent="0.25">
      <c r="A29" s="31"/>
      <c r="B29" s="65"/>
      <c r="C29" s="75"/>
      <c r="D29" s="1"/>
      <c r="E29" s="76"/>
      <c r="F29" s="28"/>
      <c r="G29" s="59"/>
      <c r="H29" s="29"/>
      <c r="I29" s="29"/>
      <c r="J29" s="56"/>
      <c r="K29" s="62"/>
      <c r="L29" s="33"/>
    </row>
    <row r="30" spans="1:19" x14ac:dyDescent="0.25">
      <c r="A30" s="31"/>
      <c r="B30" s="65"/>
      <c r="C30" s="121"/>
      <c r="D30" s="1"/>
      <c r="E30" s="65"/>
      <c r="F30" s="28"/>
      <c r="G30" s="65"/>
      <c r="H30" s="65"/>
      <c r="I30" s="29"/>
      <c r="J30" s="56"/>
      <c r="K30" s="62"/>
      <c r="L30" s="33"/>
    </row>
    <row r="31" spans="1:19" x14ac:dyDescent="0.25">
      <c r="A31" s="31"/>
      <c r="B31" s="65"/>
      <c r="C31" s="59"/>
      <c r="D31" s="1"/>
      <c r="E31" s="64"/>
      <c r="F31" s="28"/>
      <c r="G31" s="65"/>
      <c r="H31" s="65"/>
      <c r="I31" s="29"/>
      <c r="J31" s="56"/>
      <c r="K31" s="62"/>
      <c r="L31" s="33"/>
    </row>
    <row r="32" spans="1:19" x14ac:dyDescent="0.25">
      <c r="A32" s="31"/>
      <c r="B32" s="65"/>
      <c r="C32" s="59"/>
      <c r="D32" s="1"/>
      <c r="E32" s="64"/>
      <c r="F32" s="28"/>
      <c r="G32" s="65"/>
      <c r="H32" s="65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65"/>
      <c r="C34" s="65"/>
      <c r="D34" s="65"/>
      <c r="E34" s="65"/>
      <c r="F34" s="65"/>
      <c r="G34" s="65"/>
      <c r="H34" s="65"/>
      <c r="I34" s="29"/>
      <c r="J34" s="56"/>
      <c r="K34" s="62"/>
      <c r="L34" s="33"/>
    </row>
    <row r="35" spans="1:12" x14ac:dyDescent="0.25">
      <c r="A35" s="31"/>
      <c r="B35" s="65"/>
      <c r="C35" s="65"/>
      <c r="D35" s="65"/>
      <c r="E35" s="65"/>
      <c r="F35" s="65"/>
      <c r="G35" s="65"/>
      <c r="H35" s="65"/>
      <c r="I35" s="29"/>
      <c r="J35" s="56"/>
      <c r="K35" s="62"/>
      <c r="L35" s="33"/>
    </row>
    <row r="36" spans="1:12" x14ac:dyDescent="0.25">
      <c r="A36" s="31"/>
      <c r="B36" s="65"/>
      <c r="C36" s="65"/>
      <c r="D36" s="65"/>
      <c r="E36" s="65"/>
      <c r="F36" s="65"/>
      <c r="G36" s="65"/>
      <c r="H36" s="65"/>
      <c r="I36" s="29"/>
      <c r="J36" s="56"/>
      <c r="K36" s="62"/>
      <c r="L36" s="33"/>
    </row>
    <row r="37" spans="1:12" x14ac:dyDescent="0.25">
      <c r="A37" s="31"/>
      <c r="B37" s="28"/>
      <c r="C37" s="28"/>
      <c r="D37" s="28"/>
      <c r="E37" s="28"/>
      <c r="F37" s="28"/>
      <c r="G37" s="28"/>
      <c r="H37" s="49"/>
      <c r="I37" s="29"/>
      <c r="J37" s="56"/>
      <c r="K37" s="62"/>
      <c r="L37" s="33"/>
    </row>
    <row r="38" spans="1:12" ht="15.75" thickBot="1" x14ac:dyDescent="0.3">
      <c r="A38" s="58"/>
      <c r="B38" s="37"/>
      <c r="C38" s="37"/>
      <c r="D38" s="37"/>
      <c r="E38" s="38"/>
      <c r="F38" s="38"/>
      <c r="G38" s="39"/>
      <c r="H38" s="37"/>
      <c r="I38" s="40"/>
      <c r="J38" s="41"/>
      <c r="K38" s="47"/>
      <c r="L38" s="36"/>
    </row>
    <row r="39" spans="1:12" ht="15.75" thickBot="1" x14ac:dyDescent="0.3">
      <c r="A39" s="137" t="s">
        <v>3</v>
      </c>
      <c r="B39" s="138"/>
      <c r="C39" s="138"/>
      <c r="D39" s="138"/>
      <c r="E39" s="138"/>
      <c r="F39" s="138"/>
      <c r="G39" s="138"/>
      <c r="H39" s="138"/>
      <c r="I39" s="138"/>
      <c r="J39" s="139"/>
      <c r="K39" s="42">
        <f>SUM(K8:K38)</f>
        <v>106.4814814814815</v>
      </c>
      <c r="L39" s="43">
        <f>K39</f>
        <v>106.4814814814815</v>
      </c>
    </row>
  </sheetData>
  <mergeCells count="13">
    <mergeCell ref="C5:J5"/>
    <mergeCell ref="I1:J1"/>
    <mergeCell ref="I2:J2"/>
    <mergeCell ref="C4:D4"/>
    <mergeCell ref="F4:G4"/>
    <mergeCell ref="I4:L4"/>
    <mergeCell ref="A39:J39"/>
    <mergeCell ref="A7:J7"/>
    <mergeCell ref="Q9:S9"/>
    <mergeCell ref="Q10:S10"/>
    <mergeCell ref="Q12:S12"/>
    <mergeCell ref="Q13:S13"/>
    <mergeCell ref="Q18:S18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S36"/>
  <sheetViews>
    <sheetView view="pageBreakPreview" zoomScaleNormal="100" zoomScaleSheetLayoutView="100" workbookViewId="0">
      <selection activeCell="D11" sqref="D11"/>
    </sheetView>
  </sheetViews>
  <sheetFormatPr defaultColWidth="8.85546875" defaultRowHeight="15" x14ac:dyDescent="0.25"/>
  <cols>
    <col min="1" max="1" width="5.42578125" customWidth="1"/>
    <col min="8" max="8" width="12.5703125" customWidth="1"/>
  </cols>
  <sheetData>
    <row r="1" spans="1:19" ht="18.75" x14ac:dyDescent="0.4">
      <c r="A1" s="3" t="s">
        <v>6</v>
      </c>
      <c r="B1" s="4"/>
      <c r="C1" s="5"/>
      <c r="D1" s="6" t="s">
        <v>7</v>
      </c>
      <c r="E1" s="7" t="s">
        <v>8</v>
      </c>
      <c r="F1" s="6" t="s">
        <v>9</v>
      </c>
      <c r="G1" s="8">
        <v>45107</v>
      </c>
      <c r="H1" s="6" t="s">
        <v>10</v>
      </c>
      <c r="I1" s="149" t="s">
        <v>107</v>
      </c>
      <c r="J1" s="150"/>
      <c r="K1" s="5"/>
      <c r="L1" s="9"/>
    </row>
    <row r="2" spans="1:19" ht="18.75" x14ac:dyDescent="0.4">
      <c r="A2" s="10" t="s">
        <v>11</v>
      </c>
      <c r="B2" s="11"/>
      <c r="D2" s="12" t="s">
        <v>12</v>
      </c>
      <c r="E2" s="13" t="s">
        <v>111</v>
      </c>
      <c r="F2" s="12" t="s">
        <v>9</v>
      </c>
      <c r="G2" s="14">
        <v>45134</v>
      </c>
      <c r="H2" s="15" t="s">
        <v>13</v>
      </c>
      <c r="I2" s="151">
        <f>'512E10100'!I2:J2+1</f>
        <v>7</v>
      </c>
      <c r="J2" s="152"/>
      <c r="L2" s="16"/>
    </row>
    <row r="3" spans="1:19" x14ac:dyDescent="0.25">
      <c r="A3" s="17"/>
      <c r="L3" s="16"/>
    </row>
    <row r="4" spans="1:19" x14ac:dyDescent="0.25">
      <c r="A4" s="18" t="s">
        <v>14</v>
      </c>
      <c r="B4" s="19"/>
      <c r="C4" s="153">
        <v>108774</v>
      </c>
      <c r="D4" s="153"/>
      <c r="E4" s="20" t="s">
        <v>15</v>
      </c>
      <c r="F4" s="154" t="s">
        <v>29</v>
      </c>
      <c r="G4" s="154"/>
      <c r="H4" s="20" t="s">
        <v>16</v>
      </c>
      <c r="I4" s="155" t="s">
        <v>51</v>
      </c>
      <c r="J4" s="155"/>
      <c r="K4" s="155"/>
      <c r="L4" s="156"/>
    </row>
    <row r="5" spans="1:19" x14ac:dyDescent="0.25">
      <c r="A5" s="18" t="s">
        <v>17</v>
      </c>
      <c r="B5" s="19"/>
      <c r="C5" s="147" t="s">
        <v>105</v>
      </c>
      <c r="D5" s="148"/>
      <c r="E5" s="148"/>
      <c r="F5" s="148"/>
      <c r="G5" s="148"/>
      <c r="H5" s="148"/>
      <c r="I5" s="148"/>
      <c r="J5" s="148"/>
      <c r="K5" s="19" t="s">
        <v>18</v>
      </c>
      <c r="L5" s="21" t="s">
        <v>25</v>
      </c>
    </row>
    <row r="6" spans="1:19" ht="15.75" thickBo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9" ht="15.75" thickBot="1" x14ac:dyDescent="0.3">
      <c r="A7" s="140" t="s">
        <v>2</v>
      </c>
      <c r="B7" s="141"/>
      <c r="C7" s="141"/>
      <c r="D7" s="141"/>
      <c r="E7" s="141"/>
      <c r="F7" s="141"/>
      <c r="G7" s="141"/>
      <c r="H7" s="141"/>
      <c r="I7" s="141"/>
      <c r="J7" s="142"/>
      <c r="K7" s="25" t="s">
        <v>19</v>
      </c>
      <c r="L7" s="26" t="s">
        <v>3</v>
      </c>
    </row>
    <row r="8" spans="1:19" x14ac:dyDescent="0.25">
      <c r="A8" s="51"/>
      <c r="B8" s="27"/>
      <c r="C8" s="52"/>
      <c r="D8" s="53"/>
      <c r="E8" s="27"/>
      <c r="F8" s="27"/>
      <c r="G8" s="27"/>
      <c r="H8" s="27"/>
      <c r="I8" s="54"/>
      <c r="J8" s="55"/>
      <c r="K8" s="45"/>
      <c r="L8" s="30"/>
    </row>
    <row r="9" spans="1:19" x14ac:dyDescent="0.25">
      <c r="A9" s="66"/>
      <c r="B9" s="64" t="s">
        <v>53</v>
      </c>
      <c r="C9" s="28"/>
      <c r="D9" s="65"/>
      <c r="E9" s="59"/>
      <c r="F9" s="28"/>
      <c r="G9" s="28"/>
      <c r="H9" s="28"/>
      <c r="I9" s="29"/>
      <c r="J9" s="56"/>
      <c r="K9" s="63"/>
      <c r="L9" s="61"/>
      <c r="Q9" s="143"/>
      <c r="R9" s="144"/>
      <c r="S9" s="144"/>
    </row>
    <row r="10" spans="1:19" x14ac:dyDescent="0.25">
      <c r="A10" s="66"/>
      <c r="B10" s="59"/>
      <c r="C10" s="59" t="s">
        <v>106</v>
      </c>
      <c r="D10" s="1">
        <v>6</v>
      </c>
      <c r="E10" s="64" t="s">
        <v>85</v>
      </c>
      <c r="F10" s="1"/>
      <c r="G10" s="65"/>
      <c r="H10" s="65"/>
      <c r="I10" s="29"/>
      <c r="J10" s="56"/>
      <c r="K10" s="62"/>
      <c r="L10" s="61"/>
      <c r="Q10" s="143"/>
      <c r="R10" s="144"/>
      <c r="S10" s="144"/>
    </row>
    <row r="11" spans="1:19" x14ac:dyDescent="0.25">
      <c r="A11" s="66"/>
      <c r="B11" s="59"/>
      <c r="C11" s="75" t="s">
        <v>26</v>
      </c>
      <c r="D11" s="77">
        <v>112</v>
      </c>
      <c r="E11" s="76" t="s">
        <v>5</v>
      </c>
      <c r="F11" s="28"/>
      <c r="G11" s="65"/>
      <c r="H11" s="65"/>
      <c r="I11" s="29"/>
      <c r="J11" s="56"/>
      <c r="K11" s="62"/>
      <c r="L11" s="61"/>
      <c r="Q11" s="67"/>
      <c r="R11" s="68"/>
      <c r="S11" s="68"/>
    </row>
    <row r="12" spans="1:19" x14ac:dyDescent="0.25">
      <c r="A12" s="31"/>
      <c r="B12" s="59"/>
      <c r="C12" s="75"/>
      <c r="D12" s="77"/>
      <c r="E12" s="76"/>
      <c r="F12" s="65"/>
      <c r="G12" s="65"/>
      <c r="H12" s="65"/>
      <c r="I12" s="48"/>
      <c r="J12" s="56"/>
      <c r="K12" s="46"/>
      <c r="L12" s="61"/>
    </row>
    <row r="13" spans="1:19" x14ac:dyDescent="0.25">
      <c r="A13" s="31"/>
      <c r="B13" s="65"/>
      <c r="C13" s="123" t="s">
        <v>102</v>
      </c>
      <c r="D13" s="117">
        <f>D10/12*D11</f>
        <v>56</v>
      </c>
      <c r="E13" s="124" t="s">
        <v>25</v>
      </c>
      <c r="F13" s="65"/>
      <c r="G13" s="28"/>
      <c r="H13" s="49"/>
      <c r="I13" s="28"/>
      <c r="J13" s="56"/>
      <c r="K13" s="62">
        <f>D13</f>
        <v>56</v>
      </c>
      <c r="L13" s="61"/>
    </row>
    <row r="14" spans="1:19" x14ac:dyDescent="0.25">
      <c r="A14" s="31"/>
      <c r="B14" s="65"/>
      <c r="C14" s="123"/>
      <c r="D14" s="126"/>
      <c r="E14" s="124"/>
      <c r="F14" s="65"/>
      <c r="G14" s="28"/>
      <c r="H14" s="49"/>
      <c r="I14" s="28"/>
      <c r="J14" s="56"/>
      <c r="K14" s="62"/>
      <c r="L14" s="61"/>
    </row>
    <row r="15" spans="1:19" x14ac:dyDescent="0.25">
      <c r="A15" s="66"/>
      <c r="B15" s="65"/>
      <c r="C15" s="65"/>
      <c r="D15" s="73"/>
      <c r="E15" s="65"/>
      <c r="F15" s="28"/>
      <c r="G15" s="50"/>
      <c r="H15" s="50"/>
      <c r="I15" s="34"/>
      <c r="J15" s="56"/>
      <c r="K15" s="63"/>
      <c r="L15" s="61"/>
      <c r="Q15" s="143"/>
      <c r="R15" s="144"/>
      <c r="S15" s="144"/>
    </row>
    <row r="16" spans="1:19" x14ac:dyDescent="0.25">
      <c r="A16" s="66"/>
      <c r="B16" s="64"/>
      <c r="C16" s="65"/>
      <c r="D16" s="65"/>
      <c r="E16" s="65"/>
      <c r="F16" s="28"/>
      <c r="G16" s="28"/>
      <c r="H16" s="28"/>
      <c r="I16" s="29"/>
      <c r="J16" s="56"/>
      <c r="K16" s="63"/>
      <c r="L16" s="61"/>
      <c r="Q16" s="67"/>
      <c r="R16" s="68"/>
      <c r="S16" s="68"/>
    </row>
    <row r="17" spans="1:12" x14ac:dyDescent="0.25">
      <c r="A17" s="31"/>
      <c r="B17" s="65"/>
      <c r="C17" s="59"/>
      <c r="D17" s="28"/>
      <c r="E17" s="64"/>
      <c r="F17" s="28"/>
      <c r="G17" s="65"/>
      <c r="H17" s="65"/>
      <c r="I17" s="29"/>
      <c r="J17" s="56"/>
      <c r="K17" s="63"/>
      <c r="L17" s="61"/>
    </row>
    <row r="18" spans="1:12" x14ac:dyDescent="0.25">
      <c r="A18" s="31"/>
      <c r="B18" s="65"/>
      <c r="C18" s="59"/>
      <c r="D18" s="28"/>
      <c r="E18" s="64"/>
      <c r="F18" s="28"/>
      <c r="G18" s="65"/>
      <c r="H18" s="65"/>
      <c r="I18" s="29"/>
      <c r="J18" s="56"/>
      <c r="K18" s="63"/>
      <c r="L18" s="61"/>
    </row>
    <row r="19" spans="1:12" x14ac:dyDescent="0.25">
      <c r="A19" s="31"/>
      <c r="B19" s="65"/>
      <c r="C19" s="59"/>
      <c r="D19" s="28"/>
      <c r="E19" s="64"/>
      <c r="F19" s="28"/>
      <c r="G19" s="65"/>
      <c r="H19" s="65"/>
      <c r="I19" s="29"/>
      <c r="J19" s="56"/>
      <c r="K19" s="63"/>
      <c r="L19" s="61"/>
    </row>
    <row r="20" spans="1:12" x14ac:dyDescent="0.25">
      <c r="A20" s="31"/>
      <c r="B20" s="65"/>
      <c r="C20" s="59"/>
      <c r="D20" s="28"/>
      <c r="E20" s="64"/>
      <c r="F20" s="65"/>
      <c r="G20" s="59"/>
      <c r="H20" s="29"/>
      <c r="I20" s="29"/>
      <c r="J20" s="56"/>
      <c r="K20" s="62"/>
      <c r="L20" s="61"/>
    </row>
    <row r="21" spans="1:12" x14ac:dyDescent="0.25">
      <c r="A21" s="31"/>
      <c r="B21" s="65"/>
      <c r="C21" s="59"/>
      <c r="D21" s="1"/>
      <c r="E21" s="64"/>
      <c r="F21" s="65"/>
      <c r="G21" s="59"/>
      <c r="H21" s="29"/>
      <c r="I21" s="29"/>
      <c r="J21" s="56"/>
      <c r="K21" s="62"/>
      <c r="L21" s="61"/>
    </row>
    <row r="22" spans="1:12" x14ac:dyDescent="0.25">
      <c r="A22" s="31"/>
      <c r="B22" s="65"/>
      <c r="C22" s="65"/>
      <c r="D22" s="80"/>
      <c r="E22" s="65"/>
      <c r="F22" s="65"/>
      <c r="G22" s="65"/>
      <c r="H22" s="65"/>
      <c r="I22" s="29"/>
      <c r="J22" s="56"/>
      <c r="K22" s="62"/>
      <c r="L22" s="61"/>
    </row>
    <row r="23" spans="1:12" x14ac:dyDescent="0.25">
      <c r="A23" s="31"/>
      <c r="B23" s="65"/>
      <c r="C23" s="75"/>
      <c r="D23" s="1"/>
      <c r="E23" s="76"/>
      <c r="F23" s="28"/>
      <c r="G23" s="28"/>
      <c r="H23" s="28"/>
      <c r="I23" s="29"/>
      <c r="J23" s="56"/>
      <c r="K23" s="46"/>
      <c r="L23" s="61"/>
    </row>
    <row r="24" spans="1:12" x14ac:dyDescent="0.25">
      <c r="A24" s="31"/>
      <c r="B24" s="65"/>
      <c r="C24" s="123"/>
      <c r="D24" s="1"/>
      <c r="E24" s="124"/>
      <c r="F24" s="28"/>
      <c r="G24" s="28"/>
      <c r="H24" s="28"/>
      <c r="I24" s="29"/>
      <c r="J24" s="56"/>
      <c r="K24" s="62"/>
      <c r="L24" s="61"/>
    </row>
    <row r="25" spans="1:12" x14ac:dyDescent="0.25">
      <c r="A25" s="31"/>
      <c r="B25" s="65"/>
      <c r="C25" s="65"/>
      <c r="D25" s="73"/>
      <c r="E25" s="59"/>
      <c r="F25" s="1"/>
      <c r="G25" s="65"/>
      <c r="H25" s="65"/>
      <c r="I25" s="48"/>
      <c r="J25" s="56"/>
      <c r="K25" s="46"/>
      <c r="L25" s="61"/>
    </row>
    <row r="26" spans="1:12" x14ac:dyDescent="0.25">
      <c r="A26" s="31"/>
      <c r="B26" s="65"/>
      <c r="C26" s="75"/>
      <c r="D26" s="1"/>
      <c r="E26" s="76"/>
      <c r="F26" s="28"/>
      <c r="G26" s="59"/>
      <c r="H26" s="29"/>
      <c r="I26" s="29"/>
      <c r="J26" s="56"/>
      <c r="K26" s="62"/>
      <c r="L26" s="33"/>
    </row>
    <row r="27" spans="1:12" x14ac:dyDescent="0.25">
      <c r="A27" s="31"/>
      <c r="B27" s="65"/>
      <c r="C27" s="121"/>
      <c r="D27" s="1"/>
      <c r="E27" s="65"/>
      <c r="F27" s="28"/>
      <c r="G27" s="65"/>
      <c r="H27" s="65"/>
      <c r="I27" s="29"/>
      <c r="J27" s="56"/>
      <c r="K27" s="62"/>
      <c r="L27" s="33"/>
    </row>
    <row r="28" spans="1:12" x14ac:dyDescent="0.25">
      <c r="A28" s="31"/>
      <c r="B28" s="65"/>
      <c r="C28" s="59"/>
      <c r="D28" s="1"/>
      <c r="E28" s="64"/>
      <c r="F28" s="28"/>
      <c r="G28" s="65"/>
      <c r="H28" s="65"/>
      <c r="I28" s="29"/>
      <c r="J28" s="56"/>
      <c r="K28" s="62"/>
      <c r="L28" s="33"/>
    </row>
    <row r="29" spans="1:12" x14ac:dyDescent="0.25">
      <c r="A29" s="31"/>
      <c r="B29" s="65"/>
      <c r="C29" s="59"/>
      <c r="D29" s="1"/>
      <c r="E29" s="64"/>
      <c r="F29" s="28"/>
      <c r="G29" s="65"/>
      <c r="H29" s="65"/>
      <c r="I29" s="29"/>
      <c r="J29" s="56"/>
      <c r="K29" s="62"/>
      <c r="L29" s="33"/>
    </row>
    <row r="30" spans="1:12" x14ac:dyDescent="0.25">
      <c r="A30" s="31"/>
      <c r="B30" s="65"/>
      <c r="C30" s="65"/>
      <c r="D30" s="65"/>
      <c r="E30" s="65"/>
      <c r="F30" s="65"/>
      <c r="G30" s="65"/>
      <c r="H30" s="65"/>
      <c r="I30" s="29"/>
      <c r="J30" s="56"/>
      <c r="K30" s="62"/>
      <c r="L30" s="33"/>
    </row>
    <row r="31" spans="1:12" x14ac:dyDescent="0.25">
      <c r="A31" s="31"/>
      <c r="B31" s="65"/>
      <c r="C31" s="65"/>
      <c r="D31" s="65"/>
      <c r="E31" s="65"/>
      <c r="F31" s="65"/>
      <c r="G31" s="65"/>
      <c r="H31" s="65"/>
      <c r="I31" s="29"/>
      <c r="J31" s="56"/>
      <c r="K31" s="62"/>
      <c r="L31" s="33"/>
    </row>
    <row r="32" spans="1:12" x14ac:dyDescent="0.25">
      <c r="A32" s="31"/>
      <c r="B32" s="65"/>
      <c r="C32" s="65"/>
      <c r="D32" s="65"/>
      <c r="E32" s="65"/>
      <c r="F32" s="65"/>
      <c r="G32" s="65"/>
      <c r="H32" s="65"/>
      <c r="I32" s="29"/>
      <c r="J32" s="56"/>
      <c r="K32" s="62"/>
      <c r="L32" s="33"/>
    </row>
    <row r="33" spans="1:12" x14ac:dyDescent="0.25">
      <c r="A33" s="31"/>
      <c r="B33" s="65"/>
      <c r="C33" s="65"/>
      <c r="D33" s="65"/>
      <c r="E33" s="65"/>
      <c r="F33" s="65"/>
      <c r="G33" s="65"/>
      <c r="H33" s="65"/>
      <c r="I33" s="29"/>
      <c r="J33" s="56"/>
      <c r="K33" s="62"/>
      <c r="L33" s="33"/>
    </row>
    <row r="34" spans="1:12" x14ac:dyDescent="0.25">
      <c r="A34" s="31"/>
      <c r="B34" s="28"/>
      <c r="C34" s="28"/>
      <c r="D34" s="28"/>
      <c r="E34" s="28"/>
      <c r="F34" s="28"/>
      <c r="G34" s="28"/>
      <c r="H34" s="49"/>
      <c r="I34" s="29"/>
      <c r="J34" s="56"/>
      <c r="K34" s="62"/>
      <c r="L34" s="33"/>
    </row>
    <row r="35" spans="1:12" ht="15.75" thickBot="1" x14ac:dyDescent="0.3">
      <c r="A35" s="58"/>
      <c r="B35" s="37"/>
      <c r="C35" s="37"/>
      <c r="D35" s="37"/>
      <c r="E35" s="38"/>
      <c r="F35" s="38"/>
      <c r="G35" s="39"/>
      <c r="H35" s="37"/>
      <c r="I35" s="40"/>
      <c r="J35" s="41"/>
      <c r="K35" s="47"/>
      <c r="L35" s="36"/>
    </row>
    <row r="36" spans="1:12" ht="15.75" thickBot="1" x14ac:dyDescent="0.3">
      <c r="A36" s="137" t="s">
        <v>3</v>
      </c>
      <c r="B36" s="138"/>
      <c r="C36" s="138"/>
      <c r="D36" s="138"/>
      <c r="E36" s="138"/>
      <c r="F36" s="138"/>
      <c r="G36" s="138"/>
      <c r="H36" s="138"/>
      <c r="I36" s="138"/>
      <c r="J36" s="139"/>
      <c r="K36" s="42">
        <f>SUM(K8:K35)</f>
        <v>56</v>
      </c>
      <c r="L36" s="43">
        <f>K36</f>
        <v>56</v>
      </c>
    </row>
  </sheetData>
  <mergeCells count="11">
    <mergeCell ref="A36:J36"/>
    <mergeCell ref="A7:J7"/>
    <mergeCell ref="Q9:S9"/>
    <mergeCell ref="Q10:S10"/>
    <mergeCell ref="Q15:S15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STAGE 2 BLANK</vt:lpstr>
      <vt:lpstr>FINAL QUANTITIES</vt:lpstr>
      <vt:lpstr>202E11200</vt:lpstr>
      <vt:lpstr>304E20000</vt:lpstr>
      <vt:lpstr>503E11100</vt:lpstr>
      <vt:lpstr>509E10000</vt:lpstr>
      <vt:lpstr>511E53010</vt:lpstr>
      <vt:lpstr>512E10100</vt:lpstr>
      <vt:lpstr>516E13200</vt:lpstr>
      <vt:lpstr>518E21200</vt:lpstr>
      <vt:lpstr>530E00200</vt:lpstr>
      <vt:lpstr>870E10001</vt:lpstr>
      <vt:lpstr>870E11000</vt:lpstr>
      <vt:lpstr>870E11100</vt:lpstr>
      <vt:lpstr>870E12000</vt:lpstr>
      <vt:lpstr>870E12100</vt:lpstr>
      <vt:lpstr>870E14000</vt:lpstr>
      <vt:lpstr>878E25000</vt:lpstr>
      <vt:lpstr>Sheet1</vt:lpstr>
      <vt:lpstr>530E50030</vt:lpstr>
      <vt:lpstr>'202E11200'!Print_Area</vt:lpstr>
      <vt:lpstr>'304E20000'!Print_Area</vt:lpstr>
      <vt:lpstr>'503E11100'!Print_Area</vt:lpstr>
      <vt:lpstr>'509E10000'!Print_Area</vt:lpstr>
      <vt:lpstr>'511E53010'!Print_Area</vt:lpstr>
      <vt:lpstr>'512E10100'!Print_Area</vt:lpstr>
      <vt:lpstr>'516E13200'!Print_Area</vt:lpstr>
      <vt:lpstr>'518E21200'!Print_Area</vt:lpstr>
      <vt:lpstr>'530E00200'!Print_Area</vt:lpstr>
      <vt:lpstr>'530E50030'!Print_Area</vt:lpstr>
      <vt:lpstr>'870E10001'!Print_Area</vt:lpstr>
      <vt:lpstr>'870E11000'!Print_Area</vt:lpstr>
      <vt:lpstr>'870E11100'!Print_Area</vt:lpstr>
      <vt:lpstr>'870E12000'!Print_Area</vt:lpstr>
      <vt:lpstr>'870E12100'!Print_Area</vt:lpstr>
      <vt:lpstr>'870E14000'!Print_Area</vt:lpstr>
      <vt:lpstr>'878E25000'!Print_Area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Penman, Jillian</dc:creator>
  <cp:lastModifiedBy>Penman, Jillian</cp:lastModifiedBy>
  <cp:lastPrinted>2023-07-28T15:42:23Z</cp:lastPrinted>
  <dcterms:created xsi:type="dcterms:W3CDTF">2021-06-29T13:12:50Z</dcterms:created>
  <dcterms:modified xsi:type="dcterms:W3CDTF">2024-08-26T15:55:22Z</dcterms:modified>
</cp:coreProperties>
</file>