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ngineering\Projects\ODOT 2022 Urban Paving Program PID 108935\108935\Design\SupportingData\Airway-Highway\"/>
    </mc:Choice>
  </mc:AlternateContent>
  <bookViews>
    <workbookView xWindow="0" yWindow="1800" windowWidth="0" windowHeight="9945"/>
  </bookViews>
  <sheets>
    <sheet name="Sheet1" sheetId="1" r:id="rId1"/>
  </sheets>
  <definedNames>
    <definedName name="_xlnm.Print_Area" localSheetId="0">Sheet1!$A$1:$F$59</definedName>
  </definedNames>
  <calcPr calcId="162913"/>
</workbook>
</file>

<file path=xl/calcChain.xml><?xml version="1.0" encoding="utf-8"?>
<calcChain xmlns="http://schemas.openxmlformats.org/spreadsheetml/2006/main">
  <c r="C32" i="1" l="1"/>
  <c r="C34" i="1" s="1"/>
  <c r="C18" i="1"/>
  <c r="B18" i="1"/>
  <c r="C15" i="1"/>
  <c r="B15" i="1"/>
  <c r="C51" i="1"/>
  <c r="C52" i="1" s="1"/>
  <c r="B51" i="1"/>
  <c r="B52" i="1"/>
  <c r="B54" i="1" s="1"/>
  <c r="C41" i="1"/>
  <c r="C42" i="1" s="1"/>
  <c r="B41" i="1"/>
  <c r="B42" i="1" s="1"/>
  <c r="C31" i="1"/>
  <c r="B31" i="1"/>
  <c r="B32" i="1" s="1"/>
  <c r="C29" i="1"/>
  <c r="C30" i="1"/>
  <c r="C39" i="1"/>
  <c r="C47" i="1" s="1"/>
  <c r="C40" i="1"/>
  <c r="B39" i="1"/>
  <c r="B47" i="1" s="1"/>
  <c r="B40" i="1"/>
  <c r="C27" i="1"/>
  <c r="B27" i="1"/>
  <c r="C49" i="1"/>
  <c r="C57" i="1" s="1"/>
  <c r="B49" i="1"/>
  <c r="B57" i="1" s="1"/>
  <c r="B30" i="1"/>
  <c r="B29" i="1"/>
  <c r="C20" i="1"/>
  <c r="B20" i="1"/>
  <c r="A3" i="1"/>
  <c r="C36" i="1" l="1"/>
  <c r="C45" i="1"/>
  <c r="C44" i="1"/>
  <c r="C46" i="1"/>
  <c r="C43" i="1"/>
  <c r="C35" i="1"/>
  <c r="B36" i="1"/>
  <c r="B33" i="1"/>
  <c r="B34" i="1"/>
  <c r="B35" i="1"/>
  <c r="B43" i="1"/>
  <c r="B46" i="1"/>
  <c r="B45" i="1"/>
  <c r="B44" i="1"/>
  <c r="B37" i="1"/>
  <c r="C56" i="1"/>
  <c r="C54" i="1"/>
  <c r="C53" i="1"/>
  <c r="C55" i="1"/>
  <c r="C33" i="1"/>
  <c r="C37" i="1" s="1"/>
  <c r="B55" i="1"/>
  <c r="B53" i="1"/>
  <c r="B56" i="1"/>
</calcChain>
</file>

<file path=xl/sharedStrings.xml><?xml version="1.0" encoding="utf-8"?>
<sst xmlns="http://schemas.openxmlformats.org/spreadsheetml/2006/main" count="85" uniqueCount="66">
  <si>
    <t>FAA Airway/Highway Clearance Analysis</t>
  </si>
  <si>
    <t>Distance to nearest end of runway to project</t>
  </si>
  <si>
    <t>Runway Length</t>
  </si>
  <si>
    <t>Is Horizontal Distance &lt;20,000 feet?</t>
  </si>
  <si>
    <t>Is Runway Length &gt;3,200 feet</t>
  </si>
  <si>
    <t>100:1 Height</t>
  </si>
  <si>
    <t>100:1 Elevation</t>
  </si>
  <si>
    <t>50:1 Height</t>
  </si>
  <si>
    <t>50:1 Elevation</t>
  </si>
  <si>
    <t>Is Horizontal Distance &lt;10,000 feet?</t>
  </si>
  <si>
    <t>Is Horizontal Distance &lt;5,000 feet?</t>
  </si>
  <si>
    <t>Is this a Heliport?</t>
  </si>
  <si>
    <t>25:1 Height</t>
  </si>
  <si>
    <t>25:1 Elevation</t>
  </si>
  <si>
    <t>Official Airport/Heliport Elevation</t>
  </si>
  <si>
    <t>NO</t>
  </si>
  <si>
    <t>Is construction 200' above ground?</t>
  </si>
  <si>
    <t>Is FAA Notification Required?</t>
  </si>
  <si>
    <t>Height of Temporary Structure</t>
  </si>
  <si>
    <t>Traverse Way Adjustment</t>
  </si>
  <si>
    <t>Does traversing vehicles penetrate airway?</t>
  </si>
  <si>
    <t>FAA Notification Required?</t>
  </si>
  <si>
    <t>Available elevation above traversing vehicles</t>
  </si>
  <si>
    <t>Does permanent feature penetrate airway?</t>
  </si>
  <si>
    <t>Does temporary conditions penetrate airway?</t>
  </si>
  <si>
    <t xml:space="preserve">Object:  </t>
  </si>
  <si>
    <t>Pole/Structure Adjustment</t>
  </si>
  <si>
    <t>Elevation of Pavement</t>
  </si>
  <si>
    <t>Highest Elevation of Permanent Feature</t>
  </si>
  <si>
    <t>Highest Elevation of Temporary Feature</t>
  </si>
  <si>
    <t>Latitude</t>
  </si>
  <si>
    <t>Longitude</t>
  </si>
  <si>
    <t>from online sources</t>
  </si>
  <si>
    <t>WORK TYPE HEIGHT CONTROLLING CRITERIA</t>
  </si>
  <si>
    <t>Barrier Construction 50 Ft. Crane</t>
  </si>
  <si>
    <t>Bikeways 25 Ft, Truck</t>
  </si>
  <si>
    <t>Bridge Painting Bridge Height + 10 Ft. Containment Structure</t>
  </si>
  <si>
    <t>Culverts 50 Ft. Crane</t>
  </si>
  <si>
    <t>Deck Overlays 25 Ft. Truck</t>
  </si>
  <si>
    <t>Earthwork 25 Ft. Truck</t>
  </si>
  <si>
    <t>Guardrail 25 Ft. Auger</t>
  </si>
  <si>
    <t>Highway Lighting Pole Height Pole Height</t>
  </si>
  <si>
    <t>House Demolition 25 Ft. Excavator</t>
  </si>
  <si>
    <t>Large Bridges 100 Ft. Crane</t>
  </si>
  <si>
    <t>Mowing/Landscaping 10 Ft. Mower</t>
  </si>
  <si>
    <t>Noise Walls 25 Ft. Crane</t>
  </si>
  <si>
    <t>Pavement Marking 12 Ft. Truck</t>
  </si>
  <si>
    <t>Pavement Repair 25 Ft. Raised Dump Truck</t>
  </si>
  <si>
    <t>Pile Driving 50 Ft. Crane</t>
  </si>
  <si>
    <t>Resurfacing 25 Ft. Raised Dump Truck</t>
  </si>
  <si>
    <t>Rest Areas 50 Ft. Crane</t>
  </si>
  <si>
    <t>Slope Repair 25 Ft. Excavator/Grader</t>
  </si>
  <si>
    <t>Small Bridges 60 ft. Crane</t>
  </si>
  <si>
    <t>Traffic Signals 50 Ft. Cherry Picker</t>
  </si>
  <si>
    <t>Trash Collection 25 Ft. Truck</t>
  </si>
  <si>
    <t>The heights given are an average height for the specific types of projects. These</t>
  </si>
  <si>
    <t>heights should be adjusted, as necessary, for any project.</t>
  </si>
  <si>
    <t>Calculated By GKB</t>
  </si>
  <si>
    <t>L &amp; D Vol. 3 Fig 1404-3</t>
  </si>
  <si>
    <t>YES</t>
  </si>
  <si>
    <t>3OH5 -Kettering Health Middletown</t>
  </si>
  <si>
    <t>BUT-SR4-21.48</t>
  </si>
  <si>
    <t>SR 4
Germantown Rd</t>
  </si>
  <si>
    <t>SR 4 at Tytus Ave</t>
  </si>
  <si>
    <t>173+19</t>
  </si>
  <si>
    <t>128+63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</si>
</sst>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m\ d\,\ yyyy"/>
    <numFmt numFmtId="165" formatCode="##,###\'"/>
    <numFmt numFmtId="166" formatCode="##,###.0\'"/>
    <numFmt numFmtId="167" formatCode="0.0"/>
  </numFmts>
  <fonts count="14" x14ac:knownFonts="1">
    <font>
      <sz val="11"/>
      <name val="Times New Roman"/>
    </font>
    <font>
      <sz val="11"/>
      <color indexed="10"/>
      <name val="Times New Roman"/>
      <family val="1"/>
    </font>
    <font>
      <sz val="11"/>
      <color indexed="8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indexed="12"/>
      <name val="Times New Roman"/>
      <family val="1"/>
    </font>
    <font>
      <b/>
      <sz val="11"/>
      <color indexed="12"/>
      <name val="Times New Roman"/>
      <family val="1"/>
    </font>
    <font>
      <sz val="11"/>
      <name val="Times New Roman"/>
      <family val="1"/>
    </font>
    <font>
      <sz val="16"/>
      <name val="Times New Roman"/>
      <family val="1"/>
    </font>
    <font>
      <sz val="11"/>
      <color rgb="FFFFC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quotePrefix="1"/>
    <xf numFmtId="0" fontId="3" fillId="0" borderId="0" xfId="0" applyFont="1"/>
    <xf numFmtId="164" fontId="4" fillId="0" borderId="0" xfId="0" applyNumberFormat="1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46" fontId="0" fillId="0" borderId="2" xfId="0" quotePrefix="1" applyNumberFormat="1" applyBorder="1"/>
    <xf numFmtId="0" fontId="0" fillId="0" borderId="2" xfId="0" quotePrefix="1" applyBorder="1"/>
    <xf numFmtId="0" fontId="0" fillId="0" borderId="4" xfId="0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0" fontId="0" fillId="0" borderId="5" xfId="0" applyBorder="1"/>
    <xf numFmtId="0" fontId="6" fillId="0" borderId="6" xfId="0" applyFont="1" applyBorder="1"/>
    <xf numFmtId="0" fontId="6" fillId="0" borderId="7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4" fontId="0" fillId="0" borderId="0" xfId="0" applyNumberFormat="1" applyBorder="1"/>
    <xf numFmtId="166" fontId="2" fillId="0" borderId="4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67" fontId="2" fillId="0" borderId="4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right"/>
    </xf>
    <xf numFmtId="0" fontId="0" fillId="0" borderId="4" xfId="0" quotePrefix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0" xfId="0" applyFont="1"/>
    <xf numFmtId="0" fontId="10" fillId="0" borderId="11" xfId="0" applyFont="1" applyBorder="1" applyAlignment="1">
      <alignment horizontal="center"/>
    </xf>
    <xf numFmtId="0" fontId="13" fillId="0" borderId="0" xfId="0" applyFont="1"/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2" fillId="0" borderId="0" xfId="0" applyFont="1"/>
    <xf numFmtId="0" fontId="0" fillId="0" borderId="4" xfId="0" applyBorder="1"/>
    <xf numFmtId="0" fontId="9" fillId="0" borderId="4" xfId="0" applyNumberFormat="1" applyFont="1" applyBorder="1" applyAlignment="1">
      <alignment horizontal="center"/>
    </xf>
    <xf numFmtId="165" fontId="9" fillId="0" borderId="4" xfId="0" applyNumberFormat="1" applyFont="1" applyBorder="1" applyAlignment="1">
      <alignment horizontal="left"/>
    </xf>
    <xf numFmtId="0" fontId="9" fillId="0" borderId="4" xfId="0" applyNumberFormat="1" applyFont="1" applyBorder="1" applyAlignment="1">
      <alignment horizontal="left"/>
    </xf>
    <xf numFmtId="165" fontId="1" fillId="0" borderId="4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view="pageBreakPreview" zoomScale="85" zoomScaleNormal="85" zoomScaleSheetLayoutView="85" workbookViewId="0">
      <selection activeCell="E12" sqref="E12"/>
    </sheetView>
  </sheetViews>
  <sheetFormatPr defaultRowHeight="15" x14ac:dyDescent="0.25"/>
  <cols>
    <col min="1" max="1" width="38.42578125" bestFit="1" customWidth="1"/>
    <col min="2" max="2" width="12.85546875" bestFit="1" customWidth="1"/>
    <col min="3" max="3" width="14.28515625" bestFit="1" customWidth="1"/>
    <col min="4" max="4" width="12.85546875" bestFit="1" customWidth="1"/>
    <col min="5" max="5" width="12.7109375" customWidth="1"/>
    <col min="6" max="6" width="13.7109375" bestFit="1" customWidth="1"/>
    <col min="7" max="7" width="13.28515625" style="28" customWidth="1"/>
    <col min="8" max="8" width="52.42578125" customWidth="1"/>
  </cols>
  <sheetData>
    <row r="1" spans="1:8" ht="20.25" x14ac:dyDescent="0.3">
      <c r="A1" s="3" t="s">
        <v>61</v>
      </c>
    </row>
    <row r="2" spans="1:8" ht="15.75" x14ac:dyDescent="0.25">
      <c r="A2" s="5" t="s">
        <v>0</v>
      </c>
    </row>
    <row r="3" spans="1:8" x14ac:dyDescent="0.25">
      <c r="A3" s="4">
        <f ca="1">NOW()</f>
        <v>44267.561920601853</v>
      </c>
      <c r="B3" s="4"/>
    </row>
    <row r="4" spans="1:8" x14ac:dyDescent="0.25">
      <c r="A4" s="4" t="s">
        <v>57</v>
      </c>
      <c r="B4" s="6"/>
    </row>
    <row r="5" spans="1:8" x14ac:dyDescent="0.25">
      <c r="A5" s="4"/>
      <c r="B5" s="6"/>
    </row>
    <row r="6" spans="1:8" ht="45.75" x14ac:dyDescent="0.3">
      <c r="A6" s="38" t="s">
        <v>25</v>
      </c>
      <c r="B6" s="52" t="s">
        <v>62</v>
      </c>
      <c r="C6" s="52" t="s">
        <v>63</v>
      </c>
      <c r="D6" s="52"/>
      <c r="E6" s="25"/>
      <c r="F6" s="25"/>
      <c r="G6" s="29"/>
      <c r="H6" s="54" t="s">
        <v>58</v>
      </c>
    </row>
    <row r="7" spans="1:8" x14ac:dyDescent="0.25">
      <c r="A7" s="21"/>
      <c r="B7" s="53" t="s">
        <v>64</v>
      </c>
      <c r="C7" s="53" t="s">
        <v>65</v>
      </c>
      <c r="D7" s="14"/>
      <c r="E7" s="14"/>
      <c r="F7" s="14"/>
      <c r="G7" s="29"/>
      <c r="H7" t="s">
        <v>33</v>
      </c>
    </row>
    <row r="8" spans="1:8" x14ac:dyDescent="0.25">
      <c r="A8" s="1"/>
    </row>
    <row r="9" spans="1:8" hidden="1" x14ac:dyDescent="0.25">
      <c r="A9" s="1" t="s">
        <v>30</v>
      </c>
      <c r="B9" s="14">
        <v>39.596910000000001</v>
      </c>
      <c r="C9" s="14">
        <v>39.606780000000001</v>
      </c>
      <c r="D9" s="14"/>
      <c r="E9" s="14"/>
      <c r="F9" s="14"/>
    </row>
    <row r="10" spans="1:8" x14ac:dyDescent="0.25">
      <c r="A10" s="1" t="s">
        <v>30</v>
      </c>
      <c r="B10" s="14">
        <v>39.527827700000003</v>
      </c>
      <c r="C10" s="14">
        <v>39.522308000000002</v>
      </c>
      <c r="D10" s="14"/>
      <c r="E10" s="14"/>
      <c r="F10" s="14"/>
      <c r="H10" t="s">
        <v>44</v>
      </c>
    </row>
    <row r="11" spans="1:8" hidden="1" x14ac:dyDescent="0.25">
      <c r="A11" s="1" t="s">
        <v>31</v>
      </c>
      <c r="B11" s="14">
        <v>-84.237459999999999</v>
      </c>
      <c r="C11" s="14">
        <v>-84.234449999999995</v>
      </c>
      <c r="D11" s="14"/>
      <c r="E11" s="14"/>
      <c r="F11" s="14"/>
      <c r="H11" t="s">
        <v>35</v>
      </c>
    </row>
    <row r="12" spans="1:8" x14ac:dyDescent="0.25">
      <c r="A12" s="1" t="s">
        <v>31</v>
      </c>
      <c r="B12" s="39">
        <v>-84.384605399999998</v>
      </c>
      <c r="C12" s="39">
        <v>-84.3952788</v>
      </c>
      <c r="D12" s="39"/>
      <c r="E12" s="39"/>
      <c r="F12" s="39"/>
      <c r="H12" t="s">
        <v>46</v>
      </c>
    </row>
    <row r="13" spans="1:8" x14ac:dyDescent="0.25">
      <c r="A13" s="7" t="s">
        <v>27</v>
      </c>
      <c r="B13" s="40">
        <v>654</v>
      </c>
      <c r="C13" s="41">
        <v>650</v>
      </c>
      <c r="D13" s="41"/>
      <c r="E13" s="40"/>
      <c r="F13" s="43"/>
      <c r="G13" s="24"/>
    </row>
    <row r="14" spans="1:8" x14ac:dyDescent="0.25">
      <c r="A14" s="8" t="s">
        <v>26</v>
      </c>
      <c r="B14" s="44"/>
      <c r="C14" s="44"/>
      <c r="D14" s="44"/>
      <c r="E14" s="44"/>
      <c r="F14" s="44"/>
      <c r="G14" s="24"/>
      <c r="H14" t="s">
        <v>38</v>
      </c>
    </row>
    <row r="15" spans="1:8" x14ac:dyDescent="0.25">
      <c r="A15" s="8" t="s">
        <v>28</v>
      </c>
      <c r="B15" s="40">
        <f>B14+B13</f>
        <v>654</v>
      </c>
      <c r="C15" s="40">
        <f>C14+C13</f>
        <v>650</v>
      </c>
      <c r="D15" s="40"/>
      <c r="E15" s="40"/>
      <c r="F15" s="41"/>
      <c r="G15" s="24"/>
      <c r="H15" t="s">
        <v>39</v>
      </c>
    </row>
    <row r="16" spans="1:8" x14ac:dyDescent="0.25">
      <c r="A16" s="8" t="s">
        <v>19</v>
      </c>
      <c r="B16" s="44">
        <v>15</v>
      </c>
      <c r="C16" s="44">
        <v>15</v>
      </c>
      <c r="D16" s="44"/>
      <c r="E16" s="44"/>
      <c r="F16" s="44"/>
      <c r="G16" s="30"/>
      <c r="H16" t="s">
        <v>40</v>
      </c>
    </row>
    <row r="17" spans="1:8" x14ac:dyDescent="0.25">
      <c r="A17" s="8" t="s">
        <v>18</v>
      </c>
      <c r="B17" s="44">
        <v>25</v>
      </c>
      <c r="C17" s="44">
        <v>25</v>
      </c>
      <c r="D17" s="44"/>
      <c r="E17" s="44"/>
      <c r="F17" s="44"/>
      <c r="G17" s="30"/>
      <c r="H17" t="s">
        <v>42</v>
      </c>
    </row>
    <row r="18" spans="1:8" x14ac:dyDescent="0.25">
      <c r="A18" s="8" t="s">
        <v>29</v>
      </c>
      <c r="B18" s="40">
        <f>B17+B13</f>
        <v>679</v>
      </c>
      <c r="C18" s="40">
        <f>C17+C13</f>
        <v>675</v>
      </c>
      <c r="D18" s="40"/>
      <c r="E18" s="40"/>
      <c r="F18" s="41"/>
      <c r="G18" s="30"/>
      <c r="H18" t="s">
        <v>45</v>
      </c>
    </row>
    <row r="19" spans="1:8" x14ac:dyDescent="0.25">
      <c r="A19" s="9" t="s">
        <v>1</v>
      </c>
      <c r="B19" s="44">
        <v>21860</v>
      </c>
      <c r="C19" s="44">
        <v>20750</v>
      </c>
      <c r="D19" s="44"/>
      <c r="E19" s="44"/>
      <c r="F19" s="44"/>
      <c r="G19" s="30"/>
      <c r="H19" t="s">
        <v>47</v>
      </c>
    </row>
    <row r="20" spans="1:8" x14ac:dyDescent="0.25">
      <c r="A20" s="10" t="s">
        <v>3</v>
      </c>
      <c r="B20" s="14" t="str">
        <f>IF(B19&lt;20000,"YES","NO")</f>
        <v>NO</v>
      </c>
      <c r="C20" s="14" t="str">
        <f>IF(C19&lt;20000,"YES","NO")</f>
        <v>NO</v>
      </c>
      <c r="D20" s="14"/>
      <c r="E20" s="14"/>
      <c r="F20" s="14"/>
      <c r="G20" s="29"/>
      <c r="H20" t="s">
        <v>51</v>
      </c>
    </row>
    <row r="21" spans="1:8" x14ac:dyDescent="0.25">
      <c r="H21" t="s">
        <v>54</v>
      </c>
    </row>
    <row r="22" spans="1:8" x14ac:dyDescent="0.25">
      <c r="A22" s="45" t="s">
        <v>60</v>
      </c>
      <c r="B22" s="55"/>
      <c r="C22" s="55"/>
      <c r="D22" s="55"/>
      <c r="E22" s="55"/>
      <c r="F22" s="55"/>
      <c r="G22" s="31"/>
      <c r="H22" s="51" t="s">
        <v>49</v>
      </c>
    </row>
    <row r="23" spans="1:8" x14ac:dyDescent="0.25">
      <c r="A23" s="9" t="s">
        <v>2</v>
      </c>
      <c r="B23" s="44"/>
      <c r="C23" s="57" t="s">
        <v>32</v>
      </c>
      <c r="D23" s="57"/>
      <c r="E23" s="59"/>
      <c r="F23" s="59"/>
      <c r="G23" s="30"/>
    </row>
    <row r="24" spans="1:8" x14ac:dyDescent="0.25">
      <c r="A24" s="10" t="s">
        <v>14</v>
      </c>
      <c r="B24" s="56">
        <v>725</v>
      </c>
      <c r="C24" s="58" t="s">
        <v>32</v>
      </c>
      <c r="D24" s="57"/>
      <c r="E24" s="60"/>
      <c r="F24" s="60"/>
      <c r="G24" s="32"/>
      <c r="H24" t="s">
        <v>37</v>
      </c>
    </row>
    <row r="25" spans="1:8" x14ac:dyDescent="0.25">
      <c r="H25" t="s">
        <v>50</v>
      </c>
    </row>
    <row r="26" spans="1:8" ht="15.75" thickBot="1" x14ac:dyDescent="0.3">
      <c r="A26" s="16" t="s">
        <v>16</v>
      </c>
      <c r="B26" s="46" t="s">
        <v>15</v>
      </c>
      <c r="C26" s="46" t="s">
        <v>15</v>
      </c>
      <c r="D26" s="46"/>
      <c r="E26" s="46"/>
      <c r="F26" s="46"/>
      <c r="G26" s="24"/>
      <c r="H26" t="s">
        <v>34</v>
      </c>
    </row>
    <row r="27" spans="1:8" ht="15.75" thickBot="1" x14ac:dyDescent="0.3">
      <c r="A27" s="18" t="s">
        <v>21</v>
      </c>
      <c r="B27" s="19" t="str">
        <f>B26</f>
        <v>NO</v>
      </c>
      <c r="C27" s="19" t="str">
        <f>C26</f>
        <v>NO</v>
      </c>
      <c r="D27" s="19"/>
      <c r="E27" s="19"/>
      <c r="F27" s="20"/>
      <c r="G27" s="27"/>
      <c r="H27" t="s">
        <v>48</v>
      </c>
    </row>
    <row r="28" spans="1:8" x14ac:dyDescent="0.25">
      <c r="H28" t="s">
        <v>53</v>
      </c>
    </row>
    <row r="29" spans="1:8" x14ac:dyDescent="0.25">
      <c r="A29" s="11" t="s">
        <v>3</v>
      </c>
      <c r="B29" s="14" t="str">
        <f>IF(B19&lt;20000,"YES","NO")</f>
        <v>NO</v>
      </c>
      <c r="C29" s="14" t="str">
        <f>IF(C19&lt;20000,"YES","NO")</f>
        <v>NO</v>
      </c>
      <c r="D29" s="14"/>
      <c r="E29" s="14"/>
      <c r="F29" s="14"/>
      <c r="G29" s="29"/>
    </row>
    <row r="30" spans="1:8" x14ac:dyDescent="0.25">
      <c r="A30" s="9" t="s">
        <v>4</v>
      </c>
      <c r="B30" s="14" t="str">
        <f>IF($B$23&gt;3200,"YES","NO")</f>
        <v>NO</v>
      </c>
      <c r="C30" s="14" t="str">
        <f>IF($B$23&gt;3200,"YES","NO")</f>
        <v>NO</v>
      </c>
      <c r="D30" s="14"/>
      <c r="E30" s="14"/>
      <c r="F30" s="14"/>
      <c r="G30" s="29"/>
      <c r="H30" t="s">
        <v>41</v>
      </c>
    </row>
    <row r="31" spans="1:8" x14ac:dyDescent="0.25">
      <c r="A31" s="12" t="s">
        <v>5</v>
      </c>
      <c r="B31" s="22">
        <f>B19/100</f>
        <v>218.6</v>
      </c>
      <c r="C31" s="22">
        <f>C19/100</f>
        <v>207.5</v>
      </c>
      <c r="D31" s="22"/>
      <c r="E31" s="22"/>
      <c r="F31" s="22"/>
      <c r="G31" s="33"/>
      <c r="H31" t="s">
        <v>36</v>
      </c>
    </row>
    <row r="32" spans="1:8" x14ac:dyDescent="0.25">
      <c r="A32" s="13" t="s">
        <v>6</v>
      </c>
      <c r="B32" s="15">
        <f>B31+$B$24</f>
        <v>943.6</v>
      </c>
      <c r="C32" s="15">
        <f>C31+$B$24</f>
        <v>932.5</v>
      </c>
      <c r="D32" s="15"/>
      <c r="E32" s="15"/>
      <c r="F32" s="15"/>
      <c r="G32" s="34"/>
    </row>
    <row r="33" spans="1:8" x14ac:dyDescent="0.25">
      <c r="A33" s="9" t="s">
        <v>23</v>
      </c>
      <c r="B33" s="15" t="str">
        <f>IF((B13+B14)&gt;B32,"YES","NO")</f>
        <v>NO</v>
      </c>
      <c r="C33" s="15" t="str">
        <f>IF((C13+C14)&gt;C32,"YES","NO")</f>
        <v>NO</v>
      </c>
      <c r="D33" s="15"/>
      <c r="E33" s="15"/>
      <c r="F33" s="15"/>
      <c r="G33" s="34"/>
      <c r="H33" t="s">
        <v>43</v>
      </c>
    </row>
    <row r="34" spans="1:8" x14ac:dyDescent="0.25">
      <c r="A34" s="9" t="s">
        <v>20</v>
      </c>
      <c r="B34" s="15" t="str">
        <f>IF((B13+B16)&gt;B32,"YES","NO")</f>
        <v>NO</v>
      </c>
      <c r="C34" s="15" t="str">
        <f>IF((C13+C16)&gt;C32,"YES","NO")</f>
        <v>NO</v>
      </c>
      <c r="D34" s="15"/>
      <c r="E34" s="15"/>
      <c r="F34" s="15"/>
      <c r="G34" s="34"/>
      <c r="H34" t="s">
        <v>52</v>
      </c>
    </row>
    <row r="35" spans="1:8" x14ac:dyDescent="0.25">
      <c r="A35" s="9" t="s">
        <v>24</v>
      </c>
      <c r="B35" s="15" t="str">
        <f>IF((B13+B17)&gt;B32,"YES","NO")</f>
        <v>NO</v>
      </c>
      <c r="C35" s="15" t="str">
        <f>IF((C13+C17)&gt;C32,"YES","NO")</f>
        <v>NO</v>
      </c>
      <c r="D35" s="15"/>
      <c r="E35" s="15"/>
      <c r="F35" s="15"/>
      <c r="G35" s="34"/>
    </row>
    <row r="36" spans="1:8" ht="15.75" thickBot="1" x14ac:dyDescent="0.3">
      <c r="A36" s="9" t="s">
        <v>22</v>
      </c>
      <c r="B36" s="23">
        <f>B32-(B13+B16)</f>
        <v>274.60000000000002</v>
      </c>
      <c r="C36" s="23">
        <f>C32-(C13+C16)</f>
        <v>267.5</v>
      </c>
      <c r="D36" s="23"/>
      <c r="E36" s="23"/>
      <c r="F36" s="23"/>
      <c r="G36" s="33"/>
      <c r="H36" t="s">
        <v>55</v>
      </c>
    </row>
    <row r="37" spans="1:8" ht="15.75" thickBot="1" x14ac:dyDescent="0.3">
      <c r="A37" s="18" t="s">
        <v>21</v>
      </c>
      <c r="B37" s="19" t="str">
        <f>IF(B29="YES",IF(B30="YES",IF(OR(B33="YES",B34="YES"),"YES","NO"),"NO"),"NO")</f>
        <v>NO</v>
      </c>
      <c r="C37" s="19" t="str">
        <f>IF(C29="YES",IF(C30="YES",IF(OR(C33="YES",C34="YES"),"YES","NO"),"NO"),"NO")</f>
        <v>NO</v>
      </c>
      <c r="D37" s="19"/>
      <c r="E37" s="19"/>
      <c r="F37" s="20"/>
      <c r="G37" s="27"/>
      <c r="H37" t="s">
        <v>56</v>
      </c>
    </row>
    <row r="38" spans="1:8" x14ac:dyDescent="0.25">
      <c r="A38" s="2"/>
    </row>
    <row r="39" spans="1:8" x14ac:dyDescent="0.25">
      <c r="A39" s="11" t="s">
        <v>9</v>
      </c>
      <c r="B39" s="14" t="str">
        <f>IF(B19&lt;10000,"YES","NO")</f>
        <v>NO</v>
      </c>
      <c r="C39" s="14" t="str">
        <f>IF(C19&lt;10000,"YES","NO")</f>
        <v>NO</v>
      </c>
      <c r="D39" s="14"/>
      <c r="E39" s="14"/>
      <c r="F39" s="14"/>
      <c r="G39" s="29"/>
    </row>
    <row r="40" spans="1:8" x14ac:dyDescent="0.25">
      <c r="A40" s="9" t="s">
        <v>4</v>
      </c>
      <c r="B40" s="14" t="str">
        <f>IF($B$23&gt;3200,"YES","NO")</f>
        <v>NO</v>
      </c>
      <c r="C40" s="14" t="str">
        <f>IF($B$23&gt;3200,"YES","NO")</f>
        <v>NO</v>
      </c>
      <c r="D40" s="14"/>
      <c r="E40" s="14"/>
      <c r="F40" s="14"/>
      <c r="G40" s="29"/>
    </row>
    <row r="41" spans="1:8" x14ac:dyDescent="0.25">
      <c r="A41" s="13" t="s">
        <v>7</v>
      </c>
      <c r="B41" s="22">
        <f>B19/50</f>
        <v>437.2</v>
      </c>
      <c r="C41" s="22">
        <f>C19/50</f>
        <v>415</v>
      </c>
      <c r="D41" s="22"/>
      <c r="E41" s="22"/>
      <c r="F41" s="22"/>
      <c r="G41" s="33"/>
    </row>
    <row r="42" spans="1:8" x14ac:dyDescent="0.25">
      <c r="A42" s="13" t="s">
        <v>8</v>
      </c>
      <c r="B42" s="15">
        <f>B41+$B$24</f>
        <v>1162.2</v>
      </c>
      <c r="C42" s="15">
        <f>C41+$B$24</f>
        <v>1140</v>
      </c>
      <c r="D42" s="15"/>
      <c r="E42" s="15"/>
      <c r="F42" s="15"/>
      <c r="G42" s="34"/>
    </row>
    <row r="43" spans="1:8" x14ac:dyDescent="0.25">
      <c r="A43" s="9" t="s">
        <v>23</v>
      </c>
      <c r="B43" s="15" t="str">
        <f>IF((B13+B14)&gt;B42,"YES","NO")</f>
        <v>NO</v>
      </c>
      <c r="C43" s="15" t="str">
        <f>IF((C13+C14)&gt;C42,"YES","NO")</f>
        <v>NO</v>
      </c>
      <c r="D43" s="15"/>
      <c r="E43" s="15"/>
      <c r="F43" s="15"/>
      <c r="G43" s="34"/>
    </row>
    <row r="44" spans="1:8" x14ac:dyDescent="0.25">
      <c r="A44" s="9" t="s">
        <v>20</v>
      </c>
      <c r="B44" s="15" t="str">
        <f>IF((B13+B16)&gt;B42,"YES","NO")</f>
        <v>NO</v>
      </c>
      <c r="C44" s="15" t="str">
        <f>IF((C13+C16)&gt;C42,"YES","NO")</f>
        <v>NO</v>
      </c>
      <c r="D44" s="15"/>
      <c r="E44" s="15"/>
      <c r="F44" s="15"/>
      <c r="G44" s="34"/>
    </row>
    <row r="45" spans="1:8" x14ac:dyDescent="0.25">
      <c r="A45" s="9" t="s">
        <v>24</v>
      </c>
      <c r="B45" s="37" t="str">
        <f>IF((B13+B17)&gt;B42,"YES","NO")</f>
        <v>NO</v>
      </c>
      <c r="C45" s="37" t="str">
        <f>IF((C13+C17)&gt;C42,"YES","NO")</f>
        <v>NO</v>
      </c>
      <c r="D45" s="37"/>
      <c r="E45" s="37"/>
      <c r="F45" s="37"/>
      <c r="G45" s="34"/>
    </row>
    <row r="46" spans="1:8" ht="15.75" thickBot="1" x14ac:dyDescent="0.3">
      <c r="A46" s="9" t="s">
        <v>22</v>
      </c>
      <c r="B46" s="23">
        <f>B42-(B13+B16)</f>
        <v>493.20000000000005</v>
      </c>
      <c r="C46" s="23">
        <f>C42-(C13+C16)</f>
        <v>475</v>
      </c>
      <c r="D46" s="23"/>
      <c r="E46" s="23"/>
      <c r="F46" s="23"/>
      <c r="G46" s="33"/>
    </row>
    <row r="47" spans="1:8" ht="15.75" thickBot="1" x14ac:dyDescent="0.3">
      <c r="A47" s="18" t="s">
        <v>21</v>
      </c>
      <c r="B47" s="26" t="str">
        <f>IF(B39="YES",IF(B40="YES",IF(OR(B43="YES",B44="YES",B45="YES"),"YES","NO"),"NO"),"NO")</f>
        <v>NO</v>
      </c>
      <c r="C47" s="19" t="str">
        <f>IF(C39="YES",IF(C40="YES",IF(OR(C43="YES",C44="YES",C45="YES"),"YES","NO"),"NO"),"NO")</f>
        <v>NO</v>
      </c>
      <c r="D47" s="19"/>
      <c r="E47" s="26"/>
      <c r="F47" s="36"/>
      <c r="G47" s="27"/>
    </row>
    <row r="49" spans="1:7" x14ac:dyDescent="0.25">
      <c r="A49" s="11" t="s">
        <v>10</v>
      </c>
      <c r="B49" s="14" t="str">
        <f>IF(B19&lt;5000,"YES","NO")</f>
        <v>NO</v>
      </c>
      <c r="C49" s="14" t="str">
        <f>IF(C19&lt;5000,"YES","NO")</f>
        <v>NO</v>
      </c>
      <c r="D49" s="14"/>
      <c r="E49" s="14"/>
      <c r="F49" s="14"/>
      <c r="G49" s="29"/>
    </row>
    <row r="50" spans="1:7" x14ac:dyDescent="0.25">
      <c r="A50" s="9" t="s">
        <v>11</v>
      </c>
      <c r="B50" s="42" t="s">
        <v>59</v>
      </c>
      <c r="C50" s="42" t="s">
        <v>59</v>
      </c>
      <c r="D50" s="42"/>
      <c r="E50" s="42"/>
      <c r="F50" s="42"/>
      <c r="G50" s="24"/>
    </row>
    <row r="51" spans="1:7" x14ac:dyDescent="0.25">
      <c r="A51" s="13" t="s">
        <v>12</v>
      </c>
      <c r="B51" s="22">
        <f>B19/25</f>
        <v>874.4</v>
      </c>
      <c r="C51" s="22">
        <f>C19/25</f>
        <v>830</v>
      </c>
      <c r="D51" s="22"/>
      <c r="E51" s="22"/>
      <c r="F51" s="22"/>
      <c r="G51" s="33"/>
    </row>
    <row r="52" spans="1:7" x14ac:dyDescent="0.25">
      <c r="A52" s="9" t="s">
        <v>13</v>
      </c>
      <c r="B52" s="15">
        <f>B51+$B$24</f>
        <v>1599.4</v>
      </c>
      <c r="C52" s="15">
        <f>C51+$B$24</f>
        <v>1555</v>
      </c>
      <c r="D52" s="15"/>
      <c r="E52" s="15"/>
      <c r="F52" s="15"/>
      <c r="G52" s="34"/>
    </row>
    <row r="53" spans="1:7" x14ac:dyDescent="0.25">
      <c r="A53" s="9" t="s">
        <v>23</v>
      </c>
      <c r="B53" s="15" t="str">
        <f>IF((B13+B14)&gt;B52,"YES","NO")</f>
        <v>NO</v>
      </c>
      <c r="C53" s="15" t="str">
        <f>IF((C13+C14)&gt;C52,"YES","NO")</f>
        <v>NO</v>
      </c>
      <c r="D53" s="15"/>
      <c r="E53" s="15"/>
      <c r="F53" s="15"/>
      <c r="G53" s="34"/>
    </row>
    <row r="54" spans="1:7" x14ac:dyDescent="0.25">
      <c r="A54" s="9" t="s">
        <v>20</v>
      </c>
      <c r="B54" s="15" t="str">
        <f>IF((B13+B16)&gt;B52,"YES","NO")</f>
        <v>NO</v>
      </c>
      <c r="C54" s="15" t="str">
        <f>IF((C13+C16)&gt;C52,"YES","NO")</f>
        <v>NO</v>
      </c>
      <c r="D54" s="15"/>
      <c r="E54" s="15"/>
      <c r="F54" s="15"/>
      <c r="G54" s="34"/>
    </row>
    <row r="55" spans="1:7" x14ac:dyDescent="0.25">
      <c r="A55" s="9" t="s">
        <v>24</v>
      </c>
      <c r="B55" s="15" t="str">
        <f>IF((B13+B17)&gt;B52,"YES","NO")</f>
        <v>NO</v>
      </c>
      <c r="C55" s="15" t="str">
        <f>IF((C13+C17)&gt;C52,"YES","NO")</f>
        <v>NO</v>
      </c>
      <c r="D55" s="15"/>
      <c r="E55" s="15"/>
      <c r="F55" s="15"/>
      <c r="G55" s="34"/>
    </row>
    <row r="56" spans="1:7" ht="15.75" thickBot="1" x14ac:dyDescent="0.3">
      <c r="A56" s="9" t="s">
        <v>22</v>
      </c>
      <c r="B56" s="23">
        <f>B52-(B13+B16)</f>
        <v>930.40000000000009</v>
      </c>
      <c r="C56" s="23">
        <f>C52-(C13+C16)</f>
        <v>890</v>
      </c>
      <c r="D56" s="23"/>
      <c r="E56" s="23"/>
      <c r="F56" s="23"/>
      <c r="G56" s="33"/>
    </row>
    <row r="57" spans="1:7" ht="15.75" thickBot="1" x14ac:dyDescent="0.3">
      <c r="A57" s="18" t="s">
        <v>21</v>
      </c>
      <c r="B57" s="26" t="str">
        <f>IF(B49="YES",IF(B50="YES",IF(OR(B53="YES",B54="YES",B55="YES"),"YES","NO"),"NO"),"NO")</f>
        <v>NO</v>
      </c>
      <c r="C57" s="19" t="str">
        <f>IF(C49="YES",IF(C50="YES",IF(OR(C53="YES",C54="YES",C55="YES"),"YES","NO"),"NO"),"NO")</f>
        <v>NO</v>
      </c>
      <c r="D57" s="47"/>
      <c r="E57" s="47"/>
      <c r="F57" s="48"/>
      <c r="G57" s="35"/>
    </row>
    <row r="58" spans="1:7" ht="15.75" thickBot="1" x14ac:dyDescent="0.3">
      <c r="B58" s="49"/>
      <c r="C58" s="49"/>
      <c r="D58" s="49"/>
      <c r="E58" s="49"/>
      <c r="F58" s="49"/>
    </row>
    <row r="59" spans="1:7" ht="15.75" thickBot="1" x14ac:dyDescent="0.3">
      <c r="A59" s="17" t="s">
        <v>17</v>
      </c>
      <c r="B59" s="50" t="s">
        <v>15</v>
      </c>
      <c r="C59" s="49"/>
      <c r="D59" s="49"/>
      <c r="E59" s="49"/>
      <c r="F59" s="49"/>
    </row>
  </sheetData>
  <phoneticPr fontId="0" type="noConversion"/>
  <conditionalFormatting sqref="B59 B33:F35 B37:F37 B43:F45 B53:F55 B47:F47">
    <cfRule type="cellIs" dxfId="3" priority="3" stopIfTrue="1" operator="equal">
      <formula>"YES"</formula>
    </cfRule>
  </conditionalFormatting>
  <conditionalFormatting sqref="D57:F57">
    <cfRule type="cellIs" dxfId="2" priority="4" stopIfTrue="1" operator="equal">
      <formula>"YES"</formula>
    </cfRule>
  </conditionalFormatting>
  <conditionalFormatting sqref="B57">
    <cfRule type="cellIs" dxfId="1" priority="2" stopIfTrue="1" operator="equal">
      <formula>"YES"</formula>
    </cfRule>
  </conditionalFormatting>
  <conditionalFormatting sqref="C57">
    <cfRule type="cellIs" dxfId="0" priority="1" stopIfTrue="1" operator="equal">
      <formula>"YES"</formula>
    </cfRule>
  </conditionalFormatting>
  <pageMargins left="0.75" right="0.5" top="0.5" bottom="0.5" header="0.5" footer="0.5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LJB,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A. Sack, P.E.</dc:creator>
  <cp:lastModifiedBy>Bitar, Gabriel</cp:lastModifiedBy>
  <cp:lastPrinted>2021-03-12T18:32:12Z</cp:lastPrinted>
  <dcterms:created xsi:type="dcterms:W3CDTF">2002-09-19T12:40:33Z</dcterms:created>
  <dcterms:modified xsi:type="dcterms:W3CDTF">2021-03-12T18:32:27Z</dcterms:modified>
</cp:coreProperties>
</file>