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tif" ContentType="image/tiff"/>
  <Default Extension="tiff" ContentType="image/tiff"/>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comments3.xml" ContentType="application/vnd.openxmlformats-officedocument.spreadsheetml.comments+xml"/>
  <Override PartName="/xl/drawings/drawing7.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comments4.xml" ContentType="application/vnd.openxmlformats-officedocument.spreadsheetml.comments+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O:\Engineering\Structures\Bridge Impact Damage\D6\FRA-70-0972 Harrison Ave\Splice Design\"/>
    </mc:Choice>
  </mc:AlternateContent>
  <xr:revisionPtr revIDLastSave="0" documentId="13_ncr:1_{6DEDB3DF-2704-42A3-8892-1F437AE766B4}" xr6:coauthVersionLast="47" xr6:coauthVersionMax="47" xr10:uidLastSave="{00000000-0000-0000-0000-000000000000}"/>
  <bookViews>
    <workbookView xWindow="28680" yWindow="-120" windowWidth="29040" windowHeight="15720" tabRatio="816" activeTab="3" xr2:uid="{00000000-000D-0000-FFFF-FFFF00000000}"/>
  </bookViews>
  <sheets>
    <sheet name="EULA" sheetId="18" r:id="rId1"/>
    <sheet name="Input" sheetId="1" r:id="rId2"/>
    <sheet name="Figures" sheetId="17" r:id="rId3"/>
    <sheet name="Design Result Summary" sheetId="14" r:id="rId4"/>
    <sheet name="Design Check Summary" sheetId="16" r:id="rId5"/>
    <sheet name="Flange Splice Design" sheetId="9" r:id="rId6"/>
    <sheet name="Web Splice Design" sheetId="11" r:id="rId7"/>
    <sheet name="Constants" sheetId="6" state="hidden" r:id="rId8"/>
    <sheet name="Lists" sheetId="3" state="hidden" r:id="rId9"/>
  </sheets>
  <externalReferences>
    <externalReference r:id="rId10"/>
    <externalReference r:id="rId11"/>
  </externalReferences>
  <definedNames>
    <definedName name="alignmentMode">Input!$F$37</definedName>
    <definedName name="Author">Constants!$B$86</definedName>
    <definedName name="boltClearencesTable" localSheetId="4">Table9[]</definedName>
    <definedName name="boltClearencesTable">Table9[]</definedName>
    <definedName name="boltDiameterEnum">Input!$F$7</definedName>
    <definedName name="boltGradeTable" localSheetId="4">Table6[]</definedName>
    <definedName name="boltGradeTable" localSheetId="5">Table6[]</definedName>
    <definedName name="boltGradeTable" localSheetId="6">Table6[]</definedName>
    <definedName name="boltGradeTable">Table6[]</definedName>
    <definedName name="boltPropertiesTable" localSheetId="4">Table1[]</definedName>
    <definedName name="boltPropertiesTable" localSheetId="5">Table1[]</definedName>
    <definedName name="boltPropertiesTable" localSheetId="6">Table1[]</definedName>
    <definedName name="boltPropertiesTable">Table1[]</definedName>
    <definedName name="boltTypeEnum">Input!$F$6</definedName>
    <definedName name="bottomFillerPlateThickness">'Flange Splice Design'!#REF!</definedName>
    <definedName name="bottomFlangeBoltGroupTransGageCalculated">'Flange Splice Design'!$D$107</definedName>
    <definedName name="bottomFlangeBoltOverrideStatus">Input!$F$42</definedName>
    <definedName name="bottomFlangeBoltRowQuantity">Input!$F$14</definedName>
    <definedName name="bottomFlangeBoltRowsCalculated">'Flange Splice Design'!$E$71</definedName>
    <definedName name="bottomFlangeBoltTransGageCalculated">'Flange Splice Design'!$J$103</definedName>
    <definedName name="bottomFlangeFillerReduction">'Flange Splice Design'!$C$71</definedName>
    <definedName name="bottomFlangeMaximumBoltSpacingCalculated">'Flange Splice Design'!$F$96</definedName>
    <definedName name="bottomFlangeSpliceLengthReduction">'Flange Splice Design'!$B$64</definedName>
    <definedName name="bottomFlangeSpliceMaterialEnum">Input!$B$46</definedName>
    <definedName name="bottomFlangeSplicePlateLengthCalculated">'Flange Splice Design'!$I$124</definedName>
    <definedName name="bottomFlangeTotalBoltCalculatedFinal">'Flange Splice Design'!$F$87</definedName>
    <definedName name="bottomFlangeTotalBoltCalculatedLongJoint">'Flange Splice Design'!$F$64</definedName>
    <definedName name="bottomFlangeTotalBoltCalculatedSlip">'Flange Splice Design'!$H$79</definedName>
    <definedName name="bottomFlangeTotalBoltCalculatedStrength">'Flange Splice Design'!$F$71</definedName>
    <definedName name="bottomFlangeTotalBoltInitial">'Flange Splice Design'!$D$71</definedName>
    <definedName name="bottomFlangeTotalBoltOverride">Input!$H$42</definedName>
    <definedName name="deckCastingFactoredMoment">'Flange Splice Design'!$H$9</definedName>
    <definedName name="deckCastingFactoredShear">'Web Splice Design'!$H$9</definedName>
    <definedName name="deckCastingMoment">Input!$B$11</definedName>
    <definedName name="deckCastingShear">Input!$C$11</definedName>
    <definedName name="deckCastingSlipHorizontalWebForce">'Flange Splice Design'!$B$403</definedName>
    <definedName name="deckCastingSurfaceMoment">Input!$B$11</definedName>
    <definedName name="deckConcreteStrength">Input!$F$20</definedName>
    <definedName name="deckEffectiveWidth">Input!$F$19</definedName>
    <definedName name="deckIsCompositeEnum">Input!$F$17</definedName>
    <definedName name="deckThickness">Input!$F$18</definedName>
    <definedName name="DELETEME">'[1]Input and Results'!$B$11</definedName>
    <definedName name="enteringTighteningClearenceCalculated">'Web Splice Design'!$E$88</definedName>
    <definedName name="enteringTighteningClearenceInitial">Input!$F$34</definedName>
    <definedName name="fayingSurfaceClassEnum">Input!$F$10</definedName>
    <definedName name="finalEdgeDistanceBottomFlangeCalculated">'Flange Splice Design'!$I$103</definedName>
    <definedName name="finalEdgeDistanceTopFlangeCalculated">'Flange Splice Design'!$I$102</definedName>
    <definedName name="FIX">'[2]Input and Results'!$B$20</definedName>
    <definedName name="flangeBoltDoubleShearCapacity" localSheetId="5">'Flange Splice Design'!$I$18</definedName>
    <definedName name="flangeBoltLongPitchCalculated">'Flange Splice Design'!$C$116</definedName>
    <definedName name="flangeBoltShearCapacity">[2]Calculations!$I$23</definedName>
    <definedName name="flangeBoltSingleShearCapacity">'Flange Splice Design'!$H$18</definedName>
    <definedName name="flangeThreadStateEnum">Input!$F$9</definedName>
    <definedName name="futureWearingSurfaceLabel">Input!$A$8</definedName>
    <definedName name="futureWearingSurfaceMoment">Input!$B$8</definedName>
    <definedName name="futureWearingSurfaceShear">Input!$C$8</definedName>
    <definedName name="giderGapClearence">Input!$F$33</definedName>
    <definedName name="haunchLeft">Input!$B$31</definedName>
    <definedName name="haunchRight">Input!$C$31</definedName>
    <definedName name="holeMethodReductionFactorTable" localSheetId="4">Table58[]</definedName>
    <definedName name="holeMethodReductionFactorTable">Table58[]</definedName>
    <definedName name="holeSizeFactorEnum">Input!$F$11</definedName>
    <definedName name="holeSizeFactorFlange">'Flange Splice Design'!$B$23</definedName>
    <definedName name="holeSizeFactorWeb">'Web Splice Design'!$B$21</definedName>
    <definedName name="innerBottomFlangeSplicePlateThickness">Input!$B$47</definedName>
    <definedName name="innerBottomFlangeSplicePlateWidth">Input!$B$48</definedName>
    <definedName name="innerLeftBottomFlangeFillerPlateLength">'Flange Splice Design'!$I$51</definedName>
    <definedName name="innerLeftBottomFlangeFillerPlateThickness">'Flange Splice Design'!$G$51</definedName>
    <definedName name="innerLeftBottomFlangeFillerPlateWidth">'Flange Splice Design'!$H$51</definedName>
    <definedName name="innerLeftTopFlangeFillerPlateLength">'Flange Splice Design'!$I$49</definedName>
    <definedName name="innerLeftTopFlangeFillerPlateThickness">'Flange Splice Design'!$G$49</definedName>
    <definedName name="innerLeftTopFlangeFillerPlateWidth">'Flange Splice Design'!$H$49</definedName>
    <definedName name="innerRightBottomFlangeFillerPlateLength">'Flange Splice Design'!$I$52</definedName>
    <definedName name="innerRightBottomFlangeFillerPlateThickness">'Flange Splice Design'!$G$52</definedName>
    <definedName name="innerRightBottomFlangeFillerPlateWidth">'Flange Splice Design'!$H$52</definedName>
    <definedName name="innerRightTopFlangeFillerPlateLength">'Flange Splice Design'!$I$50</definedName>
    <definedName name="innerRightTopFlangeFillerPlateThickness">'Flange Splice Design'!$G$50</definedName>
    <definedName name="innerRightTopFlangeFillerPlateWidth">'Flange Splice Design'!$H$50</definedName>
    <definedName name="innerTopFlangeSplicePlateThickness">Input!$B$36</definedName>
    <definedName name="innerTopFlangeSplicePlateWidth">Input!$B$37</definedName>
    <definedName name="leftBottomFlangeMaterialEnum">Input!$B$26</definedName>
    <definedName name="leftBottomFlangeThickness">Input!$B$27</definedName>
    <definedName name="leftBottomFlangeWidth">Input!$B$28</definedName>
    <definedName name="leftFlangeBottomFillerPlateThicknessTotal">'Flange Splice Design'!$B$57</definedName>
    <definedName name="leftFlangeTopFillerPlateThicknessTotal">'Flange Splice Design'!$B$55</definedName>
    <definedName name="leftGirderHeight">'Flange Splice Design'!$F$43</definedName>
    <definedName name="leftTopFlangeMaterialEnum">Input!$B$14</definedName>
    <definedName name="leftTopFlangeThickness">Input!$B$15</definedName>
    <definedName name="leftTopFlangeWidth">Input!$B$16</definedName>
    <definedName name="leftWebMaterialEnum">Input!$B$22</definedName>
    <definedName name="leftWebThickness">Input!$B$23</definedName>
    <definedName name="leftWebTotalBoltCalculated">[2]Calculations!$O$71</definedName>
    <definedName name="minimumBoltGroupLongPitchCalculated">'Flange Splice Design'!$F$116</definedName>
    <definedName name="minimumBoltSpacingCalculated">'Flange Splice Design'!$E$102</definedName>
    <definedName name="minimumBoltSpacingInitial">Input!$F$22</definedName>
    <definedName name="minimumEdgeDistanceCalculated">'Flange Splice Design'!$G$102</definedName>
    <definedName name="minimumEdgeDistanceFlangeInitial">Input!$F$24</definedName>
    <definedName name="minimumEdgeDistanceWebInitial">Input!$F$27</definedName>
    <definedName name="minimumEndDistanceFlangeCalculated">'Flange Splice Design'!$E$116</definedName>
    <definedName name="minimumEndDistanceFlangeInitial">Input!$F$25</definedName>
    <definedName name="minimumEndDistanceWebCalculated">'Web Splice Design'!$B$88</definedName>
    <definedName name="minimumEndDistanceWebInitial">Input!$F$28</definedName>
    <definedName name="minimumWebBoltGroupLongGageCalculated">'Web Splice Design'!$E$123</definedName>
    <definedName name="minimumWebBoltLongGageCalculated">'Web Splice Design'!$C$123</definedName>
    <definedName name="minimumWebLongEdgeDistanceCalculated">'Web Splice Design'!$D$123</definedName>
    <definedName name="negativeLiveLoadImpactLabel">Input!$A$10</definedName>
    <definedName name="negativeLiveLoadImpactMoment">Input!$B$10</definedName>
    <definedName name="negativeLiveLoadImpactShear">Input!$C$10</definedName>
    <definedName name="negativeMomentBoltTensionTotal">'Flange Splice Design'!$B$390</definedName>
    <definedName name="negativeMomentHorizontalWebForce">'Flange Splice Design'!$B$149</definedName>
    <definedName name="negativeMomentSlipHorizontalWebForce">'Flange Splice Design'!$B$393</definedName>
    <definedName name="noncompositeDeadLoadLabel">Input!$A$6</definedName>
    <definedName name="noncompositeDeadLoadMoment">Input!$B$6</definedName>
    <definedName name="noncompositeDeadLoadShear">Input!$C$6</definedName>
    <definedName name="otherFayingSurfaceClass">Input!$G$10</definedName>
    <definedName name="outerBottomFlangeSplicePlateThickness">Input!$C$47</definedName>
    <definedName name="outerBottomFlangeSplicePlateWidth">Input!$C$48</definedName>
    <definedName name="outerLeftBottomFlangeFillerPlateLength">'Flange Splice Design'!$F$51</definedName>
    <definedName name="outerLeftBottomFlangeFillerPlateThickness">'Flange Splice Design'!$D$51</definedName>
    <definedName name="outerLeftBottomFlangeFillerPlateWidth">'Flange Splice Design'!$E$51</definedName>
    <definedName name="outerLeftTopFlangeFillerPlateLength">'Flange Splice Design'!$F$49</definedName>
    <definedName name="outerLeftTopFlangeFillerPlateThickness">'Flange Splice Design'!$D$49</definedName>
    <definedName name="outerLeftTopFlangeFillerPlateWidth">'Flange Splice Design'!$E$49</definedName>
    <definedName name="outerRightBottomFlangeFillerPlateLength">'Flange Splice Design'!$F$52</definedName>
    <definedName name="outerRightBottomFlangeFillerPlateThickness">'Flange Splice Design'!$D$52</definedName>
    <definedName name="outerRightBottomFlangeFillerPlateWidth">'Flange Splice Design'!$E$52</definedName>
    <definedName name="outerRightTopFlangeFillerPlateLength">'Flange Splice Design'!$F$50</definedName>
    <definedName name="outerRightTopFlangeFillerPlateThickness">'Flange Splice Design'!$D$50</definedName>
    <definedName name="outerRightTopFlangeFillerPlateWidth">'Flange Splice Design'!$E$50</definedName>
    <definedName name="outerTopFlangeSplicePlateThickness">Input!$C$36</definedName>
    <definedName name="outerTopFlangeSplicePlateWidth">Input!$C$37</definedName>
    <definedName name="positiveLiveLoadImpactLabel">Input!$A$9</definedName>
    <definedName name="positiveLiveLoadImpactMoment">Input!$B$9</definedName>
    <definedName name="positiveLiveLoadImpactShear">Input!$C$9</definedName>
    <definedName name="positiveMomentBoltTensionTotal">'Flange Splice Design'!$B$380</definedName>
    <definedName name="positiveMomentHorizontalWebForce">'Flange Splice Design'!$B$141</definedName>
    <definedName name="positiveMomentSlipHorizontalWebForce">'Flange Splice Design'!$B$383</definedName>
    <definedName name="_xlnm.Print_Area" localSheetId="4">'Design Check Summary'!$A$1:$H$58</definedName>
    <definedName name="_xlnm.Print_Area" localSheetId="3">'Design Result Summary'!$A$1:$H$37</definedName>
    <definedName name="_xlnm.Print_Area" localSheetId="0">EULA!$A$1:$I$141</definedName>
    <definedName name="_xlnm.Print_Area" localSheetId="2">Figures!$A$4:$S$100</definedName>
    <definedName name="_xlnm.Print_Area" localSheetId="5">'Flange Splice Design'!$A$1:$J$403</definedName>
    <definedName name="ReleaseDate">Constants!$B$85</definedName>
    <definedName name="resistanceFactorsTable" localSheetId="4">Table5[]</definedName>
    <definedName name="resistanceFactorsTable">Table5[]</definedName>
    <definedName name="rightBottomFlangeMaterialEnum">Input!$C$26</definedName>
    <definedName name="rightBottomFlangeThickness">Input!$C$27</definedName>
    <definedName name="rightBottomFlangeWidth">Input!$C$28</definedName>
    <definedName name="rightFlangeBottomFillerPlateThicknessTotal">'Flange Splice Design'!$B$58</definedName>
    <definedName name="rightFlangeTopFillerPlateThicknessTotal">'Flange Splice Design'!$B$56</definedName>
    <definedName name="rightGirderHeight">'Flange Splice Design'!$F$45</definedName>
    <definedName name="rightTopFlangeMaterialEnum">Input!$C$14</definedName>
    <definedName name="rightTopFlangeThickness">Input!$C$15</definedName>
    <definedName name="rightTopFlangeWidth">Input!$C$16</definedName>
    <definedName name="rightWebMaterialEnum">Input!$C$22</definedName>
    <definedName name="rightWebThickness">Input!$C$23</definedName>
    <definedName name="rightWebTotalBoltCalculated">[2]Calculations!$O$72</definedName>
    <definedName name="serviceIINegativeMoment">'Flange Splice Design'!$H$13</definedName>
    <definedName name="serviceIINegativeShear">'Web Splice Design'!$H$11</definedName>
    <definedName name="serviceIIPositiveMoment">'Flange Splice Design'!$H$12</definedName>
    <definedName name="serviceIIPositiveShear">'Web Splice Design'!$H$10</definedName>
    <definedName name="shearLagReductionFactorTable" localSheetId="4">Table589[]</definedName>
    <definedName name="shearLagReductionFactorTable">Table589[]</definedName>
    <definedName name="slipCoefficient">Input!$G$11</definedName>
    <definedName name="slipCoefficientTable" localSheetId="4">Table3[]</definedName>
    <definedName name="slipCoefficientTable" localSheetId="5">Table3[]</definedName>
    <definedName name="slipCoefficientTable" localSheetId="6">Table3[]</definedName>
    <definedName name="slipCoefficientTable">Table3[]</definedName>
    <definedName name="splicePlateHoleMethod">Input!$F$36</definedName>
    <definedName name="statusBearingResistanceBottomFlange">'Flange Splice Design'!$D$369</definedName>
    <definedName name="statusBearingResistanceBottomInnerSplice">'Flange Splice Design'!$D$368</definedName>
    <definedName name="statusBearingResistanceBottomOuterSplice">'Flange Splice Design'!$D$371</definedName>
    <definedName name="statusBearingResistanceTopFlange">'Flange Splice Design'!$D$365</definedName>
    <definedName name="statusBearingResistanceTopInnerSplice">'Flange Splice Design'!$D$367</definedName>
    <definedName name="statusBearingResistanceTopOuterSplice">'Flange Splice Design'!$D$364</definedName>
    <definedName name="statusBearingResistanceWeb">'Web Splice Design'!$D$235</definedName>
    <definedName name="statusBlockShearBottomFlangeSplicePlateInner">'Flange Splice Design'!$E$224</definedName>
    <definedName name="statusBlockShearBottomFlangeSplicePlateOuter">'Flange Splice Design'!$E$225</definedName>
    <definedName name="statusBlockShearBottomLeftFlangeMode1">'Flange Splice Design'!$E$262</definedName>
    <definedName name="statusBlockShearBottomLeftFlangeMode2">'Flange Splice Design'!$E$300</definedName>
    <definedName name="statusBlockShearBottomRightFlangeMode1">'Flange Splice Design'!$E$263</definedName>
    <definedName name="statusBlockShearBottomRightFlangeMode2">'Flange Splice Design'!$E$301</definedName>
    <definedName name="statusBlockShearTopFlangeSplicePlateInner">'Flange Splice Design'!$E$223</definedName>
    <definedName name="statusBlockShearTopFlangeSplicePlateOuter">'Flange Splice Design'!$E$222</definedName>
    <definedName name="statusBlockShearTopLeftFlangeMode1">'Flange Splice Design'!$E$260</definedName>
    <definedName name="statusBlockShearTopLeftFlangeMode2">'Flange Splice Design'!$E$298</definedName>
    <definedName name="statusBlockShearTopRightFlangeMode1">'Flange Splice Design'!$E$261</definedName>
    <definedName name="statusBlockShearTopRightFlangeMode2">'Flange Splice Design'!$E$299</definedName>
    <definedName name="statusBlockShearWebSplicePlate">'Web Splice Design'!$E$180</definedName>
    <definedName name="statusBottomFlangeBoltSpacingCheck">'Flange Splice Design'!$B$111</definedName>
    <definedName name="statusBottomFlangeInnerSpliceEdgeCheck">'Flange Splice Design'!$D$111</definedName>
    <definedName name="statusBottomFlangeInnerSpliceTransDimCheck">'Flange Splice Design'!$F$111</definedName>
    <definedName name="statusBottomFlangeInnerSpliceTransDimOverride">'Flange Splice Design'!$H$103</definedName>
    <definedName name="statusBottomFlangeLongBoltGroupSpacingCheck">'Flange Splice Design'!$G$117</definedName>
    <definedName name="statusBottomFlangeLongJointBoltCount">'Flange Splice Design'!$H$87</definedName>
    <definedName name="statusBottomFlangeOuterSpliceTransDimCheck">'Flange Splice Design'!$E$111</definedName>
    <definedName name="statusBottomFlangeSpliceLengthReduction">'Flange Splice Design'!$C$64</definedName>
    <definedName name="statusBottomFlangeSplicePlateShearPlaneCount">Input!$B$51</definedName>
    <definedName name="statusBottomFlangeTransBoltGroupSpacingCheck">'Flange Splice Design'!$C$111</definedName>
    <definedName name="statusDeckCastingSlipCheck">'Flange Splice Design'!$B$402</definedName>
    <definedName name="statusDeckCastingSlipWebCheck">'Web Splice Design'!$B$247</definedName>
    <definedName name="statusDeckStrengthCheck">'Flange Splice Design'!$B$155</definedName>
    <definedName name="statusFactoredYieldBottomFlangeInner">'Flange Splice Design'!$G$170</definedName>
    <definedName name="statusFactoredYieldBottomFlangeOuter">'Flange Splice Design'!$G$171</definedName>
    <definedName name="statusFactoredYieldTopFlangeInner">'Flange Splice Design'!$G$169</definedName>
    <definedName name="statusFactoredYieldTopFlangeOuter">'Flange Splice Design'!$G$168</definedName>
    <definedName name="statusFactoredYieldWeb">'Web Splice Design'!$H$144</definedName>
    <definedName name="statusFlangeDiagEdgeDistanceCheck">'Flange Splice Design'!$E$130</definedName>
    <definedName name="statusMomentResistanceNegative">'Flange Splice Design'!$B$148</definedName>
    <definedName name="statusMomentResistancePositive">'Flange Splice Design'!$B$140</definedName>
    <definedName name="statusNegativeMomentSlipCheck">'Flange Splice Design'!$B$392</definedName>
    <definedName name="statusNegativeShearSlipWebCheck">'Web Splice Design'!$B$267</definedName>
    <definedName name="statusNetAreaGrossBottomFlangeInner">'Flange Splice Design'!$E$178</definedName>
    <definedName name="statusNetAreaGrossBottomFlangeOuter">'Flange Splice Design'!$E$179</definedName>
    <definedName name="statusNetAreaGrossTopFlangeInner">'Flange Splice Design'!$E$177</definedName>
    <definedName name="statusNetAreaGrossTopFlangeOuter">'Flange Splice Design'!$E$176</definedName>
    <definedName name="statusNetSectionRuptureWeb">'Web Splice Design'!$G$154</definedName>
    <definedName name="statusPositiveMomentSlipCheck">'Flange Splice Design'!$B$382</definedName>
    <definedName name="statusPositiveShearSlipWebCheck">'Web Splice Design'!$B$257</definedName>
    <definedName name="statusSectionFractureBottomFlangeInner">'Flange Splice Design'!$I$186</definedName>
    <definedName name="statusSectionFractureBottomFlangeOuter">'Flange Splice Design'!$I$187</definedName>
    <definedName name="statusSectionFractureTopFlangeInner">'Flange Splice Design'!$I$185</definedName>
    <definedName name="statusSectionFractureTopFlangeOuter">'Flange Splice Design'!$I$184</definedName>
    <definedName name="statusTopFlangeBoltSpacingCheck">'Flange Splice Design'!$B$110</definedName>
    <definedName name="statusTopFlangeInnerSpliceEdgeCheck">'Flange Splice Design'!$D$110</definedName>
    <definedName name="statusTopFlangeInnerSpliceTransDimCheck">'Flange Splice Design'!$F$110</definedName>
    <definedName name="statusTopFlangeInnerSpliceTransDimOverride">'Flange Splice Design'!$H$102</definedName>
    <definedName name="statusTopFlangeLongBoltGroupSpacingCheck">'Flange Splice Design'!$G$116</definedName>
    <definedName name="statusTopFlangeLongJointBoltCount">'Flange Splice Design'!$H$86</definedName>
    <definedName name="statusTopFlangeOuterSpliceTransDimCheck">'Flange Splice Design'!$E$110</definedName>
    <definedName name="statusTopFlangeSpliceLengthReduction">'Flange Splice Design'!$C$63</definedName>
    <definedName name="statusTopFlangeSpliceShearPlaneCount">Input!$B$40</definedName>
    <definedName name="statusTopFlangeTransBoltGroupSpacingCheck">'Flange Splice Design'!$C$110</definedName>
    <definedName name="statusWebBoltTransPitchCheck">'Web Splice Design'!$B$117</definedName>
    <definedName name="statusWebDiagEdgeDistanceCheck">'Web Splice Design'!$E$129</definedName>
    <definedName name="statusWebLongBoltGroupSpacingCheck">'Web Splice Design'!$F$123</definedName>
    <definedName name="statusWebSplicePlateHeightCheck">'Web Splice Design'!$D$117</definedName>
    <definedName name="statusWebTransBoltEndDistanceCheck">'Web Splice Design'!$C$117</definedName>
    <definedName name="steelGradeTable" localSheetId="4">Table2[]</definedName>
    <definedName name="steelGradeTable" localSheetId="5">Table2[]</definedName>
    <definedName name="steelGradeTable" localSheetId="6">Table2[]</definedName>
    <definedName name="steelGradeTable">Table2[]</definedName>
    <definedName name="stffenerSpacingLeft">Input!$B$19</definedName>
    <definedName name="stffenerSpacingRight">Input!$C$19</definedName>
    <definedName name="stiffenedStatusLeft">Input!$B$20</definedName>
    <definedName name="stiffenedStatusRight">Input!$C$20</definedName>
    <definedName name="strengthINegativeMoment">'Flange Splice Design'!$H$11</definedName>
    <definedName name="strengthIPositive">'Flange Splice Design'!$H$10</definedName>
    <definedName name="strengthIPositiveMoment">'Flange Splice Design'!$H$10</definedName>
    <definedName name="superCompositeDeadLoadLabel">Input!$A$7</definedName>
    <definedName name="superCompositeDeadLoadMoment">Input!$B$7</definedName>
    <definedName name="superCompositeDeadLoadShear">Input!$C$7</definedName>
    <definedName name="testRangeName">Input!$E$4</definedName>
    <definedName name="topFillerPlateThickness">'Flange Splice Design'!#REF!</definedName>
    <definedName name="topFlangeBoltGroupTransGageCalculated">'Flange Splice Design'!$D$106</definedName>
    <definedName name="topFlangeBoltOverrideStatus">Input!$F$40</definedName>
    <definedName name="topFlangeBoltRowQuantity">Input!$F$12</definedName>
    <definedName name="topFlangeBoltRowsCalculated">'Flange Splice Design'!$E$69</definedName>
    <definedName name="topFlangeBoltTransGageCalculated">'Flange Splice Design'!$J$102</definedName>
    <definedName name="topFlangeFillerReduction">'Flange Splice Design'!$C$69</definedName>
    <definedName name="topFlangeMaximumBoltSpacingCalculated">'Flange Splice Design'!$F$94</definedName>
    <definedName name="topFlangeSpliceLengthReduction">'Flange Splice Design'!$B$63</definedName>
    <definedName name="topFlangeSpliceMaterialEnum">Input!$B$35</definedName>
    <definedName name="topFlangeSplicePlateLengthCalculated">'Flange Splice Design'!$I$122</definedName>
    <definedName name="topFlangeTotalBoltCalculatedFinal">'Flange Splice Design'!$F$86</definedName>
    <definedName name="topFlangeTotalBoltCalculatedLongJoint">'Flange Splice Design'!$F$63</definedName>
    <definedName name="topFlangeTotalBoltCalculatedSlip">'Flange Splice Design'!$H$80</definedName>
    <definedName name="topFlangeTotalBoltCalculatedStrength">'Flange Splice Design'!$F$69</definedName>
    <definedName name="topFlangeTotalBoltInitial">'Flange Splice Design'!$D$69</definedName>
    <definedName name="topFlangeTotalBoltOverride">Input!$H$40</definedName>
    <definedName name="Version">Constants!$B$84</definedName>
    <definedName name="webBoltOverrideStatus">Input!$F$41</definedName>
    <definedName name="webBoltRowQuantity">Input!$F$13</definedName>
    <definedName name="webBoltRowsCalculated">'Web Splice Design'!$D$62</definedName>
    <definedName name="webBoltShearCapacity" localSheetId="6">'Web Splice Design'!$I$16</definedName>
    <definedName name="webBoltShearCapacity">[2]Calculations!$I$24</definedName>
    <definedName name="webBoltTransPitchCalculatedFinal">'Web Splice Design'!$C$113</definedName>
    <definedName name="webDepth">Input!$B$24</definedName>
    <definedName name="webFillerPlateHeight">'Web Splice Design'!$G$137</definedName>
    <definedName name="webFillerPlateQuantity">'Web Splice Design'!$G$44</definedName>
    <definedName name="webFillerPlateThicknessEach">'Web Splice Design'!$F$44</definedName>
    <definedName name="webFillerPlateThicknessTotal">'Web Splice Design'!$E$44</definedName>
    <definedName name="webFillerPlateWidth">'Web Splice Design'!$I$137</definedName>
    <definedName name="webMaximumBoltSpacingCalculated">'Web Splice Design'!$D$82</definedName>
    <definedName name="webSpliceMaterialEnum">Input!$B$42</definedName>
    <definedName name="webSplicePlateHeightFinal">'Web Splice Design'!$D$113</definedName>
    <definedName name="webSplicePlateMaximumHeight">'Web Splice Design'!$C$94</definedName>
    <definedName name="webSplicePlateMaximumHeightAdjusted">'Web Splice Design'!$E$94</definedName>
    <definedName name="webSplicePlateThickness">Input!$B$43</definedName>
    <definedName name="webSplicePlateWidth">Input!$B$43</definedName>
    <definedName name="webThreadStateEnum">Input!$F$8</definedName>
    <definedName name="webTotalBoltCalculatedFinal">'Web Splice Design'!$F$106</definedName>
    <definedName name="webTotalBoltCalculatedOverride">Input!$H$41</definedName>
    <definedName name="webTotalBoltCalculatedPitch">'Web Splice Design'!$F$100</definedName>
    <definedName name="webTotalBoltCalculatedSlip">'Web Splice Design'!$J$70</definedName>
    <definedName name="webTotalBoltCalculatedStrength">'Web Splice Design'!$E$62</definedName>
    <definedName name="webWeldClearence">Input!$F$32</definedName>
    <definedName name="webWeldSize">Input!$F$31</definedName>
    <definedName name="widthPlateWidthCaculated">'Web Splice Design'!$I$135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9" l="1"/>
  <c r="E63" i="9"/>
  <c r="B48" i="1" l="1"/>
  <c r="B37" i="1"/>
  <c r="B103" i="9" l="1"/>
  <c r="B102" i="9"/>
  <c r="B153" i="9" l="1"/>
  <c r="G20" i="1" l="1"/>
  <c r="G19" i="1"/>
  <c r="B152" i="9"/>
  <c r="C20" i="1" l="1"/>
  <c r="B49" i="11" s="1"/>
  <c r="B20" i="1"/>
  <c r="B48" i="11" s="1"/>
  <c r="D36" i="6"/>
  <c r="D53" i="11" l="1"/>
  <c r="B47" i="16"/>
  <c r="C47" i="16" s="1"/>
  <c r="B46" i="16"/>
  <c r="C46" i="16" s="1"/>
  <c r="D49" i="11"/>
  <c r="E49" i="11" s="1"/>
  <c r="D52" i="11"/>
  <c r="D48" i="11"/>
  <c r="E48" i="11" s="1"/>
  <c r="C49" i="11"/>
  <c r="C48" i="11"/>
  <c r="G52" i="9" l="1"/>
  <c r="G51" i="9"/>
  <c r="G50" i="9"/>
  <c r="G49" i="9"/>
  <c r="E87" i="9" l="1"/>
  <c r="E86" i="9"/>
  <c r="E106" i="11"/>
  <c r="G106" i="11" l="1"/>
  <c r="G87" i="9"/>
  <c r="G86" i="9"/>
  <c r="F79" i="9" l="1"/>
  <c r="F80" i="9"/>
  <c r="F81" i="9"/>
  <c r="H70" i="11" l="1"/>
  <c r="D7" i="14" l="1"/>
  <c r="D8" i="14"/>
  <c r="D6" i="14"/>
  <c r="C31" i="1" l="1"/>
  <c r="B32" i="1"/>
  <c r="B49" i="1" l="1"/>
  <c r="I3" i="3"/>
  <c r="I4" i="3" s="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E58" i="9" l="1"/>
  <c r="E57" i="9"/>
  <c r="E56" i="9"/>
  <c r="E55" i="9"/>
  <c r="E45" i="9" l="1"/>
  <c r="D45" i="9"/>
  <c r="E43" i="9"/>
  <c r="D43" i="9"/>
  <c r="C43" i="9"/>
  <c r="F45" i="9" l="1"/>
  <c r="F43" i="9"/>
  <c r="H49" i="9" l="1"/>
  <c r="C26" i="14" s="1"/>
  <c r="D52" i="9"/>
  <c r="D51" i="9"/>
  <c r="D50" i="9"/>
  <c r="D49" i="9"/>
  <c r="B55" i="9" s="1"/>
  <c r="H50" i="9"/>
  <c r="C28" i="14" s="1"/>
  <c r="B26" i="14"/>
  <c r="B43" i="9"/>
  <c r="C52" i="9"/>
  <c r="B52" i="9"/>
  <c r="C51" i="9"/>
  <c r="B51" i="9"/>
  <c r="C50" i="9"/>
  <c r="B50" i="9"/>
  <c r="C49" i="9"/>
  <c r="B49" i="9"/>
  <c r="B56" i="9" l="1"/>
  <c r="B28" i="14"/>
  <c r="H51" i="9"/>
  <c r="C35" i="14" s="1"/>
  <c r="B35" i="14"/>
  <c r="H52" i="9"/>
  <c r="C37" i="14" s="1"/>
  <c r="B37" i="14"/>
  <c r="B34" i="14"/>
  <c r="B27" i="14"/>
  <c r="B25" i="14"/>
  <c r="B36" i="14"/>
  <c r="B100" i="11"/>
  <c r="G13" i="1"/>
  <c r="B58" i="9" l="1"/>
  <c r="B57" i="9"/>
  <c r="C321" i="9"/>
  <c r="C339" i="9" l="1"/>
  <c r="C336" i="9"/>
  <c r="C335" i="9"/>
  <c r="C332" i="9"/>
  <c r="B339" i="9"/>
  <c r="B336" i="9"/>
  <c r="B335" i="9"/>
  <c r="B332" i="9"/>
  <c r="C328" i="9"/>
  <c r="C325" i="9"/>
  <c r="C324" i="9"/>
  <c r="B328" i="9"/>
  <c r="B325" i="9"/>
  <c r="B324" i="9"/>
  <c r="B321" i="9"/>
  <c r="C309" i="9"/>
  <c r="C306" i="9"/>
  <c r="B309" i="9"/>
  <c r="B306" i="9"/>
  <c r="D306" i="9" l="1"/>
  <c r="D309" i="9"/>
  <c r="C160" i="9"/>
  <c r="C161" i="9"/>
  <c r="C162" i="9"/>
  <c r="C163" i="9"/>
  <c r="C31" i="9"/>
  <c r="C30" i="9"/>
  <c r="C29" i="9"/>
  <c r="C28" i="9"/>
  <c r="C190" i="11" l="1"/>
  <c r="D190" i="11" s="1"/>
  <c r="B190" i="11"/>
  <c r="C123" i="11" l="1"/>
  <c r="C94" i="11"/>
  <c r="B94" i="11"/>
  <c r="C88" i="11"/>
  <c r="D88" i="11"/>
  <c r="D135" i="11" l="1"/>
  <c r="B12" i="14"/>
  <c r="B162" i="9" l="1"/>
  <c r="D162" i="9" s="1"/>
  <c r="E170" i="9" s="1"/>
  <c r="B30" i="9"/>
  <c r="D30" i="9" s="1"/>
  <c r="B29" i="9"/>
  <c r="D29" i="9" s="1"/>
  <c r="B161" i="9"/>
  <c r="D161" i="9" s="1"/>
  <c r="E169" i="9" s="1"/>
  <c r="D216" i="11" l="1"/>
  <c r="D332" i="9" l="1"/>
  <c r="D321" i="9"/>
  <c r="C187" i="11" l="1"/>
  <c r="G8" i="9"/>
  <c r="G8" i="11" l="1"/>
  <c r="H9" i="11" s="1"/>
  <c r="D122" i="9"/>
  <c r="C116" i="9"/>
  <c r="D11" i="14" s="1"/>
  <c r="D102" i="9"/>
  <c r="G14" i="1"/>
  <c r="G12" i="1"/>
  <c r="B241" i="11" l="1"/>
  <c r="B70" i="11"/>
  <c r="F314" i="9"/>
  <c r="D13" i="14"/>
  <c r="D221" i="11"/>
  <c r="B187" i="11"/>
  <c r="D187" i="11" s="1"/>
  <c r="C186" i="11"/>
  <c r="B186" i="11"/>
  <c r="B198" i="11"/>
  <c r="C198" i="11" s="1"/>
  <c r="E176" i="11"/>
  <c r="D176" i="11"/>
  <c r="D172" i="11"/>
  <c r="C168" i="11"/>
  <c r="G164" i="11"/>
  <c r="G160" i="11"/>
  <c r="C144" i="11"/>
  <c r="E144" i="11"/>
  <c r="B144" i="11"/>
  <c r="C150" i="11"/>
  <c r="D154" i="11"/>
  <c r="C154" i="11"/>
  <c r="B154" i="11"/>
  <c r="D186" i="11" l="1"/>
  <c r="E187" i="11"/>
  <c r="E186" i="11"/>
  <c r="F176" i="11"/>
  <c r="C176" i="11"/>
  <c r="B176" i="11"/>
  <c r="E172" i="11"/>
  <c r="C172" i="11"/>
  <c r="B172" i="11"/>
  <c r="C202" i="11" l="1"/>
  <c r="D44" i="11"/>
  <c r="D45" i="11"/>
  <c r="B45" i="11"/>
  <c r="B44" i="11"/>
  <c r="D58" i="11"/>
  <c r="D94" i="9" l="1"/>
  <c r="G22" i="1"/>
  <c r="C283" i="9" l="1"/>
  <c r="C282" i="9"/>
  <c r="C281" i="9"/>
  <c r="C280" i="9"/>
  <c r="E295" i="9" l="1"/>
  <c r="E294" i="9"/>
  <c r="E293" i="9"/>
  <c r="E292" i="9"/>
  <c r="E257" i="9"/>
  <c r="E256" i="9"/>
  <c r="E255" i="9"/>
  <c r="E254" i="9"/>
  <c r="E218" i="9" l="1"/>
  <c r="E216" i="9"/>
  <c r="E18" i="9" l="1"/>
  <c r="B19" i="14" l="1"/>
  <c r="H135" i="11" l="1"/>
  <c r="D62" i="11"/>
  <c r="E150" i="11" l="1"/>
  <c r="E198" i="11"/>
  <c r="B7" i="14"/>
  <c r="C160" i="11"/>
  <c r="B135" i="11"/>
  <c r="B123" i="11"/>
  <c r="C82" i="11" l="1"/>
  <c r="B82" i="11"/>
  <c r="D82" i="11" s="1"/>
  <c r="E100" i="11" s="1"/>
  <c r="B116" i="9" l="1"/>
  <c r="E102" i="9" l="1"/>
  <c r="D116" i="9" l="1"/>
  <c r="C103" i="9" l="1"/>
  <c r="C102" i="9"/>
  <c r="E71" i="9"/>
  <c r="E69" i="9"/>
  <c r="C232" i="9" l="1"/>
  <c r="C195" i="9"/>
  <c r="C271" i="9"/>
  <c r="C233" i="9"/>
  <c r="C270" i="9"/>
  <c r="C194" i="9"/>
  <c r="C269" i="9"/>
  <c r="C231" i="9"/>
  <c r="C193" i="9"/>
  <c r="C268" i="9"/>
  <c r="C192" i="9"/>
  <c r="C230" i="9"/>
  <c r="B124" i="9"/>
  <c r="B8" i="14"/>
  <c r="B122" i="9"/>
  <c r="B6" i="14"/>
  <c r="B308" i="9" l="1"/>
  <c r="C308" i="9"/>
  <c r="C307" i="9"/>
  <c r="B307" i="9"/>
  <c r="B311" i="9"/>
  <c r="C310" i="9"/>
  <c r="C314" i="9" l="1"/>
  <c r="D314" i="9" s="1"/>
  <c r="C311" i="9" l="1"/>
  <c r="D308" i="9"/>
  <c r="D307" i="9"/>
  <c r="D311" i="9" l="1"/>
  <c r="E308" i="9"/>
  <c r="E307" i="9"/>
  <c r="D295" i="9"/>
  <c r="D294" i="9"/>
  <c r="D293" i="9"/>
  <c r="D292" i="9"/>
  <c r="D289" i="9"/>
  <c r="D288" i="9"/>
  <c r="D287" i="9"/>
  <c r="D286" i="9"/>
  <c r="D257" i="9"/>
  <c r="D256" i="9"/>
  <c r="D255" i="9"/>
  <c r="D254" i="9"/>
  <c r="D251" i="9"/>
  <c r="D250" i="9"/>
  <c r="D249" i="9"/>
  <c r="D248" i="9"/>
  <c r="C245" i="9"/>
  <c r="C243" i="9"/>
  <c r="C242" i="9"/>
  <c r="B333" i="9" l="1"/>
  <c r="B322" i="9"/>
  <c r="C333" i="9"/>
  <c r="C322" i="9"/>
  <c r="G239" i="9"/>
  <c r="G237" i="9"/>
  <c r="G236" i="9"/>
  <c r="G233" i="9"/>
  <c r="G231" i="9"/>
  <c r="G230" i="9"/>
  <c r="G277" i="9"/>
  <c r="G275" i="9"/>
  <c r="G274" i="9"/>
  <c r="G271" i="9"/>
  <c r="G269" i="9"/>
  <c r="G268" i="9"/>
  <c r="F292" i="9"/>
  <c r="C292" i="9"/>
  <c r="B292" i="9"/>
  <c r="E286" i="9"/>
  <c r="C286" i="9"/>
  <c r="B286" i="9"/>
  <c r="F254" i="9"/>
  <c r="C254" i="9"/>
  <c r="B254" i="9"/>
  <c r="E248" i="9"/>
  <c r="C248" i="9"/>
  <c r="B248" i="9"/>
  <c r="D212" i="9" l="1"/>
  <c r="D210" i="9"/>
  <c r="D218" i="9"/>
  <c r="D216" i="9"/>
  <c r="F216" i="9"/>
  <c r="C216" i="9"/>
  <c r="B216" i="9"/>
  <c r="E210" i="9"/>
  <c r="C210" i="9"/>
  <c r="B210" i="9"/>
  <c r="C207" i="9"/>
  <c r="C206" i="9"/>
  <c r="C205" i="9"/>
  <c r="C204" i="9"/>
  <c r="G201" i="9"/>
  <c r="G200" i="9"/>
  <c r="G199" i="9"/>
  <c r="G198" i="9"/>
  <c r="G195" i="9"/>
  <c r="G194" i="9"/>
  <c r="G193" i="9"/>
  <c r="G192" i="9"/>
  <c r="H124" i="9" l="1"/>
  <c r="H125" i="9"/>
  <c r="H123" i="9"/>
  <c r="H122" i="9"/>
  <c r="G124" i="9" l="1"/>
  <c r="D23" i="6" l="1"/>
  <c r="F18" i="9"/>
  <c r="A18" i="6" l="1"/>
  <c r="A17" i="6"/>
  <c r="A19" i="6" l="1"/>
  <c r="B49" i="6"/>
  <c r="A20" i="6" l="1"/>
  <c r="C37" i="1"/>
  <c r="B21" i="14"/>
  <c r="B20" i="14"/>
  <c r="B18" i="14"/>
  <c r="B17" i="14"/>
  <c r="C38" i="1" l="1"/>
  <c r="E50" i="9"/>
  <c r="G34" i="1"/>
  <c r="E88" i="11"/>
  <c r="D55" i="9"/>
  <c r="E49" i="9"/>
  <c r="B160" i="9"/>
  <c r="D160" i="9" s="1"/>
  <c r="E168" i="9" s="1"/>
  <c r="B28" i="9"/>
  <c r="D28" i="9" s="1"/>
  <c r="E28" i="9" s="1"/>
  <c r="B106" i="9"/>
  <c r="G123" i="9"/>
  <c r="G122" i="9"/>
  <c r="A21" i="6"/>
  <c r="C56" i="9" l="1"/>
  <c r="F56" i="9" s="1"/>
  <c r="C27" i="14"/>
  <c r="C25" i="14"/>
  <c r="C55" i="9"/>
  <c r="F55" i="9" s="1"/>
  <c r="G29" i="9"/>
  <c r="G28" i="9"/>
  <c r="F28" i="9"/>
  <c r="A23" i="6"/>
  <c r="A22" i="6"/>
  <c r="C20" i="14"/>
  <c r="C18" i="14"/>
  <c r="C69" i="9" l="1"/>
  <c r="B38" i="1"/>
  <c r="B39" i="1" l="1"/>
  <c r="B40" i="1" s="1"/>
  <c r="B97" i="9"/>
  <c r="B96" i="9"/>
  <c r="B95" i="9"/>
  <c r="B94" i="9"/>
  <c r="B310" i="9" l="1"/>
  <c r="C244" i="9"/>
  <c r="G238" i="9"/>
  <c r="G232" i="9"/>
  <c r="G276" i="9"/>
  <c r="G270" i="9"/>
  <c r="C94" i="9"/>
  <c r="F94" i="9" s="1"/>
  <c r="C96" i="9"/>
  <c r="F96" i="9" s="1"/>
  <c r="D310" i="9" l="1"/>
  <c r="E94" i="9"/>
  <c r="E96" i="9"/>
  <c r="E310" i="9" l="1"/>
  <c r="E311" i="9"/>
  <c r="B326" i="9" l="1"/>
  <c r="B337" i="9"/>
  <c r="C326" i="9"/>
  <c r="C337" i="9"/>
  <c r="F16" i="11"/>
  <c r="E16" i="11"/>
  <c r="D16" i="11"/>
  <c r="B16" i="11"/>
  <c r="D41" i="11" l="1"/>
  <c r="D40" i="11"/>
  <c r="C41" i="11"/>
  <c r="C40" i="11"/>
  <c r="B41" i="11"/>
  <c r="B40" i="11"/>
  <c r="C45" i="11"/>
  <c r="C44" i="11"/>
  <c r="G49" i="11" l="1"/>
  <c r="G48" i="11"/>
  <c r="F48" i="11"/>
  <c r="F49" i="11"/>
  <c r="H49" i="11" s="1"/>
  <c r="B53" i="11"/>
  <c r="B52" i="11"/>
  <c r="E44" i="11"/>
  <c r="F44" i="11" s="1"/>
  <c r="B31" i="14" s="1"/>
  <c r="H48" i="11" l="1"/>
  <c r="G44" i="11"/>
  <c r="E31" i="14" s="1"/>
  <c r="H137" i="11"/>
  <c r="C52" i="11" l="1"/>
  <c r="E52" i="11" s="1"/>
  <c r="C53" i="11"/>
  <c r="E53" i="11" s="1"/>
  <c r="B21" i="11"/>
  <c r="A21" i="11"/>
  <c r="C58" i="11" l="1"/>
  <c r="E58" i="11" s="1"/>
  <c r="G184" i="9"/>
  <c r="F184" i="9"/>
  <c r="C184" i="9"/>
  <c r="C168" i="9"/>
  <c r="D180" i="11" l="1"/>
  <c r="B194" i="11"/>
  <c r="F154" i="11"/>
  <c r="D186" i="9" l="1"/>
  <c r="D184" i="9"/>
  <c r="C17" i="14"/>
  <c r="C48" i="1"/>
  <c r="E52" i="9" l="1"/>
  <c r="C58" i="9" s="1"/>
  <c r="E51" i="9"/>
  <c r="D57" i="9"/>
  <c r="B163" i="9"/>
  <c r="D163" i="9" s="1"/>
  <c r="E171" i="9" s="1"/>
  <c r="C49" i="1"/>
  <c r="B31" i="9"/>
  <c r="D31" i="9" s="1"/>
  <c r="E30" i="9" s="1"/>
  <c r="B107" i="9"/>
  <c r="C21" i="14"/>
  <c r="G125" i="9"/>
  <c r="D170" i="9"/>
  <c r="D168" i="9"/>
  <c r="C36" i="14" l="1"/>
  <c r="F58" i="9"/>
  <c r="C34" i="14"/>
  <c r="C57" i="9"/>
  <c r="F57" i="9" s="1"/>
  <c r="G30" i="9"/>
  <c r="F30" i="9"/>
  <c r="G31" i="9"/>
  <c r="B50" i="1"/>
  <c r="B19" i="16"/>
  <c r="C176" i="9"/>
  <c r="D176" i="9" s="1"/>
  <c r="C178" i="9"/>
  <c r="D178" i="9" s="1"/>
  <c r="C177" i="9"/>
  <c r="D177" i="9" s="1"/>
  <c r="F8" i="11"/>
  <c r="E8" i="11"/>
  <c r="D8" i="11"/>
  <c r="C8" i="11"/>
  <c r="B8" i="11"/>
  <c r="F7" i="11"/>
  <c r="E7" i="11"/>
  <c r="D7" i="11"/>
  <c r="C7" i="11"/>
  <c r="B7" i="11"/>
  <c r="F8" i="9"/>
  <c r="E8" i="9"/>
  <c r="D8" i="9"/>
  <c r="C8" i="9"/>
  <c r="B8" i="9"/>
  <c r="F7" i="9"/>
  <c r="E7" i="9"/>
  <c r="D7" i="9"/>
  <c r="C7" i="9"/>
  <c r="B7" i="9"/>
  <c r="B18" i="9"/>
  <c r="D18" i="9"/>
  <c r="A23" i="9"/>
  <c r="B23" i="9"/>
  <c r="C38" i="9"/>
  <c r="C37" i="9"/>
  <c r="C36" i="9"/>
  <c r="C35" i="9"/>
  <c r="C71" i="9" l="1"/>
  <c r="B10" i="9"/>
  <c r="D10" i="9"/>
  <c r="C10" i="9"/>
  <c r="B51" i="1"/>
  <c r="H12" i="9"/>
  <c r="H13" i="9"/>
  <c r="H9" i="9"/>
  <c r="H11" i="11"/>
  <c r="H10" i="11"/>
  <c r="C179" i="9"/>
  <c r="D179" i="9" s="1"/>
  <c r="F171" i="9"/>
  <c r="F168" i="9"/>
  <c r="F169" i="9"/>
  <c r="F170" i="9"/>
  <c r="C11" i="9"/>
  <c r="D11" i="9"/>
  <c r="B11" i="9"/>
  <c r="B397" i="9" l="1"/>
  <c r="B81" i="9"/>
  <c r="B387" i="9"/>
  <c r="B80" i="9"/>
  <c r="B377" i="9"/>
  <c r="B79" i="9"/>
  <c r="B260" i="11"/>
  <c r="B74" i="11"/>
  <c r="B250" i="11"/>
  <c r="B72" i="11"/>
  <c r="B20" i="16"/>
  <c r="H11" i="9"/>
  <c r="B147" i="9" s="1"/>
  <c r="H10" i="9"/>
  <c r="B139" i="9" s="1"/>
  <c r="I11" i="11"/>
  <c r="I10" i="11"/>
  <c r="I9" i="11"/>
  <c r="D34" i="6" l="1"/>
  <c r="D35" i="6"/>
  <c r="D37" i="6"/>
  <c r="D39" i="6"/>
  <c r="D40" i="6"/>
  <c r="D38" i="6"/>
  <c r="B35" i="9" l="1"/>
  <c r="E40" i="11"/>
  <c r="E41" i="11"/>
  <c r="B38" i="9"/>
  <c r="B36" i="9"/>
  <c r="B37" i="9"/>
  <c r="B6" i="6" l="1"/>
  <c r="I6" i="6" s="1"/>
  <c r="B7" i="6" l="1"/>
  <c r="G6" i="6"/>
  <c r="A6" i="6"/>
  <c r="C6" i="6"/>
  <c r="A7" i="6"/>
  <c r="C7" i="6" l="1"/>
  <c r="I7" i="6"/>
  <c r="B8" i="6"/>
  <c r="I8" i="6" s="1"/>
  <c r="G7" i="6"/>
  <c r="B9" i="6" l="1"/>
  <c r="G8" i="6"/>
  <c r="A8" i="6"/>
  <c r="C8" i="6"/>
  <c r="G9" i="6" l="1"/>
  <c r="I9" i="6"/>
  <c r="B10" i="6"/>
  <c r="A9" i="6"/>
  <c r="C9" i="6"/>
  <c r="D36" i="9" l="1"/>
  <c r="E36" i="9" s="1"/>
  <c r="G36" i="9" s="1"/>
  <c r="D35" i="9"/>
  <c r="E35" i="9" s="1"/>
  <c r="G35" i="9" s="1"/>
  <c r="D38" i="9"/>
  <c r="E38" i="9" s="1"/>
  <c r="G38" i="9" s="1"/>
  <c r="D37" i="9"/>
  <c r="E37" i="9" s="1"/>
  <c r="G37" i="9" s="1"/>
  <c r="B178" i="9"/>
  <c r="B177" i="9"/>
  <c r="B176" i="9"/>
  <c r="B179" i="9"/>
  <c r="B108" i="11"/>
  <c r="B83" i="9"/>
  <c r="B74" i="9"/>
  <c r="B65" i="11"/>
  <c r="B103" i="11"/>
  <c r="D123" i="11"/>
  <c r="B160" i="11" s="1"/>
  <c r="B88" i="11"/>
  <c r="F102" i="9"/>
  <c r="E116" i="9"/>
  <c r="G10" i="6"/>
  <c r="I10" i="6"/>
  <c r="F150" i="11"/>
  <c r="D268" i="9"/>
  <c r="D192" i="9"/>
  <c r="D274" i="9"/>
  <c r="B314" i="9"/>
  <c r="E332" i="9" s="1"/>
  <c r="B211" i="11"/>
  <c r="D236" i="9"/>
  <c r="D164" i="11"/>
  <c r="D230" i="9"/>
  <c r="D160" i="11"/>
  <c r="D198" i="9"/>
  <c r="G27" i="1"/>
  <c r="G28" i="1"/>
  <c r="B18" i="11"/>
  <c r="B183" i="11"/>
  <c r="G25" i="1"/>
  <c r="G24" i="1"/>
  <c r="G102" i="9"/>
  <c r="B77" i="11"/>
  <c r="B89" i="9"/>
  <c r="B303" i="9"/>
  <c r="B373" i="9"/>
  <c r="C16" i="11"/>
  <c r="H16" i="11" s="1"/>
  <c r="I16" i="11" s="1"/>
  <c r="B226" i="11" s="1"/>
  <c r="C18" i="9"/>
  <c r="B25" i="9"/>
  <c r="B238" i="11"/>
  <c r="C21" i="11"/>
  <c r="D21" i="11" s="1"/>
  <c r="F70" i="11" s="1"/>
  <c r="G18" i="9"/>
  <c r="B133" i="9"/>
  <c r="B20" i="9"/>
  <c r="B139" i="11"/>
  <c r="C23" i="9"/>
  <c r="D23" i="9" s="1"/>
  <c r="B157" i="9"/>
  <c r="G16" i="11"/>
  <c r="B36" i="11"/>
  <c r="B11" i="6"/>
  <c r="C10" i="6"/>
  <c r="A10" i="6"/>
  <c r="D79" i="9" l="1"/>
  <c r="H18" i="9"/>
  <c r="I18" i="9" s="1"/>
  <c r="C117" i="11"/>
  <c r="D100" i="11"/>
  <c r="E211" i="11"/>
  <c r="F116" i="9"/>
  <c r="B130" i="9"/>
  <c r="E314" i="9"/>
  <c r="E321" i="9" s="1"/>
  <c r="E13" i="14"/>
  <c r="E11" i="14"/>
  <c r="F122" i="9"/>
  <c r="H103" i="9"/>
  <c r="I103" i="9" s="1"/>
  <c r="H102" i="9"/>
  <c r="F89" i="11"/>
  <c r="G89" i="11" s="1"/>
  <c r="E12" i="14"/>
  <c r="F88" i="11"/>
  <c r="G88" i="11" s="1"/>
  <c r="B113" i="11"/>
  <c r="B129" i="11"/>
  <c r="E123" i="11"/>
  <c r="C130" i="9"/>
  <c r="C12" i="14"/>
  <c r="F135" i="11"/>
  <c r="C129" i="11"/>
  <c r="B265" i="11"/>
  <c r="B255" i="11"/>
  <c r="B245" i="11"/>
  <c r="B399" i="9"/>
  <c r="B379" i="9"/>
  <c r="B389" i="9"/>
  <c r="G11" i="6"/>
  <c r="I11" i="6"/>
  <c r="D211" i="11"/>
  <c r="I36" i="9"/>
  <c r="H36" i="9"/>
  <c r="D300" i="9"/>
  <c r="B137" i="9"/>
  <c r="C369" i="9"/>
  <c r="D262" i="9"/>
  <c r="H37" i="9"/>
  <c r="I38" i="9"/>
  <c r="H38" i="9"/>
  <c r="I35" i="9"/>
  <c r="D260" i="9"/>
  <c r="C365" i="9"/>
  <c r="B145" i="9"/>
  <c r="H35" i="9"/>
  <c r="D298" i="9"/>
  <c r="I37" i="9"/>
  <c r="F38" i="9"/>
  <c r="B12" i="6"/>
  <c r="C11" i="6"/>
  <c r="A11" i="6"/>
  <c r="F35" i="9"/>
  <c r="F37" i="9"/>
  <c r="F36" i="9"/>
  <c r="C80" i="9" l="1"/>
  <c r="C81" i="9"/>
  <c r="B144" i="9"/>
  <c r="B386" i="9" s="1"/>
  <c r="I102" i="9"/>
  <c r="D110" i="9" s="1"/>
  <c r="D53" i="16" s="1"/>
  <c r="B136" i="9"/>
  <c r="B376" i="9" s="1"/>
  <c r="C79" i="9"/>
  <c r="D94" i="11"/>
  <c r="E94" i="11" s="1"/>
  <c r="F123" i="11"/>
  <c r="F12" i="14"/>
  <c r="J103" i="9"/>
  <c r="C107" i="9"/>
  <c r="C13" i="14"/>
  <c r="D111" i="9"/>
  <c r="D54" i="16" s="1"/>
  <c r="I135" i="11"/>
  <c r="E135" i="11"/>
  <c r="G13" i="14"/>
  <c r="G11" i="14"/>
  <c r="E122" i="9"/>
  <c r="G117" i="9"/>
  <c r="E54" i="16" s="1"/>
  <c r="G116" i="9"/>
  <c r="E53" i="16" s="1"/>
  <c r="B71" i="9"/>
  <c r="G12" i="6"/>
  <c r="I12" i="6"/>
  <c r="B184" i="9"/>
  <c r="B185" i="9"/>
  <c r="B169" i="9"/>
  <c r="C367" i="9" s="1"/>
  <c r="B168" i="9"/>
  <c r="C364" i="9" s="1"/>
  <c r="B187" i="9"/>
  <c r="B170" i="9"/>
  <c r="C368" i="9" s="1"/>
  <c r="B171" i="9"/>
  <c r="C371" i="9" s="1"/>
  <c r="B186" i="9"/>
  <c r="B69" i="9"/>
  <c r="G328" i="9"/>
  <c r="F328" i="9"/>
  <c r="G324" i="9"/>
  <c r="F324" i="9"/>
  <c r="G325" i="9"/>
  <c r="F325" i="9"/>
  <c r="G321" i="9"/>
  <c r="F321" i="9"/>
  <c r="F322" i="9"/>
  <c r="F326" i="9"/>
  <c r="G326" i="9"/>
  <c r="G322" i="9"/>
  <c r="D224" i="9"/>
  <c r="D222" i="9"/>
  <c r="C12" i="6"/>
  <c r="A12" i="6"/>
  <c r="D69" i="9" l="1"/>
  <c r="D71" i="9"/>
  <c r="F71" i="9" s="1"/>
  <c r="J102" i="9"/>
  <c r="F110" i="9" s="1"/>
  <c r="G53" i="16" s="1"/>
  <c r="C11" i="14"/>
  <c r="C106" i="9"/>
  <c r="E79" i="9"/>
  <c r="G79" i="9" s="1"/>
  <c r="H79" i="9" s="1"/>
  <c r="C87" i="9" s="1"/>
  <c r="B111" i="9"/>
  <c r="B54" i="16" s="1"/>
  <c r="B233" i="9"/>
  <c r="F233" i="9" s="1"/>
  <c r="B232" i="9"/>
  <c r="F232" i="9" s="1"/>
  <c r="F100" i="11"/>
  <c r="D106" i="11" s="1"/>
  <c r="C100" i="11"/>
  <c r="E81" i="9"/>
  <c r="G81" i="9" s="1"/>
  <c r="E80" i="9"/>
  <c r="G80" i="9" s="1"/>
  <c r="I42" i="1"/>
  <c r="C19" i="14"/>
  <c r="I137" i="11"/>
  <c r="C31" i="14" s="1"/>
  <c r="D107" i="9"/>
  <c r="B194" i="9" s="1"/>
  <c r="B13" i="14"/>
  <c r="F111" i="9"/>
  <c r="G54" i="16" s="1"/>
  <c r="F12" i="6"/>
  <c r="H12" i="6"/>
  <c r="D58" i="16"/>
  <c r="G58" i="16"/>
  <c r="G168" i="9"/>
  <c r="B8" i="16" s="1"/>
  <c r="G169" i="9"/>
  <c r="B9" i="16" s="1"/>
  <c r="G170" i="9"/>
  <c r="B10" i="16" s="1"/>
  <c r="G171" i="9"/>
  <c r="B11" i="16" s="1"/>
  <c r="H325" i="9"/>
  <c r="C347" i="9" s="1"/>
  <c r="H321" i="9"/>
  <c r="C343" i="9" s="1"/>
  <c r="H324" i="9"/>
  <c r="C346" i="9" s="1"/>
  <c r="H328" i="9"/>
  <c r="C350" i="9" s="1"/>
  <c r="B138" i="9"/>
  <c r="B140" i="9" s="1"/>
  <c r="B141" i="9" s="1"/>
  <c r="B396" i="9"/>
  <c r="B146" i="9"/>
  <c r="B148" i="9" s="1"/>
  <c r="B149" i="9" s="1"/>
  <c r="C149" i="9" s="1"/>
  <c r="H326" i="9"/>
  <c r="C348" i="9" s="1"/>
  <c r="H322" i="9"/>
  <c r="C344" i="9" s="1"/>
  <c r="F160" i="11"/>
  <c r="H160" i="11" s="1"/>
  <c r="H316" i="9"/>
  <c r="H314" i="9"/>
  <c r="B11" i="14" l="1"/>
  <c r="E24" i="16"/>
  <c r="F24" i="16"/>
  <c r="D106" i="9"/>
  <c r="B268" i="9" s="1"/>
  <c r="F268" i="9" s="1"/>
  <c r="H268" i="9" s="1"/>
  <c r="B110" i="9"/>
  <c r="B53" i="16" s="1"/>
  <c r="B344" i="9"/>
  <c r="D344" i="9" s="1"/>
  <c r="B343" i="9"/>
  <c r="D343" i="9" s="1"/>
  <c r="B346" i="9"/>
  <c r="D346" i="9" s="1"/>
  <c r="B350" i="9"/>
  <c r="D350" i="9" s="1"/>
  <c r="B348" i="9"/>
  <c r="D348" i="9" s="1"/>
  <c r="B347" i="9"/>
  <c r="D347" i="9" s="1"/>
  <c r="F87" i="9"/>
  <c r="B87" i="9"/>
  <c r="G42" i="1"/>
  <c r="B230" i="9"/>
  <c r="F230" i="9" s="1"/>
  <c r="H230" i="9" s="1"/>
  <c r="B231" i="9"/>
  <c r="F231" i="9" s="1"/>
  <c r="C141" i="9"/>
  <c r="B154" i="9"/>
  <c r="H80" i="9"/>
  <c r="C86" i="9" s="1"/>
  <c r="E111" i="9"/>
  <c r="F54" i="16" s="1"/>
  <c r="C111" i="9"/>
  <c r="C54" i="16" s="1"/>
  <c r="B195" i="9"/>
  <c r="F195" i="9" s="1"/>
  <c r="B270" i="9"/>
  <c r="F270" i="9" s="1"/>
  <c r="H270" i="9" s="1"/>
  <c r="F13" i="14"/>
  <c r="B271" i="9"/>
  <c r="F271" i="9" s="1"/>
  <c r="H271" i="9" s="1"/>
  <c r="B27" i="16"/>
  <c r="C27" i="16" s="1"/>
  <c r="B26" i="16"/>
  <c r="C26" i="16" s="1"/>
  <c r="E177" i="9"/>
  <c r="F177" i="9" s="1"/>
  <c r="E179" i="9"/>
  <c r="F179" i="9" s="1"/>
  <c r="E178" i="9"/>
  <c r="F178" i="9" s="1"/>
  <c r="F194" i="9"/>
  <c r="C8" i="14" l="1"/>
  <c r="B64" i="9"/>
  <c r="D64" i="9" s="1"/>
  <c r="F64" i="9" s="1"/>
  <c r="H87" i="9" s="1"/>
  <c r="B192" i="9"/>
  <c r="F192" i="9" s="1"/>
  <c r="H192" i="9" s="1"/>
  <c r="B193" i="9"/>
  <c r="F193" i="9" s="1"/>
  <c r="H193" i="9" s="1"/>
  <c r="C110" i="9"/>
  <c r="C53" i="16" s="1"/>
  <c r="F46" i="1" s="1"/>
  <c r="B269" i="9"/>
  <c r="F269" i="9" s="1"/>
  <c r="H269" i="9" s="1"/>
  <c r="E110" i="9"/>
  <c r="F53" i="16" s="1"/>
  <c r="F11" i="14"/>
  <c r="C124" i="9"/>
  <c r="I124" i="9" s="1"/>
  <c r="B200" i="9"/>
  <c r="B277" i="9"/>
  <c r="C200" i="9"/>
  <c r="B282" i="9"/>
  <c r="E282" i="9" s="1"/>
  <c r="G294" i="9" s="1"/>
  <c r="C276" i="9"/>
  <c r="B378" i="9"/>
  <c r="B380" i="9" s="1"/>
  <c r="B381" i="9" s="1"/>
  <c r="B382" i="9" s="1"/>
  <c r="B383" i="9" s="1"/>
  <c r="B201" i="9"/>
  <c r="C277" i="9"/>
  <c r="B244" i="9"/>
  <c r="E244" i="9" s="1"/>
  <c r="B207" i="9"/>
  <c r="E207" i="9" s="1"/>
  <c r="B276" i="9"/>
  <c r="C239" i="9"/>
  <c r="B238" i="9"/>
  <c r="B245" i="9"/>
  <c r="E245" i="9" s="1"/>
  <c r="C201" i="9"/>
  <c r="B206" i="9"/>
  <c r="E206" i="9" s="1"/>
  <c r="C238" i="9"/>
  <c r="B239" i="9"/>
  <c r="B283" i="9"/>
  <c r="E283" i="9" s="1"/>
  <c r="G295" i="9" s="1"/>
  <c r="G316" i="9"/>
  <c r="B361" i="9" s="1"/>
  <c r="B155" i="9"/>
  <c r="B33" i="16" s="1"/>
  <c r="G337" i="9"/>
  <c r="G336" i="9"/>
  <c r="G339" i="9"/>
  <c r="D11" i="16"/>
  <c r="D10" i="16"/>
  <c r="D9" i="16"/>
  <c r="B28" i="11"/>
  <c r="B27" i="11"/>
  <c r="H194" i="9"/>
  <c r="H232" i="9"/>
  <c r="H195" i="9"/>
  <c r="H233" i="9"/>
  <c r="H231" i="9"/>
  <c r="D24" i="16" l="1"/>
  <c r="D87" i="9"/>
  <c r="F238" i="9"/>
  <c r="H238" i="9" s="1"/>
  <c r="F250" i="9" s="1"/>
  <c r="C64" i="9"/>
  <c r="B24" i="16" s="1"/>
  <c r="F336" i="9"/>
  <c r="H336" i="9" s="1"/>
  <c r="C358" i="9" s="1"/>
  <c r="F200" i="9"/>
  <c r="H200" i="9" s="1"/>
  <c r="F212" i="9" s="1"/>
  <c r="F239" i="9"/>
  <c r="H239" i="9" s="1"/>
  <c r="F251" i="9" s="1"/>
  <c r="F337" i="9"/>
  <c r="H337" i="9" s="1"/>
  <c r="C359" i="9" s="1"/>
  <c r="F339" i="9"/>
  <c r="H339" i="9" s="1"/>
  <c r="C361" i="9" s="1"/>
  <c r="D361" i="9" s="1"/>
  <c r="B371" i="9" s="1"/>
  <c r="D371" i="9" s="1"/>
  <c r="F11" i="16" s="1"/>
  <c r="B358" i="9"/>
  <c r="F277" i="9"/>
  <c r="H277" i="9" s="1"/>
  <c r="F289" i="9" s="1"/>
  <c r="B301" i="9" s="1"/>
  <c r="E301" i="9" s="1"/>
  <c r="B359" i="9"/>
  <c r="F201" i="9"/>
  <c r="H201" i="9" s="1"/>
  <c r="F213" i="9" s="1"/>
  <c r="F276" i="9"/>
  <c r="H276" i="9" s="1"/>
  <c r="F288" i="9" s="1"/>
  <c r="B300" i="9" s="1"/>
  <c r="C33" i="16"/>
  <c r="F51" i="1"/>
  <c r="I50" i="9"/>
  <c r="D28" i="14" s="1"/>
  <c r="F50" i="9"/>
  <c r="D27" i="14" s="1"/>
  <c r="I52" i="9"/>
  <c r="D37" i="14" s="1"/>
  <c r="I51" i="9"/>
  <c r="D35" i="14" s="1"/>
  <c r="I49" i="9"/>
  <c r="D26" i="14" s="1"/>
  <c r="F52" i="9"/>
  <c r="D36" i="14" s="1"/>
  <c r="F51" i="9"/>
  <c r="D34" i="14" s="1"/>
  <c r="C27" i="11"/>
  <c r="C28" i="11"/>
  <c r="B58" i="11"/>
  <c r="B62" i="11" s="1"/>
  <c r="B29" i="16"/>
  <c r="C29" i="16" s="1"/>
  <c r="D20" i="14"/>
  <c r="G257" i="9"/>
  <c r="G256" i="9"/>
  <c r="G219" i="9"/>
  <c r="G218" i="9"/>
  <c r="D358" i="9" l="1"/>
  <c r="B368" i="9" s="1"/>
  <c r="D368" i="9" s="1"/>
  <c r="F10" i="16" s="1"/>
  <c r="G24" i="16"/>
  <c r="C24" i="16"/>
  <c r="D359" i="9"/>
  <c r="B369" i="9" s="1"/>
  <c r="D369" i="9" s="1"/>
  <c r="D16" i="16" s="1"/>
  <c r="B251" i="11"/>
  <c r="C72" i="11"/>
  <c r="C62" i="11"/>
  <c r="C194" i="11"/>
  <c r="E300" i="9"/>
  <c r="C16" i="16" s="1"/>
  <c r="B32" i="11"/>
  <c r="B224" i="9"/>
  <c r="E224" i="9" s="1"/>
  <c r="B225" i="9"/>
  <c r="E225" i="9" s="1"/>
  <c r="B263" i="9"/>
  <c r="B262" i="9"/>
  <c r="C17" i="16"/>
  <c r="E62" i="11" l="1"/>
  <c r="B106" i="11" s="1"/>
  <c r="B202" i="11"/>
  <c r="C206" i="11" s="1"/>
  <c r="C235" i="11"/>
  <c r="E262" i="9"/>
  <c r="B16" i="16" s="1"/>
  <c r="E10" i="16"/>
  <c r="E263" i="9"/>
  <c r="B17" i="16" s="1"/>
  <c r="E11" i="16"/>
  <c r="B206" i="11" l="1"/>
  <c r="B221" i="11" s="1"/>
  <c r="C216" i="11"/>
  <c r="C221" i="11"/>
  <c r="B216" i="11" l="1"/>
  <c r="C58" i="16"/>
  <c r="D130" i="9"/>
  <c r="E130" i="9" s="1"/>
  <c r="D129" i="11"/>
  <c r="E129" i="11" s="1"/>
  <c r="E58" i="16" s="1"/>
  <c r="E176" i="9" l="1"/>
  <c r="E187" i="9" s="1"/>
  <c r="H187" i="9" s="1"/>
  <c r="I187" i="9" s="1"/>
  <c r="C11" i="16" l="1"/>
  <c r="E185" i="9"/>
  <c r="H185" i="9" s="1"/>
  <c r="I185" i="9" s="1"/>
  <c r="F176" i="9"/>
  <c r="E184" i="9" s="1"/>
  <c r="H184" i="9" s="1"/>
  <c r="I184" i="9" s="1"/>
  <c r="D8" i="16"/>
  <c r="E186" i="9"/>
  <c r="H186" i="9" s="1"/>
  <c r="I186" i="9" s="1"/>
  <c r="C8" i="16" l="1"/>
  <c r="C9" i="16"/>
  <c r="C10" i="16"/>
  <c r="I40" i="1" l="1"/>
  <c r="F69" i="9"/>
  <c r="F23" i="16" s="1"/>
  <c r="F86" i="9" l="1"/>
  <c r="B388" i="9" s="1"/>
  <c r="B390" i="9" s="1"/>
  <c r="B391" i="9" s="1"/>
  <c r="B392" i="9" s="1"/>
  <c r="B30" i="16" s="1"/>
  <c r="C30" i="16" s="1"/>
  <c r="B86" i="9"/>
  <c r="E23" i="16"/>
  <c r="G40" i="1"/>
  <c r="B274" i="9" l="1"/>
  <c r="C198" i="9"/>
  <c r="B242" i="9"/>
  <c r="E242" i="9" s="1"/>
  <c r="G254" i="9" s="1"/>
  <c r="B243" i="9"/>
  <c r="E243" i="9" s="1"/>
  <c r="G255" i="9" s="1"/>
  <c r="B280" i="9"/>
  <c r="E280" i="9" s="1"/>
  <c r="G292" i="9" s="1"/>
  <c r="B63" i="9"/>
  <c r="D63" i="9" s="1"/>
  <c r="F63" i="9" s="1"/>
  <c r="H86" i="9" s="1"/>
  <c r="G23" i="16" s="1"/>
  <c r="C122" i="9"/>
  <c r="I122" i="9" s="1"/>
  <c r="C275" i="9"/>
  <c r="B199" i="9"/>
  <c r="B275" i="9"/>
  <c r="F275" i="9" s="1"/>
  <c r="H275" i="9" s="1"/>
  <c r="F287" i="9" s="1"/>
  <c r="B204" i="9"/>
  <c r="E204" i="9" s="1"/>
  <c r="G216" i="9" s="1"/>
  <c r="C199" i="9"/>
  <c r="F199" i="9" s="1"/>
  <c r="H199" i="9" s="1"/>
  <c r="F211" i="9" s="1"/>
  <c r="B281" i="9"/>
  <c r="E281" i="9" s="1"/>
  <c r="G293" i="9" s="1"/>
  <c r="C274" i="9"/>
  <c r="G314" i="9"/>
  <c r="B354" i="9" s="1"/>
  <c r="C236" i="9"/>
  <c r="C237" i="9"/>
  <c r="B205" i="9"/>
  <c r="E205" i="9" s="1"/>
  <c r="G217" i="9" s="1"/>
  <c r="B237" i="9"/>
  <c r="F237" i="9" s="1"/>
  <c r="H237" i="9" s="1"/>
  <c r="F249" i="9" s="1"/>
  <c r="C6" i="14"/>
  <c r="B198" i="9"/>
  <c r="B236" i="9"/>
  <c r="B398" i="9"/>
  <c r="B400" i="9" s="1"/>
  <c r="B401" i="9" s="1"/>
  <c r="B402" i="9" s="1"/>
  <c r="B31" i="16" s="1"/>
  <c r="C31" i="16" s="1"/>
  <c r="B393" i="9"/>
  <c r="D72" i="11" s="1"/>
  <c r="F333" i="9" l="1"/>
  <c r="B261" i="9"/>
  <c r="E261" i="9" s="1"/>
  <c r="B15" i="16" s="1"/>
  <c r="F332" i="9"/>
  <c r="B223" i="9"/>
  <c r="E223" i="9" s="1"/>
  <c r="E9" i="16" s="1"/>
  <c r="B299" i="9"/>
  <c r="E299" i="9" s="1"/>
  <c r="C15" i="16" s="1"/>
  <c r="F335" i="9"/>
  <c r="F274" i="9"/>
  <c r="H274" i="9" s="1"/>
  <c r="F286" i="9" s="1"/>
  <c r="B298" i="9" s="1"/>
  <c r="E298" i="9" s="1"/>
  <c r="C14" i="16" s="1"/>
  <c r="C63" i="9"/>
  <c r="B23" i="16" s="1"/>
  <c r="B403" i="9"/>
  <c r="C393" i="9" s="1"/>
  <c r="D86" i="9"/>
  <c r="D23" i="16"/>
  <c r="C23" i="16"/>
  <c r="B357" i="9"/>
  <c r="F236" i="9"/>
  <c r="H236" i="9" s="1"/>
  <c r="F248" i="9" s="1"/>
  <c r="B260" i="9" s="1"/>
  <c r="E260" i="9" s="1"/>
  <c r="B14" i="16" s="1"/>
  <c r="G335" i="9"/>
  <c r="G332" i="9"/>
  <c r="G333" i="9"/>
  <c r="B355" i="9"/>
  <c r="F198" i="9"/>
  <c r="H198" i="9" s="1"/>
  <c r="F210" i="9" s="1"/>
  <c r="B222" i="9" s="1"/>
  <c r="E222" i="9" s="1"/>
  <c r="E8" i="16" s="1"/>
  <c r="B262" i="11"/>
  <c r="B263" i="11" s="1"/>
  <c r="B33" i="11"/>
  <c r="B261" i="11"/>
  <c r="C74" i="11"/>
  <c r="B252" i="11"/>
  <c r="B253" i="11" s="1"/>
  <c r="E72" i="11"/>
  <c r="G72" i="11" s="1"/>
  <c r="I72" i="11" s="1"/>
  <c r="E74" i="11"/>
  <c r="G74" i="11" s="1"/>
  <c r="I74" i="11" s="1"/>
  <c r="D17" i="14"/>
  <c r="F49" i="9"/>
  <c r="D25" i="14" s="1"/>
  <c r="H333" i="9" l="1"/>
  <c r="C355" i="9" s="1"/>
  <c r="D355" i="9" s="1"/>
  <c r="B365" i="9" s="1"/>
  <c r="D365" i="9" s="1"/>
  <c r="D14" i="16" s="1"/>
  <c r="F45" i="1" s="1"/>
  <c r="H335" i="9"/>
  <c r="C357" i="9" s="1"/>
  <c r="D357" i="9" s="1"/>
  <c r="B367" i="9" s="1"/>
  <c r="D367" i="9" s="1"/>
  <c r="F9" i="16" s="1"/>
  <c r="H332" i="9"/>
  <c r="C354" i="9" s="1"/>
  <c r="D354" i="9" s="1"/>
  <c r="B364" i="9" s="1"/>
  <c r="D364" i="9" s="1"/>
  <c r="F8" i="16" s="1"/>
  <c r="C383" i="9"/>
  <c r="C70" i="11"/>
  <c r="B242" i="11"/>
  <c r="B243" i="11" s="1"/>
  <c r="D70" i="11"/>
  <c r="E70" i="11"/>
  <c r="G70" i="11" s="1"/>
  <c r="I70" i="11" s="1"/>
  <c r="J70" i="11" s="1"/>
  <c r="C403" i="9"/>
  <c r="B34" i="11"/>
  <c r="C34" i="11" s="1"/>
  <c r="C106" i="11" l="1"/>
  <c r="G41" i="1"/>
  <c r="I41" i="1" s="1"/>
  <c r="C33" i="11"/>
  <c r="C32" i="11"/>
  <c r="F106" i="11"/>
  <c r="C164" i="11" s="1"/>
  <c r="B244" i="11" l="1"/>
  <c r="B246" i="11" s="1"/>
  <c r="B247" i="11" s="1"/>
  <c r="B42" i="16" s="1"/>
  <c r="C42" i="16" s="1"/>
  <c r="C135" i="11"/>
  <c r="C113" i="11"/>
  <c r="B164" i="11" s="1"/>
  <c r="F164" i="11" s="1"/>
  <c r="H164" i="11" s="1"/>
  <c r="F172" i="11" s="1"/>
  <c r="B254" i="11"/>
  <c r="B256" i="11" s="1"/>
  <c r="B257" i="11" s="1"/>
  <c r="B43" i="16" s="1"/>
  <c r="C43" i="16" s="1"/>
  <c r="B264" i="11"/>
  <c r="B266" i="11" s="1"/>
  <c r="B267" i="11" s="1"/>
  <c r="B44" i="16" s="1"/>
  <c r="C44" i="16" s="1"/>
  <c r="D150" i="11"/>
  <c r="D198" i="11"/>
  <c r="B231" i="11" s="1"/>
  <c r="C7" i="14"/>
  <c r="C211" i="11" l="1"/>
  <c r="G211" i="11" s="1"/>
  <c r="E216" i="11" s="1"/>
  <c r="G216" i="11" s="1"/>
  <c r="D113" i="11"/>
  <c r="D12" i="14"/>
  <c r="F211" i="11"/>
  <c r="H211" i="11" s="1"/>
  <c r="E221" i="11" s="1"/>
  <c r="F221" i="11" s="1"/>
  <c r="B117" i="11"/>
  <c r="B58" i="16" s="1"/>
  <c r="B168" i="11"/>
  <c r="E168" i="11" s="1"/>
  <c r="G176" i="11" s="1"/>
  <c r="B180" i="11" s="1"/>
  <c r="E180" i="11" s="1"/>
  <c r="D37" i="16" s="1"/>
  <c r="D19" i="14" l="1"/>
  <c r="G137" i="11"/>
  <c r="D31" i="14" s="1"/>
  <c r="F216" i="11"/>
  <c r="H216" i="11" s="1"/>
  <c r="C226" i="11" s="1"/>
  <c r="D226" i="11" s="1"/>
  <c r="F144" i="11"/>
  <c r="G144" i="11" s="1"/>
  <c r="H144" i="11" s="1"/>
  <c r="B37" i="16" s="1"/>
  <c r="D117" i="11"/>
  <c r="F58" i="16" s="1"/>
  <c r="F49" i="1" s="1"/>
  <c r="G135" i="11"/>
  <c r="D144" i="11"/>
  <c r="B150" i="11"/>
  <c r="G150" i="11" s="1"/>
  <c r="E154" i="11" s="1"/>
  <c r="G154" i="11" s="1"/>
  <c r="C37" i="16" s="1"/>
  <c r="G221" i="11"/>
  <c r="H221" i="11" s="1"/>
  <c r="C231" i="11" s="1"/>
  <c r="D231" i="11" s="1"/>
  <c r="B235" i="11" l="1"/>
  <c r="D235" i="11" s="1"/>
  <c r="B40" i="16" s="1"/>
  <c r="F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Garrell</author>
    <author>Garrell, Christopher</author>
  </authors>
  <commentList>
    <comment ref="E11" authorId="0" shapeId="0" xr:uid="{00000000-0006-0000-0100-000001000000}">
      <text>
        <r>
          <rPr>
            <b/>
            <sz val="9"/>
            <color indexed="81"/>
            <rFont val="Tahoma"/>
            <family val="2"/>
          </rPr>
          <t>AASHO Specification only allows standard holes at this time, however oversize may be available in the future.</t>
        </r>
      </text>
    </comment>
    <comment ref="E12" authorId="0" shapeId="0" xr:uid="{00000000-0006-0000-0100-000002000000}">
      <text>
        <r>
          <rPr>
            <b/>
            <sz val="9"/>
            <color indexed="81"/>
            <rFont val="Tahoma"/>
            <family val="2"/>
          </rPr>
          <t>AASHTO LRFD Article 6.13.6.1.3a</t>
        </r>
      </text>
    </comment>
    <comment ref="E13" authorId="0" shapeId="0" xr:uid="{00000000-0006-0000-0100-000003000000}">
      <text>
        <r>
          <rPr>
            <b/>
            <sz val="9"/>
            <color indexed="81"/>
            <rFont val="Tahoma"/>
            <family val="2"/>
          </rPr>
          <t>AASHTO LRFD Article 6.13.6.1.3a</t>
        </r>
      </text>
    </comment>
    <comment ref="E14" authorId="0" shapeId="0" xr:uid="{00000000-0006-0000-0100-000004000000}">
      <text>
        <r>
          <rPr>
            <b/>
            <sz val="9"/>
            <color indexed="81"/>
            <rFont val="Tahoma"/>
            <family val="2"/>
          </rPr>
          <t>AASHTO LRFD Article 6.13.6.1.3a</t>
        </r>
      </text>
    </comment>
    <comment ref="E17" authorId="1" shapeId="0" xr:uid="{8DF174F5-AFBE-4DCD-8014-DF79CFD535C0}">
      <text>
        <r>
          <rPr>
            <b/>
            <sz val="9"/>
            <color indexed="81"/>
            <rFont val="Tahoma"/>
            <family val="2"/>
          </rPr>
          <t>If composite, enter efective width and concrete strength.</t>
        </r>
      </text>
    </comment>
    <comment ref="A18" authorId="0" shapeId="0" xr:uid="{5919A29A-A231-4FF2-9DAB-B4DCEC9FC827}">
      <text>
        <r>
          <rPr>
            <b/>
            <sz val="9"/>
            <color indexed="81"/>
            <rFont val="Tahoma"/>
            <family val="2"/>
          </rPr>
          <t>Select "Yes" if web has a longitudinal web stiffener, otherwise "No".  Per AASHTO LRFD 6.10.11.1.1, all longitudinally stiffened webs shall have transverse stiffeners spaced no further than 2d apart.</t>
        </r>
      </text>
    </comment>
    <comment ref="A19" authorId="0" shapeId="0" xr:uid="{B5B81E38-0EC7-463E-BBAC-8A4E3EF3F603}">
      <text>
        <r>
          <rPr>
            <b/>
            <sz val="9"/>
            <color indexed="81"/>
            <rFont val="Tahoma"/>
            <family val="2"/>
          </rPr>
          <t>AASHTO LRFD Article 6.10.9.1.  Enter transverse stffener spacing for both left and right side of splice.  Enter 0 if no transverse stiffeners exist.</t>
        </r>
      </text>
    </comment>
    <comment ref="E19" authorId="1" shapeId="0" xr:uid="{424A62A7-85D4-44BF-9335-18B313E4E0E0}">
      <text>
        <r>
          <rPr>
            <b/>
            <sz val="9"/>
            <color indexed="81"/>
            <rFont val="Tahoma"/>
            <family val="2"/>
          </rPr>
          <t>Enter effective width if composite.</t>
        </r>
      </text>
    </comment>
    <comment ref="A20" authorId="0" shapeId="0" xr:uid="{05D3DD01-94C9-4FDE-93DB-69BB34692005}">
      <text>
        <r>
          <rPr>
            <b/>
            <sz val="9"/>
            <color indexed="81"/>
            <rFont val="Tahoma"/>
            <family val="2"/>
          </rPr>
          <t>AASHTO LRFD 6.10.9.1.  A status of "Unstiffened" implies that side will be analyzed as unstiffened.  Otherwise "Stiffened" will appear.  If web is longitudinally stiffened and the conditions of AASHTO LRFD 6.10.11.1.1 are not met, a status of "NG" will be returned, and the splice design is invalid.  In that case you must review your transverse stiffener spacing and ensure it does not exceed 2d.</t>
        </r>
      </text>
    </comment>
    <comment ref="E20" authorId="1" shapeId="0" xr:uid="{EE87C021-FD1E-4B9D-8188-0B9389833D43}">
      <text>
        <r>
          <rPr>
            <b/>
            <sz val="9"/>
            <color indexed="81"/>
            <rFont val="Tahoma"/>
            <family val="2"/>
          </rPr>
          <t>Enter concrete strength if composite.</t>
        </r>
      </text>
    </comment>
    <comment ref="E22" authorId="0" shapeId="0" xr:uid="{00000000-0006-0000-0100-000005000000}">
      <text>
        <r>
          <rPr>
            <b/>
            <sz val="9"/>
            <color indexed="81"/>
            <rFont val="Tahoma"/>
            <family val="2"/>
          </rPr>
          <t>AASHTO LRFD Article 6.13.2.6.1.  Must be greater than minimum defined in specification.    Calculations default to minimum spacing 3d if 0 is entered.</t>
        </r>
      </text>
    </comment>
    <comment ref="E24" authorId="0" shapeId="0" xr:uid="{00000000-0006-0000-0100-000006000000}">
      <text>
        <r>
          <rPr>
            <b/>
            <sz val="9"/>
            <color indexed="81"/>
            <rFont val="Tahoma"/>
            <family val="2"/>
          </rPr>
          <t>Distance from first bolt hole to edge perpendicular to force for flange.  Must be greater than minimum defined in specification.    Calculations default to minimum edge distance if 0 is entered.</t>
        </r>
      </text>
    </comment>
    <comment ref="E25" authorId="0" shapeId="0" xr:uid="{00000000-0006-0000-0100-000007000000}">
      <text>
        <r>
          <rPr>
            <b/>
            <sz val="9"/>
            <color indexed="81"/>
            <rFont val="Tahoma"/>
            <family val="2"/>
          </rPr>
          <t>Distance from first bolt hole to edge parallel with force.  Must be greater than minimum defined in specification.    Calculations default to minimum edge distance if 0 is entered.</t>
        </r>
      </text>
    </comment>
    <comment ref="E27" authorId="0" shapeId="0" xr:uid="{00000000-0006-0000-0100-000008000000}">
      <text>
        <r>
          <rPr>
            <b/>
            <sz val="9"/>
            <color indexed="81"/>
            <rFont val="Tahoma"/>
            <family val="2"/>
          </rPr>
          <t>Distance from first bolt hole to edge perpendicular to force for web.  Must be greater than minimum defined in specification.    Calculations default to minimum edge distance if 0 is entered.</t>
        </r>
      </text>
    </comment>
    <comment ref="E28" authorId="0" shapeId="0" xr:uid="{00000000-0006-0000-0100-000009000000}">
      <text>
        <r>
          <rPr>
            <b/>
            <sz val="9"/>
            <color indexed="81"/>
            <rFont val="Tahoma"/>
            <family val="2"/>
          </rPr>
          <t>Distance from first bolt hole to edge parallel with force.  Must be greater than minimum defined in specification.    Calculations default to minimum edge distance if 0 is entered.</t>
        </r>
      </text>
    </comment>
    <comment ref="A31" authorId="0" shapeId="0" xr:uid="{00000000-0006-0000-0100-00000A000000}">
      <text>
        <r>
          <rPr>
            <b/>
            <sz val="9"/>
            <color indexed="81"/>
            <rFont val="Tahoma"/>
            <family val="2"/>
          </rPr>
          <t>Haunch is measured from top of web to the bottom of the concrete deck.  Initial haunch entered must be greater than or equal to the thickness of the top flange.  If the thickness changes across the splice, you should enter the thicker of the two.  This will equate to the deck being flush with the top flange (of the thicker flange.  The value for the right side haunch will be automatically be calculated based upon alignment option (web center) and section properties.</t>
        </r>
      </text>
    </comment>
    <comment ref="E31" authorId="0" shapeId="0" xr:uid="{00000000-0006-0000-0100-00000C000000}">
      <text>
        <r>
          <rPr>
            <b/>
            <sz val="9"/>
            <color indexed="81"/>
            <rFont val="Tahoma"/>
            <family val="2"/>
          </rPr>
          <t>This should typically be set to 1/8in to 5/16 and is intended to define the width/height of the flange to web weld.</t>
        </r>
      </text>
    </comment>
    <comment ref="A32" authorId="0" shapeId="0" xr:uid="{00000000-0006-0000-0100-00000B000000}">
      <text>
        <r>
          <rPr>
            <b/>
            <sz val="9"/>
            <color indexed="81"/>
            <rFont val="Tahoma"/>
            <family val="2"/>
          </rPr>
          <t>A haunch status of "NG" implies that the left or right girder top flange is embedded in the concrete slab.  If this occurs you need to adjust your left haunch accordingly.</t>
        </r>
      </text>
    </comment>
    <comment ref="E32" authorId="0" shapeId="0" xr:uid="{00000000-0006-0000-0100-00000D000000}">
      <text>
        <r>
          <rPr>
            <b/>
            <sz val="9"/>
            <color indexed="81"/>
            <rFont val="Tahoma"/>
            <family val="2"/>
          </rPr>
          <t>Distance from toe of web weld to splice plate.</t>
        </r>
      </text>
    </comment>
    <comment ref="E34" authorId="0" shapeId="0" xr:uid="{00000000-0006-0000-0100-00000E000000}">
      <text>
        <r>
          <rPr>
            <b/>
            <sz val="9"/>
            <color indexed="81"/>
            <rFont val="Tahoma"/>
            <family val="2"/>
          </rPr>
          <t>Distance from inside face of flange to first row of web bolts.  Value checked against AISC Table 7-15 H2+Max(C1,C2).  Calculations default to H2+Max(C1,C2) if 0 is entered.</t>
        </r>
      </text>
    </comment>
    <comment ref="B37" authorId="1" shapeId="0" xr:uid="{8CE5DD66-9B47-4E7F-9837-EA6E13EC01FB}">
      <text>
        <r>
          <rPr>
            <b/>
            <sz val="9"/>
            <color indexed="81"/>
            <rFont val="Tahoma"/>
            <family val="2"/>
          </rPr>
          <t>Remaining inner flange width after subtracting web weld clearance and weld size.  This number can be adjusted by altering those two values or the width of the flange or the thickness of the web.</t>
        </r>
      </text>
    </comment>
    <comment ref="E37" authorId="0" shapeId="0" xr:uid="{00000000-0006-0000-0100-000010000000}">
      <text>
        <r>
          <rPr>
            <b/>
            <sz val="9"/>
            <color indexed="81"/>
            <rFont val="Tahoma"/>
            <family val="2"/>
          </rPr>
          <t>Girder alignment mode will affect the filler plate calculations and result in girders that are flat across their top flange, bottom flange or centered by web height.  Note that the alignment mode will affect the calculation of the right side haunch. Web Center only supported at this time.</t>
        </r>
      </text>
    </comment>
    <comment ref="B40" authorId="0" shapeId="0" xr:uid="{00000000-0006-0000-0100-000011000000}">
      <text>
        <r>
          <rPr>
            <b/>
            <sz val="9"/>
            <color indexed="81"/>
            <rFont val="Tahoma"/>
            <family val="2"/>
          </rPr>
          <t>Double shear check.</t>
        </r>
      </text>
    </comment>
    <comment ref="F40" authorId="0" shapeId="0" xr:uid="{00000000-0006-0000-0100-000012000000}">
      <text>
        <r>
          <rPr>
            <b/>
            <sz val="9"/>
            <color indexed="81"/>
            <rFont val="Tahoma"/>
            <family val="2"/>
          </rPr>
          <t>Provide option to override the bolt count that would be calculated.</t>
        </r>
      </text>
    </comment>
    <comment ref="I40" authorId="0" shapeId="0" xr:uid="{00000000-0006-0000-0100-000013000000}">
      <text>
        <r>
          <rPr>
            <b/>
            <sz val="9"/>
            <color indexed="81"/>
            <rFont val="Tahoma"/>
            <family val="2"/>
          </rPr>
          <t>Test if override value entered is even and not less than what would have been required by design.</t>
        </r>
      </text>
    </comment>
    <comment ref="F41" authorId="0" shapeId="0" xr:uid="{00000000-0006-0000-0100-000014000000}">
      <text>
        <r>
          <rPr>
            <b/>
            <sz val="9"/>
            <color indexed="81"/>
            <rFont val="Tahoma"/>
            <family val="2"/>
          </rPr>
          <t>Provide option to override the bolt count that would be calculated.</t>
        </r>
      </text>
    </comment>
    <comment ref="I41" authorId="0" shapeId="0" xr:uid="{00000000-0006-0000-0100-000015000000}">
      <text>
        <r>
          <rPr>
            <b/>
            <sz val="9"/>
            <color indexed="81"/>
            <rFont val="Tahoma"/>
            <family val="2"/>
          </rPr>
          <t>Test if override value entered is even and not less than what would have been required by design.</t>
        </r>
      </text>
    </comment>
    <comment ref="F42" authorId="0" shapeId="0" xr:uid="{00000000-0006-0000-0100-000016000000}">
      <text>
        <r>
          <rPr>
            <b/>
            <sz val="9"/>
            <color indexed="81"/>
            <rFont val="Tahoma"/>
            <family val="2"/>
          </rPr>
          <t>Provide option to override the bolt count that would be calculated.</t>
        </r>
      </text>
    </comment>
    <comment ref="I42" authorId="0" shapeId="0" xr:uid="{00000000-0006-0000-0100-000017000000}">
      <text>
        <r>
          <rPr>
            <b/>
            <sz val="9"/>
            <color indexed="81"/>
            <rFont val="Tahoma"/>
            <family val="2"/>
          </rPr>
          <t>Test if override value entered is even and not less than what would have been required by design.</t>
        </r>
      </text>
    </comment>
    <comment ref="B48" authorId="1" shapeId="0" xr:uid="{B495EE96-14DF-420F-BE19-23EE91DF9473}">
      <text>
        <r>
          <rPr>
            <b/>
            <sz val="9"/>
            <color indexed="81"/>
            <rFont val="Tahoma"/>
            <family val="2"/>
          </rPr>
          <t>Remaining inner flange width after subtracting web weld clearance and weld size.  This number can be adjusted by altering those two values or the width of the flange or the thickness of the web.</t>
        </r>
      </text>
    </comment>
    <comment ref="B51" authorId="0" shapeId="0" xr:uid="{00000000-0006-0000-0100-000018000000}">
      <text>
        <r>
          <rPr>
            <b/>
            <sz val="9"/>
            <color indexed="81"/>
            <rFont val="Tahoma"/>
            <family val="2"/>
          </rPr>
          <t>Double shear check.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Garrell, Christopher</author>
    <author>Christopher Garrell</author>
  </authors>
  <commentList>
    <comment ref="B22" authorId="0" shapeId="0" xr:uid="{79B6BD39-6C1E-4AED-9D0F-7DA17A952002}">
      <text>
        <r>
          <rPr>
            <b/>
            <sz val="9"/>
            <color indexed="81"/>
            <rFont val="Tahoma"/>
            <family val="2"/>
          </rPr>
          <t>Display "NOTICE" is length reduction required.  Otherwise "OK".</t>
        </r>
      </text>
    </comment>
    <comment ref="C22" authorId="0" shapeId="0" xr:uid="{5DE9F7D4-8E9E-4AF2-AACA-1E48B2FB3F0D}">
      <text>
        <r>
          <rPr>
            <b/>
            <sz val="9"/>
            <color indexed="81"/>
            <rFont val="Tahoma"/>
            <family val="2"/>
          </rPr>
          <t>Display "NG" if bolt count for strength limit state is less than what is needed for long joint with reduction applied.  Otherwise "OK".</t>
        </r>
      </text>
    </comment>
    <comment ref="D22" authorId="0" shapeId="0" xr:uid="{F87C6074-ABEE-428E-96CD-9B967AC5F2D5}">
      <text>
        <r>
          <rPr>
            <b/>
            <sz val="9"/>
            <color indexed="81"/>
            <rFont val="Tahoma"/>
            <family val="2"/>
          </rPr>
          <t>Bolt count needed to accommodate long joint.  If this count is greater than the count needed for strength limit state, the user needs to override the calculated bolt count on the "Input" sheet and adjust the bolt count and/or spacing until the "Long Joint Bolt Count - Check" shows "OK".</t>
        </r>
      </text>
    </comment>
    <comment ref="E22" authorId="0" shapeId="0" xr:uid="{FA980A34-F5DF-4A3B-BEFD-59507218FAA3}">
      <text>
        <r>
          <rPr>
            <b/>
            <sz val="9"/>
            <color indexed="81"/>
            <rFont val="Tahoma"/>
            <family val="2"/>
          </rPr>
          <t>Bolt count needed to accommodate strength limit state.  This is shown for reference and comparison to "Long Joint Bolt Count" and assist with override.</t>
        </r>
      </text>
    </comment>
    <comment ref="F22" authorId="0" shapeId="0" xr:uid="{DD0E46C7-C9A5-4CD6-AE41-151CD6804CD5}">
      <text>
        <r>
          <rPr>
            <b/>
            <sz val="9"/>
            <color indexed="81"/>
            <rFont val="Tahoma"/>
            <family val="2"/>
          </rPr>
          <t>User entered override bolt count.  Only used when user override is enabled.  This is shown for reference and is an echo of the values on the "Input" sheet.  These values are ignored unless "User Specified" is enabled.</t>
        </r>
      </text>
    </comment>
    <comment ref="C52" authorId="1" shapeId="0" xr:uid="{00000000-0006-0000-0400-000001000000}">
      <text>
        <r>
          <rPr>
            <b/>
            <sz val="9"/>
            <color indexed="81"/>
            <rFont val="Tahoma"/>
            <family val="2"/>
          </rPr>
          <t>Check distance between bolt groups against minimum for bolt type and maximum for seal.  Reconsideration value input for of web weld spacing if NG.</t>
        </r>
      </text>
    </comment>
    <comment ref="D52" authorId="1" shapeId="0" xr:uid="{00000000-0006-0000-0400-000002000000}">
      <text>
        <r>
          <rPr>
            <b/>
            <sz val="9"/>
            <color indexed="81"/>
            <rFont val="Tahoma"/>
            <family val="2"/>
          </rPr>
          <t>Check bolt edge distance against minimum for bolt type and maximum for seal.</t>
        </r>
      </text>
    </comment>
    <comment ref="E52" authorId="1" shapeId="0" xr:uid="{00000000-0006-0000-0400-000003000000}">
      <text>
        <r>
          <rPr>
            <b/>
            <sz val="9"/>
            <color indexed="81"/>
            <rFont val="Tahoma"/>
            <family val="2"/>
          </rPr>
          <t>Check distance between bolt groups against minimum for bolt type and maximum for seal.  Reconsideration value input for of web gap if NG.</t>
        </r>
      </text>
    </comment>
    <comment ref="F52" authorId="1" shapeId="0" xr:uid="{00000000-0006-0000-0400-000004000000}">
      <text>
        <r>
          <rPr>
            <b/>
            <sz val="9"/>
            <color indexed="81"/>
            <rFont val="Tahoma"/>
            <family val="2"/>
          </rPr>
          <t>Check that the spacing and edge distances add up to the width of the splice plate.</t>
        </r>
      </text>
    </comment>
    <comment ref="G52" authorId="1" shapeId="0" xr:uid="{AD68C7AC-BB3B-4401-9B6D-33A0E0EBD7CC}">
      <text>
        <r>
          <rPr>
            <b/>
            <sz val="9"/>
            <color indexed="81"/>
            <rFont val="Tahoma"/>
            <family val="2"/>
          </rPr>
          <t>Check that the spacing and edge distances add up to the width of the splice plate.</t>
        </r>
      </text>
    </comment>
    <comment ref="B57" authorId="1" shapeId="0" xr:uid="{00000000-0006-0000-0400-000006000000}">
      <text>
        <r>
          <rPr>
            <b/>
            <sz val="9"/>
            <color indexed="81"/>
            <rFont val="Tahoma"/>
            <family val="2"/>
          </rPr>
          <t>Calculate new bolt spacing as necessary based upon final edge distance.</t>
        </r>
      </text>
    </comment>
    <comment ref="C57" authorId="1" shapeId="0" xr:uid="{00000000-0006-0000-0400-000007000000}">
      <text>
        <r>
          <rPr>
            <b/>
            <sz val="9"/>
            <color indexed="81"/>
            <rFont val="Tahoma"/>
            <family val="2"/>
          </rPr>
          <t>Check bolt edge distance against minimum for bolt type and maximum for seal.</t>
        </r>
      </text>
    </comment>
    <comment ref="D57" authorId="1" shapeId="0" xr:uid="{00000000-0006-0000-0400-000008000000}">
      <text>
        <r>
          <rPr>
            <b/>
            <sz val="9"/>
            <color indexed="81"/>
            <rFont val="Tahoma"/>
            <family val="2"/>
          </rPr>
          <t>Check distance between bolt groups against minimum for bolt type and maximum for seal.  Reconsideration value input for of web gap if NG.</t>
        </r>
      </text>
    </comment>
    <comment ref="G57" authorId="1" shapeId="0" xr:uid="{00000000-0006-0000-0400-000009000000}">
      <text>
        <r>
          <rPr>
            <b/>
            <sz val="9"/>
            <color indexed="81"/>
            <rFont val="Tahoma"/>
            <family val="2"/>
          </rPr>
          <t>Check distance between bolt groups against minimum for bolt type and maximum for seal.  Reconsideration value input for of web gap if 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Christopher Garrell</author>
    <author>Garrell, Christopher</author>
  </authors>
  <commentList>
    <comment ref="D48" authorId="0" shapeId="0" xr:uid="{00000000-0006-0000-0500-000001000000}">
      <text>
        <r>
          <rPr>
            <b/>
            <sz val="9"/>
            <color indexed="81"/>
            <rFont val="Tahoma"/>
            <family val="2"/>
          </rPr>
          <t>AASHTO LRFD Article 6.13.6.1.3c.  Filler plates not required up 1/16 in.  Reduction taken at 1/4 in.</t>
        </r>
      </text>
    </comment>
    <comment ref="G48" authorId="0" shapeId="0" xr:uid="{00000000-0006-0000-0500-000002000000}">
      <text>
        <r>
          <rPr>
            <b/>
            <sz val="9"/>
            <color indexed="81"/>
            <rFont val="Tahoma"/>
            <family val="2"/>
          </rPr>
          <t>AASHTO LRFD Article 6.13.6.1.3c.  Filler plates not required up 1/16 in.  Reduction taken at 1/4 in.</t>
        </r>
      </text>
    </comment>
    <comment ref="B62" authorId="0" shapeId="0" xr:uid="{00000000-0006-0000-0500-00001B000000}">
      <text>
        <r>
          <rPr>
            <b/>
            <sz val="9"/>
            <color indexed="81"/>
            <rFont val="Tahoma"/>
            <family val="2"/>
          </rPr>
          <t>AASHTO LRFD Article 6.13.2.7. A lap splice tension connection greater than 38.0 in. in length, the nominal shear resistance, Rn, is taken as 0.83Rn. This calculation is based upon the bolts calculated for the strength limit state  below which drives the splice connection length.</t>
        </r>
      </text>
    </comment>
    <comment ref="C62" authorId="1" shapeId="0" xr:uid="{99EFC51F-12E5-4971-8B9B-DDE27C040495}">
      <text>
        <r>
          <rPr>
            <b/>
            <sz val="9"/>
            <color indexed="81"/>
            <rFont val="Tahoma"/>
            <family val="2"/>
          </rPr>
          <t>Dislay "NOTICE" if a reduction factor needs to be applied.</t>
        </r>
      </text>
    </comment>
    <comment ref="D62" authorId="1" shapeId="0" xr:uid="{6BFF1385-F7E1-4E1F-9281-660D331356D8}">
      <text>
        <r>
          <rPr>
            <b/>
            <sz val="9"/>
            <color indexed="81"/>
            <rFont val="Tahoma"/>
            <family val="2"/>
          </rPr>
          <t>Initial bolt count taking into account reduction factor.</t>
        </r>
      </text>
    </comment>
    <comment ref="F62" authorId="1" shapeId="0" xr:uid="{12A91FC4-D3FA-4025-955D-CB8632DE9CBD}">
      <text>
        <r>
          <rPr>
            <b/>
            <sz val="9"/>
            <color indexed="81"/>
            <rFont val="Tahoma"/>
            <family val="2"/>
          </rPr>
          <t>Final bolt count needed to accommodate the long splice.</t>
        </r>
      </text>
    </comment>
    <comment ref="C68" authorId="0" shapeId="0" xr:uid="{4FAB368D-F0E3-4DB8-88A3-4FEB112F0BB5}">
      <text>
        <r>
          <rPr>
            <b/>
            <sz val="9"/>
            <color indexed="81"/>
            <rFont val="Tahoma"/>
            <family val="2"/>
          </rPr>
          <t>AASHTO LRFD Article 6.13.6.1.3c. Reduction required at 1/4 in or greater.</t>
        </r>
      </text>
    </comment>
    <comment ref="B85" authorId="1" shapeId="0" xr:uid="{166E27FC-8B64-4A44-A0F7-46BE12EDBC5E}">
      <text>
        <r>
          <rPr>
            <b/>
            <sz val="9"/>
            <color indexed="81"/>
            <rFont val="Tahoma"/>
            <charset val="1"/>
          </rPr>
          <t>Bolted needed to satisfy strength limit state.</t>
        </r>
      </text>
    </comment>
    <comment ref="C85" authorId="1" shapeId="0" xr:uid="{F185DDEA-7962-4560-A3AA-A7907B719AD6}">
      <text>
        <r>
          <rPr>
            <b/>
            <sz val="9"/>
            <color indexed="81"/>
            <rFont val="Tahoma"/>
            <family val="2"/>
          </rPr>
          <t>Bolts needed to satisfy slip resistance check.  Note that this count is only for reference and should the number of bolts for strength limit state not be sufficient for slip, a component force is added to the web later in the calculations below.</t>
        </r>
      </text>
    </comment>
    <comment ref="D85" authorId="1" shapeId="0" xr:uid="{83DB348C-EB3F-43C8-B10C-1B638FB510DA}">
      <text>
        <r>
          <rPr>
            <b/>
            <sz val="9"/>
            <color indexed="81"/>
            <rFont val="Tahoma"/>
            <family val="2"/>
          </rPr>
          <t>In cases where lap splice connection greater than 38.0 in. in length, additional bolts may be needed.</t>
        </r>
      </text>
    </comment>
    <comment ref="F85" authorId="1" shapeId="0" xr:uid="{2FEE0C1A-3238-467D-AAA9-F31BDA60134B}">
      <text>
        <r>
          <rPr>
            <b/>
            <sz val="9"/>
            <color indexed="81"/>
            <rFont val="Tahoma"/>
            <family val="2"/>
          </rPr>
          <t>Controlling bolt count will either be the number needed for strength limit state or user input override count.  The slip count is ignored and only for reference..</t>
        </r>
      </text>
    </comment>
    <comment ref="G85" authorId="0" shapeId="0" xr:uid="{00000000-0006-0000-0500-000003000000}">
      <text>
        <r>
          <rPr>
            <b/>
            <sz val="9"/>
            <color indexed="81"/>
            <rFont val="Tahoma"/>
            <family val="2"/>
          </rPr>
          <t>If the user has chosen to override the calculated bolt count, this value will be set to TRUE, otherwise FALSE.</t>
        </r>
      </text>
    </comment>
    <comment ref="H85" authorId="1" shapeId="0" xr:uid="{8567ABDF-FD9A-4BD2-9038-C9E7A4BA45A9}">
      <text>
        <r>
          <rPr>
            <b/>
            <sz val="9"/>
            <color indexed="81"/>
            <rFont val="Tahoma"/>
            <family val="2"/>
          </rPr>
          <t>Splice designed for strength limit state resulted in a joint exceeding 38 in and requires a reduction.  The number of bolts needed for the reduction is greater than the number needed for strength limit state.  Alter design to eliminate the long joint or switch to override mode and enter the number of bolted needed for the long joint to correct error.</t>
        </r>
      </text>
    </comment>
    <comment ref="D93" authorId="0" shapeId="0" xr:uid="{00000000-0006-0000-0500-000004000000}">
      <text>
        <r>
          <rPr>
            <b/>
            <sz val="9"/>
            <color indexed="81"/>
            <rFont val="Tahoma"/>
            <family val="2"/>
          </rPr>
          <t>Default to minimum spacing for bolts if no bolt spacing is input (i.e. set to 0).   Otherwise use what was input by user.</t>
        </r>
      </text>
    </comment>
    <comment ref="F93" authorId="0" shapeId="0" xr:uid="{00000000-0006-0000-0500-000005000000}">
      <text>
        <r>
          <rPr>
            <b/>
            <sz val="9"/>
            <color indexed="81"/>
            <rFont val="Tahoma"/>
            <family val="2"/>
          </rPr>
          <t>Determine maximum allowable spacing for bolts.</t>
        </r>
      </text>
    </comment>
    <comment ref="C101" authorId="0" shapeId="0" xr:uid="{FA9E2A44-1F8C-487B-8796-86994A0E03A6}">
      <text>
        <r>
          <rPr>
            <b/>
            <sz val="9"/>
            <color indexed="81"/>
            <rFont val="Tahoma"/>
            <family val="2"/>
          </rPr>
          <t>The inner plate width is going to define the bolt layout for the flanges.  This value is the as-calculated width rounded down to the next closest 1/8th inch.</t>
        </r>
      </text>
    </comment>
    <comment ref="D101" authorId="0" shapeId="0" xr:uid="{207BDA03-6C28-443A-9766-099E7EFF1ECF}">
      <text>
        <r>
          <rPr>
            <b/>
            <sz val="9"/>
            <color indexed="81"/>
            <rFont val="Tahoma"/>
            <family val="2"/>
          </rPr>
          <t>Default to minimum spacing for bolts if no bolt spacing is input (i.e. set to 0).   Otherwise use what was input by user.</t>
        </r>
      </text>
    </comment>
    <comment ref="F101" authorId="0" shapeId="0" xr:uid="{11E47423-5502-4743-A013-3CD13C819E32}">
      <text>
        <r>
          <rPr>
            <b/>
            <sz val="9"/>
            <color indexed="81"/>
            <rFont val="Tahoma"/>
            <family val="2"/>
          </rPr>
          <t>Default to minimum edge distance  for plate edges if no edge distance is input (i.e. set to 0).   Otherwise use what was input by user.</t>
        </r>
      </text>
    </comment>
    <comment ref="H101" authorId="0" shapeId="0" xr:uid="{557DAAB7-A336-4D14-AB96-8B3B6787BB19}">
      <text>
        <r>
          <rPr>
            <b/>
            <sz val="9"/>
            <color indexed="81"/>
            <rFont val="Tahoma"/>
            <family val="2"/>
          </rPr>
          <t xml:space="preserve">Check if the inner plate can support the bolt spacing and edge distance input.  If not, display 'NG' which will trigger the calculation of new edge distance that is less than what was input.  If the final edge distance falls below the acceptable minimum, an error will be shown in the design check summary. 'NG" does not imply that there are issues with the splice. </t>
        </r>
      </text>
    </comment>
    <comment ref="I101" authorId="0" shapeId="0" xr:uid="{DCCC1F12-88A9-406A-B762-AC0D05C95C32}">
      <text>
        <r>
          <rPr>
            <b/>
            <sz val="9"/>
            <color indexed="81"/>
            <rFont val="Tahoma"/>
            <family val="2"/>
          </rPr>
          <t>Adjust initial edge distance as needed to fit the width of the inner plate.</t>
        </r>
      </text>
    </comment>
    <comment ref="J101" authorId="0" shapeId="0" xr:uid="{7EE956F7-5FB5-4B2E-A1B1-36794BA87235}">
      <text>
        <r>
          <rPr>
            <b/>
            <sz val="9"/>
            <color indexed="81"/>
            <rFont val="Tahoma"/>
            <family val="2"/>
          </rPr>
          <t>Calculate new bolt spacing as necessary based upon final edge distance.</t>
        </r>
      </text>
    </comment>
    <comment ref="B105" authorId="0" shapeId="0" xr:uid="{7F2390B5-2630-4C30-A7B6-2916CEFA590C}">
      <text>
        <r>
          <rPr>
            <b/>
            <sz val="9"/>
            <color indexed="81"/>
            <rFont val="Tahoma"/>
            <family val="2"/>
          </rPr>
          <t>Use the outer plate width to find and check the transverse gage between bolt groups.</t>
        </r>
      </text>
    </comment>
    <comment ref="C105" authorId="0" shapeId="0" xr:uid="{212B8D32-45BD-45C8-BD43-C2BC994DD4B9}">
      <text>
        <r>
          <rPr>
            <b/>
            <sz val="9"/>
            <color indexed="81"/>
            <rFont val="Tahoma"/>
            <family val="2"/>
          </rPr>
          <t>Edge distance will be same for inner and outer splice plates which will assume that the edges are aligned with the outer edge of the flange they are attached to.</t>
        </r>
      </text>
    </comment>
    <comment ref="D105" authorId="0" shapeId="0" xr:uid="{5C3814EC-EB33-4BD5-85CF-99A2D661F8E1}">
      <text>
        <r>
          <rPr>
            <b/>
            <sz val="9"/>
            <color indexed="81"/>
            <rFont val="Tahoma"/>
            <family val="2"/>
          </rPr>
          <t>From the maximum web thickness, web weld clearance and final edge distance calculated, find distance between bolt groups.</t>
        </r>
      </text>
    </comment>
    <comment ref="C109" authorId="0" shapeId="0" xr:uid="{00000000-0006-0000-0500-00000F000000}">
      <text>
        <r>
          <rPr>
            <b/>
            <sz val="9"/>
            <color indexed="81"/>
            <rFont val="Tahoma"/>
            <family val="2"/>
          </rPr>
          <t>Check distance between bolt groups against minimum for bolt type and maximum for seal.  Reconsider increasing value input for web weld spacing or adding another row of bolts if NG.</t>
        </r>
      </text>
    </comment>
    <comment ref="D109" authorId="0" shapeId="0" xr:uid="{00000000-0006-0000-0500-000010000000}">
      <text>
        <r>
          <rPr>
            <b/>
            <sz val="9"/>
            <color indexed="81"/>
            <rFont val="Tahoma"/>
            <family val="2"/>
          </rPr>
          <t>Check bolt edge distance against minimum for bolt type and maximum for seal.</t>
        </r>
      </text>
    </comment>
    <comment ref="E109" authorId="0" shapeId="0" xr:uid="{00000000-0006-0000-0500-000011000000}">
      <text>
        <r>
          <rPr>
            <b/>
            <sz val="9"/>
            <color indexed="81"/>
            <rFont val="Tahoma"/>
            <family val="2"/>
          </rPr>
          <t>Check that the spacing and edge distances add up to the width of the splice plate.</t>
        </r>
      </text>
    </comment>
    <comment ref="F109" authorId="0" shapeId="0" xr:uid="{FA058BD2-1BB9-4057-BDEE-3122242BC6EA}">
      <text>
        <r>
          <rPr>
            <b/>
            <sz val="9"/>
            <color indexed="81"/>
            <rFont val="Tahoma"/>
            <family val="2"/>
          </rPr>
          <t>Check that the spacing and edge distances add up to the width of the splice plate.  If you only have 2-rows of bolts and this is 'NG", you may need to increase your initial edge distance to half the width of the inner plate.   However, if you have different width inner plates, the spreadsheet will not allow two difference initial edge distances.</t>
        </r>
      </text>
    </comment>
    <comment ref="C115" authorId="0" shapeId="0" xr:uid="{9C36CFA7-28DA-4491-AAC6-961AD4F6C330}">
      <text>
        <r>
          <rPr>
            <b/>
            <sz val="9"/>
            <color indexed="81"/>
            <rFont val="Tahoma"/>
            <family val="2"/>
          </rPr>
          <t>Default to minimum spacing for bolts if no bolt spacing is input (i.e. set to 0).   Otherwise use what was input by user.</t>
        </r>
      </text>
    </comment>
    <comment ref="D115" authorId="0" shapeId="0" xr:uid="{16F7B215-2286-42D7-871F-DADB7FAF4FEE}">
      <text>
        <r>
          <rPr>
            <b/>
            <sz val="9"/>
            <color indexed="81"/>
            <rFont val="Tahoma"/>
            <family val="2"/>
          </rPr>
          <t>Default to minimum bolt spacing.</t>
        </r>
      </text>
    </comment>
    <comment ref="E115" authorId="0" shapeId="0" xr:uid="{21B9B503-B858-43E6-9198-EDB05004159D}">
      <text>
        <r>
          <rPr>
            <b/>
            <sz val="9"/>
            <color indexed="81"/>
            <rFont val="Tahoma"/>
            <family val="2"/>
          </rPr>
          <t>Default to minimum edge distance for end plate edges if no end distance is input (i.e. set to 0).  Otherwise use what was input by user.</t>
        </r>
      </text>
    </comment>
    <comment ref="F115" authorId="0" shapeId="0" xr:uid="{8ED607BC-CE08-451E-87D6-164A1A2FF3C5}">
      <text>
        <r>
          <rPr>
            <b/>
            <sz val="9"/>
            <color indexed="81"/>
            <rFont val="Tahoma"/>
            <family val="2"/>
          </rPr>
          <t>Minimum longitudinal pitch between bolt groups is the maximum of the minimum bolt spacing and the sum of the minimum edge distances plus the girder gap.</t>
        </r>
      </text>
    </comment>
    <comment ref="G115" authorId="0" shapeId="0" xr:uid="{3875AF56-929E-4F05-8791-96AB98910E52}">
      <text>
        <r>
          <rPr>
            <b/>
            <sz val="9"/>
            <color indexed="81"/>
            <rFont val="Tahoma"/>
            <family val="2"/>
          </rPr>
          <t>Check distance between bolt groups against minimum for bolt type and maximum for seal.  Reconsideration value input for of web gap if NG.</t>
        </r>
      </text>
    </comment>
    <comment ref="F121" authorId="0" shapeId="0" xr:uid="{00000000-0006-0000-0500-000018000000}">
      <text>
        <r>
          <rPr>
            <b/>
            <sz val="9"/>
            <color indexed="81"/>
            <rFont val="Tahoma"/>
            <family val="2"/>
          </rPr>
          <t>Default to minimum edge distance for end plate edges.</t>
        </r>
      </text>
    </comment>
    <comment ref="B129" authorId="0" shapeId="0" xr:uid="{00000000-0006-0000-0500-000019000000}">
      <text>
        <r>
          <rPr>
            <b/>
            <sz val="9"/>
            <color indexed="81"/>
            <rFont val="Tahoma"/>
            <family val="2"/>
          </rPr>
          <t>Calculated end distance based upon calculated transverse gage.</t>
        </r>
      </text>
    </comment>
    <comment ref="C129" authorId="0" shapeId="0" xr:uid="{00000000-0006-0000-0500-00001A000000}">
      <text>
        <r>
          <rPr>
            <b/>
            <sz val="9"/>
            <color indexed="81"/>
            <rFont val="Tahoma"/>
            <family val="2"/>
          </rPr>
          <t>Default to minimum edge distance for end plate edges.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Christopher Garrell</author>
  </authors>
  <commentList>
    <comment ref="E43" authorId="0" shapeId="0" xr:uid="{D73D41C0-0E9C-485E-B7C1-CE500A380C63}">
      <text>
        <r>
          <rPr>
            <b/>
            <sz val="9"/>
            <color indexed="81"/>
            <rFont val="Tahoma"/>
            <family val="2"/>
          </rPr>
          <t>AASHTO LRFD Article 6.13.6.1.3c.  Filler plates not required up 1/16 in.  Use single filler plate up to 1/8in thickness.  Otherwise divide equally into two plates.</t>
        </r>
      </text>
    </comment>
    <comment ref="G43" authorId="0" shapeId="0" xr:uid="{1E825158-89FA-4522-A527-0BD8BECCE967}">
      <text>
        <r>
          <rPr>
            <b/>
            <sz val="9"/>
            <color indexed="81"/>
            <rFont val="Tahoma"/>
            <family val="2"/>
          </rPr>
          <t>According to AASHTO/NSBA Collaboration G12.1 Guidelines to Design for Constructability, for a web thickness change of 1/8 in., use a 1/8-in. fill on one side of the web rather than 1/16-in. fills on each side.  Otherwise specify two fill plates.</t>
        </r>
      </text>
    </comment>
    <comment ref="D51" authorId="0" shapeId="0" xr:uid="{9BAD3600-7293-403C-BD9D-28ACB8932ECE}">
      <text>
        <r>
          <rPr>
            <b/>
            <sz val="9"/>
            <color indexed="81"/>
            <rFont val="Tahoma"/>
            <family val="2"/>
          </rPr>
          <t>AASHTO LRFD Eq. 
6.10.9.3.2-1</t>
        </r>
      </text>
    </comment>
    <comment ref="E51" authorId="0" shapeId="0" xr:uid="{1743A6A7-F2C2-4ED9-9D8F-DA7BE5AEB0A1}">
      <text>
        <r>
          <rPr>
            <b/>
            <sz val="9"/>
            <color indexed="81"/>
            <rFont val="Tahoma"/>
            <family val="2"/>
          </rPr>
          <t>AASHTO LRFD Article 6.10.9</t>
        </r>
      </text>
    </comment>
    <comment ref="D81" authorId="0" shapeId="0" xr:uid="{00000000-0006-0000-0600-000003000000}">
      <text>
        <r>
          <rPr>
            <b/>
            <sz val="9"/>
            <color indexed="81"/>
            <rFont val="Tahoma"/>
            <family val="2"/>
          </rPr>
          <t>Determine maximum allowable spacing for bolts.</t>
        </r>
      </text>
    </comment>
    <comment ref="B87" authorId="0" shapeId="0" xr:uid="{00000000-0006-0000-0600-000004000000}">
      <text>
        <r>
          <rPr>
            <b/>
            <sz val="9"/>
            <color indexed="81"/>
            <rFont val="Tahoma"/>
            <family val="2"/>
          </rPr>
          <t>End distance input by user or minimum allowable by specification if 0 is entered.</t>
        </r>
      </text>
    </comment>
    <comment ref="E87" authorId="0" shapeId="0" xr:uid="{00000000-0006-0000-0600-000005000000}">
      <text>
        <r>
          <rPr>
            <b/>
            <sz val="9"/>
            <color indexed="81"/>
            <rFont val="Tahoma"/>
            <family val="2"/>
          </rPr>
          <t>User input value if non-zero value entered.  Otherwise default to AISC Table 7-16 H2+Max(C1,C2)</t>
        </r>
      </text>
    </comment>
    <comment ref="F87" authorId="0" shapeId="0" xr:uid="{00000000-0006-0000-0600-000006000000}">
      <text>
        <r>
          <rPr>
            <b/>
            <sz val="9"/>
            <color indexed="81"/>
            <rFont val="Tahoma"/>
            <family val="2"/>
          </rPr>
          <t>Depending on whether entering &amp;Tightening clearance or the sum of weld and weld clearances controls, calculate the appropriate end distance.</t>
        </r>
      </text>
    </comment>
    <comment ref="G87" authorId="0" shapeId="0" xr:uid="{00000000-0006-0000-0600-000007000000}">
      <text>
        <r>
          <rPr>
            <b/>
            <sz val="9"/>
            <color indexed="81"/>
            <rFont val="Tahoma"/>
            <family val="2"/>
          </rPr>
          <t>Calculate an end adjustment so that end distance equals what  input.  This value will be subtracted off both ends of the web plate height.  A negative value will be subtracted from the maximum plate height.</t>
        </r>
      </text>
    </comment>
    <comment ref="C93" authorId="0" shapeId="0" xr:uid="{00000000-0006-0000-0600-000008000000}">
      <text>
        <r>
          <rPr>
            <b/>
            <sz val="9"/>
            <color indexed="81"/>
            <rFont val="Tahoma"/>
            <family val="2"/>
          </rPr>
          <t>Useable plate depth minus weld clearance and weld size on each end.  Rounded down to nearest 1/8in.</t>
        </r>
      </text>
    </comment>
    <comment ref="D93" authorId="0" shapeId="0" xr:uid="{00000000-0006-0000-0600-000009000000}">
      <text>
        <r>
          <rPr>
            <b/>
            <sz val="9"/>
            <color indexed="81"/>
            <rFont val="Tahoma"/>
            <family val="2"/>
          </rPr>
          <t>Calculate an end adjustment so that end distance equals what  input.  This value will be subtracted off both ends of the web plate height.  A negative value will be subtracted from the maximum plate height.   If values are different (in the case of different thickness inner plates), take the maximum.</t>
        </r>
      </text>
    </comment>
    <comment ref="E93" authorId="0" shapeId="0" xr:uid="{00000000-0006-0000-0600-00000A000000}">
      <text>
        <r>
          <rPr>
            <b/>
            <sz val="9"/>
            <color indexed="81"/>
            <rFont val="Tahoma"/>
            <family val="2"/>
          </rPr>
          <t>Useable plate depth minus weld clearance and weld size on each end.</t>
        </r>
      </text>
    </comment>
    <comment ref="C99" authorId="0" shapeId="0" xr:uid="{00000000-0006-0000-0600-00000B000000}">
      <text>
        <r>
          <rPr>
            <b/>
            <sz val="9"/>
            <color indexed="81"/>
            <rFont val="Tahoma"/>
            <family val="2"/>
          </rPr>
          <t>Useable plate depth minus weld clearance and weld size on each end.  Rounded down to nearest 1/8in.</t>
        </r>
      </text>
    </comment>
    <comment ref="D99" authorId="0" shapeId="0" xr:uid="{00000000-0006-0000-0600-00000C000000}">
      <text>
        <r>
          <rPr>
            <b/>
            <sz val="9"/>
            <color indexed="81"/>
            <rFont val="Tahoma"/>
            <family val="2"/>
          </rPr>
          <t>End distance input by user or minimum allowable by specification if 0 is entered.</t>
        </r>
      </text>
    </comment>
    <comment ref="E99" authorId="0" shapeId="0" xr:uid="{00000000-0006-0000-0600-00000D000000}">
      <text>
        <r>
          <rPr>
            <b/>
            <sz val="9"/>
            <color indexed="81"/>
            <rFont val="Tahoma"/>
            <family val="2"/>
          </rPr>
          <t>Determine maximum allowable spacing for bolts.</t>
        </r>
      </text>
    </comment>
    <comment ref="F99" authorId="0" shapeId="0" xr:uid="{00000000-0006-0000-0600-00000E000000}">
      <text>
        <r>
          <rPr>
            <b/>
            <sz val="9"/>
            <color indexed="81"/>
            <rFont val="Tahoma"/>
            <family val="2"/>
          </rPr>
          <t>Use maximum of end distance initial and calculated to determine usable area at maximum spacing to calculate number of bolts needed.</t>
        </r>
      </text>
    </comment>
    <comment ref="G105" authorId="0" shapeId="0" xr:uid="{00000000-0006-0000-0600-00000F000000}">
      <text>
        <r>
          <rPr>
            <b/>
            <sz val="9"/>
            <color indexed="81"/>
            <rFont val="Tahoma"/>
            <family val="2"/>
          </rPr>
          <t>If the user has chosen to override the calculated bolt count, this value will be set to TRUE, otherwise FALSE.</t>
        </r>
      </text>
    </comment>
    <comment ref="B112" authorId="0" shapeId="0" xr:uid="{00000000-0006-0000-0600-000010000000}">
      <text>
        <r>
          <rPr>
            <b/>
            <sz val="9"/>
            <color indexed="81"/>
            <rFont val="Tahoma"/>
            <family val="2"/>
          </rPr>
          <t>Calculated end distance based upon maximum allowable end spacing.   Value rounded down to nearest 1/8.</t>
        </r>
      </text>
    </comment>
    <comment ref="C112" authorId="0" shapeId="0" xr:uid="{00000000-0006-0000-0600-000011000000}">
      <text>
        <r>
          <rPr>
            <b/>
            <sz val="9"/>
            <color indexed="81"/>
            <rFont val="Tahoma"/>
            <family val="2"/>
          </rPr>
          <t>Transverse pitch based upon final bolt count and calculated end distance.  Value rounded down to nearest 1/8.</t>
        </r>
      </text>
    </comment>
    <comment ref="D112" authorId="0" shapeId="0" xr:uid="{00000000-0006-0000-0600-000012000000}">
      <text>
        <r>
          <rPr>
            <b/>
            <sz val="9"/>
            <color indexed="81"/>
            <rFont val="Tahoma"/>
            <family val="2"/>
          </rPr>
          <t>Final splice plate height based upon calculated end distance and pitch.</t>
        </r>
      </text>
    </comment>
    <comment ref="C122" authorId="0" shapeId="0" xr:uid="{00000000-0006-0000-0600-000013000000}">
      <text>
        <r>
          <rPr>
            <b/>
            <sz val="9"/>
            <color indexed="81"/>
            <rFont val="Tahoma"/>
            <family val="2"/>
          </rPr>
          <t>total of the two edge distances plus the web gap.</t>
        </r>
      </text>
    </comment>
    <comment ref="D122" authorId="0" shapeId="0" xr:uid="{00000000-0006-0000-0600-000014000000}">
      <text>
        <r>
          <rPr>
            <b/>
            <sz val="9"/>
            <color indexed="81"/>
            <rFont val="Tahoma"/>
            <family val="2"/>
          </rPr>
          <t>Default to minimum edge distance  for plate edges if no edge distance is input (i.e. set to 0).   Otherwise use what was input by user.</t>
        </r>
      </text>
    </comment>
    <comment ref="E122" authorId="0" shapeId="0" xr:uid="{00000000-0006-0000-0600-000015000000}">
      <text>
        <r>
          <rPr>
            <b/>
            <sz val="9"/>
            <color indexed="81"/>
            <rFont val="Tahoma"/>
            <family val="2"/>
          </rPr>
          <t>total of the two edge distances plus the web gap.</t>
        </r>
      </text>
    </comment>
    <comment ref="F122" authorId="0" shapeId="0" xr:uid="{00000000-0006-0000-0600-000016000000}">
      <text>
        <r>
          <rPr>
            <b/>
            <sz val="9"/>
            <color indexed="81"/>
            <rFont val="Tahoma"/>
            <family val="2"/>
          </rPr>
          <t>Check distance between bolt groups against minimum for bolt type and maximum for seal.  Reconsideration value input for of web gap if NG.</t>
        </r>
      </text>
    </comment>
    <comment ref="B128" authorId="0" shapeId="0" xr:uid="{00000000-0006-0000-0600-000017000000}">
      <text>
        <r>
          <rPr>
            <b/>
            <sz val="9"/>
            <color indexed="81"/>
            <rFont val="Tahoma"/>
            <family val="2"/>
          </rPr>
          <t>Calculated end distance based upon calculated transverse gage.</t>
        </r>
      </text>
    </comment>
    <comment ref="C128" authorId="0" shapeId="0" xr:uid="{00000000-0006-0000-0600-000018000000}">
      <text>
        <r>
          <rPr>
            <b/>
            <sz val="9"/>
            <color indexed="81"/>
            <rFont val="Tahoma"/>
            <family val="2"/>
          </rPr>
          <t>Default to minimum edge distance for end plate edges.</t>
        </r>
      </text>
    </comment>
    <comment ref="D134" authorId="0" shapeId="0" xr:uid="{00000000-0006-0000-0600-000019000000}">
      <text>
        <r>
          <rPr>
            <b/>
            <sz val="9"/>
            <color indexed="81"/>
            <rFont val="Tahoma"/>
            <family val="2"/>
          </rPr>
          <t>total of the two edge distances plus the web gap.</t>
        </r>
      </text>
    </comment>
    <comment ref="E134" authorId="0" shapeId="0" xr:uid="{00000000-0006-0000-0600-00001A000000}">
      <text>
        <r>
          <rPr>
            <b/>
            <sz val="9"/>
            <color indexed="81"/>
            <rFont val="Tahoma"/>
            <family val="2"/>
          </rPr>
          <t>Minimum longitudinal pitch between bolt groups is the maximum of the minimum bolt spacing and the sum of the minimum edge distances plus the girder gap.</t>
        </r>
      </text>
    </comment>
    <comment ref="F134" authorId="0" shapeId="0" xr:uid="{00000000-0006-0000-0600-00001B000000}">
      <text>
        <r>
          <rPr>
            <b/>
            <sz val="9"/>
            <color indexed="81"/>
            <rFont val="Tahoma"/>
            <family val="2"/>
          </rPr>
          <t>Default to minimum edge distance for end plate edges.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Christopher Garrell</author>
  </authors>
  <commentList>
    <comment ref="D5" authorId="0" shapeId="0" xr:uid="{00000000-0006-0000-0700-000001000000}">
      <text>
        <r>
          <rPr>
            <b/>
            <sz val="9"/>
            <color indexed="81"/>
            <rFont val="Tahoma"/>
            <family val="2"/>
          </rPr>
          <t>Table 6.13.2.8-1</t>
        </r>
      </text>
    </comment>
    <comment ref="E5" authorId="0" shapeId="0" xr:uid="{00000000-0006-0000-0700-000002000000}">
      <text>
        <r>
          <rPr>
            <b/>
            <sz val="9"/>
            <color indexed="81"/>
            <rFont val="Tahoma"/>
            <family val="2"/>
          </rPr>
          <t>Table 6.13.2.8-1</t>
        </r>
      </text>
    </comment>
  </commentList>
</comments>
</file>

<file path=xl/sharedStrings.xml><?xml version="1.0" encoding="utf-8"?>
<sst xmlns="http://schemas.openxmlformats.org/spreadsheetml/2006/main" count="1280" uniqueCount="559">
  <si>
    <t>Design Input</t>
  </si>
  <si>
    <t>Girder Properties</t>
  </si>
  <si>
    <t>Unfactored Loads - Splice Centerline</t>
  </si>
  <si>
    <t>Left</t>
  </si>
  <si>
    <t>Right</t>
  </si>
  <si>
    <t>Top Flange Thickness (in)</t>
  </si>
  <si>
    <t>Top Flange Width (in)</t>
  </si>
  <si>
    <t>Bottom Flange Thickness (in)</t>
  </si>
  <si>
    <t>Bottom Flange Width (in)</t>
  </si>
  <si>
    <t>Web Thickness (in)</t>
  </si>
  <si>
    <t>Web Depth (in)</t>
  </si>
  <si>
    <t>Web Material</t>
  </si>
  <si>
    <t>Moment (kip-ft)</t>
  </si>
  <si>
    <t>Shear (kip)</t>
  </si>
  <si>
    <t>Concrete Deck Properties</t>
  </si>
  <si>
    <t>Composite</t>
  </si>
  <si>
    <t>Thickness (in)</t>
  </si>
  <si>
    <t>Haunch (in)</t>
  </si>
  <si>
    <t>Bolt Properties</t>
  </si>
  <si>
    <t>Bolt Type</t>
  </si>
  <si>
    <t>Web Threads</t>
  </si>
  <si>
    <t>Included</t>
  </si>
  <si>
    <t>Excluded</t>
  </si>
  <si>
    <t>Bolt Diameter (in)</t>
  </si>
  <si>
    <t>A325</t>
  </si>
  <si>
    <t>A490</t>
  </si>
  <si>
    <t>Faying Surface Class</t>
  </si>
  <si>
    <t>A</t>
  </si>
  <si>
    <t>B</t>
  </si>
  <si>
    <t>C</t>
  </si>
  <si>
    <t>Other</t>
  </si>
  <si>
    <t>Grade 36</t>
  </si>
  <si>
    <t>Grade 50</t>
  </si>
  <si>
    <t>Grade 50W</t>
  </si>
  <si>
    <t>HPS Grade 50W</t>
  </si>
  <si>
    <t>HPS Grade 70W</t>
  </si>
  <si>
    <t>HPS Grade 100W</t>
  </si>
  <si>
    <t>Non-Composite</t>
  </si>
  <si>
    <t>Top Flange</t>
  </si>
  <si>
    <t>Bottom Flange</t>
  </si>
  <si>
    <t>Web</t>
  </si>
  <si>
    <t>Web - Left</t>
  </si>
  <si>
    <t>Web - Right</t>
  </si>
  <si>
    <t>Future Wearing Surface (DW)</t>
  </si>
  <si>
    <t>Width (in)</t>
  </si>
  <si>
    <t>Length (in)</t>
  </si>
  <si>
    <t>Splice Plate Dimensions</t>
  </si>
  <si>
    <t>Constants</t>
  </si>
  <si>
    <t>Type</t>
  </si>
  <si>
    <t>Diameter - Decimal (in)</t>
  </si>
  <si>
    <t>Diameter - Fraction (in)</t>
  </si>
  <si>
    <t>Area (sq-in)</t>
  </si>
  <si>
    <t>Concrete State</t>
  </si>
  <si>
    <t>Bolt Thread State</t>
  </si>
  <si>
    <t>Bolt Diameter</t>
  </si>
  <si>
    <t>Steel Grade</t>
  </si>
  <si>
    <t>Top Flange Material</t>
  </si>
  <si>
    <t>Bottom Flange Material</t>
  </si>
  <si>
    <t>Class</t>
  </si>
  <si>
    <r>
      <t>K</t>
    </r>
    <r>
      <rPr>
        <vertAlign val="subscript"/>
        <sz val="11"/>
        <color theme="1"/>
        <rFont val="Cambria"/>
        <family val="1"/>
      </rPr>
      <t>s</t>
    </r>
  </si>
  <si>
    <r>
      <t>F</t>
    </r>
    <r>
      <rPr>
        <b/>
        <vertAlign val="subscript"/>
        <sz val="11"/>
        <color theme="3"/>
        <rFont val="Cambria"/>
        <family val="1"/>
      </rPr>
      <t>y</t>
    </r>
    <r>
      <rPr>
        <b/>
        <sz val="11"/>
        <color theme="3"/>
        <rFont val="Cambria"/>
        <family val="1"/>
      </rPr>
      <t xml:space="preserve"> (ksi)</t>
    </r>
  </si>
  <si>
    <r>
      <t>F</t>
    </r>
    <r>
      <rPr>
        <b/>
        <vertAlign val="subscript"/>
        <sz val="11"/>
        <color theme="3"/>
        <rFont val="Cambria"/>
        <family val="1"/>
      </rPr>
      <t>u</t>
    </r>
    <r>
      <rPr>
        <b/>
        <sz val="11"/>
        <color theme="3"/>
        <rFont val="Cambria"/>
        <family val="1"/>
      </rPr>
      <t xml:space="preserve"> (ksi)</t>
    </r>
  </si>
  <si>
    <t>Load Combination</t>
  </si>
  <si>
    <t>Strength I - Positive</t>
  </si>
  <si>
    <t>Strength I - Negative</t>
  </si>
  <si>
    <t>Service II - Positive</t>
  </si>
  <si>
    <t>Service II - Negative</t>
  </si>
  <si>
    <t>Load Combinations - Factored Moment</t>
  </si>
  <si>
    <t>Load Combinations - Factored Shear</t>
  </si>
  <si>
    <t>Factored Shear (kip)</t>
  </si>
  <si>
    <r>
      <t>P</t>
    </r>
    <r>
      <rPr>
        <b/>
        <vertAlign val="subscript"/>
        <sz val="11"/>
        <color theme="3"/>
        <rFont val="Cambria"/>
        <family val="1"/>
      </rPr>
      <t>t</t>
    </r>
    <r>
      <rPr>
        <b/>
        <sz val="11"/>
        <color theme="3"/>
        <rFont val="Cambria"/>
        <family val="1"/>
      </rPr>
      <t xml:space="preserve"> - A325 (kip)</t>
    </r>
  </si>
  <si>
    <r>
      <t>P</t>
    </r>
    <r>
      <rPr>
        <b/>
        <vertAlign val="subscript"/>
        <sz val="11"/>
        <color theme="3"/>
        <rFont val="Cambria"/>
        <family val="1"/>
      </rPr>
      <t>t</t>
    </r>
    <r>
      <rPr>
        <b/>
        <sz val="11"/>
        <color theme="3"/>
        <rFont val="Cambria"/>
        <family val="1"/>
      </rPr>
      <t xml:space="preserve"> - A490 (kip)</t>
    </r>
  </si>
  <si>
    <t>Bolt Nominal Slip Resistance</t>
  </si>
  <si>
    <r>
      <t>K</t>
    </r>
    <r>
      <rPr>
        <vertAlign val="subscript"/>
        <sz val="11"/>
        <color theme="1"/>
        <rFont val="Cambria"/>
        <family val="1"/>
      </rPr>
      <t>h</t>
    </r>
  </si>
  <si>
    <t>Location</t>
  </si>
  <si>
    <t>Flange</t>
  </si>
  <si>
    <t>Hole Size Factor</t>
  </si>
  <si>
    <t>Hole Type</t>
  </si>
  <si>
    <t>Standard</t>
  </si>
  <si>
    <t>Long Slotted - Perpendicular Force</t>
  </si>
  <si>
    <t>Long Slotted - Parallel Force</t>
  </si>
  <si>
    <r>
      <t>0.84 (F</t>
    </r>
    <r>
      <rPr>
        <b/>
        <vertAlign val="subscript"/>
        <sz val="11"/>
        <color theme="3"/>
        <rFont val="Cambria"/>
        <family val="1"/>
      </rPr>
      <t>u</t>
    </r>
    <r>
      <rPr>
        <b/>
        <sz val="11"/>
        <color theme="3"/>
        <rFont val="Cambria"/>
        <family val="1"/>
      </rPr>
      <t>/F</t>
    </r>
    <r>
      <rPr>
        <b/>
        <vertAlign val="subscript"/>
        <sz val="11"/>
        <color theme="3"/>
        <rFont val="Cambria"/>
        <family val="1"/>
      </rPr>
      <t>y</t>
    </r>
    <r>
      <rPr>
        <b/>
        <sz val="11"/>
        <color theme="3"/>
        <rFont val="Cambria"/>
        <family val="1"/>
      </rPr>
      <t>)</t>
    </r>
  </si>
  <si>
    <t>Phi</t>
  </si>
  <si>
    <t>Case</t>
  </si>
  <si>
    <r>
      <rPr>
        <sz val="11"/>
        <color theme="1"/>
        <rFont val="Symbol"/>
        <family val="1"/>
        <charset val="2"/>
      </rPr>
      <t>f</t>
    </r>
    <r>
      <rPr>
        <vertAlign val="subscript"/>
        <sz val="11"/>
        <color theme="1"/>
        <rFont val="Cambria"/>
        <family val="1"/>
      </rPr>
      <t>u</t>
    </r>
  </si>
  <si>
    <r>
      <rPr>
        <sz val="11"/>
        <color theme="1"/>
        <rFont val="Symbol"/>
        <family val="1"/>
        <charset val="2"/>
      </rPr>
      <t>f</t>
    </r>
    <r>
      <rPr>
        <vertAlign val="subscript"/>
        <sz val="11"/>
        <color theme="1"/>
        <rFont val="Cambria"/>
        <family val="1"/>
      </rPr>
      <t>y</t>
    </r>
  </si>
  <si>
    <t>Resistance Factors - Article 6.5.4.2</t>
  </si>
  <si>
    <t>Hole Size Factor - Table 6.13.2.8.2</t>
  </si>
  <si>
    <t>Surface Condition Factor - Table 6.13.2.8.3</t>
  </si>
  <si>
    <t>Bolt Grade</t>
  </si>
  <si>
    <t>Bolt</t>
  </si>
  <si>
    <t>Bolt Area (sq-in)</t>
  </si>
  <si>
    <t>Slip Capacity - Double (kip)</t>
  </si>
  <si>
    <t>Top Flange - Left</t>
  </si>
  <si>
    <t>Top Flange - Right</t>
  </si>
  <si>
    <r>
      <t>Noncomposite Dead Load (DC</t>
    </r>
    <r>
      <rPr>
        <vertAlign val="subscript"/>
        <sz val="12"/>
        <color theme="1"/>
        <rFont val="Cambria"/>
        <family val="1"/>
      </rPr>
      <t>1</t>
    </r>
    <r>
      <rPr>
        <sz val="12"/>
        <color theme="1"/>
        <rFont val="Cambria"/>
        <family val="1"/>
      </rPr>
      <t>)</t>
    </r>
  </si>
  <si>
    <r>
      <t>Superimposed Composite Dead Load (DC</t>
    </r>
    <r>
      <rPr>
        <vertAlign val="subscript"/>
        <sz val="12"/>
        <color theme="1"/>
        <rFont val="Cambria"/>
        <family val="1"/>
      </rPr>
      <t>2</t>
    </r>
    <r>
      <rPr>
        <sz val="12"/>
        <color theme="1"/>
        <rFont val="Cambria"/>
        <family val="1"/>
      </rPr>
      <t>)</t>
    </r>
  </si>
  <si>
    <r>
      <t>Positive Live Load plus Impact (LL</t>
    </r>
    <r>
      <rPr>
        <vertAlign val="superscript"/>
        <sz val="12"/>
        <color theme="1"/>
        <rFont val="Cambria"/>
        <family val="1"/>
      </rPr>
      <t>+</t>
    </r>
    <r>
      <rPr>
        <sz val="12"/>
        <color theme="1"/>
        <rFont val="Cambria"/>
        <family val="1"/>
      </rPr>
      <t xml:space="preserve"> + I)</t>
    </r>
  </si>
  <si>
    <r>
      <t>Negative Live Load plus Impact (LL</t>
    </r>
    <r>
      <rPr>
        <vertAlign val="superscript"/>
        <sz val="12"/>
        <color theme="1"/>
        <rFont val="Cambria"/>
        <family val="1"/>
      </rPr>
      <t>-</t>
    </r>
    <r>
      <rPr>
        <sz val="12"/>
        <color theme="1"/>
        <rFont val="Cambria"/>
        <family val="1"/>
      </rPr>
      <t xml:space="preserve"> + I)</t>
    </r>
  </si>
  <si>
    <r>
      <t>Hole Size Factor (K</t>
    </r>
    <r>
      <rPr>
        <vertAlign val="subscript"/>
        <sz val="12"/>
        <color theme="1"/>
        <rFont val="Cambria"/>
        <family val="1"/>
      </rPr>
      <t>h</t>
    </r>
    <r>
      <rPr>
        <sz val="12"/>
        <color theme="1"/>
        <rFont val="Cambria"/>
        <family val="1"/>
      </rPr>
      <t>)</t>
    </r>
  </si>
  <si>
    <t>Depth (in)</t>
  </si>
  <si>
    <t>Total Bolt - Initial</t>
  </si>
  <si>
    <t>Total Bolts - Calculated</t>
  </si>
  <si>
    <t>Filler Reduction - R</t>
  </si>
  <si>
    <t>E (ksi)</t>
  </si>
  <si>
    <r>
      <t>Transverse Stiffener Spacing (d</t>
    </r>
    <r>
      <rPr>
        <vertAlign val="subscript"/>
        <sz val="12"/>
        <color theme="1"/>
        <rFont val="Cambria"/>
        <family val="1"/>
      </rPr>
      <t>o</t>
    </r>
    <r>
      <rPr>
        <sz val="12"/>
        <color theme="1"/>
        <rFont val="Cambria"/>
        <family val="1"/>
      </rPr>
      <t>) (ft)</t>
    </r>
  </si>
  <si>
    <t>Shear Buckling Coefficient - k</t>
  </si>
  <si>
    <t>Shear Buckling to Yield Strength Ratio - C</t>
  </si>
  <si>
    <t>Moment Arm (in)</t>
  </si>
  <si>
    <t>Bottom Flange - Left</t>
  </si>
  <si>
    <t>Bottom Flange - Right</t>
  </si>
  <si>
    <t>Web Shear Strength</t>
  </si>
  <si>
    <t>Deck Casting</t>
  </si>
  <si>
    <t>Strength Limit State Design</t>
  </si>
  <si>
    <t>Controlling</t>
  </si>
  <si>
    <t>Moment Resistance</t>
  </si>
  <si>
    <t>Positive Moment</t>
  </si>
  <si>
    <t>Negative Moment</t>
  </si>
  <si>
    <t>Splice Plates</t>
  </si>
  <si>
    <t>Splice Plate Properties</t>
  </si>
  <si>
    <t>D</t>
  </si>
  <si>
    <t>Thickness - Initial (in)</t>
  </si>
  <si>
    <t>Inner</t>
  </si>
  <si>
    <t>Outer</t>
  </si>
  <si>
    <t>Factored Yield Check - Tension</t>
  </si>
  <si>
    <t>Net Section Fracture Check - Tension</t>
  </si>
  <si>
    <t>Factored Yield Resistance - Tension</t>
  </si>
  <si>
    <t>Slip Resistance Check</t>
  </si>
  <si>
    <t>Factored (kip-ft)</t>
  </si>
  <si>
    <t>U</t>
  </si>
  <si>
    <t>Net Section to Gross Section Check - Tension</t>
  </si>
  <si>
    <r>
      <t>K</t>
    </r>
    <r>
      <rPr>
        <vertAlign val="subscript"/>
        <sz val="12"/>
        <color theme="1"/>
        <rFont val="Calibri"/>
        <family val="2"/>
        <scheme val="minor"/>
      </rPr>
      <t>h</t>
    </r>
  </si>
  <si>
    <r>
      <t>F</t>
    </r>
    <r>
      <rPr>
        <vertAlign val="subscript"/>
        <sz val="12"/>
        <color theme="1"/>
        <rFont val="Calibri"/>
        <family val="2"/>
        <scheme val="minor"/>
      </rPr>
      <t xml:space="preserve">u </t>
    </r>
    <r>
      <rPr>
        <sz val="12"/>
        <color theme="1"/>
        <rFont val="Calibri"/>
        <family val="2"/>
        <scheme val="minor"/>
      </rPr>
      <t>(ksi)</t>
    </r>
  </si>
  <si>
    <r>
      <t>P</t>
    </r>
    <r>
      <rPr>
        <vertAlign val="subscript"/>
        <sz val="12"/>
        <color theme="1"/>
        <rFont val="Calibri"/>
        <family val="2"/>
        <scheme val="minor"/>
      </rPr>
      <t>t</t>
    </r>
    <r>
      <rPr>
        <sz val="12"/>
        <color theme="1"/>
        <rFont val="Calibri"/>
        <family val="2"/>
        <scheme val="minor"/>
      </rPr>
      <t xml:space="preserve"> (kip)</t>
    </r>
  </si>
  <si>
    <r>
      <t>Faying Surface Class (K</t>
    </r>
    <r>
      <rPr>
        <vertAlign val="subscript"/>
        <sz val="12"/>
        <color theme="1"/>
        <rFont val="Calibri"/>
        <family val="2"/>
        <scheme val="minor"/>
      </rPr>
      <t>s</t>
    </r>
    <r>
      <rPr>
        <sz val="12"/>
        <color theme="1"/>
        <rFont val="Calibri"/>
        <family val="2"/>
        <scheme val="minor"/>
      </rPr>
      <t>)</t>
    </r>
  </si>
  <si>
    <r>
      <t>Hole Size Factor (K</t>
    </r>
    <r>
      <rPr>
        <vertAlign val="subscript"/>
        <sz val="12"/>
        <color theme="1"/>
        <rFont val="Calibri"/>
        <family val="2"/>
        <scheme val="minor"/>
      </rPr>
      <t>h</t>
    </r>
    <r>
      <rPr>
        <sz val="12"/>
        <color theme="1"/>
        <rFont val="Calibri"/>
        <family val="2"/>
        <scheme val="minor"/>
      </rPr>
      <t>)</t>
    </r>
  </si>
  <si>
    <r>
      <t>F</t>
    </r>
    <r>
      <rPr>
        <vertAlign val="subscript"/>
        <sz val="12"/>
        <color theme="1"/>
        <rFont val="Calibri"/>
        <family val="2"/>
        <scheme val="minor"/>
      </rPr>
      <t>y</t>
    </r>
    <r>
      <rPr>
        <sz val="12"/>
        <color theme="1"/>
        <rFont val="Calibri"/>
        <family val="2"/>
        <scheme val="minor"/>
      </rPr>
      <t xml:space="preserve"> (ksi)</t>
    </r>
  </si>
  <si>
    <r>
      <t>F</t>
    </r>
    <r>
      <rPr>
        <vertAlign val="subscript"/>
        <sz val="12"/>
        <color theme="1"/>
        <rFont val="Calibri"/>
        <family val="2"/>
        <scheme val="minor"/>
      </rPr>
      <t>u</t>
    </r>
    <r>
      <rPr>
        <sz val="12"/>
        <color theme="1"/>
        <rFont val="Calibri"/>
        <family val="2"/>
        <scheme val="minor"/>
      </rPr>
      <t xml:space="preserve"> (ksi)</t>
    </r>
  </si>
  <si>
    <r>
      <t>0.84 (F</t>
    </r>
    <r>
      <rPr>
        <vertAlign val="subscript"/>
        <sz val="12"/>
        <color theme="1"/>
        <rFont val="Calibri"/>
        <family val="2"/>
        <scheme val="minor"/>
      </rPr>
      <t>u</t>
    </r>
    <r>
      <rPr>
        <sz val="12"/>
        <color theme="1"/>
        <rFont val="Calibri"/>
        <family val="2"/>
        <scheme val="minor"/>
      </rPr>
      <t>/F</t>
    </r>
    <r>
      <rPr>
        <vertAlign val="subscript"/>
        <sz val="12"/>
        <color theme="1"/>
        <rFont val="Calibri"/>
        <family val="2"/>
        <scheme val="minor"/>
      </rPr>
      <t>y</t>
    </r>
    <r>
      <rPr>
        <sz val="12"/>
        <color theme="1"/>
        <rFont val="Calibri"/>
        <family val="2"/>
        <scheme val="minor"/>
      </rPr>
      <t>)</t>
    </r>
  </si>
  <si>
    <r>
      <t>Flange A</t>
    </r>
    <r>
      <rPr>
        <vertAlign val="subscript"/>
        <sz val="12"/>
        <color theme="1"/>
        <rFont val="Calibri"/>
        <family val="2"/>
        <scheme val="minor"/>
      </rPr>
      <t>gross</t>
    </r>
    <r>
      <rPr>
        <sz val="12"/>
        <color theme="1"/>
        <rFont val="Calibri"/>
        <family val="2"/>
        <scheme val="minor"/>
      </rPr>
      <t xml:space="preserve"> (sq-in)</t>
    </r>
  </si>
  <si>
    <r>
      <t>Flange A</t>
    </r>
    <r>
      <rPr>
        <vertAlign val="subscript"/>
        <sz val="12"/>
        <color theme="1"/>
        <rFont val="Calibri"/>
        <family val="2"/>
        <scheme val="minor"/>
      </rPr>
      <t>net</t>
    </r>
    <r>
      <rPr>
        <sz val="12"/>
        <color theme="1"/>
        <rFont val="Calibri"/>
        <family val="2"/>
        <scheme val="minor"/>
      </rPr>
      <t xml:space="preserve"> (sq-in)</t>
    </r>
  </si>
  <si>
    <r>
      <t>A</t>
    </r>
    <r>
      <rPr>
        <vertAlign val="subscript"/>
        <sz val="12"/>
        <color theme="1"/>
        <rFont val="Calibri"/>
        <family val="2"/>
        <scheme val="minor"/>
      </rPr>
      <t>e</t>
    </r>
    <r>
      <rPr>
        <sz val="12"/>
        <color theme="1"/>
        <rFont val="Calibri"/>
        <family val="2"/>
        <scheme val="minor"/>
      </rPr>
      <t xml:space="preserve"> (sq-in)</t>
    </r>
  </si>
  <si>
    <r>
      <t>P</t>
    </r>
    <r>
      <rPr>
        <vertAlign val="subscript"/>
        <sz val="12"/>
        <color theme="1"/>
        <rFont val="Calibri"/>
        <family val="2"/>
        <scheme val="minor"/>
      </rPr>
      <t>fy</t>
    </r>
    <r>
      <rPr>
        <sz val="12"/>
        <color theme="1"/>
        <rFont val="Calibri"/>
        <family val="2"/>
        <scheme val="minor"/>
      </rPr>
      <t xml:space="preserve"> (kip)</t>
    </r>
  </si>
  <si>
    <r>
      <t>M</t>
    </r>
    <r>
      <rPr>
        <vertAlign val="subscript"/>
        <sz val="12"/>
        <color theme="1"/>
        <rFont val="Calibri"/>
        <family val="2"/>
        <scheme val="minor"/>
      </rPr>
      <t>flange</t>
    </r>
    <r>
      <rPr>
        <sz val="12"/>
        <color theme="1"/>
        <rFont val="Calibri"/>
        <family val="2"/>
        <scheme val="minor"/>
      </rPr>
      <t xml:space="preserve"> (kip-ft)</t>
    </r>
  </si>
  <si>
    <r>
      <t>% Difference A</t>
    </r>
    <r>
      <rPr>
        <vertAlign val="subscript"/>
        <sz val="12"/>
        <color theme="1"/>
        <rFont val="Calibri"/>
        <family val="2"/>
        <scheme val="minor"/>
      </rPr>
      <t>g</t>
    </r>
    <r>
      <rPr>
        <sz val="12"/>
        <color theme="1"/>
        <rFont val="Calibri"/>
        <family val="2"/>
        <scheme val="minor"/>
      </rPr>
      <t xml:space="preserve"> Inner/Outer Area</t>
    </r>
  </si>
  <si>
    <r>
      <t>Equally Divide P</t>
    </r>
    <r>
      <rPr>
        <vertAlign val="subscript"/>
        <sz val="12"/>
        <color theme="1"/>
        <rFont val="Calibri"/>
        <family val="2"/>
        <scheme val="minor"/>
      </rPr>
      <t>fy</t>
    </r>
    <r>
      <rPr>
        <sz val="12"/>
        <color theme="1"/>
        <rFont val="Calibri"/>
        <family val="2"/>
        <scheme val="minor"/>
      </rPr>
      <t>?</t>
    </r>
  </si>
  <si>
    <r>
      <t>A</t>
    </r>
    <r>
      <rPr>
        <vertAlign val="subscript"/>
        <sz val="12"/>
        <color theme="1"/>
        <rFont val="Calibri"/>
        <family val="2"/>
        <scheme val="minor"/>
      </rPr>
      <t>g</t>
    </r>
    <r>
      <rPr>
        <sz val="12"/>
        <color theme="1"/>
        <rFont val="Calibri"/>
        <family val="2"/>
        <scheme val="minor"/>
      </rPr>
      <t xml:space="preserve"> (sq-in)</t>
    </r>
  </si>
  <si>
    <r>
      <t>A</t>
    </r>
    <r>
      <rPr>
        <vertAlign val="subscript"/>
        <sz val="12"/>
        <color theme="1"/>
        <rFont val="Calibri"/>
        <family val="2"/>
        <scheme val="minor"/>
      </rPr>
      <t>n</t>
    </r>
    <r>
      <rPr>
        <sz val="12"/>
        <color theme="1"/>
        <rFont val="Calibri"/>
        <family val="2"/>
        <scheme val="minor"/>
      </rPr>
      <t xml:space="preserve"> (sq-in)</t>
    </r>
  </si>
  <si>
    <r>
      <t>R</t>
    </r>
    <r>
      <rPr>
        <vertAlign val="subscript"/>
        <sz val="12"/>
        <color theme="1"/>
        <rFont val="Calibri"/>
        <family val="2"/>
        <scheme val="minor"/>
      </rPr>
      <t>p</t>
    </r>
  </si>
  <si>
    <r>
      <t>0.85 * A</t>
    </r>
    <r>
      <rPr>
        <vertAlign val="subscript"/>
        <sz val="12"/>
        <color theme="1"/>
        <rFont val="Calibri"/>
        <family val="2"/>
        <scheme val="minor"/>
      </rPr>
      <t>g</t>
    </r>
    <r>
      <rPr>
        <sz val="12"/>
        <color theme="1"/>
        <rFont val="Calibri"/>
        <family val="2"/>
        <scheme val="minor"/>
      </rPr>
      <t xml:space="preserve"> (sq-in)</t>
    </r>
  </si>
  <si>
    <r>
      <t>Check M</t>
    </r>
    <r>
      <rPr>
        <vertAlign val="subscript"/>
        <sz val="12"/>
        <color theme="1"/>
        <rFont val="Calibri"/>
        <family val="2"/>
        <scheme val="minor"/>
      </rPr>
      <t>flange</t>
    </r>
  </si>
  <si>
    <t>Punched - Full Size</t>
  </si>
  <si>
    <t>Drilled - Full Size</t>
  </si>
  <si>
    <t xml:space="preserve">Subpunched and Reamed to Size </t>
  </si>
  <si>
    <t xml:space="preserve">Reduction Factors - Hole Method </t>
  </si>
  <si>
    <r>
      <t>R</t>
    </r>
    <r>
      <rPr>
        <b/>
        <vertAlign val="subscript"/>
        <sz val="11"/>
        <color theme="3"/>
        <rFont val="Cambria"/>
        <family val="1"/>
      </rPr>
      <t>p</t>
    </r>
  </si>
  <si>
    <t>Tension Members</t>
  </si>
  <si>
    <t>Reduction Factors - Shear Lag - Table 6.8.2.2-1</t>
  </si>
  <si>
    <t>Miscellaneous Properties</t>
  </si>
  <si>
    <t>Hole Method</t>
  </si>
  <si>
    <t>Splice Plate Hole Method</t>
  </si>
  <si>
    <r>
      <rPr>
        <sz val="11"/>
        <color theme="1"/>
        <rFont val="Symbol"/>
        <family val="1"/>
        <charset val="2"/>
      </rPr>
      <t>f</t>
    </r>
    <r>
      <rPr>
        <vertAlign val="subscript"/>
        <sz val="11"/>
        <color theme="1"/>
        <rFont val="Calibri"/>
        <family val="2"/>
        <scheme val="minor"/>
      </rPr>
      <t>c</t>
    </r>
  </si>
  <si>
    <t>Service II - Positive Moment Check</t>
  </si>
  <si>
    <t>Service II - Positive (kip-ft)</t>
  </si>
  <si>
    <t>Service II - Negative (kip-ft)</t>
  </si>
  <si>
    <t>Service II - Negative Moment Check</t>
  </si>
  <si>
    <r>
      <t xml:space="preserve"> Per Bolt P</t>
    </r>
    <r>
      <rPr>
        <vertAlign val="subscript"/>
        <sz val="12"/>
        <color theme="1"/>
        <rFont val="Calibri"/>
        <family val="2"/>
        <scheme val="minor"/>
      </rPr>
      <t>t</t>
    </r>
    <r>
      <rPr>
        <sz val="12"/>
        <color theme="1"/>
        <rFont val="Calibri"/>
        <family val="2"/>
        <scheme val="minor"/>
      </rPr>
      <t xml:space="preserve"> (kip)</t>
    </r>
  </si>
  <si>
    <r>
      <t>Total P</t>
    </r>
    <r>
      <rPr>
        <vertAlign val="subscript"/>
        <sz val="12"/>
        <color theme="1"/>
        <rFont val="Calibri"/>
        <family val="2"/>
        <scheme val="minor"/>
      </rPr>
      <t>t</t>
    </r>
    <r>
      <rPr>
        <sz val="12"/>
        <color theme="1"/>
        <rFont val="Calibri"/>
        <family val="2"/>
        <scheme val="minor"/>
      </rPr>
      <t xml:space="preserve"> (kip)</t>
    </r>
  </si>
  <si>
    <t>R (kip)</t>
  </si>
  <si>
    <t>Bearing Resistance</t>
  </si>
  <si>
    <t>Flange Moment Resistance Check Results</t>
  </si>
  <si>
    <t>Positive</t>
  </si>
  <si>
    <t>Negative</t>
  </si>
  <si>
    <t>Flange Design Results</t>
  </si>
  <si>
    <t>Slip Check</t>
  </si>
  <si>
    <t>Web Gap (in)</t>
  </si>
  <si>
    <t>% Difference Ag Inner/Outer Area</t>
  </si>
  <si>
    <t>Plate Thickness</t>
  </si>
  <si>
    <t>Bottom Flange - Outer</t>
  </si>
  <si>
    <t>Top Flange - Outer</t>
  </si>
  <si>
    <t>Bottom Flange - Inner (Each)</t>
  </si>
  <si>
    <t>Top Flange - Inner (Each)</t>
  </si>
  <si>
    <r>
      <t>Total A</t>
    </r>
    <r>
      <rPr>
        <vertAlign val="subscript"/>
        <sz val="12"/>
        <color theme="1"/>
        <rFont val="Calibri"/>
        <family val="2"/>
        <scheme val="minor"/>
      </rPr>
      <t>gross</t>
    </r>
    <r>
      <rPr>
        <sz val="12"/>
        <color theme="1"/>
        <rFont val="Calibri"/>
        <family val="2"/>
        <scheme val="minor"/>
      </rPr>
      <t xml:space="preserve"> (sq-in)</t>
    </r>
  </si>
  <si>
    <t>Total Agross (sq-in)</t>
  </si>
  <si>
    <r>
      <t>% Difference A</t>
    </r>
    <r>
      <rPr>
        <vertAlign val="subscript"/>
        <sz val="12"/>
        <color theme="1"/>
        <rFont val="Cambria"/>
        <family val="1"/>
      </rPr>
      <t>g</t>
    </r>
    <r>
      <rPr>
        <sz val="12"/>
        <color theme="1"/>
        <rFont val="Cambria"/>
        <family val="1"/>
      </rPr>
      <t xml:space="preserve"> Inner/Outer Area</t>
    </r>
  </si>
  <si>
    <r>
      <t>M</t>
    </r>
    <r>
      <rPr>
        <vertAlign val="subscript"/>
        <sz val="12"/>
        <color theme="1"/>
        <rFont val="Cambria"/>
        <family val="1"/>
        <scheme val="major"/>
      </rPr>
      <t>flange</t>
    </r>
    <r>
      <rPr>
        <sz val="12"/>
        <color theme="1"/>
        <rFont val="Cambria"/>
        <family val="1"/>
        <scheme val="major"/>
      </rPr>
      <t xml:space="preserve"> Check - Positive</t>
    </r>
  </si>
  <si>
    <r>
      <t>M</t>
    </r>
    <r>
      <rPr>
        <vertAlign val="subscript"/>
        <sz val="12"/>
        <color theme="1"/>
        <rFont val="Cambria"/>
        <family val="1"/>
        <scheme val="major"/>
      </rPr>
      <t>flange</t>
    </r>
    <r>
      <rPr>
        <sz val="12"/>
        <color theme="1"/>
        <rFont val="Cambria"/>
        <family val="1"/>
        <scheme val="major"/>
      </rPr>
      <t xml:space="preserve"> Check - Negative</t>
    </r>
  </si>
  <si>
    <r>
      <t>Surface Condition Factor (K</t>
    </r>
    <r>
      <rPr>
        <vertAlign val="subscript"/>
        <sz val="12"/>
        <color theme="1"/>
        <rFont val="Cambria"/>
        <family val="1"/>
      </rPr>
      <t>s</t>
    </r>
    <r>
      <rPr>
        <sz val="12"/>
        <color theme="1"/>
        <rFont val="Cambria"/>
        <family val="1"/>
      </rPr>
      <t>)</t>
    </r>
  </si>
  <si>
    <r>
      <t>Surface Condition Factor (K</t>
    </r>
    <r>
      <rPr>
        <vertAlign val="subscript"/>
        <sz val="12"/>
        <color theme="1"/>
        <rFont val="Calibri"/>
        <family val="2"/>
        <scheme val="minor"/>
      </rPr>
      <t>s</t>
    </r>
    <r>
      <rPr>
        <sz val="12"/>
        <color theme="1"/>
        <rFont val="Calibri"/>
        <family val="2"/>
        <scheme val="minor"/>
      </rPr>
      <t>)</t>
    </r>
  </si>
  <si>
    <t>Socket Diameter</t>
  </si>
  <si>
    <t>H1</t>
  </si>
  <si>
    <t>H2</t>
  </si>
  <si>
    <t>C1</t>
  </si>
  <si>
    <t>C2</t>
  </si>
  <si>
    <t>(4.0 + 4.0t)</t>
  </si>
  <si>
    <r>
      <t>S</t>
    </r>
    <r>
      <rPr>
        <vertAlign val="subscript"/>
        <sz val="12"/>
        <color theme="1"/>
        <rFont val="Calibri"/>
        <family val="2"/>
        <scheme val="minor"/>
      </rPr>
      <t>max</t>
    </r>
    <r>
      <rPr>
        <sz val="12"/>
        <color theme="1"/>
        <rFont val="Calibri"/>
        <family val="2"/>
        <scheme val="minor"/>
      </rPr>
      <t xml:space="preserve"> (in)</t>
    </r>
  </si>
  <si>
    <t>Maximum Bolt Spacing - Seal</t>
  </si>
  <si>
    <t>Bolt Per Row - Calculated</t>
  </si>
  <si>
    <t>Transverse Gage - Bolt Groups (in)</t>
  </si>
  <si>
    <t>Bolt Layout - Transverse Gage</t>
  </si>
  <si>
    <t>Splice Plate Width (in)</t>
  </si>
  <si>
    <t>Splice Plate Thickness (in)</t>
  </si>
  <si>
    <t>Splice Plate Length (in)</t>
  </si>
  <si>
    <t>Splice Plate Geometry - Plate Sizes</t>
  </si>
  <si>
    <r>
      <t>Net Area A</t>
    </r>
    <r>
      <rPr>
        <vertAlign val="subscript"/>
        <sz val="12"/>
        <color theme="1"/>
        <rFont val="Calibri"/>
        <family val="2"/>
        <scheme val="minor"/>
      </rPr>
      <t>tn</t>
    </r>
    <r>
      <rPr>
        <sz val="12"/>
        <color theme="1"/>
        <rFont val="Calibri"/>
        <family val="2"/>
        <scheme val="minor"/>
      </rPr>
      <t xml:space="preserve"> (sq-in)</t>
    </r>
  </si>
  <si>
    <r>
      <t>Net Area A</t>
    </r>
    <r>
      <rPr>
        <vertAlign val="subscript"/>
        <sz val="12"/>
        <color theme="1"/>
        <rFont val="Calibri"/>
        <family val="2"/>
        <scheme val="minor"/>
      </rPr>
      <t>vn</t>
    </r>
    <r>
      <rPr>
        <sz val="12"/>
        <color theme="1"/>
        <rFont val="Calibri"/>
        <family val="2"/>
        <scheme val="minor"/>
      </rPr>
      <t xml:space="preserve"> (sq-in)</t>
    </r>
  </si>
  <si>
    <r>
      <t>R</t>
    </r>
    <r>
      <rPr>
        <vertAlign val="subscript"/>
        <sz val="12"/>
        <color theme="1"/>
        <rFont val="Calibri"/>
        <family val="2"/>
        <scheme val="minor"/>
      </rPr>
      <t>r</t>
    </r>
    <r>
      <rPr>
        <sz val="12"/>
        <color theme="1"/>
        <rFont val="Calibri"/>
        <family val="2"/>
        <scheme val="minor"/>
      </rPr>
      <t xml:space="preserve"> (kip)</t>
    </r>
  </si>
  <si>
    <t>Hole Count / Path</t>
  </si>
  <si>
    <t>Hole Diameter (in)</t>
  </si>
  <si>
    <r>
      <t>Gross Area
 A</t>
    </r>
    <r>
      <rPr>
        <vertAlign val="subscript"/>
        <sz val="12"/>
        <color theme="1"/>
        <rFont val="Calibri"/>
        <family val="2"/>
        <scheme val="minor"/>
      </rPr>
      <t>vg</t>
    </r>
    <r>
      <rPr>
        <sz val="12"/>
        <color theme="1"/>
        <rFont val="Calibri"/>
        <family val="2"/>
        <scheme val="minor"/>
      </rPr>
      <t xml:space="preserve"> (sq-in)</t>
    </r>
  </si>
  <si>
    <r>
      <rPr>
        <sz val="11"/>
        <color theme="1"/>
        <rFont val="Symbol"/>
        <family val="1"/>
        <charset val="2"/>
      </rPr>
      <t>f</t>
    </r>
    <r>
      <rPr>
        <vertAlign val="subscript"/>
        <sz val="11"/>
        <color theme="1"/>
        <rFont val="Calibri"/>
        <family val="2"/>
        <scheme val="minor"/>
      </rPr>
      <t>bs</t>
    </r>
  </si>
  <si>
    <r>
      <t>U</t>
    </r>
    <r>
      <rPr>
        <b/>
        <vertAlign val="subscript"/>
        <sz val="11"/>
        <color theme="3"/>
        <rFont val="Cambria"/>
        <family val="1"/>
      </rPr>
      <t>bs</t>
    </r>
  </si>
  <si>
    <r>
      <t>U</t>
    </r>
    <r>
      <rPr>
        <vertAlign val="subscript"/>
        <sz val="12"/>
        <color theme="1"/>
        <rFont val="Calibri"/>
        <family val="2"/>
        <scheme val="minor"/>
      </rPr>
      <t>bs</t>
    </r>
  </si>
  <si>
    <t>Block Shear Rupture Resistance - Splice Plates</t>
  </si>
  <si>
    <t>Block Shear Rupture Resistance - Girder (Mode 1)</t>
  </si>
  <si>
    <t>Block Shear Rupture Resistance - Girder (Mode 2)</t>
  </si>
  <si>
    <t>Block Shear Rupture Resistance - Mode 1</t>
  </si>
  <si>
    <t>Block Shear Rupture Resistance - Mode 2</t>
  </si>
  <si>
    <t>Flange Thickness (in)</t>
  </si>
  <si>
    <t>Total Bolts (Per Side) - Calculated</t>
  </si>
  <si>
    <t>Bearing Resistance Check</t>
  </si>
  <si>
    <t>Service II Moment Slip Check - Positive</t>
  </si>
  <si>
    <t>Service II Moment Slip Check - Negative</t>
  </si>
  <si>
    <t>(kip/in)</t>
  </si>
  <si>
    <t>Controlling Flange</t>
  </si>
  <si>
    <t>Block Shear Rupture Resistance</t>
  </si>
  <si>
    <t>Bolt Diameter - d (in)</t>
  </si>
  <si>
    <t>2d (in)</t>
  </si>
  <si>
    <r>
      <t>Clear Distance - L</t>
    </r>
    <r>
      <rPr>
        <vertAlign val="subscript"/>
        <sz val="12"/>
        <color theme="1"/>
        <rFont val="Calibri"/>
        <family val="2"/>
        <scheme val="minor"/>
      </rPr>
      <t xml:space="preserve">c </t>
    </r>
    <r>
      <rPr>
        <sz val="12"/>
        <color theme="1"/>
        <rFont val="Calibri"/>
        <family val="2"/>
        <scheme val="minor"/>
      </rPr>
      <t>(in)</t>
    </r>
  </si>
  <si>
    <t xml:space="preserve">            NSBA Bolted Splice Designer - Plate Girder</t>
  </si>
  <si>
    <t>Flange Threads</t>
  </si>
  <si>
    <t>Web Weld Clearance (in)</t>
  </si>
  <si>
    <t>Entering &amp; Tightening Clearance (in)</t>
  </si>
  <si>
    <t>Bolts Arrangement</t>
  </si>
  <si>
    <r>
      <t>Controlling F</t>
    </r>
    <r>
      <rPr>
        <vertAlign val="subscript"/>
        <sz val="12"/>
        <color theme="1"/>
        <rFont val="Calibri"/>
        <family val="2"/>
        <scheme val="minor"/>
      </rPr>
      <t>u</t>
    </r>
    <r>
      <rPr>
        <sz val="12"/>
        <color theme="1"/>
        <rFont val="Calibri"/>
        <family val="2"/>
        <scheme val="minor"/>
      </rPr>
      <t xml:space="preserve"> (ksi)</t>
    </r>
  </si>
  <si>
    <t>Total Bolts 
(Per Side) - Calculated</t>
  </si>
  <si>
    <t>Edge Distance - Initial (in)</t>
  </si>
  <si>
    <t>Bolt Spacing - Minimum (in)</t>
  </si>
  <si>
    <t>Edge Distance - Minimum (in)</t>
  </si>
  <si>
    <t>Transverse Spacing Check</t>
  </si>
  <si>
    <t>Edge Distance - Final (in)</t>
  </si>
  <si>
    <t>Edge Distance Inner - Final (in)</t>
  </si>
  <si>
    <t>Design Check Status</t>
  </si>
  <si>
    <t>Flange Splice</t>
  </si>
  <si>
    <t>Top Flange Splice Plates</t>
  </si>
  <si>
    <t>Bottom Flange Splice Plates</t>
  </si>
  <si>
    <t>Bolt and Plate Geometric Layout</t>
  </si>
  <si>
    <t>Width  - Outer Plate (in)</t>
  </si>
  <si>
    <t>Bolt Count - Summary</t>
  </si>
  <si>
    <t>Bolt Rows (Per Side)</t>
  </si>
  <si>
    <t>Total Bolts (Per Side)</t>
  </si>
  <si>
    <t>Design Check Summary</t>
  </si>
  <si>
    <t>Design Result Summary</t>
  </si>
  <si>
    <t>Flange Calculations</t>
  </si>
  <si>
    <t>Web Calculations</t>
  </si>
  <si>
    <t>Bolt Layout - Longitudinal Pitch</t>
  </si>
  <si>
    <t>Longitudinal Pitch - Bolt Group Check - Outer</t>
  </si>
  <si>
    <t>Final Edge Distance Check - Inner Plate</t>
  </si>
  <si>
    <t>Splice Plate Height (in)</t>
  </si>
  <si>
    <t>Controlling Plate t (in)</t>
  </si>
  <si>
    <t xml:space="preserve">            NSBA Bolted Splice Designer</t>
  </si>
  <si>
    <t>Bolt Entering and Tightening Clearances</t>
  </si>
  <si>
    <r>
      <t>f</t>
    </r>
    <r>
      <rPr>
        <vertAlign val="subscript"/>
        <sz val="11"/>
        <color theme="1"/>
        <rFont val="Calibri"/>
        <family val="2"/>
        <scheme val="minor"/>
      </rPr>
      <t>v</t>
    </r>
  </si>
  <si>
    <r>
      <rPr>
        <sz val="11"/>
        <color theme="1"/>
        <rFont val="Symbol"/>
        <family val="1"/>
        <charset val="2"/>
      </rPr>
      <t>f</t>
    </r>
    <r>
      <rPr>
        <vertAlign val="subscript"/>
        <sz val="11"/>
        <color theme="1"/>
        <rFont val="Calibri"/>
        <family val="2"/>
        <scheme val="minor"/>
      </rPr>
      <t>s</t>
    </r>
  </si>
  <si>
    <r>
      <rPr>
        <sz val="11"/>
        <color theme="1"/>
        <rFont val="Symbol"/>
        <family val="1"/>
        <charset val="2"/>
      </rPr>
      <t>f</t>
    </r>
    <r>
      <rPr>
        <vertAlign val="subscript"/>
        <sz val="11"/>
        <color theme="1"/>
        <rFont val="Calibri"/>
        <family val="2"/>
        <scheme val="minor"/>
      </rPr>
      <t>vu</t>
    </r>
  </si>
  <si>
    <r>
      <t>Check 
A</t>
    </r>
    <r>
      <rPr>
        <vertAlign val="subscript"/>
        <sz val="12"/>
        <color theme="1"/>
        <rFont val="Cambria"/>
        <family val="1"/>
        <scheme val="major"/>
      </rPr>
      <t>n</t>
    </r>
    <r>
      <rPr>
        <sz val="12"/>
        <color theme="1"/>
        <rFont val="Cambria"/>
        <family val="1"/>
        <scheme val="major"/>
      </rPr>
      <t xml:space="preserve"> ≤  0.85 A</t>
    </r>
    <r>
      <rPr>
        <vertAlign val="subscript"/>
        <sz val="12"/>
        <color theme="1"/>
        <rFont val="Cambria"/>
        <family val="1"/>
        <scheme val="major"/>
      </rPr>
      <t xml:space="preserve">g
</t>
    </r>
    <r>
      <rPr>
        <sz val="12"/>
        <color theme="1"/>
        <rFont val="Cambria"/>
        <family val="1"/>
        <scheme val="major"/>
      </rPr>
      <t>AASHTO 6.13.5.2</t>
    </r>
  </si>
  <si>
    <t>Top Flange - Outer Splice Plate</t>
  </si>
  <si>
    <t>Top Flange - Inner Splice Plate</t>
  </si>
  <si>
    <t>Bottom Flange - Inner Splice Plate</t>
  </si>
  <si>
    <t>Bottom Flange - Outer Splice Plate</t>
  </si>
  <si>
    <t>Bolt Factored Shear Resistance</t>
  </si>
  <si>
    <t>Net Section Fracture Resistance - Tension</t>
  </si>
  <si>
    <r>
      <t>Check 
A</t>
    </r>
    <r>
      <rPr>
        <vertAlign val="subscript"/>
        <sz val="12"/>
        <color theme="1"/>
        <rFont val="Calibri"/>
        <family val="2"/>
        <scheme val="minor"/>
      </rPr>
      <t>n</t>
    </r>
    <r>
      <rPr>
        <sz val="12"/>
        <color theme="1"/>
        <rFont val="Calibri"/>
        <family val="2"/>
        <scheme val="minor"/>
      </rPr>
      <t xml:space="preserve"> ≤ 0.85 A</t>
    </r>
    <r>
      <rPr>
        <vertAlign val="subscript"/>
        <sz val="12"/>
        <color theme="1"/>
        <rFont val="Calibri"/>
        <family val="2"/>
        <scheme val="minor"/>
      </rPr>
      <t xml:space="preserve">g
</t>
    </r>
    <r>
      <rPr>
        <sz val="12"/>
        <color theme="1"/>
        <rFont val="Calibri"/>
        <family val="2"/>
        <scheme val="minor"/>
      </rPr>
      <t>AASHTO 6.13.5.2</t>
    </r>
  </si>
  <si>
    <r>
      <t>R</t>
    </r>
    <r>
      <rPr>
        <vertAlign val="subscript"/>
        <sz val="12"/>
        <color theme="1"/>
        <rFont val="Calibri"/>
        <family val="2"/>
        <scheme val="minor"/>
      </rPr>
      <t>r</t>
    </r>
    <r>
      <rPr>
        <sz val="12"/>
        <color theme="1"/>
        <rFont val="Calibri"/>
        <family val="2"/>
        <scheme val="minor"/>
      </rPr>
      <t xml:space="preserve"> - Single Shear (kip)</t>
    </r>
  </si>
  <si>
    <r>
      <t>R</t>
    </r>
    <r>
      <rPr>
        <vertAlign val="subscript"/>
        <sz val="12"/>
        <color theme="1"/>
        <rFont val="Calibri"/>
        <family val="2"/>
        <scheme val="minor"/>
      </rPr>
      <t>r</t>
    </r>
    <r>
      <rPr>
        <sz val="12"/>
        <color theme="1"/>
        <rFont val="Calibri"/>
        <family val="2"/>
        <scheme val="minor"/>
      </rPr>
      <t xml:space="preserve"> - Double Shear (kip)</t>
    </r>
  </si>
  <si>
    <r>
      <t>R</t>
    </r>
    <r>
      <rPr>
        <vertAlign val="subscript"/>
        <sz val="12"/>
        <color theme="1"/>
        <rFont val="Calibri"/>
        <family val="2"/>
        <scheme val="minor"/>
      </rPr>
      <t>n</t>
    </r>
    <r>
      <rPr>
        <sz val="12"/>
        <color theme="1"/>
        <rFont val="Calibri"/>
        <family val="2"/>
        <scheme val="minor"/>
      </rPr>
      <t xml:space="preserve"> - Double Shear (kip)</t>
    </r>
  </si>
  <si>
    <t>Maximum Bolt Spacing - Sealing</t>
  </si>
  <si>
    <t>Bolts Per Row - Calculated</t>
  </si>
  <si>
    <t>End Distance (in)</t>
  </si>
  <si>
    <t>Gross Path Length per Failure Plane - Tension (in)</t>
  </si>
  <si>
    <t>Edge Distance (in)</t>
  </si>
  <si>
    <t>Bolt Spacing (in)</t>
  </si>
  <si>
    <t>Path Count</t>
  </si>
  <si>
    <t>Bolt Spacing  Check Status</t>
  </si>
  <si>
    <t>Flange Moment Slip Resistance Check Results</t>
  </si>
  <si>
    <t>Web Splice</t>
  </si>
  <si>
    <t>Web Splice Plates</t>
  </si>
  <si>
    <t>Web - Filler</t>
  </si>
  <si>
    <r>
      <t>H</t>
    </r>
    <r>
      <rPr>
        <vertAlign val="subscript"/>
        <sz val="12"/>
        <color theme="1"/>
        <rFont val="Calibri"/>
        <family val="2"/>
        <scheme val="minor"/>
      </rPr>
      <t>w</t>
    </r>
    <r>
      <rPr>
        <sz val="12"/>
        <color theme="1"/>
        <rFont val="Calibri"/>
        <family val="2"/>
        <scheme val="minor"/>
      </rPr>
      <t xml:space="preserve"> (kip)</t>
    </r>
  </si>
  <si>
    <t>Total Bolts 
(Per Side) - Calculated at Max Spacing</t>
  </si>
  <si>
    <t>End Distance (in) - Final</t>
  </si>
  <si>
    <t>Final End Distance Check</t>
  </si>
  <si>
    <r>
      <t>A</t>
    </r>
    <r>
      <rPr>
        <vertAlign val="subscript"/>
        <sz val="12"/>
        <color theme="1"/>
        <rFont val="Calibri"/>
        <family val="2"/>
        <scheme val="minor"/>
      </rPr>
      <t>vn</t>
    </r>
    <r>
      <rPr>
        <sz val="12"/>
        <color theme="1"/>
        <rFont val="Calibri"/>
        <family val="2"/>
        <scheme val="minor"/>
      </rPr>
      <t xml:space="preserve"> (sq-in)</t>
    </r>
  </si>
  <si>
    <t>Web Splice Plate</t>
  </si>
  <si>
    <r>
      <t>A</t>
    </r>
    <r>
      <rPr>
        <vertAlign val="subscript"/>
        <sz val="12"/>
        <color theme="1"/>
        <rFont val="Calibri"/>
        <family val="2"/>
        <scheme val="minor"/>
      </rPr>
      <t>vg</t>
    </r>
    <r>
      <rPr>
        <sz val="12"/>
        <color theme="1"/>
        <rFont val="Calibri"/>
        <family val="2"/>
        <scheme val="minor"/>
      </rPr>
      <t xml:space="preserve"> (sq-in)</t>
    </r>
  </si>
  <si>
    <t>Factored Yield Check</t>
  </si>
  <si>
    <t>Factored Rupture Check</t>
  </si>
  <si>
    <t>Status - Error Count</t>
  </si>
  <si>
    <t>Design Status - Flange</t>
  </si>
  <si>
    <t>Design Status - Web</t>
  </si>
  <si>
    <t>Bolt Layout Status -Web</t>
  </si>
  <si>
    <t>Final Diagonal Edge Distance - Check</t>
  </si>
  <si>
    <t>Diagonal Edge Distance (in)</t>
  </si>
  <si>
    <t>Bolt Layout - Diagonal Edge</t>
  </si>
  <si>
    <r>
      <t>R</t>
    </r>
    <r>
      <rPr>
        <vertAlign val="subscript"/>
        <sz val="12"/>
        <color theme="1"/>
        <rFont val="Calibri"/>
        <family val="2"/>
        <scheme val="minor"/>
      </rPr>
      <t>r</t>
    </r>
    <r>
      <rPr>
        <sz val="12"/>
        <color theme="1"/>
        <rFont val="Calibri"/>
        <family val="2"/>
        <scheme val="minor"/>
      </rPr>
      <t xml:space="preserve"> &gt; V</t>
    </r>
    <r>
      <rPr>
        <vertAlign val="subscript"/>
        <sz val="12"/>
        <color theme="1"/>
        <rFont val="Calibri"/>
        <family val="2"/>
        <scheme val="minor"/>
      </rPr>
      <t>r</t>
    </r>
  </si>
  <si>
    <t>Bolt Count - Summary (Initial)</t>
  </si>
  <si>
    <t>Controlling Web</t>
  </si>
  <si>
    <r>
      <t>A</t>
    </r>
    <r>
      <rPr>
        <vertAlign val="subscript"/>
        <sz val="12"/>
        <color theme="1"/>
        <rFont val="Calibri"/>
        <family val="2"/>
        <scheme val="minor"/>
      </rPr>
      <t>gross</t>
    </r>
    <r>
      <rPr>
        <sz val="12"/>
        <color theme="1"/>
        <rFont val="Calibri"/>
        <family val="2"/>
        <scheme val="minor"/>
      </rPr>
      <t xml:space="preserve"> (sq-in)</t>
    </r>
  </si>
  <si>
    <r>
      <t>D</t>
    </r>
    <r>
      <rPr>
        <vertAlign val="subscript"/>
        <sz val="12"/>
        <color theme="1"/>
        <rFont val="Calibri"/>
        <family val="2"/>
        <scheme val="minor"/>
      </rPr>
      <t>w</t>
    </r>
    <r>
      <rPr>
        <sz val="12"/>
        <color theme="1"/>
        <rFont val="Calibri"/>
        <family val="2"/>
        <scheme val="minor"/>
      </rPr>
      <t>/t</t>
    </r>
    <r>
      <rPr>
        <vertAlign val="subscript"/>
        <sz val="12"/>
        <color theme="1"/>
        <rFont val="Calibri"/>
        <family val="2"/>
        <scheme val="minor"/>
      </rPr>
      <t>w</t>
    </r>
  </si>
  <si>
    <r>
      <t>d</t>
    </r>
    <r>
      <rPr>
        <vertAlign val="subscript"/>
        <sz val="12"/>
        <color theme="1"/>
        <rFont val="Calibri"/>
        <family val="2"/>
        <scheme val="minor"/>
      </rPr>
      <t>o</t>
    </r>
    <r>
      <rPr>
        <sz val="12"/>
        <color theme="1"/>
        <rFont val="Calibri"/>
        <family val="2"/>
        <scheme val="minor"/>
      </rPr>
      <t>/D</t>
    </r>
    <r>
      <rPr>
        <vertAlign val="subscript"/>
        <sz val="12"/>
        <color theme="1"/>
        <rFont val="Calibri"/>
        <family val="2"/>
        <scheme val="minor"/>
      </rPr>
      <t>w</t>
    </r>
  </si>
  <si>
    <r>
      <t>V</t>
    </r>
    <r>
      <rPr>
        <vertAlign val="subscript"/>
        <sz val="12"/>
        <color theme="1"/>
        <rFont val="Calibri"/>
        <family val="2"/>
        <scheme val="minor"/>
      </rPr>
      <t>p</t>
    </r>
    <r>
      <rPr>
        <sz val="12"/>
        <color theme="1"/>
        <rFont val="Calibri"/>
        <family val="2"/>
        <scheme val="minor"/>
      </rPr>
      <t xml:space="preserve"> (kip)</t>
    </r>
  </si>
  <si>
    <r>
      <t>V</t>
    </r>
    <r>
      <rPr>
        <vertAlign val="subscript"/>
        <sz val="12"/>
        <color theme="1"/>
        <rFont val="Calibri"/>
        <family val="2"/>
        <scheme val="minor"/>
      </rPr>
      <t>cr</t>
    </r>
    <r>
      <rPr>
        <sz val="12"/>
        <color theme="1"/>
        <rFont val="Calibri"/>
        <family val="2"/>
        <scheme val="minor"/>
      </rPr>
      <t xml:space="preserve"> (kip)</t>
    </r>
  </si>
  <si>
    <r>
      <t>V</t>
    </r>
    <r>
      <rPr>
        <vertAlign val="subscript"/>
        <sz val="12"/>
        <color theme="1"/>
        <rFont val="Calibri"/>
        <family val="2"/>
        <scheme val="minor"/>
      </rPr>
      <t>n</t>
    </r>
    <r>
      <rPr>
        <sz val="12"/>
        <color theme="1"/>
        <rFont val="Calibri"/>
        <family val="2"/>
        <scheme val="minor"/>
      </rPr>
      <t xml:space="preserve"> (kip)</t>
    </r>
  </si>
  <si>
    <r>
      <t>V</t>
    </r>
    <r>
      <rPr>
        <vertAlign val="subscript"/>
        <sz val="12"/>
        <color theme="1"/>
        <rFont val="Calibri"/>
        <family val="2"/>
        <scheme val="minor"/>
      </rPr>
      <t>r</t>
    </r>
    <r>
      <rPr>
        <sz val="12"/>
        <color theme="1"/>
        <rFont val="Calibri"/>
        <family val="2"/>
        <scheme val="minor"/>
      </rPr>
      <t xml:space="preserve"> (kip)</t>
    </r>
  </si>
  <si>
    <t>Fy (ksi)</t>
  </si>
  <si>
    <r>
      <rPr>
        <sz val="12"/>
        <color theme="1"/>
        <rFont val="Symbol"/>
        <family val="1"/>
        <charset val="2"/>
      </rPr>
      <t>f</t>
    </r>
    <r>
      <rPr>
        <vertAlign val="subscript"/>
        <sz val="12"/>
        <color theme="1"/>
        <rFont val="Calibri"/>
        <family val="2"/>
        <scheme val="minor"/>
      </rPr>
      <t>v</t>
    </r>
  </si>
  <si>
    <r>
      <rPr>
        <sz val="12"/>
        <color theme="1"/>
        <rFont val="Symbol"/>
        <family val="1"/>
        <charset val="2"/>
      </rPr>
      <t>f</t>
    </r>
    <r>
      <rPr>
        <vertAlign val="subscript"/>
        <sz val="12"/>
        <color theme="1"/>
        <rFont val="Calibri"/>
        <family val="2"/>
        <scheme val="minor"/>
      </rPr>
      <t>vu</t>
    </r>
  </si>
  <si>
    <r>
      <rPr>
        <sz val="11"/>
        <color theme="1"/>
        <rFont val="Symbol"/>
        <family val="1"/>
        <charset val="2"/>
      </rPr>
      <t>f</t>
    </r>
    <r>
      <rPr>
        <vertAlign val="subscript"/>
        <sz val="11"/>
        <color theme="1"/>
        <rFont val="Calibri"/>
        <family val="2"/>
        <scheme val="minor"/>
      </rPr>
      <t>bb</t>
    </r>
  </si>
  <si>
    <r>
      <rPr>
        <sz val="12"/>
        <color theme="1"/>
        <rFont val="Symbol"/>
        <family val="1"/>
        <charset val="2"/>
      </rPr>
      <t>f</t>
    </r>
    <r>
      <rPr>
        <vertAlign val="subscript"/>
        <sz val="12"/>
        <color theme="1"/>
        <rFont val="Calibri"/>
        <family val="2"/>
        <scheme val="minor"/>
      </rPr>
      <t>bb</t>
    </r>
  </si>
  <si>
    <r>
      <rPr>
        <sz val="12"/>
        <color theme="1"/>
        <rFont val="Symbol"/>
        <family val="1"/>
        <charset val="2"/>
      </rPr>
      <t>f</t>
    </r>
    <r>
      <rPr>
        <vertAlign val="subscript"/>
        <sz val="12"/>
        <color theme="1"/>
        <rFont val="Calibri"/>
        <family val="2"/>
        <scheme val="minor"/>
      </rPr>
      <t>bs</t>
    </r>
  </si>
  <si>
    <r>
      <rPr>
        <sz val="12"/>
        <color theme="1"/>
        <rFont val="Symbol"/>
        <family val="1"/>
        <charset val="2"/>
      </rPr>
      <t>f</t>
    </r>
    <r>
      <rPr>
        <vertAlign val="subscript"/>
        <sz val="12"/>
        <color theme="1"/>
        <rFont val="Calibri"/>
        <family val="2"/>
        <scheme val="minor"/>
      </rPr>
      <t>s</t>
    </r>
  </si>
  <si>
    <t>Service II - Positive Shear Check</t>
  </si>
  <si>
    <t>Service II - Negative Shear Check</t>
  </si>
  <si>
    <t>Service II Shear Slip Check - Positive</t>
  </si>
  <si>
    <t>Service II Shear Slip Check - Negative</t>
  </si>
  <si>
    <t>Deck Casting Check</t>
  </si>
  <si>
    <t>Deck Casting Moment (kip-ft)</t>
  </si>
  <si>
    <t>Deck Casting Slip Check</t>
  </si>
  <si>
    <t>Gage - Bolt Groups (in)</t>
  </si>
  <si>
    <t>Final Transverse Dimension Check - Outer</t>
  </si>
  <si>
    <t>Final Transverse Dimension Check - Inner</t>
  </si>
  <si>
    <t>Top Flange Splice</t>
  </si>
  <si>
    <t>Bottom Flange Splice</t>
  </si>
  <si>
    <t>Web Slenderness Upper Limit</t>
  </si>
  <si>
    <t>Web Slenderness Lower Limit</t>
  </si>
  <si>
    <t>Factored Shear Yielding Resistance</t>
  </si>
  <si>
    <t>Factored Shear Rupture Resistance</t>
  </si>
  <si>
    <t>Factored Shear Yield Check</t>
  </si>
  <si>
    <t>End Distance - Final (in)</t>
  </si>
  <si>
    <t>Gage - Bolts (in)</t>
  </si>
  <si>
    <t>Pitch - Bolts (in)</t>
  </si>
  <si>
    <t>Pitch - Bolt Groups (in)</t>
  </si>
  <si>
    <t>Top Flange Splice Plate Material</t>
  </si>
  <si>
    <t>Top Flange Splice Plate Thickness (in)</t>
  </si>
  <si>
    <t>Top Flange Splice Plate Width (in)</t>
  </si>
  <si>
    <t>Web Splice Plate Material</t>
  </si>
  <si>
    <t>Web Splice Plate Thickness (in)</t>
  </si>
  <si>
    <t>Bottom Flange Splice Plate Material</t>
  </si>
  <si>
    <t>Bottom Flange Splice Plate Thickness (in)</t>
  </si>
  <si>
    <t>Bottom Flange Splice Plate Width (in)</t>
  </si>
  <si>
    <t>Bolt Layout Status - Flange</t>
  </si>
  <si>
    <t>Factored Yield Resistance Check - Tension</t>
  </si>
  <si>
    <t>Net Path Length - Tension (in)</t>
  </si>
  <si>
    <t xml:space="preserve"> End Distance (in)</t>
  </si>
  <si>
    <t>End Holes</t>
  </si>
  <si>
    <t>Interior Holes</t>
  </si>
  <si>
    <t>Bolt Shear Resistance Joint Length Reduction Factor</t>
  </si>
  <si>
    <t>Splice Plate - Bolt Shear Resistance Joint Length Reduction Check</t>
  </si>
  <si>
    <t>Web Rows</t>
  </si>
  <si>
    <t>Top Flange Rows</t>
  </si>
  <si>
    <t>Bottom Flange Rows</t>
  </si>
  <si>
    <t>Deck Casting - Shear Check</t>
  </si>
  <si>
    <t>Web Weld Size (in)</t>
  </si>
  <si>
    <t>Interior</t>
  </si>
  <si>
    <t>End</t>
  </si>
  <si>
    <t>Final Gage - Bolts Check</t>
  </si>
  <si>
    <t>Final Gage - Bolt Group Check - Outer</t>
  </si>
  <si>
    <t>Pitch -  Bolts (in)</t>
  </si>
  <si>
    <t>Minimum Pitch -  Bolts (in)</t>
  </si>
  <si>
    <t>Pitch - Bolts (in) - Final</t>
  </si>
  <si>
    <t>Final Pitch Check</t>
  </si>
  <si>
    <t>Gage - Bolt Group Check</t>
  </si>
  <si>
    <t>Pitch - Bolt Group Check - Outer</t>
  </si>
  <si>
    <t>Pitch - Bolt Group Check</t>
  </si>
  <si>
    <t>Splice Plate Height - Final (in)</t>
  </si>
  <si>
    <t>Height - Final (in)</t>
  </si>
  <si>
    <t>End Distance - Flange (in)</t>
  </si>
  <si>
    <t>End Distance  - Web (in)</t>
  </si>
  <si>
    <t>Splice Plate Height - Maximum (in)</t>
  </si>
  <si>
    <t>Final Splice Plate Height Check</t>
  </si>
  <si>
    <t>DNA</t>
  </si>
  <si>
    <t>Spacing and  Clearance Values</t>
  </si>
  <si>
    <r>
      <t>Controlling H</t>
    </r>
    <r>
      <rPr>
        <vertAlign val="subscript"/>
        <sz val="12"/>
        <color theme="1"/>
        <rFont val="Calibri"/>
        <family val="2"/>
        <scheme val="minor"/>
      </rPr>
      <t>w</t>
    </r>
    <r>
      <rPr>
        <sz val="12"/>
        <color theme="1"/>
        <rFont val="Calibri"/>
        <family val="2"/>
        <scheme val="minor"/>
      </rPr>
      <t xml:space="preserve"> (kip)</t>
    </r>
  </si>
  <si>
    <t>Bolt Layout - Gage</t>
  </si>
  <si>
    <t>Deck Casting (kip)</t>
  </si>
  <si>
    <t>Service II – Positive (kip)</t>
  </si>
  <si>
    <t>Service II – Negative (kip)</t>
  </si>
  <si>
    <t>Resultant R (kip)</t>
  </si>
  <si>
    <t>Version</t>
  </si>
  <si>
    <t>Author</t>
  </si>
  <si>
    <t>Release Date</t>
  </si>
  <si>
    <t>CMG</t>
  </si>
  <si>
    <t>Edge Distance - Web (in)</t>
  </si>
  <si>
    <t>Edge Distance - Flange (in)</t>
  </si>
  <si>
    <t>Reference Figures</t>
  </si>
  <si>
    <t>Web Splice Plate Height - Maximum</t>
  </si>
  <si>
    <t>End Distance - Calculated (in)</t>
  </si>
  <si>
    <t>End Distance Check</t>
  </si>
  <si>
    <t>End Adjustment (in)</t>
  </si>
  <si>
    <t xml:space="preserve">Edge Distance (in) </t>
  </si>
  <si>
    <t>Web Splice Plate End Distance - Splice Plate Height Adjustment</t>
  </si>
  <si>
    <t>Gage - Bolts Check</t>
  </si>
  <si>
    <t>Gage - Bolt Group Check - Outer</t>
  </si>
  <si>
    <t>Edge Distance Check - Inner</t>
  </si>
  <si>
    <t>Diagonal Edge Distance - Check</t>
  </si>
  <si>
    <t>Transverse Dimension Check - Outer</t>
  </si>
  <si>
    <t>Splice Plate Height Check</t>
  </si>
  <si>
    <t>Transverse Dimension Check - Inner</t>
  </si>
  <si>
    <r>
      <t>R</t>
    </r>
    <r>
      <rPr>
        <vertAlign val="subscript"/>
        <sz val="12"/>
        <color theme="1"/>
        <rFont val="Calibri"/>
        <family val="2"/>
        <scheme val="minor"/>
      </rPr>
      <t>r</t>
    </r>
    <r>
      <rPr>
        <sz val="12"/>
        <color theme="1"/>
        <rFont val="Calibri"/>
        <family val="2"/>
        <scheme val="minor"/>
      </rPr>
      <t xml:space="preserve"> &gt; R</t>
    </r>
  </si>
  <si>
    <t>Controlling Web Thickness (in)</t>
  </si>
  <si>
    <r>
      <t>Splice Plate - F</t>
    </r>
    <r>
      <rPr>
        <vertAlign val="subscript"/>
        <sz val="12"/>
        <color theme="1"/>
        <rFont val="Calibri"/>
        <family val="2"/>
        <scheme val="minor"/>
      </rPr>
      <t>u</t>
    </r>
    <r>
      <rPr>
        <sz val="12"/>
        <color theme="1"/>
        <rFont val="Calibri"/>
        <family val="2"/>
        <scheme val="minor"/>
      </rPr>
      <t xml:space="preserve"> (ksi)</t>
    </r>
  </si>
  <si>
    <r>
      <t>Thickness t</t>
    </r>
    <r>
      <rPr>
        <vertAlign val="subscript"/>
        <sz val="12"/>
        <color theme="1"/>
        <rFont val="Calibri"/>
        <family val="2"/>
        <scheme val="minor"/>
      </rPr>
      <t>w</t>
    </r>
    <r>
      <rPr>
        <sz val="12"/>
        <color theme="1"/>
        <rFont val="Calibri"/>
        <family val="2"/>
        <scheme val="minor"/>
      </rPr>
      <t xml:space="preserve"> (in)</t>
    </r>
  </si>
  <si>
    <r>
      <t>t</t>
    </r>
    <r>
      <rPr>
        <vertAlign val="subscript"/>
        <sz val="12"/>
        <color theme="1"/>
        <rFont val="Calibri"/>
        <family val="2"/>
        <scheme val="minor"/>
      </rPr>
      <t>w</t>
    </r>
    <r>
      <rPr>
        <sz val="12"/>
        <color theme="1"/>
        <rFont val="Calibri"/>
        <family val="2"/>
        <scheme val="minor"/>
      </rPr>
      <t xml:space="preserve"> * F</t>
    </r>
    <r>
      <rPr>
        <vertAlign val="subscript"/>
        <sz val="12"/>
        <color theme="1"/>
        <rFont val="Calibri"/>
        <family val="2"/>
        <scheme val="minor"/>
      </rPr>
      <t>u</t>
    </r>
    <r>
      <rPr>
        <sz val="12"/>
        <color theme="1"/>
        <rFont val="Calibri"/>
        <family val="2"/>
        <scheme val="minor"/>
      </rPr>
      <t xml:space="preserve"> (kip/in)</t>
    </r>
  </si>
  <si>
    <r>
      <t>Web Splice Plate Thickness - t</t>
    </r>
    <r>
      <rPr>
        <vertAlign val="subscript"/>
        <sz val="12"/>
        <color theme="1"/>
        <rFont val="Calibri"/>
        <family val="2"/>
        <scheme val="minor"/>
      </rPr>
      <t>sp</t>
    </r>
    <r>
      <rPr>
        <sz val="12"/>
        <color theme="1"/>
        <rFont val="Calibri"/>
        <family val="2"/>
        <scheme val="minor"/>
      </rPr>
      <t>(in)</t>
    </r>
  </si>
  <si>
    <r>
      <t>2t</t>
    </r>
    <r>
      <rPr>
        <vertAlign val="subscript"/>
        <sz val="12"/>
        <color theme="1"/>
        <rFont val="Calibri"/>
        <family val="2"/>
        <scheme val="minor"/>
      </rPr>
      <t>sp</t>
    </r>
    <r>
      <rPr>
        <sz val="12"/>
        <color theme="1"/>
        <rFont val="Calibri"/>
        <family val="2"/>
        <scheme val="minor"/>
      </rPr>
      <t xml:space="preserve"> * F</t>
    </r>
    <r>
      <rPr>
        <vertAlign val="subscript"/>
        <sz val="12"/>
        <color theme="1"/>
        <rFont val="Calibri"/>
        <family val="2"/>
        <scheme val="minor"/>
      </rPr>
      <t>u</t>
    </r>
    <r>
      <rPr>
        <sz val="12"/>
        <color theme="1"/>
        <rFont val="Calibri"/>
        <family val="2"/>
        <scheme val="minor"/>
      </rPr>
      <t xml:space="preserve"> (kip/in)</t>
    </r>
  </si>
  <si>
    <r>
      <t>V</t>
    </r>
    <r>
      <rPr>
        <vertAlign val="subscript"/>
        <sz val="12"/>
        <color theme="1"/>
        <rFont val="Calibri"/>
        <family val="2"/>
        <scheme val="minor"/>
      </rPr>
      <t>r</t>
    </r>
    <r>
      <rPr>
        <sz val="12"/>
        <color theme="1"/>
        <rFont val="Calibri"/>
        <family val="2"/>
        <scheme val="minor"/>
      </rPr>
      <t xml:space="preserve"> == R</t>
    </r>
  </si>
  <si>
    <t>Controlling t (in)</t>
  </si>
  <si>
    <r>
      <t>(2t</t>
    </r>
    <r>
      <rPr>
        <vertAlign val="subscript"/>
        <sz val="12"/>
        <color theme="1"/>
        <rFont val="Calibri"/>
        <family val="2"/>
        <scheme val="minor"/>
      </rPr>
      <t>sp</t>
    </r>
    <r>
      <rPr>
        <sz val="12"/>
        <color theme="1"/>
        <rFont val="Calibri"/>
        <family val="2"/>
        <scheme val="minor"/>
      </rPr>
      <t xml:space="preserve"> * F</t>
    </r>
    <r>
      <rPr>
        <vertAlign val="subscript"/>
        <sz val="12"/>
        <color theme="1"/>
        <rFont val="Calibri"/>
        <family val="2"/>
        <scheme val="minor"/>
      </rPr>
      <t>u</t>
    </r>
    <r>
      <rPr>
        <sz val="12"/>
        <color theme="1"/>
        <rFont val="Calibri"/>
        <family val="2"/>
        <scheme val="minor"/>
      </rPr>
      <t>) &lt; 
(t</t>
    </r>
    <r>
      <rPr>
        <vertAlign val="subscript"/>
        <sz val="12"/>
        <color theme="1"/>
        <rFont val="Calibri"/>
        <family val="2"/>
        <scheme val="minor"/>
      </rPr>
      <t>w</t>
    </r>
    <r>
      <rPr>
        <sz val="12"/>
        <color theme="1"/>
        <rFont val="Calibri"/>
        <family val="2"/>
        <scheme val="minor"/>
      </rPr>
      <t xml:space="preserve"> * F</t>
    </r>
    <r>
      <rPr>
        <vertAlign val="subscript"/>
        <sz val="12"/>
        <color theme="1"/>
        <rFont val="Calibri"/>
        <family val="2"/>
        <scheme val="minor"/>
      </rPr>
      <t>u</t>
    </r>
    <r>
      <rPr>
        <sz val="12"/>
        <color theme="1"/>
        <rFont val="Calibri"/>
        <family val="2"/>
        <scheme val="minor"/>
      </rPr>
      <t>)</t>
    </r>
  </si>
  <si>
    <t xml:space="preserve"> Web End Clear Distance (in)</t>
  </si>
  <si>
    <t xml:space="preserve"> End Clear Distance (in)</t>
  </si>
  <si>
    <t>Edge Clear Distance (in)</t>
  </si>
  <si>
    <t>Clear Pitch -  Bolts (in)</t>
  </si>
  <si>
    <t>Controlling Section
(sq-in)</t>
  </si>
  <si>
    <t>Gross Path Length per Failure Plane - Shear (in)</t>
  </si>
  <si>
    <t>Net Path Length - Shear (in)</t>
  </si>
  <si>
    <t>Factored Shear Rupture Check Rr &gt; Vr</t>
  </si>
  <si>
    <r>
      <t>Shear Planes per Bolt (N</t>
    </r>
    <r>
      <rPr>
        <vertAlign val="subscript"/>
        <sz val="12"/>
        <color theme="1"/>
        <rFont val="Cambria"/>
        <family val="1"/>
      </rPr>
      <t>s</t>
    </r>
    <r>
      <rPr>
        <sz val="12"/>
        <color theme="1"/>
        <rFont val="Cambria"/>
        <family val="1"/>
      </rPr>
      <t>)</t>
    </r>
  </si>
  <si>
    <t>Shear Planes per Bolt (Ns) - Bottom Flange</t>
  </si>
  <si>
    <t>Shear Planes per Bolt (Ns) - Top Flange</t>
  </si>
  <si>
    <t>Top Flange - Splice Plates</t>
  </si>
  <si>
    <t>Bottom Flange - Splice Plates</t>
  </si>
  <si>
    <t>Design Force (kip)</t>
  </si>
  <si>
    <t>Design Force Ratio for Splice Plates</t>
  </si>
  <si>
    <t>Design Force in Splice Plate (kip)</t>
  </si>
  <si>
    <t>Max. Design Force for Splice Plates (kip)</t>
  </si>
  <si>
    <t>Max. Design Force for Splice Plates (kip) AASHTO C6.13.6.1.3b</t>
  </si>
  <si>
    <t>Block Shear Rupture Resistance Check</t>
  </si>
  <si>
    <r>
      <rPr>
        <sz val="12"/>
        <color theme="1"/>
        <rFont val="Calibri"/>
        <family val="2"/>
      </rPr>
      <t>ɸ</t>
    </r>
    <r>
      <rPr>
        <vertAlign val="subscript"/>
        <sz val="12"/>
        <color theme="1"/>
        <rFont val="Calibri"/>
        <family val="2"/>
        <scheme val="minor"/>
      </rPr>
      <t>y</t>
    </r>
  </si>
  <si>
    <r>
      <t>ɸ</t>
    </r>
    <r>
      <rPr>
        <vertAlign val="subscript"/>
        <sz val="12"/>
        <color theme="1"/>
        <rFont val="Calibri"/>
        <family val="2"/>
      </rPr>
      <t>u</t>
    </r>
  </si>
  <si>
    <r>
      <t>ɸ</t>
    </r>
    <r>
      <rPr>
        <vertAlign val="subscript"/>
        <sz val="12"/>
        <color theme="1"/>
        <rFont val="Calibri"/>
        <family val="2"/>
      </rPr>
      <t>bs</t>
    </r>
  </si>
  <si>
    <r>
      <t>ɸ</t>
    </r>
    <r>
      <rPr>
        <vertAlign val="subscript"/>
        <sz val="12"/>
        <color theme="1"/>
        <rFont val="Calibri"/>
        <family val="2"/>
      </rPr>
      <t>bb</t>
    </r>
  </si>
  <si>
    <r>
      <t>ɸ</t>
    </r>
    <r>
      <rPr>
        <vertAlign val="subscript"/>
        <sz val="12"/>
        <color theme="1"/>
        <rFont val="Calibri"/>
        <family val="2"/>
      </rPr>
      <t>s</t>
    </r>
  </si>
  <si>
    <t>Rr (kip)</t>
  </si>
  <si>
    <t>Rn (kip)</t>
  </si>
  <si>
    <t>Controlling Rr (kip)</t>
  </si>
  <si>
    <t>Total Bearing Resistance - Rr (kip)</t>
  </si>
  <si>
    <t>Bolt Capacity (kip)</t>
  </si>
  <si>
    <t>Web Capacity  Rr (kip)</t>
  </si>
  <si>
    <r>
      <t>Area Filler A</t>
    </r>
    <r>
      <rPr>
        <vertAlign val="subscript"/>
        <sz val="12"/>
        <color theme="1"/>
        <rFont val="Calibri"/>
        <family val="2"/>
        <scheme val="minor"/>
      </rPr>
      <t>f</t>
    </r>
    <r>
      <rPr>
        <sz val="12"/>
        <color theme="1"/>
        <rFont val="Calibri"/>
        <family val="2"/>
        <scheme val="minor"/>
      </rPr>
      <t xml:space="preserve"> (sq-in)</t>
    </r>
  </si>
  <si>
    <r>
      <t>Area Connection Plate A</t>
    </r>
    <r>
      <rPr>
        <vertAlign val="subscript"/>
        <sz val="12"/>
        <color theme="1"/>
        <rFont val="Calibri"/>
        <family val="2"/>
        <scheme val="minor"/>
      </rPr>
      <t>p</t>
    </r>
    <r>
      <rPr>
        <sz val="12"/>
        <color theme="1"/>
        <rFont val="Calibri"/>
        <family val="2"/>
        <scheme val="minor"/>
      </rPr>
      <t xml:space="preserve"> (sq-in)</t>
    </r>
  </si>
  <si>
    <t>Alignment Mode</t>
  </si>
  <si>
    <t>Top</t>
  </si>
  <si>
    <t>Web Center</t>
  </si>
  <si>
    <t>Bottom</t>
  </si>
  <si>
    <t>Filler Width - Inner (in)</t>
  </si>
  <si>
    <t>Filler Thickness - Inner (in)</t>
  </si>
  <si>
    <t>Filler Width - Outer (in)</t>
  </si>
  <si>
    <t>Filler Thickness - Outer (in)</t>
  </si>
  <si>
    <t>Left Girder</t>
  </si>
  <si>
    <t>Right Girder</t>
  </si>
  <si>
    <t>Height (in)</t>
  </si>
  <si>
    <t>Filler Plate Dimensions</t>
  </si>
  <si>
    <t>Top Flange - Left Outer</t>
  </si>
  <si>
    <t>Top Flange - Right Outer</t>
  </si>
  <si>
    <t>Top Flange - Left Inner (Each)</t>
  </si>
  <si>
    <t>Top Flange - Right Inner (Each)</t>
  </si>
  <si>
    <t>Bottom Flange - Left Outer</t>
  </si>
  <si>
    <t>Bottom Flange - Left Inner (Each)</t>
  </si>
  <si>
    <t>Bottom Flange - Right Outer</t>
  </si>
  <si>
    <t>Bottom Flange - Right Inner (Each)</t>
  </si>
  <si>
    <r>
      <t>Area Splice Plate A</t>
    </r>
    <r>
      <rPr>
        <vertAlign val="subscript"/>
        <sz val="12"/>
        <color theme="1"/>
        <rFont val="Calibri"/>
        <family val="2"/>
        <scheme val="minor"/>
      </rPr>
      <t>p</t>
    </r>
    <r>
      <rPr>
        <sz val="12"/>
        <color theme="1"/>
        <rFont val="Calibri"/>
        <family val="2"/>
        <scheme val="minor"/>
      </rPr>
      <t xml:space="preserve"> (sq-in)</t>
    </r>
  </si>
  <si>
    <t>Flange Width (in)</t>
  </si>
  <si>
    <t>Filler Length - Outer (in)</t>
  </si>
  <si>
    <t>Filler Length - Inner (in)</t>
  </si>
  <si>
    <t>Standard Hole Diameter (in)</t>
  </si>
  <si>
    <t>Oversized Hole Diameter (in)</t>
  </si>
  <si>
    <t>Oversize</t>
  </si>
  <si>
    <t>Short Slotted - Perpendicular Force</t>
  </si>
  <si>
    <t>Short Slotted - Parallel Force</t>
  </si>
  <si>
    <t>Standard Min Edge &amp; End Distance (in)</t>
  </si>
  <si>
    <t>Oversized Min Edge &amp; End Distance (in)</t>
  </si>
  <si>
    <t>Filler Plate - Sizing and Reduction Factor</t>
  </si>
  <si>
    <t>Haunch Properties</t>
  </si>
  <si>
    <t>Haunch Status</t>
  </si>
  <si>
    <r>
      <t>Bolt Capacity  R</t>
    </r>
    <r>
      <rPr>
        <vertAlign val="subscript"/>
        <sz val="12"/>
        <color theme="1"/>
        <rFont val="Calibri"/>
        <family val="2"/>
        <scheme val="minor"/>
      </rPr>
      <t>r</t>
    </r>
    <r>
      <rPr>
        <sz val="12"/>
        <color theme="1"/>
        <rFont val="Calibri"/>
        <family val="2"/>
        <scheme val="minor"/>
      </rPr>
      <t xml:space="preserve"> (kip)</t>
    </r>
  </si>
  <si>
    <r>
      <t>Bearing Resistance  R</t>
    </r>
    <r>
      <rPr>
        <vertAlign val="subscript"/>
        <sz val="12"/>
        <color theme="1"/>
        <rFont val="Calibri"/>
        <family val="2"/>
        <scheme val="minor"/>
      </rPr>
      <t>r</t>
    </r>
    <r>
      <rPr>
        <sz val="12"/>
        <color theme="1"/>
        <rFont val="Calibri"/>
        <family val="2"/>
        <scheme val="minor"/>
      </rPr>
      <t xml:space="preserve"> (kip)</t>
    </r>
  </si>
  <si>
    <r>
      <t>Controlling R</t>
    </r>
    <r>
      <rPr>
        <vertAlign val="subscript"/>
        <sz val="12"/>
        <color theme="1"/>
        <rFont val="Calibri"/>
        <family val="2"/>
        <scheme val="minor"/>
      </rPr>
      <t>r</t>
    </r>
    <r>
      <rPr>
        <sz val="12"/>
        <color theme="1"/>
        <rFont val="Calibri"/>
        <family val="2"/>
        <scheme val="minor"/>
      </rPr>
      <t xml:space="preserve"> (kip)</t>
    </r>
  </si>
  <si>
    <r>
      <t>Bolt Capacity R</t>
    </r>
    <r>
      <rPr>
        <vertAlign val="subscript"/>
        <sz val="12"/>
        <color theme="1"/>
        <rFont val="Calibri"/>
        <family val="2"/>
        <scheme val="minor"/>
      </rPr>
      <t>r</t>
    </r>
    <r>
      <rPr>
        <sz val="12"/>
        <color theme="1"/>
        <rFont val="Calibri"/>
        <family val="2"/>
        <scheme val="minor"/>
      </rPr>
      <t xml:space="preserve"> (kip)</t>
    </r>
  </si>
  <si>
    <r>
      <t>Total Bearing Resistance - R</t>
    </r>
    <r>
      <rPr>
        <vertAlign val="subscript"/>
        <sz val="12"/>
        <color theme="1"/>
        <rFont val="Calibri"/>
        <family val="2"/>
        <scheme val="minor"/>
      </rPr>
      <t>r</t>
    </r>
    <r>
      <rPr>
        <sz val="12"/>
        <color theme="1"/>
        <rFont val="Calibri"/>
        <family val="2"/>
        <scheme val="minor"/>
      </rPr>
      <t xml:space="preserve"> (kip)</t>
    </r>
  </si>
  <si>
    <r>
      <t>A</t>
    </r>
    <r>
      <rPr>
        <vertAlign val="subscript"/>
        <sz val="12"/>
        <color theme="1"/>
        <rFont val="Calibri"/>
        <family val="2"/>
        <scheme val="minor"/>
      </rPr>
      <t>e</t>
    </r>
    <r>
      <rPr>
        <sz val="12"/>
        <color theme="1"/>
        <rFont val="Calibri"/>
        <family val="2"/>
        <scheme val="minor"/>
      </rPr>
      <t xml:space="preserve"> ≤ A</t>
    </r>
    <r>
      <rPr>
        <vertAlign val="subscript"/>
        <sz val="12"/>
        <color theme="1"/>
        <rFont val="Calibri"/>
        <family val="2"/>
        <scheme val="minor"/>
      </rPr>
      <t>gross</t>
    </r>
    <r>
      <rPr>
        <sz val="12"/>
        <color theme="1"/>
        <rFont val="Calibri"/>
        <family val="2"/>
        <scheme val="minor"/>
      </rPr>
      <t xml:space="preserve">
(Eq. 2.1.1.1-3)</t>
    </r>
  </si>
  <si>
    <t>Splice Plate Height - Estimated (in)</t>
  </si>
  <si>
    <t>Web - Top</t>
  </si>
  <si>
    <t>Web - Bottom</t>
  </si>
  <si>
    <t>Max End Adjustment (in)</t>
  </si>
  <si>
    <t>Bolt Count Overrides</t>
  </si>
  <si>
    <t>Top Flange Bolt Count Override</t>
  </si>
  <si>
    <t>Bottom Flange Bolt Count Override</t>
  </si>
  <si>
    <t>Web Bolt Count Override</t>
  </si>
  <si>
    <t>Override Options</t>
  </si>
  <si>
    <t>Bolt Count Override</t>
  </si>
  <si>
    <t>Count Override Status</t>
  </si>
  <si>
    <t>Valid Override</t>
  </si>
  <si>
    <t>Spreadsheet Calculated</t>
  </si>
  <si>
    <t>Design Basis</t>
  </si>
  <si>
    <t>User Specified</t>
  </si>
  <si>
    <t>Bolt Count - Calculated</t>
  </si>
  <si>
    <t>Bolt Count - User Specified</t>
  </si>
  <si>
    <t>Strength I - Positive (kip-ft)</t>
  </si>
  <si>
    <t>Strength I - Negative (kip-ft)</t>
  </si>
  <si>
    <t xml:space="preserve"> Per Bolt Pt (kip)</t>
  </si>
  <si>
    <t>Max Total Bolts 
(Per Side) - Calculated</t>
  </si>
  <si>
    <t>Moment (kip)</t>
  </si>
  <si>
    <t>Strength</t>
  </si>
  <si>
    <t>Slip Resistance Design</t>
  </si>
  <si>
    <t>Slip</t>
  </si>
  <si>
    <t>Override</t>
  </si>
  <si>
    <t>Pitch and End Distance Verification</t>
  </si>
  <si>
    <t>Pitch</t>
  </si>
  <si>
    <t>Bolt Count - Final</t>
  </si>
  <si>
    <t>Layout Checks</t>
  </si>
  <si>
    <t>Pitch - Bolt Check</t>
  </si>
  <si>
    <t>Filler Thickness - Total (in)</t>
  </si>
  <si>
    <t>Filler Plate Quantity</t>
  </si>
  <si>
    <t>Web Filler (Each)</t>
  </si>
  <si>
    <t>Filler Plate Thickness - Total (in)</t>
  </si>
  <si>
    <t>Filler Plate Thickness - Each (in)</t>
  </si>
  <si>
    <t>Quantity</t>
  </si>
  <si>
    <t>Stiffened</t>
  </si>
  <si>
    <t>Grade 50CR</t>
  </si>
  <si>
    <t>Transverse Stiffener Status</t>
  </si>
  <si>
    <t>Longitudinal Stiffener</t>
  </si>
  <si>
    <t>Choice</t>
  </si>
  <si>
    <t>Yes</t>
  </si>
  <si>
    <t>No</t>
  </si>
  <si>
    <t>Stiffened Status</t>
  </si>
  <si>
    <t>Unstiffened</t>
  </si>
  <si>
    <t>NG</t>
  </si>
  <si>
    <t>Transverse Stiffener Check - Left</t>
  </si>
  <si>
    <t>Transverse Stiffener Check - Right</t>
  </si>
  <si>
    <t>Effective Width (in)</t>
  </si>
  <si>
    <t>Concrete Strength (ksi)</t>
  </si>
  <si>
    <t>Slab Check</t>
  </si>
  <si>
    <t>Compressive Strength (kip)</t>
  </si>
  <si>
    <t>Minimum Flange Force(kip)</t>
  </si>
  <si>
    <t>Bottom Flange Force (kip)</t>
  </si>
  <si>
    <t>Deck Strength Check</t>
  </si>
  <si>
    <r>
      <t>Sum Flange Force and H</t>
    </r>
    <r>
      <rPr>
        <vertAlign val="subscript"/>
        <sz val="12"/>
        <color theme="1"/>
        <rFont val="Calibri"/>
        <family val="2"/>
        <scheme val="minor"/>
      </rPr>
      <t>w</t>
    </r>
    <r>
      <rPr>
        <sz val="12"/>
        <color theme="1"/>
        <rFont val="Calibri"/>
        <family val="2"/>
        <scheme val="minor"/>
      </rPr>
      <t xml:space="preserve"> (kip)</t>
    </r>
  </si>
  <si>
    <t>Slab Stength Check</t>
  </si>
  <si>
    <t>Slab Strength Status</t>
  </si>
  <si>
    <t>Width - Inner Plate (in) - As Calculated</t>
  </si>
  <si>
    <t>Width  - Inner Plate (in) - Rounded</t>
  </si>
  <si>
    <t>Joint Length Reduction Factor - Top Flange</t>
  </si>
  <si>
    <t>Joint Length Reduction Factor - Bottom Flange</t>
  </si>
  <si>
    <t>Joint Length Reduction Factor - Check</t>
  </si>
  <si>
    <t>Long Joint</t>
  </si>
  <si>
    <t>Long Joint Bolt Count - Check</t>
  </si>
  <si>
    <t>Long Joint Bolt Count</t>
  </si>
  <si>
    <t>Strength Limit Bolt Count</t>
  </si>
  <si>
    <t>Override Bolt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</si>
</sst>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
    <numFmt numFmtId="166" formatCode="0.00000"/>
  </numFmts>
  <fonts count="51" x14ac:knownFonts="1">
    <font>
      <sz val="11"/>
      <color theme="1"/>
      <name val="Calibri"/>
      <family val="2"/>
      <scheme val="minor"/>
    </font>
    <font>
      <b/>
      <sz val="18"/>
      <color theme="3"/>
      <name val="Cambria"/>
      <family val="2"/>
      <scheme val="maj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theme="1"/>
      <name val="Cambria"/>
      <family val="1"/>
    </font>
    <font>
      <b/>
      <u/>
      <sz val="11"/>
      <color theme="3"/>
      <name val="Cambria"/>
      <family val="1"/>
    </font>
    <font>
      <b/>
      <sz val="16"/>
      <color theme="3"/>
      <name val="Cambria"/>
      <family val="1"/>
    </font>
    <font>
      <b/>
      <sz val="11"/>
      <color theme="3"/>
      <name val="Cambria"/>
      <family val="1"/>
    </font>
    <font>
      <b/>
      <u/>
      <sz val="24"/>
      <color theme="3"/>
      <name val="Cambria"/>
      <family val="1"/>
    </font>
    <font>
      <vertAlign val="subscript"/>
      <sz val="11"/>
      <color theme="1"/>
      <name val="Cambria"/>
      <family val="1"/>
    </font>
    <font>
      <b/>
      <vertAlign val="subscript"/>
      <sz val="11"/>
      <color theme="3"/>
      <name val="Cambria"/>
      <family val="1"/>
    </font>
    <font>
      <b/>
      <sz val="9"/>
      <color indexed="81"/>
      <name val="Tahoma"/>
      <family val="2"/>
    </font>
    <font>
      <sz val="11"/>
      <color theme="1"/>
      <name val="Symbol"/>
      <family val="1"/>
      <charset val="2"/>
    </font>
    <font>
      <b/>
      <sz val="12"/>
      <color theme="3"/>
      <name val="Cambria"/>
      <family val="1"/>
    </font>
    <font>
      <sz val="12"/>
      <color theme="1"/>
      <name val="Cambria"/>
      <family val="1"/>
    </font>
    <font>
      <sz val="12"/>
      <color rgb="FF3F3F76"/>
      <name val="Cambria"/>
      <family val="1"/>
    </font>
    <font>
      <vertAlign val="subscript"/>
      <sz val="12"/>
      <color theme="1"/>
      <name val="Cambria"/>
      <family val="1"/>
    </font>
    <font>
      <vertAlign val="superscript"/>
      <sz val="12"/>
      <color theme="1"/>
      <name val="Cambria"/>
      <family val="1"/>
    </font>
    <font>
      <sz val="12"/>
      <color theme="1"/>
      <name val="Calibri"/>
      <family val="2"/>
      <scheme val="minor"/>
    </font>
    <font>
      <b/>
      <sz val="12"/>
      <color rgb="FF3F3F3F"/>
      <name val="Cambria"/>
      <family val="1"/>
    </font>
    <font>
      <sz val="11"/>
      <color theme="1"/>
      <name val="Calibri"/>
      <family val="2"/>
      <scheme val="minor"/>
    </font>
    <font>
      <b/>
      <u/>
      <sz val="14"/>
      <color theme="3"/>
      <name val="Cambria"/>
      <family val="1"/>
    </font>
    <font>
      <b/>
      <sz val="11"/>
      <color theme="3"/>
      <name val="Cambria"/>
      <family val="1"/>
    </font>
    <font>
      <sz val="12"/>
      <color theme="0"/>
      <name val="Cambria"/>
      <family val="1"/>
    </font>
    <font>
      <b/>
      <sz val="12"/>
      <color theme="3"/>
      <name val="Calibri"/>
      <family val="2"/>
      <scheme val="minor"/>
    </font>
    <font>
      <b/>
      <u/>
      <sz val="24"/>
      <color theme="3"/>
      <name val="Calibri"/>
      <family val="2"/>
      <scheme val="minor"/>
    </font>
    <font>
      <b/>
      <sz val="16"/>
      <color theme="3"/>
      <name val="Calibri"/>
      <family val="2"/>
      <scheme val="minor"/>
    </font>
    <font>
      <sz val="16"/>
      <color theme="1"/>
      <name val="Calibri"/>
      <family val="2"/>
      <scheme val="minor"/>
    </font>
    <font>
      <b/>
      <u/>
      <sz val="14"/>
      <color theme="3"/>
      <name val="Calibri"/>
      <family val="2"/>
      <scheme val="minor"/>
    </font>
    <font>
      <b/>
      <u/>
      <sz val="12"/>
      <color theme="3"/>
      <name val="Calibri"/>
      <family val="2"/>
      <scheme val="minor"/>
    </font>
    <font>
      <vertAlign val="subscript"/>
      <sz val="12"/>
      <color theme="1"/>
      <name val="Calibri"/>
      <family val="2"/>
      <scheme val="minor"/>
    </font>
    <font>
      <vertAlign val="subscript"/>
      <sz val="11"/>
      <color theme="1"/>
      <name val="Calibri"/>
      <family val="2"/>
      <scheme val="minor"/>
    </font>
    <font>
      <sz val="11"/>
      <color theme="1"/>
      <name val="Cambria"/>
      <family val="1"/>
      <scheme val="major"/>
    </font>
    <font>
      <b/>
      <u/>
      <sz val="24"/>
      <color theme="3"/>
      <name val="Cambria"/>
      <family val="1"/>
      <scheme val="major"/>
    </font>
    <font>
      <b/>
      <sz val="16"/>
      <color theme="3"/>
      <name val="Cambria"/>
      <family val="1"/>
      <scheme val="major"/>
    </font>
    <font>
      <b/>
      <u/>
      <sz val="14"/>
      <color theme="3"/>
      <name val="Cambria"/>
      <family val="1"/>
      <scheme val="major"/>
    </font>
    <font>
      <sz val="12"/>
      <color theme="1"/>
      <name val="Cambria"/>
      <family val="1"/>
      <scheme val="major"/>
    </font>
    <font>
      <b/>
      <sz val="12"/>
      <color theme="3"/>
      <name val="Cambria"/>
      <family val="1"/>
      <scheme val="major"/>
    </font>
    <font>
      <vertAlign val="subscript"/>
      <sz val="12"/>
      <color theme="1"/>
      <name val="Cambria"/>
      <family val="1"/>
      <scheme val="major"/>
    </font>
    <font>
      <b/>
      <u/>
      <sz val="12"/>
      <color theme="3"/>
      <name val="Cambria"/>
      <family val="1"/>
      <scheme val="major"/>
    </font>
    <font>
      <b/>
      <sz val="12"/>
      <color rgb="FF3F3F3F"/>
      <name val="Cambria"/>
      <family val="1"/>
      <scheme val="major"/>
    </font>
    <font>
      <sz val="11"/>
      <color theme="1"/>
      <name val="Cambria"/>
      <family val="1"/>
    </font>
    <font>
      <sz val="12"/>
      <color theme="1"/>
      <name val="Symbol"/>
      <family val="1"/>
      <charset val="2"/>
    </font>
    <font>
      <b/>
      <sz val="12"/>
      <color rgb="FF3F3F76"/>
      <name val="Cambria"/>
      <family val="1"/>
    </font>
    <font>
      <sz val="12"/>
      <color theme="1"/>
      <name val="Calibri"/>
      <family val="2"/>
    </font>
    <font>
      <vertAlign val="subscript"/>
      <sz val="12"/>
      <color theme="1"/>
      <name val="Calibri"/>
      <family val="2"/>
    </font>
    <font>
      <b/>
      <sz val="11"/>
      <color theme="3"/>
      <name val="Cambria"/>
      <family val="1"/>
    </font>
    <font>
      <sz val="11"/>
      <color theme="1"/>
      <name val="Cambria"/>
      <family val="1"/>
    </font>
    <font>
      <b/>
      <sz val="9"/>
      <color indexed="81"/>
      <name val="Tahoma"/>
      <charset val="1"/>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F2F2F2"/>
        <bgColor rgb="FFFFFFFF"/>
      </patternFill>
    </fill>
    <fill>
      <patternFill patternType="solid">
        <fgColor theme="0" tint="-4.9989318521683403E-2"/>
        <bgColor rgb="FFFFFFFF"/>
      </patternFill>
    </fill>
    <fill>
      <patternFill patternType="solid">
        <fgColor rgb="FFFFCC99"/>
        <bgColor indexed="64"/>
      </patternFill>
    </fill>
    <fill>
      <patternFill patternType="solid">
        <fgColor theme="0" tint="-4.9989318521683403E-2"/>
        <bgColor indexed="64"/>
      </patternFill>
    </fill>
    <fill>
      <patternFill patternType="solid">
        <fgColor theme="9" tint="0.39997558519241921"/>
        <bgColor indexed="64"/>
      </patternFill>
    </fill>
  </fills>
  <borders count="3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4"/>
      </bottom>
      <diagonal/>
    </border>
    <border>
      <left style="thin">
        <color rgb="FF7F7F7F"/>
      </left>
      <right style="thin">
        <color rgb="FF7F7F7F"/>
      </right>
      <top style="thin">
        <color rgb="FF7F7F7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double">
        <color theme="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3F3F3F"/>
      </left>
      <right style="thin">
        <color rgb="FF3F3F3F"/>
      </right>
      <top style="medium">
        <color theme="4" tint="0.39997558519241921"/>
      </top>
      <bottom/>
      <diagonal/>
    </border>
    <border>
      <left style="thin">
        <color rgb="FF3F3F3F"/>
      </left>
      <right style="thin">
        <color rgb="FF3F3F3F"/>
      </right>
      <top/>
      <bottom style="thin">
        <color rgb="FF3F3F3F"/>
      </bottom>
      <diagonal/>
    </border>
    <border>
      <left style="thin">
        <color rgb="FF3F3F3F"/>
      </left>
      <right style="thin">
        <color rgb="FF3F3F3F"/>
      </right>
      <top style="thin">
        <color rgb="FF3F3F3F"/>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top/>
      <bottom/>
      <diagonal/>
    </border>
    <border>
      <left style="thin">
        <color rgb="FF7F7F7F"/>
      </left>
      <right style="thin">
        <color rgb="FF7F7F7F"/>
      </right>
      <top/>
      <bottom style="thin">
        <color rgb="FF7F7F7F"/>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rgb="FF7F7F7F"/>
      </top>
      <bottom/>
      <diagonal/>
    </border>
    <border>
      <left/>
      <right/>
      <top style="thin">
        <color rgb="FF7F7F7F"/>
      </top>
      <bottom style="thin">
        <color rgb="FF7F7F7F"/>
      </bottom>
      <diagonal/>
    </border>
  </borders>
  <cellStyleXfs count="10">
    <xf numFmtId="0" fontId="0" fillId="0" borderId="0"/>
    <xf numFmtId="0" fontId="1" fillId="0" borderId="0" applyNumberFormat="0" applyFill="0" applyBorder="0" applyAlignment="0" applyProtection="0"/>
    <xf numFmtId="0" fontId="2" fillId="0" borderId="1" applyNumberFormat="0" applyFill="0" applyAlignment="0" applyProtection="0"/>
    <xf numFmtId="0" fontId="2" fillId="0" borderId="0" applyNumberFormat="0" applyFill="0" applyBorder="0" applyAlignment="0" applyProtection="0"/>
    <xf numFmtId="0" fontId="3" fillId="2" borderId="2" applyNumberFormat="0" applyAlignment="0" applyProtection="0"/>
    <xf numFmtId="0" fontId="4" fillId="3" borderId="3" applyNumberFormat="0" applyAlignment="0" applyProtection="0"/>
    <xf numFmtId="0" fontId="5" fillId="0" borderId="4" applyNumberFormat="0" applyFill="0" applyAlignment="0" applyProtection="0"/>
    <xf numFmtId="0" fontId="1"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268">
    <xf numFmtId="0" fontId="0" fillId="0" borderId="0" xfId="0"/>
    <xf numFmtId="0" fontId="6" fillId="0" borderId="0" xfId="0" applyFont="1"/>
    <xf numFmtId="12" fontId="6" fillId="0" borderId="0" xfId="0" applyNumberFormat="1" applyFont="1" applyAlignment="1">
      <alignment horizontal="left" vertical="center"/>
    </xf>
    <xf numFmtId="164" fontId="6" fillId="0" borderId="0" xfId="0" applyNumberFormat="1" applyFont="1" applyAlignment="1">
      <alignment horizontal="center" vertical="center"/>
    </xf>
    <xf numFmtId="0" fontId="6" fillId="0" borderId="0" xfId="0" applyFont="1" applyAlignment="1">
      <alignment vertical="center"/>
    </xf>
    <xf numFmtId="1" fontId="6" fillId="0" borderId="0" xfId="0" applyNumberFormat="1" applyFont="1" applyAlignment="1">
      <alignment horizontal="center"/>
    </xf>
    <xf numFmtId="0" fontId="9" fillId="0" borderId="0" xfId="2" applyFont="1" applyBorder="1" applyAlignment="1">
      <alignment horizontal="center"/>
    </xf>
    <xf numFmtId="2" fontId="6" fillId="0" borderId="0" xfId="0" applyNumberFormat="1" applyFont="1" applyAlignment="1">
      <alignment horizontal="center"/>
    </xf>
    <xf numFmtId="0" fontId="7" fillId="0" borderId="0" xfId="3" applyFont="1" applyAlignment="1">
      <alignment horizontal="left" vertical="center"/>
    </xf>
    <xf numFmtId="0" fontId="9" fillId="0" borderId="1" xfId="2" applyFont="1" applyFill="1" applyAlignment="1">
      <alignment horizontal="center"/>
    </xf>
    <xf numFmtId="0" fontId="6" fillId="0" borderId="0" xfId="0" applyFont="1" applyAlignment="1">
      <alignment horizontal="center" vertical="center"/>
    </xf>
    <xf numFmtId="2" fontId="6" fillId="0" borderId="0" xfId="0" applyNumberFormat="1" applyFont="1" applyAlignment="1">
      <alignment horizontal="center" vertical="center"/>
    </xf>
    <xf numFmtId="1" fontId="6" fillId="0" borderId="0" xfId="0" applyNumberFormat="1" applyFont="1" applyAlignment="1">
      <alignment horizontal="center" vertical="center"/>
    </xf>
    <xf numFmtId="0" fontId="7" fillId="0" borderId="0" xfId="3" applyFont="1" applyBorder="1" applyAlignment="1">
      <alignment vertical="center"/>
    </xf>
    <xf numFmtId="12" fontId="6" fillId="0" borderId="0" xfId="0" applyNumberFormat="1" applyFont="1" applyAlignment="1">
      <alignment horizontal="center" vertical="center"/>
    </xf>
    <xf numFmtId="0" fontId="9" fillId="0" borderId="0" xfId="2" applyFont="1" applyBorder="1" applyAlignment="1">
      <alignment horizontal="center" wrapText="1"/>
    </xf>
    <xf numFmtId="0" fontId="6" fillId="0" borderId="0" xfId="0" applyFont="1" applyAlignment="1">
      <alignment wrapText="1"/>
    </xf>
    <xf numFmtId="49" fontId="6" fillId="0" borderId="0" xfId="0" applyNumberFormat="1" applyFont="1"/>
    <xf numFmtId="0" fontId="20" fillId="0" borderId="0" xfId="0" applyFont="1" applyAlignment="1">
      <alignment vertical="center"/>
    </xf>
    <xf numFmtId="0" fontId="20" fillId="0" borderId="0" xfId="0" applyFont="1"/>
    <xf numFmtId="0" fontId="24" fillId="0" borderId="1" xfId="2" applyFont="1" applyFill="1" applyAlignment="1">
      <alignment horizontal="center"/>
    </xf>
    <xf numFmtId="3" fontId="6" fillId="0" borderId="0" xfId="8" applyNumberFormat="1" applyFont="1" applyAlignment="1">
      <alignment horizontal="center" vertical="center"/>
    </xf>
    <xf numFmtId="0" fontId="16" fillId="0" borderId="0" xfId="0" applyFont="1"/>
    <xf numFmtId="0" fontId="26" fillId="0" borderId="0" xfId="2" applyFont="1" applyBorder="1"/>
    <xf numFmtId="0" fontId="29" fillId="0" borderId="0" xfId="0" applyFont="1"/>
    <xf numFmtId="0" fontId="31" fillId="0" borderId="0" xfId="3" applyFont="1" applyAlignment="1">
      <alignment vertical="center"/>
    </xf>
    <xf numFmtId="0" fontId="31" fillId="0" borderId="0" xfId="3" applyFont="1" applyAlignment="1">
      <alignment horizontal="left" vertical="center"/>
    </xf>
    <xf numFmtId="0" fontId="31" fillId="0" borderId="0" xfId="3" applyFont="1" applyAlignment="1">
      <alignment horizontal="center" wrapText="1"/>
    </xf>
    <xf numFmtId="0" fontId="20" fillId="0" borderId="7"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left" vertical="center"/>
    </xf>
    <xf numFmtId="0" fontId="20" fillId="0" borderId="0" xfId="0" applyFont="1" applyAlignment="1">
      <alignment horizontal="center"/>
    </xf>
    <xf numFmtId="0" fontId="20" fillId="0" borderId="7" xfId="0" applyFont="1" applyBorder="1" applyAlignment="1">
      <alignment vertical="center"/>
    </xf>
    <xf numFmtId="2" fontId="20" fillId="0" borderId="7" xfId="0" applyNumberFormat="1" applyFont="1" applyBorder="1" applyAlignment="1">
      <alignment horizontal="center" vertical="center"/>
    </xf>
    <xf numFmtId="0" fontId="20" fillId="0" borderId="0" xfId="0" applyFont="1" applyAlignment="1">
      <alignment wrapText="1"/>
    </xf>
    <xf numFmtId="4" fontId="20" fillId="0" borderId="7" xfId="8" applyNumberFormat="1" applyFont="1" applyBorder="1" applyAlignment="1">
      <alignment horizontal="center" vertical="center"/>
    </xf>
    <xf numFmtId="0" fontId="22" fillId="0" borderId="0" xfId="0" applyFont="1"/>
    <xf numFmtId="0" fontId="20" fillId="0" borderId="0" xfId="0" applyFont="1" applyAlignment="1">
      <alignment horizontal="right"/>
    </xf>
    <xf numFmtId="4" fontId="20" fillId="0" borderId="0" xfId="0" applyNumberFormat="1" applyFont="1" applyAlignment="1">
      <alignment horizontal="right"/>
    </xf>
    <xf numFmtId="0" fontId="20" fillId="0" borderId="0" xfId="0" applyFont="1" applyAlignment="1">
      <alignment horizontal="left"/>
    </xf>
    <xf numFmtId="4" fontId="20" fillId="0" borderId="0" xfId="0" applyNumberFormat="1" applyFont="1"/>
    <xf numFmtId="0" fontId="20" fillId="0" borderId="0" xfId="0" applyFont="1" applyAlignment="1">
      <alignment horizontal="right" vertical="center"/>
    </xf>
    <xf numFmtId="4" fontId="20" fillId="0" borderId="0" xfId="0" applyNumberFormat="1" applyFont="1" applyAlignment="1">
      <alignment vertical="center"/>
    </xf>
    <xf numFmtId="2" fontId="20" fillId="0" borderId="0" xfId="0" applyNumberFormat="1" applyFont="1" applyAlignment="1">
      <alignment horizontal="center" vertical="center"/>
    </xf>
    <xf numFmtId="4" fontId="20" fillId="0" borderId="0" xfId="0" applyNumberFormat="1" applyFont="1" applyAlignment="1">
      <alignment horizontal="left" indent="1"/>
    </xf>
    <xf numFmtId="0" fontId="20" fillId="0" borderId="0" xfId="0" applyFont="1" applyAlignment="1">
      <alignment horizontal="left" indent="1"/>
    </xf>
    <xf numFmtId="4" fontId="20" fillId="0" borderId="0" xfId="8" applyNumberFormat="1" applyFont="1" applyAlignment="1">
      <alignment horizontal="left" indent="1"/>
    </xf>
    <xf numFmtId="0" fontId="20" fillId="0" borderId="7" xfId="0" applyFont="1" applyBorder="1"/>
    <xf numFmtId="13" fontId="6" fillId="0" borderId="0" xfId="0" applyNumberFormat="1" applyFont="1" applyAlignment="1">
      <alignment horizontal="center" vertical="center"/>
    </xf>
    <xf numFmtId="13" fontId="0" fillId="0" borderId="0" xfId="0" applyNumberFormat="1" applyAlignment="1">
      <alignment horizontal="left"/>
    </xf>
    <xf numFmtId="13" fontId="0" fillId="0" borderId="0" xfId="0" applyNumberFormat="1" applyAlignment="1">
      <alignment horizontal="left" vertical="center"/>
    </xf>
    <xf numFmtId="0" fontId="20" fillId="0" borderId="0" xfId="0" applyFont="1" applyAlignment="1">
      <alignment horizontal="center" vertical="center"/>
    </xf>
    <xf numFmtId="4" fontId="20" fillId="0" borderId="0" xfId="8" applyNumberFormat="1" applyFont="1" applyBorder="1" applyAlignment="1">
      <alignment horizontal="center" vertical="center"/>
    </xf>
    <xf numFmtId="0" fontId="34" fillId="0" borderId="0" xfId="0" applyFont="1" applyAlignment="1">
      <alignment horizontal="center" vertical="center"/>
    </xf>
    <xf numFmtId="0" fontId="34" fillId="0" borderId="0" xfId="0" applyFont="1"/>
    <xf numFmtId="0" fontId="38" fillId="0" borderId="0" xfId="0" applyFont="1"/>
    <xf numFmtId="0" fontId="39" fillId="0" borderId="0" xfId="2" applyFont="1" applyBorder="1" applyAlignment="1">
      <alignment horizontal="center"/>
    </xf>
    <xf numFmtId="0" fontId="38" fillId="0" borderId="0" xfId="0"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4" fillId="0" borderId="0" xfId="0" applyFont="1" applyAlignment="1">
      <alignment vertical="center"/>
    </xf>
    <xf numFmtId="0" fontId="41" fillId="0" borderId="0" xfId="3" applyFont="1" applyAlignment="1">
      <alignment vertical="center"/>
    </xf>
    <xf numFmtId="0" fontId="39" fillId="0" borderId="1" xfId="2" applyFont="1" applyAlignment="1">
      <alignment horizontal="center"/>
    </xf>
    <xf numFmtId="1" fontId="42" fillId="4" borderId="3" xfId="5" applyNumberFormat="1" applyFont="1" applyFill="1" applyAlignment="1">
      <alignment horizontal="center" vertical="center" wrapText="1"/>
    </xf>
    <xf numFmtId="0" fontId="38" fillId="0" borderId="2" xfId="0" applyFont="1" applyBorder="1" applyAlignment="1">
      <alignment horizontal="center" vertical="center"/>
    </xf>
    <xf numFmtId="13" fontId="21" fillId="4" borderId="2" xfId="5" applyNumberFormat="1" applyFont="1" applyFill="1" applyBorder="1" applyAlignment="1" applyProtection="1">
      <alignment horizontal="center" vertical="center" wrapText="1"/>
    </xf>
    <xf numFmtId="164" fontId="21" fillId="4" borderId="2" xfId="5" applyNumberFormat="1" applyFont="1" applyFill="1" applyBorder="1" applyAlignment="1" applyProtection="1">
      <alignment horizontal="center" vertical="center" wrapText="1"/>
    </xf>
    <xf numFmtId="13" fontId="21" fillId="4" borderId="6" xfId="5" applyNumberFormat="1" applyFont="1" applyFill="1" applyBorder="1" applyAlignment="1" applyProtection="1">
      <alignment horizontal="center" vertical="center" wrapText="1"/>
    </xf>
    <xf numFmtId="49" fontId="17" fillId="2" borderId="2" xfId="4" applyNumberFormat="1" applyFont="1" applyAlignment="1" applyProtection="1">
      <alignment horizontal="center" vertical="center"/>
      <protection locked="0"/>
    </xf>
    <xf numFmtId="13" fontId="17" fillId="2" borderId="2" xfId="4" applyNumberFormat="1" applyFont="1" applyAlignment="1" applyProtection="1">
      <alignment horizontal="center" vertical="center" wrapText="1"/>
      <protection locked="0"/>
    </xf>
    <xf numFmtId="1" fontId="17" fillId="2" borderId="2" xfId="4" applyNumberFormat="1" applyFont="1" applyAlignment="1" applyProtection="1">
      <alignment horizontal="center" vertical="center"/>
      <protection locked="0"/>
    </xf>
    <xf numFmtId="49" fontId="17" fillId="2" borderId="2" xfId="4" applyNumberFormat="1" applyFont="1" applyAlignment="1" applyProtection="1">
      <alignment horizontal="center" vertical="center" wrapText="1"/>
      <protection locked="0"/>
    </xf>
    <xf numFmtId="13" fontId="17" fillId="2" borderId="6" xfId="4" applyNumberFormat="1" applyFont="1" applyBorder="1" applyAlignment="1" applyProtection="1">
      <alignment horizontal="center" vertical="center" wrapText="1"/>
      <protection locked="0"/>
    </xf>
    <xf numFmtId="0" fontId="15" fillId="0" borderId="1" xfId="2" applyFont="1" applyAlignment="1" applyProtection="1">
      <alignment horizontal="center"/>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5" fillId="0" borderId="0" xfId="2" applyFont="1" applyBorder="1" applyAlignment="1" applyProtection="1">
      <alignment horizontal="center"/>
    </xf>
    <xf numFmtId="12" fontId="0" fillId="0" borderId="0" xfId="0" applyNumberFormat="1" applyAlignment="1">
      <alignment horizontal="left" vertical="center"/>
    </xf>
    <xf numFmtId="13" fontId="42" fillId="4" borderId="3" xfId="5" applyNumberFormat="1" applyFont="1" applyFill="1" applyAlignment="1">
      <alignment horizontal="center" vertical="center" wrapText="1"/>
    </xf>
    <xf numFmtId="13" fontId="20" fillId="0" borderId="0" xfId="0" applyNumberFormat="1" applyFont="1" applyAlignment="1">
      <alignment horizontal="center" vertical="center"/>
    </xf>
    <xf numFmtId="4" fontId="20" fillId="0" borderId="0" xfId="0" applyNumberFormat="1" applyFont="1" applyAlignment="1">
      <alignment horizontal="center"/>
    </xf>
    <xf numFmtId="4" fontId="20" fillId="0" borderId="7" xfId="0" applyNumberFormat="1" applyFont="1" applyBorder="1" applyAlignment="1">
      <alignment horizontal="center" vertical="center"/>
    </xf>
    <xf numFmtId="164" fontId="20" fillId="0" borderId="0" xfId="0" applyNumberFormat="1" applyFont="1" applyAlignment="1">
      <alignment horizontal="center" vertical="center"/>
    </xf>
    <xf numFmtId="13" fontId="21" fillId="5" borderId="2" xfId="5" applyNumberFormat="1" applyFont="1" applyFill="1" applyBorder="1" applyAlignment="1" applyProtection="1">
      <alignment horizontal="center" vertical="center" wrapText="1"/>
    </xf>
    <xf numFmtId="2" fontId="17" fillId="2" borderId="2" xfId="4" applyNumberFormat="1" applyFont="1" applyAlignment="1" applyProtection="1">
      <alignment horizontal="center" vertical="center" wrapText="1"/>
      <protection locked="0"/>
    </xf>
    <xf numFmtId="2" fontId="17" fillId="2" borderId="6" xfId="4" applyNumberFormat="1" applyFont="1" applyBorder="1" applyAlignment="1" applyProtection="1">
      <alignment horizontal="center" vertical="center" wrapText="1"/>
      <protection locked="0"/>
    </xf>
    <xf numFmtId="2" fontId="20" fillId="0" borderId="0" xfId="0" applyNumberFormat="1" applyFont="1" applyAlignment="1">
      <alignment horizontal="right"/>
    </xf>
    <xf numFmtId="2" fontId="43" fillId="0" borderId="0" xfId="0" applyNumberFormat="1" applyFont="1" applyAlignment="1">
      <alignment horizontal="center" vertical="center"/>
    </xf>
    <xf numFmtId="49" fontId="14" fillId="0" borderId="0" xfId="0" applyNumberFormat="1" applyFont="1"/>
    <xf numFmtId="0" fontId="39" fillId="0" borderId="0" xfId="2" applyFont="1" applyBorder="1" applyAlignment="1">
      <alignment horizontal="center" wrapText="1"/>
    </xf>
    <xf numFmtId="1" fontId="20" fillId="0" borderId="0" xfId="0" applyNumberFormat="1" applyFont="1" applyAlignment="1">
      <alignment horizontal="center" vertical="center"/>
    </xf>
    <xf numFmtId="0" fontId="37" fillId="0" borderId="0" xfId="3" applyFont="1" applyAlignment="1">
      <alignment vertical="center"/>
    </xf>
    <xf numFmtId="13" fontId="20" fillId="0" borderId="7" xfId="0" applyNumberFormat="1" applyFont="1" applyBorder="1" applyAlignment="1">
      <alignment horizontal="center"/>
    </xf>
    <xf numFmtId="13" fontId="20" fillId="0" borderId="7" xfId="0" applyNumberFormat="1" applyFont="1" applyBorder="1" applyAlignment="1">
      <alignment horizontal="center" vertical="center"/>
    </xf>
    <xf numFmtId="13" fontId="20" fillId="0" borderId="0" xfId="0" applyNumberFormat="1" applyFont="1" applyAlignment="1">
      <alignment horizontal="center"/>
    </xf>
    <xf numFmtId="0" fontId="16" fillId="0" borderId="0" xfId="0" applyFont="1" applyAlignment="1">
      <alignment horizontal="center" wrapText="1"/>
    </xf>
    <xf numFmtId="0" fontId="39" fillId="0" borderId="1" xfId="2" applyFont="1" applyAlignment="1">
      <alignment horizontal="center" wrapText="1"/>
    </xf>
    <xf numFmtId="13" fontId="20" fillId="0" borderId="0" xfId="0" applyNumberFormat="1" applyFont="1" applyAlignment="1">
      <alignment horizontal="center" vertical="center" wrapText="1"/>
    </xf>
    <xf numFmtId="0" fontId="20" fillId="0" borderId="7" xfId="0" applyFont="1" applyBorder="1" applyAlignment="1">
      <alignment vertical="center" wrapText="1"/>
    </xf>
    <xf numFmtId="13" fontId="17" fillId="2" borderId="2" xfId="4" applyNumberFormat="1" applyFont="1" applyAlignment="1" applyProtection="1">
      <alignment horizontal="center" vertical="center"/>
      <protection locked="0"/>
    </xf>
    <xf numFmtId="13" fontId="17" fillId="6" borderId="2" xfId="4" applyNumberFormat="1" applyFont="1" applyFill="1" applyAlignment="1" applyProtection="1">
      <alignment horizontal="center" vertical="center"/>
      <protection locked="0"/>
    </xf>
    <xf numFmtId="0" fontId="38" fillId="0" borderId="0" xfId="0" applyFont="1" applyAlignment="1">
      <alignment horizontal="left" vertical="center" wrapText="1"/>
    </xf>
    <xf numFmtId="164" fontId="20" fillId="0" borderId="7" xfId="0" applyNumberFormat="1" applyFont="1" applyBorder="1" applyAlignment="1">
      <alignment horizontal="center" vertical="center"/>
    </xf>
    <xf numFmtId="0" fontId="20" fillId="0" borderId="7" xfId="0" applyFont="1" applyBorder="1" applyAlignment="1">
      <alignment horizontal="center" vertical="center"/>
    </xf>
    <xf numFmtId="1" fontId="20" fillId="0" borderId="7" xfId="0" applyNumberFormat="1" applyFont="1" applyBorder="1" applyAlignment="1">
      <alignment horizontal="center" vertical="center"/>
    </xf>
    <xf numFmtId="0" fontId="30" fillId="0" borderId="0" xfId="3" applyFont="1" applyAlignment="1">
      <alignment horizontal="left" vertical="center"/>
    </xf>
    <xf numFmtId="12" fontId="20" fillId="0" borderId="7" xfId="0" applyNumberFormat="1" applyFont="1" applyBorder="1" applyAlignment="1">
      <alignment horizontal="center" vertical="center"/>
    </xf>
    <xf numFmtId="0" fontId="20" fillId="0" borderId="7" xfId="0" applyFont="1" applyBorder="1" applyAlignment="1">
      <alignment horizontal="center"/>
    </xf>
    <xf numFmtId="0" fontId="38" fillId="0" borderId="2" xfId="0" applyFont="1" applyBorder="1" applyAlignment="1">
      <alignment horizontal="left" vertical="center" wrapText="1"/>
    </xf>
    <xf numFmtId="0" fontId="20" fillId="0" borderId="7" xfId="0" applyFont="1" applyBorder="1" applyAlignment="1">
      <alignment horizontal="center" vertical="center" wrapText="1"/>
    </xf>
    <xf numFmtId="0" fontId="38" fillId="0" borderId="0" xfId="0" applyFont="1" applyAlignment="1">
      <alignment horizontal="center" vertical="center"/>
    </xf>
    <xf numFmtId="0" fontId="22" fillId="0" borderId="7" xfId="0" applyFont="1" applyBorder="1" applyAlignment="1">
      <alignment horizontal="center"/>
    </xf>
    <xf numFmtId="0" fontId="22" fillId="0" borderId="7" xfId="0" applyFont="1" applyBorder="1" applyAlignment="1">
      <alignment horizontal="center" vertical="center"/>
    </xf>
    <xf numFmtId="2" fontId="20" fillId="0" borderId="7" xfId="0" applyNumberFormat="1" applyFont="1" applyBorder="1" applyAlignment="1">
      <alignment horizontal="center"/>
    </xf>
    <xf numFmtId="49" fontId="20" fillId="0" borderId="7" xfId="0" applyNumberFormat="1" applyFont="1" applyBorder="1" applyAlignment="1">
      <alignment horizontal="center"/>
    </xf>
    <xf numFmtId="0" fontId="20" fillId="0" borderId="0" xfId="0" applyFont="1" applyAlignment="1">
      <alignment horizontal="left" vertical="center"/>
    </xf>
    <xf numFmtId="2" fontId="22" fillId="0" borderId="0" xfId="0" applyNumberFormat="1" applyFont="1" applyAlignment="1">
      <alignment horizontal="center" vertical="center"/>
    </xf>
    <xf numFmtId="1" fontId="22" fillId="0" borderId="0" xfId="0" applyNumberFormat="1" applyFont="1" applyAlignment="1">
      <alignment horizontal="center" vertical="center"/>
    </xf>
    <xf numFmtId="164" fontId="22" fillId="0" borderId="0" xfId="0" applyNumberFormat="1" applyFont="1" applyAlignment="1">
      <alignment horizontal="center" vertical="center"/>
    </xf>
    <xf numFmtId="0" fontId="22" fillId="0" borderId="0" xfId="0" applyFont="1" applyAlignment="1">
      <alignment vertical="center"/>
    </xf>
    <xf numFmtId="164" fontId="20" fillId="0" borderId="7" xfId="0" applyNumberFormat="1" applyFont="1" applyBorder="1" applyAlignment="1">
      <alignment horizontal="center"/>
    </xf>
    <xf numFmtId="0" fontId="20" fillId="0" borderId="0" xfId="0" applyFont="1" applyAlignment="1">
      <alignment vertical="center" wrapText="1"/>
    </xf>
    <xf numFmtId="2" fontId="20" fillId="0" borderId="0" xfId="0" applyNumberFormat="1" applyFont="1" applyAlignment="1">
      <alignment horizontal="center" vertical="center" wrapText="1"/>
    </xf>
    <xf numFmtId="0" fontId="20" fillId="0" borderId="9" xfId="0" applyFont="1" applyBorder="1" applyAlignment="1">
      <alignment horizontal="center" wrapText="1"/>
    </xf>
    <xf numFmtId="0" fontId="20" fillId="0" borderId="22" xfId="0" applyFont="1" applyBorder="1" applyAlignment="1">
      <alignment vertical="center"/>
    </xf>
    <xf numFmtId="0" fontId="22" fillId="0" borderId="0" xfId="0" applyFont="1" applyAlignment="1">
      <alignment horizontal="center" vertical="center"/>
    </xf>
    <xf numFmtId="164" fontId="20" fillId="0" borderId="7" xfId="0" applyNumberFormat="1" applyFont="1" applyBorder="1" applyAlignment="1">
      <alignment horizontal="center" wrapText="1"/>
    </xf>
    <xf numFmtId="0" fontId="35" fillId="0" borderId="0" xfId="1" applyFont="1" applyBorder="1" applyAlignment="1">
      <alignment vertical="center"/>
    </xf>
    <xf numFmtId="0" fontId="36" fillId="0" borderId="0" xfId="6" applyFont="1" applyBorder="1" applyAlignment="1">
      <alignment vertical="center"/>
    </xf>
    <xf numFmtId="2" fontId="20" fillId="0" borderId="27" xfId="0" applyNumberFormat="1" applyFont="1" applyBorder="1" applyAlignment="1">
      <alignment horizontal="center" vertical="center"/>
    </xf>
    <xf numFmtId="164" fontId="20" fillId="0" borderId="0" xfId="0" applyNumberFormat="1" applyFont="1" applyAlignment="1">
      <alignment vertical="center"/>
    </xf>
    <xf numFmtId="49" fontId="45" fillId="7" borderId="2" xfId="4" applyNumberFormat="1" applyFont="1" applyFill="1" applyAlignment="1" applyProtection="1">
      <alignment horizontal="center" vertical="center" wrapText="1"/>
    </xf>
    <xf numFmtId="14" fontId="6" fillId="0" borderId="0" xfId="0" applyNumberFormat="1" applyFont="1" applyAlignment="1">
      <alignment horizontal="left" vertical="center"/>
    </xf>
    <xf numFmtId="4" fontId="20" fillId="0" borderId="0" xfId="0" applyNumberFormat="1" applyFont="1" applyAlignment="1">
      <alignment horizontal="center" vertical="center"/>
    </xf>
    <xf numFmtId="164" fontId="0" fillId="0" borderId="7" xfId="0" applyNumberFormat="1" applyBorder="1" applyAlignment="1">
      <alignment horizontal="center" vertical="center"/>
    </xf>
    <xf numFmtId="2" fontId="6" fillId="0" borderId="0" xfId="0" applyNumberFormat="1" applyFont="1" applyAlignment="1">
      <alignment horizontal="left" vertical="center"/>
    </xf>
    <xf numFmtId="2" fontId="20" fillId="0" borderId="7" xfId="0" applyNumberFormat="1" applyFont="1" applyBorder="1" applyAlignment="1">
      <alignment horizontal="center" vertical="center" wrapText="1"/>
    </xf>
    <xf numFmtId="2" fontId="20" fillId="0" borderId="10" xfId="0" applyNumberFormat="1" applyFont="1" applyBorder="1" applyAlignment="1">
      <alignment horizontal="center" vertical="center" wrapText="1"/>
    </xf>
    <xf numFmtId="2" fontId="20" fillId="0" borderId="11" xfId="0" applyNumberFormat="1" applyFont="1" applyBorder="1" applyAlignment="1">
      <alignment horizontal="center" vertical="center" wrapText="1"/>
    </xf>
    <xf numFmtId="4" fontId="20" fillId="0" borderId="10" xfId="0" applyNumberFormat="1" applyFont="1" applyBorder="1" applyAlignment="1">
      <alignment horizontal="center" vertical="center" wrapText="1"/>
    </xf>
    <xf numFmtId="2" fontId="20" fillId="0" borderId="9" xfId="0" applyNumberFormat="1" applyFont="1" applyBorder="1" applyAlignment="1">
      <alignment horizontal="center" vertical="center"/>
    </xf>
    <xf numFmtId="165" fontId="20" fillId="0" borderId="7" xfId="0" applyNumberFormat="1" applyFont="1" applyBorder="1" applyAlignment="1">
      <alignment horizontal="center" vertical="center"/>
    </xf>
    <xf numFmtId="166" fontId="22" fillId="0" borderId="0" xfId="0" applyNumberFormat="1" applyFont="1" applyAlignment="1">
      <alignment horizontal="center" vertical="center"/>
    </xf>
    <xf numFmtId="49" fontId="46" fillId="0" borderId="7" xfId="0" applyNumberFormat="1" applyFont="1" applyBorder="1" applyAlignment="1">
      <alignment horizontal="center"/>
    </xf>
    <xf numFmtId="0" fontId="9" fillId="0" borderId="0" xfId="2" applyFont="1" applyFill="1" applyBorder="1" applyAlignment="1">
      <alignment horizontal="center" wrapText="1"/>
    </xf>
    <xf numFmtId="0" fontId="48" fillId="0" borderId="0" xfId="2" applyFont="1" applyFill="1" applyBorder="1" applyAlignment="1">
      <alignment horizontal="center" wrapText="1"/>
    </xf>
    <xf numFmtId="13" fontId="20" fillId="0" borderId="7" xfId="0" applyNumberFormat="1" applyFont="1" applyBorder="1" applyAlignment="1">
      <alignment vertical="center"/>
    </xf>
    <xf numFmtId="0" fontId="23" fillId="0" borderId="0" xfId="3" applyFont="1" applyAlignment="1" applyProtection="1">
      <alignment horizontal="left"/>
    </xf>
    <xf numFmtId="1" fontId="21" fillId="4" borderId="2" xfId="5" applyNumberFormat="1" applyFont="1" applyFill="1" applyBorder="1" applyAlignment="1" applyProtection="1">
      <alignment horizontal="center" vertical="center" wrapText="1"/>
    </xf>
    <xf numFmtId="1" fontId="17" fillId="2" borderId="2" xfId="4" applyNumberFormat="1" applyFont="1" applyAlignment="1" applyProtection="1">
      <alignment horizontal="center" vertical="center" wrapText="1"/>
      <protection locked="0"/>
    </xf>
    <xf numFmtId="0" fontId="15" fillId="0" borderId="0" xfId="2" applyFont="1" applyBorder="1" applyAlignment="1" applyProtection="1">
      <alignment horizontal="center" wrapText="1"/>
    </xf>
    <xf numFmtId="0" fontId="20" fillId="0" borderId="10" xfId="0" applyFont="1" applyBorder="1" applyAlignment="1">
      <alignment horizontal="center"/>
    </xf>
    <xf numFmtId="0" fontId="20" fillId="0" borderId="0" xfId="0" applyFont="1" applyAlignment="1">
      <alignment horizontal="center" vertical="center" wrapText="1"/>
    </xf>
    <xf numFmtId="1" fontId="20" fillId="0" borderId="7" xfId="0" applyNumberFormat="1" applyFont="1" applyBorder="1" applyAlignment="1">
      <alignment horizontal="center"/>
    </xf>
    <xf numFmtId="0" fontId="20" fillId="0" borderId="10" xfId="0" applyFont="1" applyBorder="1" applyAlignment="1">
      <alignment vertical="center" wrapText="1"/>
    </xf>
    <xf numFmtId="13" fontId="45" fillId="7" borderId="2" xfId="4" applyNumberFormat="1" applyFont="1" applyFill="1" applyAlignment="1" applyProtection="1">
      <alignment horizontal="center" vertical="center" wrapText="1"/>
    </xf>
    <xf numFmtId="164" fontId="25" fillId="0" borderId="0" xfId="0" applyNumberFormat="1" applyFont="1" applyAlignment="1" applyProtection="1">
      <alignment horizontal="center" vertical="center"/>
      <protection locked="0"/>
    </xf>
    <xf numFmtId="3" fontId="20" fillId="0" borderId="0" xfId="0" applyNumberFormat="1" applyFont="1" applyAlignment="1">
      <alignment horizontal="right" vertical="center"/>
    </xf>
    <xf numFmtId="4" fontId="20" fillId="0" borderId="0" xfId="0" applyNumberFormat="1" applyFont="1" applyAlignment="1">
      <alignment horizontal="right" vertical="center"/>
    </xf>
    <xf numFmtId="0" fontId="20" fillId="0" borderId="8" xfId="0" applyFont="1" applyBorder="1" applyAlignment="1">
      <alignment horizontal="center" wrapText="1"/>
    </xf>
    <xf numFmtId="13" fontId="17" fillId="0" borderId="28" xfId="4" applyNumberFormat="1" applyFont="1" applyFill="1" applyBorder="1" applyAlignment="1" applyProtection="1">
      <alignment horizontal="center" vertical="center" wrapText="1"/>
    </xf>
    <xf numFmtId="13" fontId="17" fillId="0" borderId="29" xfId="4" applyNumberFormat="1" applyFont="1" applyFill="1" applyBorder="1" applyAlignment="1" applyProtection="1">
      <alignment horizontal="center" vertical="center" wrapText="1"/>
    </xf>
    <xf numFmtId="2" fontId="20" fillId="0" borderId="0" xfId="0" applyNumberFormat="1" applyFont="1" applyAlignment="1">
      <alignment horizontal="center"/>
    </xf>
    <xf numFmtId="0" fontId="49" fillId="0" borderId="0" xfId="0" applyFont="1"/>
    <xf numFmtId="1" fontId="49" fillId="0" borderId="0" xfId="0" applyNumberFormat="1" applyFont="1" applyAlignment="1">
      <alignment horizontal="center"/>
    </xf>
    <xf numFmtId="2" fontId="49" fillId="0" borderId="0" xfId="0" applyNumberFormat="1" applyFont="1" applyAlignment="1">
      <alignment horizontal="center" vertical="center"/>
    </xf>
    <xf numFmtId="3" fontId="49" fillId="0" borderId="0" xfId="8" applyNumberFormat="1" applyFont="1" applyAlignment="1">
      <alignment horizontal="center" vertical="center"/>
    </xf>
    <xf numFmtId="1" fontId="38" fillId="0" borderId="2" xfId="0" applyNumberFormat="1" applyFont="1" applyBorder="1" applyAlignment="1">
      <alignment horizontal="center" vertical="center"/>
    </xf>
    <xf numFmtId="13" fontId="17" fillId="8" borderId="2" xfId="4" applyNumberFormat="1" applyFont="1" applyFill="1" applyAlignment="1" applyProtection="1">
      <alignment horizontal="center" vertical="center" wrapText="1"/>
      <protection locked="0"/>
    </xf>
    <xf numFmtId="0" fontId="38" fillId="0" borderId="2" xfId="0" applyFont="1" applyBorder="1" applyAlignment="1">
      <alignment horizontal="left" vertical="center"/>
    </xf>
    <xf numFmtId="2" fontId="20" fillId="0" borderId="7" xfId="0" applyNumberFormat="1" applyFont="1" applyBorder="1" applyAlignment="1">
      <alignment horizontal="center" wrapText="1"/>
    </xf>
    <xf numFmtId="0" fontId="38" fillId="0" borderId="0" xfId="0" applyFont="1" applyAlignment="1">
      <alignment horizontal="right" vertical="center"/>
    </xf>
    <xf numFmtId="0" fontId="38" fillId="0" borderId="7" xfId="0" applyFont="1" applyBorder="1" applyAlignment="1">
      <alignment horizontal="center" vertical="center"/>
    </xf>
    <xf numFmtId="0" fontId="16" fillId="0" borderId="7" xfId="0" applyFont="1" applyBorder="1" applyAlignment="1">
      <alignment horizontal="center" vertical="center"/>
    </xf>
    <xf numFmtId="1" fontId="16" fillId="0" borderId="7" xfId="0" applyNumberFormat="1" applyFont="1" applyBorder="1" applyAlignment="1">
      <alignment horizontal="center" vertical="center"/>
    </xf>
    <xf numFmtId="0" fontId="38" fillId="0" borderId="0" xfId="0" applyFont="1" applyAlignment="1">
      <alignment horizontal="right" vertical="center" wrapText="1"/>
    </xf>
    <xf numFmtId="1" fontId="20" fillId="0" borderId="7" xfId="0" applyNumberFormat="1" applyFont="1" applyBorder="1" applyAlignment="1">
      <alignment horizontal="center" wrapText="1"/>
    </xf>
    <xf numFmtId="1" fontId="38" fillId="0" borderId="13" xfId="0" applyNumberFormat="1" applyFont="1" applyBorder="1" applyAlignment="1">
      <alignment horizontal="center" vertical="center"/>
    </xf>
    <xf numFmtId="1" fontId="38" fillId="0" borderId="14" xfId="0" applyNumberFormat="1" applyFont="1" applyBorder="1" applyAlignment="1">
      <alignment horizontal="center" vertical="center"/>
    </xf>
    <xf numFmtId="10" fontId="21" fillId="4" borderId="13" xfId="5" applyNumberFormat="1" applyFont="1" applyFill="1" applyBorder="1" applyAlignment="1" applyProtection="1">
      <alignment horizontal="center" vertical="center" wrapText="1"/>
    </xf>
    <xf numFmtId="10" fontId="21" fillId="4" borderId="14" xfId="5" applyNumberFormat="1" applyFont="1" applyFill="1" applyBorder="1" applyAlignment="1" applyProtection="1">
      <alignment horizontal="center" vertical="center" wrapText="1"/>
    </xf>
    <xf numFmtId="49" fontId="17" fillId="2" borderId="13" xfId="4" applyNumberFormat="1" applyFont="1" applyBorder="1" applyAlignment="1" applyProtection="1">
      <alignment horizontal="center" vertical="center" wrapText="1"/>
      <protection locked="0"/>
    </xf>
    <xf numFmtId="49" fontId="17" fillId="2" borderId="14" xfId="4" applyNumberFormat="1" applyFont="1" applyBorder="1" applyAlignment="1" applyProtection="1">
      <alignment horizontal="center" vertical="center" wrapText="1"/>
      <protection locked="0"/>
    </xf>
    <xf numFmtId="0" fontId="23" fillId="0" borderId="0" xfId="3" applyFont="1" applyAlignment="1" applyProtection="1">
      <alignment horizontal="left"/>
    </xf>
    <xf numFmtId="0" fontId="10" fillId="0" borderId="0" xfId="1" applyFont="1" applyBorder="1" applyAlignment="1" applyProtection="1">
      <alignment horizontal="left" vertical="center"/>
    </xf>
    <xf numFmtId="0" fontId="23" fillId="0" borderId="0" xfId="3" applyFont="1" applyAlignment="1" applyProtection="1"/>
    <xf numFmtId="13" fontId="17" fillId="2" borderId="13" xfId="4" applyNumberFormat="1" applyFont="1" applyBorder="1" applyAlignment="1" applyProtection="1">
      <alignment horizontal="center" vertical="center" wrapText="1"/>
      <protection locked="0"/>
    </xf>
    <xf numFmtId="13" fontId="17" fillId="2" borderId="14" xfId="4" applyNumberFormat="1" applyFont="1" applyBorder="1" applyAlignment="1" applyProtection="1">
      <alignment horizontal="center" vertical="center" wrapText="1"/>
      <protection locked="0"/>
    </xf>
    <xf numFmtId="0" fontId="8" fillId="0" borderId="4" xfId="6" applyFont="1" applyAlignment="1" applyProtection="1">
      <alignment horizontal="center" vertical="center"/>
    </xf>
    <xf numFmtId="0" fontId="35" fillId="0" borderId="0" xfId="1" applyFont="1" applyBorder="1" applyAlignment="1">
      <alignment horizontal="left" vertical="center"/>
    </xf>
    <xf numFmtId="0" fontId="36" fillId="0" borderId="4" xfId="6" applyFont="1" applyAlignment="1">
      <alignment horizontal="center" vertical="center"/>
    </xf>
    <xf numFmtId="0" fontId="37" fillId="0" borderId="0" xfId="3" applyFont="1" applyAlignment="1">
      <alignment vertical="center"/>
    </xf>
    <xf numFmtId="0" fontId="35" fillId="0" borderId="5" xfId="1" applyFont="1" applyBorder="1" applyAlignment="1">
      <alignment horizontal="left" vertical="center"/>
    </xf>
    <xf numFmtId="13" fontId="42" fillId="4" borderId="15" xfId="5" applyNumberFormat="1" applyFont="1" applyFill="1" applyBorder="1" applyAlignment="1">
      <alignment horizontal="center" vertical="center" wrapText="1"/>
    </xf>
    <xf numFmtId="13" fontId="42" fillId="4" borderId="16" xfId="5" applyNumberFormat="1" applyFont="1" applyFill="1" applyBorder="1" applyAlignment="1">
      <alignment horizontal="center" vertical="center" wrapText="1"/>
    </xf>
    <xf numFmtId="13" fontId="42" fillId="4" borderId="17" xfId="5" applyNumberFormat="1" applyFont="1" applyFill="1" applyBorder="1" applyAlignment="1">
      <alignment horizontal="center" vertical="center" wrapText="1"/>
    </xf>
    <xf numFmtId="0" fontId="38" fillId="0" borderId="20" xfId="0" applyFont="1" applyBorder="1" applyAlignment="1">
      <alignment horizontal="left" vertical="center"/>
    </xf>
    <xf numFmtId="0" fontId="38" fillId="0" borderId="0" xfId="0" applyFont="1" applyAlignment="1">
      <alignment horizontal="left" vertical="center"/>
    </xf>
    <xf numFmtId="0" fontId="38" fillId="0" borderId="20" xfId="0" applyFont="1" applyBorder="1" applyAlignment="1">
      <alignment horizontal="left" vertical="center" wrapText="1"/>
    </xf>
    <xf numFmtId="0" fontId="38" fillId="0" borderId="0" xfId="0" applyFont="1" applyAlignment="1">
      <alignment horizontal="left" vertical="center" wrapText="1"/>
    </xf>
    <xf numFmtId="0" fontId="36" fillId="0" borderId="12" xfId="6" applyFont="1" applyBorder="1" applyAlignment="1">
      <alignment horizontal="center" vertical="center"/>
    </xf>
    <xf numFmtId="0" fontId="38" fillId="0" borderId="6" xfId="0" applyFont="1" applyBorder="1" applyAlignment="1">
      <alignment horizontal="center" vertical="center"/>
    </xf>
    <xf numFmtId="0" fontId="38" fillId="0" borderId="21" xfId="0" applyFont="1" applyBorder="1" applyAlignment="1">
      <alignment horizontal="center" vertical="center"/>
    </xf>
    <xf numFmtId="2" fontId="20" fillId="0" borderId="10" xfId="0" applyNumberFormat="1" applyFont="1" applyBorder="1" applyAlignment="1">
      <alignment horizontal="center" vertical="center"/>
    </xf>
    <xf numFmtId="2" fontId="20" fillId="0" borderId="11" xfId="0" applyNumberFormat="1" applyFont="1" applyBorder="1" applyAlignment="1">
      <alignment horizontal="center" vertical="center"/>
    </xf>
    <xf numFmtId="2" fontId="20" fillId="0" borderId="9" xfId="0" applyNumberFormat="1" applyFont="1" applyBorder="1" applyAlignment="1">
      <alignment horizontal="center" vertical="center"/>
    </xf>
    <xf numFmtId="164" fontId="20" fillId="0" borderId="18" xfId="0" applyNumberFormat="1" applyFont="1" applyBorder="1" applyAlignment="1">
      <alignment horizontal="center" vertical="center"/>
    </xf>
    <xf numFmtId="164" fontId="20" fillId="0" borderId="19" xfId="0" applyNumberFormat="1" applyFont="1" applyBorder="1" applyAlignment="1">
      <alignment horizontal="center" vertical="center"/>
    </xf>
    <xf numFmtId="164" fontId="20" fillId="0" borderId="8" xfId="0" applyNumberFormat="1" applyFont="1" applyBorder="1" applyAlignment="1">
      <alignment horizontal="center" vertical="center"/>
    </xf>
    <xf numFmtId="2" fontId="20" fillId="0" borderId="7" xfId="0" applyNumberFormat="1"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8" xfId="0" applyFont="1" applyBorder="1" applyAlignment="1">
      <alignment horizontal="center" vertical="center"/>
    </xf>
    <xf numFmtId="164" fontId="20" fillId="0" borderId="10" xfId="0" applyNumberFormat="1" applyFont="1" applyBorder="1" applyAlignment="1">
      <alignment horizontal="center" vertical="center"/>
    </xf>
    <xf numFmtId="164" fontId="20" fillId="0" borderId="9" xfId="0" applyNumberFormat="1" applyFont="1" applyBorder="1" applyAlignment="1">
      <alignment horizontal="center" vertical="center"/>
    </xf>
    <xf numFmtId="4" fontId="20" fillId="0" borderId="10" xfId="0" applyNumberFormat="1" applyFont="1" applyBorder="1" applyAlignment="1">
      <alignment horizontal="center" vertical="center"/>
    </xf>
    <xf numFmtId="0" fontId="20" fillId="0" borderId="11" xfId="0" applyFont="1" applyBorder="1" applyAlignment="1">
      <alignment horizontal="center" vertical="center"/>
    </xf>
    <xf numFmtId="0" fontId="30" fillId="0" borderId="0" xfId="3" applyFont="1" applyAlignment="1">
      <alignment horizontal="left" vertical="center"/>
    </xf>
    <xf numFmtId="13" fontId="20" fillId="0" borderId="10" xfId="0" applyNumberFormat="1" applyFont="1" applyBorder="1" applyAlignment="1">
      <alignment horizontal="center" vertical="center"/>
    </xf>
    <xf numFmtId="13" fontId="20" fillId="0" borderId="11" xfId="0" applyNumberFormat="1" applyFont="1" applyBorder="1" applyAlignment="1">
      <alignment horizontal="center" vertical="center"/>
    </xf>
    <xf numFmtId="13" fontId="20" fillId="0" borderId="9" xfId="0" applyNumberFormat="1" applyFont="1" applyBorder="1" applyAlignment="1">
      <alignment horizontal="center" vertical="center"/>
    </xf>
    <xf numFmtId="1" fontId="20" fillId="0" borderId="7" xfId="0" applyNumberFormat="1" applyFont="1" applyBorder="1" applyAlignment="1">
      <alignment horizontal="center" vertical="center"/>
    </xf>
    <xf numFmtId="2" fontId="20" fillId="0" borderId="8" xfId="0" applyNumberFormat="1" applyFont="1" applyBorder="1" applyAlignment="1">
      <alignment horizontal="center" vertical="center"/>
    </xf>
    <xf numFmtId="0" fontId="20" fillId="0" borderId="7" xfId="0" applyFont="1" applyBorder="1" applyAlignment="1">
      <alignment horizontal="center" vertical="center"/>
    </xf>
    <xf numFmtId="164" fontId="20" fillId="0" borderId="7" xfId="0" applyNumberFormat="1" applyFont="1" applyBorder="1" applyAlignment="1">
      <alignment horizontal="center"/>
    </xf>
    <xf numFmtId="4" fontId="20" fillId="0" borderId="7" xfId="0" applyNumberFormat="1" applyFont="1" applyBorder="1" applyAlignment="1">
      <alignment horizontal="center" vertical="center"/>
    </xf>
    <xf numFmtId="164" fontId="20" fillId="0" borderId="7" xfId="0" applyNumberFormat="1" applyFont="1" applyBorder="1" applyAlignment="1">
      <alignment horizontal="center" vertical="center"/>
    </xf>
    <xf numFmtId="2" fontId="20" fillId="0" borderId="18" xfId="0" applyNumberFormat="1" applyFont="1" applyBorder="1" applyAlignment="1">
      <alignment horizontal="center" vertical="center"/>
    </xf>
    <xf numFmtId="1" fontId="20" fillId="0" borderId="10" xfId="0" applyNumberFormat="1" applyFont="1" applyBorder="1" applyAlignment="1">
      <alignment horizontal="center" vertical="center"/>
    </xf>
    <xf numFmtId="1" fontId="20" fillId="0" borderId="11" xfId="0" applyNumberFormat="1" applyFont="1" applyBorder="1" applyAlignment="1">
      <alignment horizontal="center" vertical="center"/>
    </xf>
    <xf numFmtId="1" fontId="20" fillId="0" borderId="9" xfId="0" applyNumberFormat="1" applyFont="1" applyBorder="1" applyAlignment="1">
      <alignment horizontal="center" vertical="center"/>
    </xf>
    <xf numFmtId="0" fontId="28" fillId="0" borderId="12" xfId="6" applyFont="1" applyBorder="1" applyAlignment="1">
      <alignment horizontal="center" vertical="center"/>
    </xf>
    <xf numFmtId="0" fontId="27" fillId="0" borderId="5" xfId="1" applyFont="1" applyBorder="1" applyAlignment="1">
      <alignment horizontal="left" vertical="center"/>
    </xf>
    <xf numFmtId="4" fontId="20" fillId="0" borderId="11" xfId="0" applyNumberFormat="1" applyFont="1" applyBorder="1" applyAlignment="1">
      <alignment horizontal="center" vertical="center"/>
    </xf>
    <xf numFmtId="4" fontId="20" fillId="0" borderId="9" xfId="0" applyNumberFormat="1" applyFont="1" applyBorder="1" applyAlignment="1">
      <alignment horizontal="center" vertical="center"/>
    </xf>
    <xf numFmtId="0" fontId="20" fillId="0" borderId="7" xfId="0" applyFont="1" applyBorder="1" applyAlignment="1">
      <alignment horizontal="center"/>
    </xf>
    <xf numFmtId="0" fontId="20" fillId="0" borderId="22" xfId="0" applyFont="1" applyBorder="1" applyAlignment="1">
      <alignment horizontal="left" vertical="center"/>
    </xf>
    <xf numFmtId="0" fontId="20" fillId="0" borderId="0" xfId="0" applyFont="1" applyAlignment="1">
      <alignment horizontal="left" vertical="center"/>
    </xf>
    <xf numFmtId="13" fontId="20" fillId="0" borderId="7" xfId="0" applyNumberFormat="1" applyFont="1" applyBorder="1" applyAlignment="1">
      <alignment horizontal="center" vertical="center"/>
    </xf>
    <xf numFmtId="10" fontId="20" fillId="0" borderId="10" xfId="9" applyNumberFormat="1" applyFont="1" applyBorder="1" applyAlignment="1">
      <alignment horizontal="center" vertical="center"/>
    </xf>
    <xf numFmtId="10" fontId="20" fillId="0" borderId="9" xfId="9" applyNumberFormat="1" applyFont="1" applyBorder="1" applyAlignment="1">
      <alignment horizontal="center" vertical="center"/>
    </xf>
    <xf numFmtId="0" fontId="20" fillId="0" borderId="10" xfId="9" applyNumberFormat="1" applyFont="1" applyBorder="1" applyAlignment="1">
      <alignment horizontal="center" vertical="center"/>
    </xf>
    <xf numFmtId="0" fontId="20" fillId="0" borderId="9" xfId="9" applyNumberFormat="1" applyFont="1" applyBorder="1" applyAlignment="1">
      <alignment horizontal="center"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22" fillId="0" borderId="7" xfId="0" applyFont="1" applyBorder="1" applyAlignment="1">
      <alignment horizontal="center" vertical="center"/>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2" fontId="20" fillId="0" borderId="23" xfId="0" applyNumberFormat="1" applyFont="1" applyBorder="1" applyAlignment="1">
      <alignment horizontal="center" vertical="center"/>
    </xf>
    <xf numFmtId="2" fontId="20" fillId="0" borderId="24" xfId="0" applyNumberFormat="1" applyFont="1" applyBorder="1" applyAlignment="1">
      <alignment horizontal="center" vertical="center"/>
    </xf>
    <xf numFmtId="2" fontId="20" fillId="0" borderId="25" xfId="0" applyNumberFormat="1" applyFont="1" applyBorder="1" applyAlignment="1">
      <alignment horizontal="center" vertical="center"/>
    </xf>
    <xf numFmtId="2" fontId="20" fillId="0" borderId="26" xfId="0" applyNumberFormat="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165" fontId="20" fillId="0" borderId="7" xfId="0" applyNumberFormat="1" applyFont="1" applyBorder="1" applyAlignment="1">
      <alignment horizontal="center" vertical="center"/>
    </xf>
    <xf numFmtId="164" fontId="20" fillId="0" borderId="10" xfId="0" applyNumberFormat="1" applyFont="1" applyBorder="1" applyAlignment="1">
      <alignment horizontal="center" vertical="center" wrapText="1"/>
    </xf>
    <xf numFmtId="164" fontId="20" fillId="0" borderId="9" xfId="0" applyNumberFormat="1" applyFont="1" applyBorder="1" applyAlignment="1">
      <alignment horizontal="center" vertical="center" wrapText="1"/>
    </xf>
    <xf numFmtId="0" fontId="20" fillId="0" borderId="18" xfId="0" applyFont="1" applyBorder="1" applyAlignment="1">
      <alignment horizontal="center" wrapText="1"/>
    </xf>
    <xf numFmtId="0" fontId="20" fillId="0" borderId="8" xfId="0" applyFont="1" applyBorder="1" applyAlignment="1">
      <alignment horizontal="center" wrapText="1"/>
    </xf>
    <xf numFmtId="1" fontId="20" fillId="0" borderId="24" xfId="0" applyNumberFormat="1" applyFont="1" applyBorder="1" applyAlignment="1">
      <alignment horizontal="center" vertical="center"/>
    </xf>
    <xf numFmtId="1" fontId="20" fillId="0" borderId="26" xfId="0" applyNumberFormat="1" applyFont="1" applyBorder="1" applyAlignment="1">
      <alignment horizontal="center" vertical="center"/>
    </xf>
    <xf numFmtId="0" fontId="10" fillId="0" borderId="0" xfId="1" applyFont="1" applyBorder="1" applyAlignment="1">
      <alignment horizontal="left" vertical="center"/>
    </xf>
    <xf numFmtId="0" fontId="7" fillId="0" borderId="0" xfId="3" applyFont="1" applyAlignment="1">
      <alignment horizontal="left" vertical="center"/>
    </xf>
    <xf numFmtId="0" fontId="8" fillId="0" borderId="4" xfId="6" applyFont="1" applyAlignment="1">
      <alignment horizontal="center" vertical="center"/>
    </xf>
  </cellXfs>
  <cellStyles count="10">
    <cellStyle name="Comma" xfId="8" builtinId="3"/>
    <cellStyle name="Heading 3" xfId="2" builtinId="18"/>
    <cellStyle name="Heading 4" xfId="3" builtinId="19"/>
    <cellStyle name="Input" xfId="4" builtinId="20"/>
    <cellStyle name="Normal" xfId="0" builtinId="0"/>
    <cellStyle name="Output" xfId="5" builtinId="21"/>
    <cellStyle name="Percent" xfId="9" builtinId="5"/>
    <cellStyle name="Title" xfId="1" builtinId="15"/>
    <cellStyle name="Title 2" xfId="7" xr:uid="{00000000-0005-0000-0000-000008000000}"/>
    <cellStyle name="Total" xfId="6" builtinId="25"/>
  </cellStyles>
  <dxfs count="167">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rgb="FFFFFF99"/>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rgb="FFFFFF99"/>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FFCC"/>
        </patternFill>
      </fill>
    </dxf>
    <dxf>
      <fill>
        <patternFill>
          <bgColor theme="5" tint="0.39994506668294322"/>
        </patternFill>
      </fill>
    </dxf>
    <dxf>
      <fill>
        <patternFill>
          <bgColor theme="6" tint="0.39994506668294322"/>
        </patternFill>
      </fill>
    </dxf>
    <dxf>
      <fill>
        <patternFill>
          <bgColor rgb="FFFFFFCC"/>
        </patternFill>
      </fill>
    </dxf>
    <dxf>
      <fill>
        <patternFill>
          <bgColor theme="6" tint="0.39994506668294322"/>
        </patternFill>
      </fill>
    </dxf>
    <dxf>
      <fill>
        <patternFill>
          <bgColor theme="6" tint="0.39994506668294322"/>
        </patternFill>
      </fill>
    </dxf>
    <dxf>
      <fill>
        <patternFill>
          <bgColor rgb="FFFFFFCC"/>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rgb="FFFFFFCC"/>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rgb="FFFFFFCC"/>
        </patternFill>
      </fill>
    </dxf>
    <dxf>
      <fill>
        <patternFill>
          <bgColor rgb="FFFFFFCC"/>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ont>
        <b/>
        <i val="0"/>
        <color theme="0" tint="-4.9989318521683403E-2"/>
      </font>
      <fill>
        <patternFill>
          <bgColor theme="0" tint="-4.9989318521683403E-2"/>
        </patternFill>
      </fill>
    </dxf>
    <dxf>
      <font>
        <b/>
        <i val="0"/>
        <color theme="0" tint="-4.9989318521683403E-2"/>
      </font>
      <fill>
        <patternFill>
          <bgColor theme="0" tint="-4.9989318521683403E-2"/>
        </patternFill>
      </fill>
    </dxf>
    <dxf>
      <font>
        <b/>
        <i val="0"/>
        <color theme="0" tint="-4.9989318521683403E-2"/>
      </font>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rgb="FFFFFFCC"/>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ont>
        <strike val="0"/>
        <color rgb="FF3F3F76"/>
      </font>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5" tint="0.39994506668294322"/>
        </patternFill>
      </fill>
    </dxf>
    <dxf>
      <fill>
        <patternFill>
          <bgColor theme="6" tint="0.39994506668294322"/>
        </patternFill>
      </fill>
    </dxf>
    <dxf>
      <fill>
        <patternFill>
          <bgColor rgb="FFFFFFCC"/>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rgb="FFFFFFCC"/>
        </patternFill>
      </fill>
    </dxf>
    <dxf>
      <fill>
        <patternFill>
          <bgColor theme="5" tint="0.39994506668294322"/>
        </patternFill>
      </fill>
    </dxf>
    <dxf>
      <fill>
        <patternFill>
          <bgColor theme="6" tint="0.39994506668294322"/>
        </patternFill>
      </fill>
    </dxf>
    <dxf>
      <font>
        <b val="0"/>
        <i val="0"/>
        <strike val="0"/>
        <condense val="0"/>
        <extend val="0"/>
        <outline val="0"/>
        <shadow val="0"/>
        <u val="none"/>
        <vertAlign val="baseline"/>
        <sz val="11"/>
        <color theme="1"/>
        <name val="Cambria"/>
        <scheme val="none"/>
      </font>
      <numFmt numFmtId="18"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8"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8"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8"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8"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64" formatCode="0.0000"/>
      <alignment horizontal="center" vertical="center" textRotation="0" wrapText="0" indent="0" justifyLastLine="0" shrinkToFit="0" readingOrder="0"/>
    </dxf>
    <dxf>
      <numFmt numFmtId="17" formatCode="#\ ?/?"/>
      <alignment horizontal="left" vertical="center" textRotation="0" wrapText="0" indent="0" justifyLastLine="0" shrinkToFit="0" readingOrder="0"/>
    </dxf>
    <dxf>
      <font>
        <b val="0"/>
        <i val="0"/>
        <strike val="0"/>
        <condense val="0"/>
        <extend val="0"/>
        <outline val="0"/>
        <shadow val="0"/>
        <u val="none"/>
        <vertAlign val="baseline"/>
        <sz val="11"/>
        <color theme="1"/>
        <name val="Cambria"/>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alignment horizont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2" formatCode="0.00"/>
      <alignment horizontal="center" vertical="center" textRotation="0" wrapText="0" relativeIndent="0" justifyLastLine="0" shrinkToFit="0" readingOrder="0"/>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2" formatCode="0.00"/>
      <alignment horizontal="center" vertical="center" textRotation="0" wrapText="0" relativeIndent="0" justifyLastLine="0" shrinkToFit="0" readingOrder="0"/>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1" formatCode="0"/>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2" formatCode="0.00"/>
      <alignment horizontal="center" vertical="center"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30" formatCode="@"/>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2" formatCode="0.00"/>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scheme val="none"/>
      </font>
      <fill>
        <patternFill patternType="none">
          <fgColor indexed="64"/>
          <bgColor indexed="65"/>
        </patternFill>
      </fill>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 formatCode="0"/>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1" formatCode="0"/>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dxf>
    <dxf>
      <font>
        <b/>
        <i val="0"/>
        <strike val="0"/>
        <condense val="0"/>
        <extend val="0"/>
        <outline val="0"/>
        <shadow val="0"/>
        <u val="none"/>
        <vertAlign val="baseline"/>
        <sz val="11"/>
        <color theme="3"/>
        <name val="Cambria"/>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7"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7" formatCode="#\ ?/?"/>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mbria"/>
        <scheme val="none"/>
      </font>
      <numFmt numFmtId="164" formatCode="0.0000"/>
      <alignment horizontal="center" vertical="center"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164" formatCode="0.0000"/>
      <alignment horizontal="center" vertical="center" textRotation="0" wrapText="0" relativeIndent="0" justifyLastLine="0" shrinkToFit="0" readingOrder="0"/>
    </dxf>
    <dxf>
      <font>
        <b val="0"/>
        <i val="0"/>
        <strike val="0"/>
        <condense val="0"/>
        <extend val="0"/>
        <outline val="0"/>
        <shadow val="0"/>
        <u val="none"/>
        <vertAlign val="baseline"/>
        <sz val="11"/>
        <color theme="1"/>
        <name val="Cambria"/>
        <scheme val="none"/>
      </font>
      <numFmt numFmtId="17" formatCode="#\ ?/?"/>
      <alignment horizontal="left" vertical="center" textRotation="0" wrapText="0" relativeIndent="0" justifyLastLine="0" shrinkToFit="0" readingOrder="0"/>
    </dxf>
    <dxf>
      <font>
        <b/>
        <i val="0"/>
        <strike val="0"/>
        <condense val="0"/>
        <extend val="0"/>
        <outline val="0"/>
        <shadow val="0"/>
        <u val="none"/>
        <vertAlign val="baseline"/>
        <sz val="11"/>
        <color theme="3"/>
        <name val="Cambria"/>
        <scheme val="none"/>
      </font>
      <alignment horizontal="center" vertical="bottom" textRotation="0" wrapText="1" indent="0" justifyLastLine="0" shrinkToFit="0" readingOrder="0"/>
    </dxf>
  </dxfs>
  <tableStyles count="0" defaultTableStyle="TableStyleMedium2" defaultPivotStyle="PivotStyleLight16"/>
  <colors>
    <mruColors>
      <color rgb="FFFFFFCC"/>
      <color rgb="FF7F7F7F"/>
      <color rgb="FF3F3F76"/>
      <color rgb="FFFFFF99"/>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8" Type="http://schemas.openxmlformats.org/officeDocument/2006/relationships/image" Target="../media/image10.tiff"/><Relationship Id="rId3" Type="http://schemas.openxmlformats.org/officeDocument/2006/relationships/image" Target="../media/image5.tiff"/><Relationship Id="rId7" Type="http://schemas.openxmlformats.org/officeDocument/2006/relationships/image" Target="../media/image9.tiff"/><Relationship Id="rId2" Type="http://schemas.openxmlformats.org/officeDocument/2006/relationships/image" Target="../media/image4.tiff"/><Relationship Id="rId1" Type="http://schemas.openxmlformats.org/officeDocument/2006/relationships/image" Target="../media/image3.tiff"/><Relationship Id="rId6" Type="http://schemas.openxmlformats.org/officeDocument/2006/relationships/image" Target="../media/image8.tiff"/><Relationship Id="rId5" Type="http://schemas.openxmlformats.org/officeDocument/2006/relationships/image" Target="../media/image7.tiff"/><Relationship Id="rId10" Type="http://schemas.openxmlformats.org/officeDocument/2006/relationships/image" Target="../media/image11.png"/><Relationship Id="rId4" Type="http://schemas.openxmlformats.org/officeDocument/2006/relationships/image" Target="../media/image6.tiff"/><Relationship Id="rId9" Type="http://schemas.openxmlformats.org/officeDocument/2006/relationships/image" Target="../media/image1.tiff"/></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tiff"/></Relationships>
</file>

<file path=xl/drawings/_rels/drawing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12.png"/><Relationship Id="rId1" Type="http://schemas.openxmlformats.org/officeDocument/2006/relationships/image" Target="../media/image27.tiff"/><Relationship Id="rId4" Type="http://schemas.openxmlformats.org/officeDocument/2006/relationships/image" Target="../media/image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tif"/><Relationship Id="rId1" Type="http://schemas.openxmlformats.org/officeDocument/2006/relationships/image" Target="../media/image33.gif"/></Relationships>
</file>

<file path=xl/drawings/_rels/drawing8.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3.gi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0.wmf"/><Relationship Id="rId13" Type="http://schemas.openxmlformats.org/officeDocument/2006/relationships/image" Target="../media/image25.wmf"/><Relationship Id="rId3" Type="http://schemas.openxmlformats.org/officeDocument/2006/relationships/image" Target="../media/image15.wmf"/><Relationship Id="rId7" Type="http://schemas.openxmlformats.org/officeDocument/2006/relationships/image" Target="../media/image19.wmf"/><Relationship Id="rId12" Type="http://schemas.openxmlformats.org/officeDocument/2006/relationships/image" Target="../media/image24.wmf"/><Relationship Id="rId2" Type="http://schemas.openxmlformats.org/officeDocument/2006/relationships/image" Target="../media/image14.wmf"/><Relationship Id="rId1" Type="http://schemas.openxmlformats.org/officeDocument/2006/relationships/image" Target="../media/image13.wmf"/><Relationship Id="rId6" Type="http://schemas.openxmlformats.org/officeDocument/2006/relationships/image" Target="../media/image18.wmf"/><Relationship Id="rId11" Type="http://schemas.openxmlformats.org/officeDocument/2006/relationships/image" Target="../media/image23.emf"/><Relationship Id="rId5" Type="http://schemas.openxmlformats.org/officeDocument/2006/relationships/image" Target="../media/image17.wmf"/><Relationship Id="rId10" Type="http://schemas.openxmlformats.org/officeDocument/2006/relationships/image" Target="../media/image22.emf"/><Relationship Id="rId4" Type="http://schemas.openxmlformats.org/officeDocument/2006/relationships/image" Target="../media/image16.wmf"/><Relationship Id="rId9" Type="http://schemas.openxmlformats.org/officeDocument/2006/relationships/image" Target="../media/image21.wmf"/><Relationship Id="rId14" Type="http://schemas.openxmlformats.org/officeDocument/2006/relationships/image" Target="../media/image26.w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20.wmf"/><Relationship Id="rId3" Type="http://schemas.openxmlformats.org/officeDocument/2006/relationships/image" Target="../media/image17.wmf"/><Relationship Id="rId7" Type="http://schemas.openxmlformats.org/officeDocument/2006/relationships/image" Target="../media/image19.wmf"/><Relationship Id="rId2" Type="http://schemas.openxmlformats.org/officeDocument/2006/relationships/image" Target="../media/image30.wmf"/><Relationship Id="rId1" Type="http://schemas.openxmlformats.org/officeDocument/2006/relationships/image" Target="../media/image15.wmf"/><Relationship Id="rId6" Type="http://schemas.openxmlformats.org/officeDocument/2006/relationships/image" Target="../media/image18.wmf"/><Relationship Id="rId5" Type="http://schemas.openxmlformats.org/officeDocument/2006/relationships/image" Target="../media/image32.wmf"/><Relationship Id="rId4" Type="http://schemas.openxmlformats.org/officeDocument/2006/relationships/image" Target="../media/image31.wmf"/><Relationship Id="rId9" Type="http://schemas.openxmlformats.org/officeDocument/2006/relationships/image" Target="../media/image21.w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3212" cy="2864704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5473212" cy="286470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effectLst/>
              <a:latin typeface="+mn-lt"/>
              <a:ea typeface="+mn-ea"/>
              <a:cs typeface="+mn-cs"/>
            </a:rPr>
            <a:t>National Steel Bridge Alliance</a:t>
          </a:r>
          <a:endParaRPr lang="en-US" sz="1100">
            <a:solidFill>
              <a:schemeClr val="tx1"/>
            </a:solidFill>
            <a:effectLst/>
            <a:latin typeface="+mn-lt"/>
            <a:ea typeface="+mn-ea"/>
            <a:cs typeface="+mn-cs"/>
          </a:endParaRPr>
        </a:p>
        <a:p>
          <a:r>
            <a:rPr lang="en-US" sz="1100" b="1" cap="all">
              <a:solidFill>
                <a:schemeClr val="tx1"/>
              </a:solidFill>
              <a:effectLst/>
              <a:latin typeface="+mn-lt"/>
              <a:ea typeface="+mn-ea"/>
              <a:cs typeface="+mn-cs"/>
            </a:rPr>
            <a:t>Software L</a:t>
          </a:r>
          <a:r>
            <a:rPr lang="en-US" sz="1100" b="1">
              <a:solidFill>
                <a:schemeClr val="tx1"/>
              </a:solidFill>
              <a:effectLst/>
              <a:latin typeface="+mn-lt"/>
              <a:ea typeface="+mn-ea"/>
              <a:cs typeface="+mn-cs"/>
            </a:rPr>
            <a:t>ICENSE AGREEMEN</a:t>
          </a:r>
          <a:r>
            <a:rPr lang="en-US" sz="1100" b="1" cap="all">
              <a:solidFill>
                <a:schemeClr val="tx1"/>
              </a:solidFill>
              <a:effectLst/>
              <a:latin typeface="+mn-lt"/>
              <a:ea typeface="+mn-ea"/>
              <a:cs typeface="+mn-cs"/>
            </a:rPr>
            <a:t>T</a:t>
          </a:r>
          <a:endParaRPr lang="en-US" sz="1100">
            <a:solidFill>
              <a:schemeClr val="tx1"/>
            </a:solidFill>
            <a:effectLst/>
            <a:latin typeface="+mn-lt"/>
            <a:ea typeface="+mn-ea"/>
            <a:cs typeface="+mn-cs"/>
          </a:endParaRPr>
        </a:p>
        <a:p>
          <a:endParaRPr lang="en-US" sz="1100" b="0">
            <a:solidFill>
              <a:schemeClr val="tx1"/>
            </a:solidFill>
            <a:effectLst/>
            <a:latin typeface="+mn-lt"/>
            <a:ea typeface="+mn-ea"/>
            <a:cs typeface="+mn-cs"/>
          </a:endParaRPr>
        </a:p>
        <a:p>
          <a:r>
            <a:rPr lang="en-US" sz="1100" b="0">
              <a:solidFill>
                <a:schemeClr val="tx1"/>
              </a:solidFill>
              <a:effectLst/>
              <a:latin typeface="+mn-lt"/>
              <a:ea typeface="+mn-ea"/>
              <a:cs typeface="+mn-cs"/>
            </a:rPr>
            <a:t>Read carefully: the National Steel Bridge Alliance (“NSBA”) or its licensors licenses this Excel Workbook to you only upon the condition that you accept all of the terms contained in this software license agreement (“Agreement”).</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By selecting the “I accept the terms in the License Agreement” option below this Agreement or by copying, installing, uploading, accessing or using all or any portion of the Excel Workbook</a:t>
          </a:r>
          <a:r>
            <a:rPr lang="en-US" sz="1100" b="0" baseline="0">
              <a:solidFill>
                <a:schemeClr val="tx1"/>
              </a:solidFill>
              <a:effectLst/>
              <a:latin typeface="+mn-lt"/>
              <a:ea typeface="+mn-ea"/>
              <a:cs typeface="+mn-cs"/>
            </a:rPr>
            <a:t> </a:t>
          </a:r>
          <a:r>
            <a:rPr lang="en-US" sz="1100" b="0">
              <a:solidFill>
                <a:schemeClr val="tx1"/>
              </a:solidFill>
              <a:effectLst/>
              <a:latin typeface="+mn-lt"/>
              <a:ea typeface="+mn-ea"/>
              <a:cs typeface="+mn-cs"/>
            </a:rPr>
            <a:t>you agree to enter into this agreement.  A contract is then formed between the NSBA and either you personally, if you acquire the Excel Workbook for yourself, or the company or other legal entity for which you are acquiring the Excel Workbook .</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If you do not agree or do not wish to bind yourself or the entity you represent: (a) do not copy, install, upload, access or use the Excel Workbook .</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 </a:t>
          </a:r>
          <a:endParaRPr lang="en-US" sz="1600">
            <a:solidFill>
              <a:schemeClr val="tx1"/>
            </a:solidFill>
            <a:effectLst/>
            <a:latin typeface="+mn-lt"/>
            <a:ea typeface="+mn-ea"/>
            <a:cs typeface="+mn-cs"/>
          </a:endParaRPr>
        </a:p>
        <a:p>
          <a:r>
            <a:rPr lang="en-US" sz="1100" b="1" u="sng">
              <a:solidFill>
                <a:schemeClr val="tx1"/>
              </a:solidFill>
              <a:effectLst/>
              <a:latin typeface="+mn-lt"/>
              <a:ea typeface="+mn-ea"/>
              <a:cs typeface="+mn-cs"/>
            </a:rPr>
            <a:t>DEFINITIONS</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a:t>
          </a:r>
          <a:r>
            <a:rPr lang="en-US" sz="1100" b="1">
              <a:solidFill>
                <a:schemeClr val="tx1"/>
              </a:solidFill>
              <a:effectLst/>
              <a:latin typeface="+mn-lt"/>
              <a:ea typeface="+mn-ea"/>
              <a:cs typeface="+mn-cs"/>
            </a:rPr>
            <a:t>Computer</a:t>
          </a:r>
          <a:r>
            <a:rPr lang="en-US" sz="1100" b="0">
              <a:solidFill>
                <a:schemeClr val="tx1"/>
              </a:solidFill>
              <a:effectLst/>
              <a:latin typeface="+mn-lt"/>
              <a:ea typeface="+mn-ea"/>
              <a:cs typeface="+mn-cs"/>
            </a:rPr>
            <a:t>” means a single electronic device with one or more central processing units (CPUs) that accepts information in digital or similar form and manipulates the information for a specific result based on a sequence of instructions. </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a:t>
          </a:r>
          <a:r>
            <a:rPr lang="en-US" sz="1100" b="1">
              <a:solidFill>
                <a:schemeClr val="tx1"/>
              </a:solidFill>
              <a:effectLst/>
              <a:latin typeface="+mn-lt"/>
              <a:ea typeface="+mn-ea"/>
              <a:cs typeface="+mn-cs"/>
            </a:rPr>
            <a:t>Install</a:t>
          </a:r>
          <a:r>
            <a:rPr lang="en-US" sz="1100" b="0">
              <a:solidFill>
                <a:schemeClr val="tx1"/>
              </a:solidFill>
              <a:effectLst/>
              <a:latin typeface="+mn-lt"/>
              <a:ea typeface="+mn-ea"/>
              <a:cs typeface="+mn-cs"/>
            </a:rPr>
            <a:t>” means to place a copy of the Excel Workbook onto your Computer, a hard disk or other storage medium through any means (including, but not limited to, use of an installation utility application accompanying the Software).</a:t>
          </a:r>
          <a:endParaRPr lang="en-US" sz="1600">
            <a:solidFill>
              <a:schemeClr val="tx1"/>
            </a:solidFill>
            <a:effectLst/>
            <a:latin typeface="+mn-lt"/>
            <a:ea typeface="+mn-ea"/>
            <a:cs typeface="+mn-cs"/>
          </a:endParaRPr>
        </a:p>
        <a:p>
          <a:r>
            <a:rPr lang="en-US" sz="1100" b="0">
              <a:solidFill>
                <a:schemeClr val="tx1"/>
              </a:solidFill>
              <a:effectLst/>
              <a:latin typeface="+mn-lt"/>
              <a:ea typeface="+mn-ea"/>
              <a:cs typeface="+mn-cs"/>
            </a:rPr>
            <a:t>“</a:t>
          </a:r>
          <a:r>
            <a:rPr lang="en-US" sz="1100" b="1">
              <a:solidFill>
                <a:schemeClr val="tx1"/>
              </a:solidFill>
              <a:effectLst/>
              <a:latin typeface="+mn-lt"/>
              <a:ea typeface="+mn-ea"/>
              <a:cs typeface="+mn-cs"/>
            </a:rPr>
            <a:t>Excel Workbook</a:t>
          </a:r>
          <a:r>
            <a:rPr lang="en-US" sz="1100" b="0">
              <a:solidFill>
                <a:schemeClr val="tx1"/>
              </a:solidFill>
              <a:effectLst/>
              <a:latin typeface="+mn-lt"/>
              <a:ea typeface="+mn-ea"/>
              <a:cs typeface="+mn-cs"/>
            </a:rPr>
            <a:t>” means the Microsoft</a:t>
          </a:r>
          <a:r>
            <a:rPr lang="en-US" sz="1100" b="0" baseline="0">
              <a:solidFill>
                <a:schemeClr val="tx1"/>
              </a:solidFill>
              <a:effectLst/>
              <a:latin typeface="+mn-lt"/>
              <a:ea typeface="+mn-ea"/>
              <a:cs typeface="+mn-cs"/>
            </a:rPr>
            <a:t> Excel file </a:t>
          </a:r>
          <a:r>
            <a:rPr lang="en-US" sz="1100" b="0">
              <a:solidFill>
                <a:schemeClr val="tx1"/>
              </a:solidFill>
              <a:effectLst/>
              <a:latin typeface="+mn-lt"/>
              <a:ea typeface="+mn-ea"/>
              <a:cs typeface="+mn-cs"/>
            </a:rPr>
            <a:t>which accompanies this Agreement, into which this Agreement is embedded. or that is delivered prepackaged with this Agreement. </a:t>
          </a:r>
        </a:p>
        <a:p>
          <a:r>
            <a:rPr lang="en-US" sz="1100" b="0">
              <a:solidFill>
                <a:schemeClr val="tx1"/>
              </a:solidFill>
              <a:effectLst/>
              <a:latin typeface="+mn-lt"/>
              <a:ea typeface="+mn-ea"/>
              <a:cs typeface="+mn-cs"/>
            </a:rPr>
            <a:t>“</a:t>
          </a:r>
          <a:r>
            <a:rPr lang="en-US" sz="1100" b="1">
              <a:solidFill>
                <a:schemeClr val="tx1"/>
              </a:solidFill>
              <a:effectLst/>
              <a:latin typeface="+mn-lt"/>
              <a:ea typeface="+mn-ea"/>
              <a:cs typeface="+mn-cs"/>
            </a:rPr>
            <a:t>You</a:t>
          </a:r>
          <a:r>
            <a:rPr lang="en-US" sz="1100" b="0">
              <a:solidFill>
                <a:schemeClr val="tx1"/>
              </a:solidFill>
              <a:effectLst/>
              <a:latin typeface="+mn-lt"/>
              <a:ea typeface="+mn-ea"/>
              <a:cs typeface="+mn-cs"/>
            </a:rPr>
            <a:t>” means you personally (i.e., the individual who reads and accepts this Agreement) if you acquire the Excel Workbook for yourself, or means the company or other legal entity for whom you acquire the Software.</a:t>
          </a:r>
          <a:endParaRPr lang="en-US" sz="1600">
            <a:solidFill>
              <a:schemeClr val="tx1"/>
            </a:solidFill>
            <a:effectLst/>
            <a:latin typeface="+mn-lt"/>
            <a:ea typeface="+mn-ea"/>
            <a:cs typeface="+mn-cs"/>
          </a:endParaRPr>
        </a:p>
        <a:p>
          <a:r>
            <a:rPr lang="en-US" sz="1100" u="none" strike="noStrike">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a:pPr>
          <a:r>
            <a:rPr lang="en-US" sz="1100" b="1" u="sng">
              <a:solidFill>
                <a:schemeClr val="tx1"/>
              </a:solidFill>
              <a:effectLst/>
              <a:latin typeface="+mn-lt"/>
              <a:ea typeface="+mn-ea"/>
              <a:cs typeface="+mn-cs"/>
            </a:rPr>
            <a:t>EXCEL WORKBOOK LICENSE</a:t>
          </a:r>
          <a:endParaRPr lang="en-US" sz="1600">
            <a:solidFill>
              <a:schemeClr val="tx1"/>
            </a:solidFill>
            <a:effectLst/>
            <a:latin typeface="+mn-lt"/>
            <a:ea typeface="+mn-ea"/>
            <a:cs typeface="+mn-cs"/>
          </a:endParaRPr>
        </a:p>
        <a:p>
          <a:pPr marL="457200" lvl="1" indent="0">
            <a:buFontTx/>
            <a:buNone/>
          </a:pPr>
          <a:r>
            <a:rPr lang="en-US" sz="1100" b="1">
              <a:solidFill>
                <a:schemeClr val="tx1"/>
              </a:solidFill>
              <a:effectLst/>
              <a:latin typeface="+mn-lt"/>
              <a:ea typeface="+mn-ea"/>
              <a:cs typeface="+mn-cs"/>
            </a:rPr>
            <a:t>License Grant:</a:t>
          </a:r>
          <a:r>
            <a:rPr lang="en-US" sz="1100">
              <a:solidFill>
                <a:schemeClr val="tx1"/>
              </a:solidFill>
              <a:effectLst/>
              <a:latin typeface="+mn-lt"/>
              <a:ea typeface="+mn-ea"/>
              <a:cs typeface="+mn-cs"/>
            </a:rPr>
            <a:t>  The NSBA or its licensors grant You a non-transferable, royalty-free, limited license to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in accordance with this Agreement, and to reproduce and distribute copies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in accordance with the terms of this Agreement.  You may Install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on one or more Computers in one or more locations; post and make available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on a network file server in order to Install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onto other Computers or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over such network; and make backup copies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You may make unlimited copies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and distribute such copies to other persons or entities, including downloading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from the Internet or similar on-line source, so long as (a) all such copies contain this Agreement and the same copyright and other proprietary notices that appear on or in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and (b) You copy and distribute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in its entirety, and (c) You do not distribute incomplete, modified, reverse engineered, or otherwise altered copies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This license is expressly conditioned on Your continuous compliance with all license limitations and restrictions described in this Agreement.  If You violate any of these limitations or restrictions, the license grant and this Agreement will automatically and immediately terminate.  No license is granted under the terms of this Agreement if you did not lawfully acquire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t>
          </a:r>
        </a:p>
        <a:p>
          <a:pPr marL="457200" lvl="1" indent="0">
            <a:buFontTx/>
            <a:buNone/>
          </a:pPr>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457200" lvl="1" indent="0">
            <a:buFontTx/>
            <a:buNone/>
          </a:pPr>
          <a:r>
            <a:rPr lang="en-US" sz="1100" b="1">
              <a:solidFill>
                <a:schemeClr val="tx1"/>
              </a:solidFill>
              <a:effectLst/>
              <a:latin typeface="+mn-lt"/>
              <a:ea typeface="+mn-ea"/>
              <a:cs typeface="+mn-cs"/>
            </a:rPr>
            <a:t>No Support:</a:t>
          </a:r>
          <a:r>
            <a:rPr lang="en-US" sz="1100">
              <a:solidFill>
                <a:schemeClr val="tx1"/>
              </a:solidFill>
              <a:effectLst/>
              <a:latin typeface="+mn-lt"/>
              <a:ea typeface="+mn-ea"/>
              <a:cs typeface="+mn-cs"/>
            </a:rPr>
            <a:t>  You acknowledge and agree that the NSBA is under no obligation to provide maintenance, support, or upgrades for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At its sole option and election, the NSBA may upgrade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over time to include additional functionality.  The NSBA does not warrant or ensure that the version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You acquire will be compatible with any future release, version or update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For more information about potential updates or upgrades to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or to register to receiving notification of any new updates or new releases, please visit our website located at </a:t>
          </a:r>
          <a:r>
            <a:rPr lang="en-US" sz="1100" u="sng">
              <a:solidFill>
                <a:schemeClr val="tx1"/>
              </a:solidFill>
              <a:effectLst/>
              <a:latin typeface="+mn-lt"/>
              <a:ea typeface="+mn-ea"/>
              <a:cs typeface="+mn-cs"/>
              <a:hlinkClick xmlns:r="http://schemas.openxmlformats.org/officeDocument/2006/relationships" r:id=""/>
            </a:rPr>
            <a:t>http://www.aisc.org/nsba</a:t>
          </a:r>
          <a:r>
            <a:rPr lang="en-US" sz="1100">
              <a:solidFill>
                <a:schemeClr val="tx1"/>
              </a:solidFill>
              <a:effectLst/>
              <a:latin typeface="+mn-lt"/>
              <a:ea typeface="+mn-ea"/>
              <a:cs typeface="+mn-cs"/>
            </a:rPr>
            <a:t>. </a:t>
          </a:r>
        </a:p>
        <a:p>
          <a:pPr marL="457200" lvl="1" indent="0">
            <a:buFontTx/>
            <a:buNone/>
          </a:pPr>
          <a:endParaRPr lang="en-US" sz="1600">
            <a:solidFill>
              <a:schemeClr val="tx1"/>
            </a:solidFill>
            <a:effectLst/>
            <a:latin typeface="+mn-lt"/>
            <a:ea typeface="+mn-ea"/>
            <a:cs typeface="+mn-cs"/>
          </a:endParaRPr>
        </a:p>
        <a:p>
          <a:pPr marL="457200" lvl="1" indent="0">
            <a:buFontTx/>
            <a:buNone/>
          </a:pPr>
          <a:r>
            <a:rPr lang="en-US" sz="1100" b="1">
              <a:solidFill>
                <a:schemeClr val="tx1"/>
              </a:solidFill>
              <a:effectLst/>
              <a:latin typeface="+mn-lt"/>
              <a:ea typeface="+mn-ea"/>
              <a:cs typeface="+mn-cs"/>
            </a:rPr>
            <a:t>Modifications to the Excel Workbook </a:t>
          </a:r>
          <a:r>
            <a:rPr lang="en-US" sz="1100">
              <a:solidFill>
                <a:schemeClr val="tx1"/>
              </a:solidFill>
              <a:effectLst/>
              <a:latin typeface="+mn-lt"/>
              <a:ea typeface="+mn-ea"/>
              <a:cs typeface="+mn-cs"/>
            </a:rPr>
            <a:t>.  You may modify, alter, or amend or create a derivative version of this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for Your own internal business purposes, provided that any altered copies continue to contain this Agreement and the same copyright and other proprietary notices that appear on or in the original version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and further provided that you may not further distribute, transmit, or publicly display any altered versions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without the prior, express written permission of the NSBA.</a:t>
          </a:r>
        </a:p>
        <a:p>
          <a:pPr marL="457200" lvl="1" indent="0">
            <a:buFontTx/>
            <a:buNone/>
          </a:pPr>
          <a:endParaRPr lang="en-US" sz="1600">
            <a:solidFill>
              <a:schemeClr val="tx1"/>
            </a:solidFill>
            <a:effectLst/>
            <a:latin typeface="+mn-lt"/>
            <a:ea typeface="+mn-ea"/>
            <a:cs typeface="+mn-cs"/>
          </a:endParaRPr>
        </a:p>
        <a:p>
          <a:pPr marL="457200" lvl="1" indent="0">
            <a:buFontTx/>
            <a:buNone/>
          </a:pPr>
          <a:r>
            <a:rPr lang="en-US" sz="1100" b="1">
              <a:solidFill>
                <a:schemeClr val="tx1"/>
              </a:solidFill>
              <a:effectLst/>
              <a:latin typeface="+mn-lt"/>
              <a:ea typeface="+mn-ea"/>
              <a:cs typeface="+mn-cs"/>
            </a:rPr>
            <a:t>Questions or Concerns:</a:t>
          </a:r>
          <a:r>
            <a:rPr lang="en-US" sz="1100">
              <a:solidFill>
                <a:schemeClr val="tx1"/>
              </a:solidFill>
              <a:effectLst/>
              <a:latin typeface="+mn-lt"/>
              <a:ea typeface="+mn-ea"/>
              <a:cs typeface="+mn-cs"/>
            </a:rPr>
            <a:t>  If you have any questions or concerns, please contact us at </a:t>
          </a:r>
          <a:r>
            <a:rPr lang="en-US" sz="1100" u="sng">
              <a:solidFill>
                <a:schemeClr val="tx1"/>
              </a:solidFill>
              <a:effectLst/>
              <a:latin typeface="+mn-lt"/>
              <a:ea typeface="+mn-ea"/>
              <a:cs typeface="+mn-cs"/>
              <a:hlinkClick xmlns:r="http://schemas.openxmlformats.org/officeDocument/2006/relationships" r:id=""/>
            </a:rPr>
            <a:t>nsbaresources@aisc.org</a:t>
          </a:r>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2"/>
          </a:pPr>
          <a:r>
            <a:rPr lang="en-US" sz="1100" b="1" u="sng">
              <a:solidFill>
                <a:schemeClr val="tx1"/>
              </a:solidFill>
              <a:effectLst/>
              <a:latin typeface="+mn-lt"/>
              <a:ea typeface="+mn-ea"/>
              <a:cs typeface="+mn-cs"/>
            </a:rPr>
            <a:t>PROHIBITED ACTIONS</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The NSBA does not permit any of the following actions, and You acknowledge and agree that You will not take any such actions:</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Install, access, or otherwise copy or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except as expressly authorized by this Agreement.</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(and You will not permit any third party to) reverse engineer, decompile, or disassemble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or otherwise attempt to discover the source code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remove, alter, or obscure any proprietary notices, labels, or marks from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engage in any illegal or unauthorized use.</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to engage in "Stalking", harassing, or harming any other person in any way.</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in any way that violates the right of another person.</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to distribute any computer viruses or other code, files, or programs that interrupt, destroy, or limit the functionality of any computer software or hardware or telecommunications equipment.</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remove, circumvent, disable, damage or otherwise interfere with security-related features, or features that enforce limitations on use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t>
          </a:r>
          <a:endParaRPr lang="en-US" sz="1600">
            <a:solidFill>
              <a:schemeClr val="tx1"/>
            </a:solidFill>
            <a:effectLst/>
            <a:latin typeface="+mn-lt"/>
            <a:ea typeface="+mn-ea"/>
            <a:cs typeface="+mn-cs"/>
          </a:endParaRPr>
        </a:p>
        <a:p>
          <a:pPr marL="628650" lvl="1" indent="-171450">
            <a:buFont typeface="Wingdings" panose="05000000000000000000" pitchFamily="2" charset="2"/>
            <a:buChar char="§"/>
          </a:pPr>
          <a:r>
            <a:rPr lang="en-US" sz="1100">
              <a:solidFill>
                <a:schemeClr val="tx1"/>
              </a:solidFill>
              <a:effectLst/>
              <a:latin typeface="+mn-lt"/>
              <a:ea typeface="+mn-ea"/>
              <a:cs typeface="+mn-cs"/>
            </a:rPr>
            <a:t>You will not use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to launch or otherwise distribute any robot, spider, scraper or other automatic device, process or means to access NSBA information or information of a third party.</a:t>
          </a:r>
          <a:endParaRPr lang="en-US" sz="16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3"/>
          </a:pPr>
          <a:r>
            <a:rPr lang="en-US" sz="1100" b="1" u="sng">
              <a:solidFill>
                <a:schemeClr val="tx1"/>
              </a:solidFill>
              <a:effectLst/>
              <a:latin typeface="+mn-lt"/>
              <a:ea typeface="+mn-ea"/>
              <a:cs typeface="+mn-cs"/>
            </a:rPr>
            <a:t>NO WARRANTY DISCLAIMER</a:t>
          </a:r>
          <a:r>
            <a:rPr lang="en-US" sz="1100" b="0">
              <a:solidFill>
                <a:schemeClr val="tx1"/>
              </a:solidFill>
              <a:effectLst/>
              <a:latin typeface="+mn-lt"/>
              <a:ea typeface="+mn-ea"/>
              <a:cs typeface="+mn-cs"/>
            </a:rPr>
            <a:t> </a:t>
          </a:r>
          <a:endParaRPr lang="en-US" sz="1600">
            <a:solidFill>
              <a:schemeClr val="tx1"/>
            </a:solidFill>
            <a:effectLst/>
            <a:latin typeface="+mn-lt"/>
            <a:ea typeface="+mn-ea"/>
            <a:cs typeface="+mn-cs"/>
          </a:endParaRPr>
        </a:p>
        <a:p>
          <a:pPr lvl="1"/>
          <a:r>
            <a:rPr lang="en-US" sz="1100">
              <a:solidFill>
                <a:schemeClr val="tx1"/>
              </a:solidFill>
              <a:effectLst/>
              <a:latin typeface="+mn-lt"/>
              <a:ea typeface="+mn-ea"/>
              <a:cs typeface="+mn-cs"/>
            </a:rPr>
            <a:t>Neither the NSBA nor its licensors or affiliates make and You receive no express or implied warranties of any kind with respect to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and you agree that you accept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t>
          </a:r>
          <a:r>
            <a:rPr lang="en-US" sz="1100" b="1">
              <a:solidFill>
                <a:schemeClr val="tx1"/>
              </a:solidFill>
              <a:effectLst/>
              <a:latin typeface="+mn-lt"/>
              <a:ea typeface="+mn-ea"/>
              <a:cs typeface="+mn-cs"/>
            </a:rPr>
            <a:t>AS IS</a:t>
          </a:r>
          <a:r>
            <a:rPr lang="en-US" sz="1100">
              <a:solidFill>
                <a:schemeClr val="tx1"/>
              </a:solidFill>
              <a:effectLst/>
              <a:latin typeface="+mn-lt"/>
              <a:ea typeface="+mn-ea"/>
              <a:cs typeface="+mn-cs"/>
            </a:rPr>
            <a:t>”.  Any statements or representations about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or its functionality in accompanying documentation or any communication with You constitute technical information and shall not constitute an express or implied warranty or guarantee.  All other warranties are specifically disclaimed including, without limitation, the implied warranties of merchantability, fitness for a particular purpose and non-infringement.  Without limiting the foregoing, the NSBA does not warrant that the operation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will be uninterrupted or error free.</a:t>
          </a:r>
          <a:endParaRPr lang="en-US" sz="16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4"/>
          </a:pPr>
          <a:r>
            <a:rPr lang="en-US" sz="1100" b="1" u="sng">
              <a:solidFill>
                <a:schemeClr val="tx1"/>
              </a:solidFill>
              <a:effectLst/>
              <a:latin typeface="+mn-lt"/>
              <a:ea typeface="+mn-ea"/>
              <a:cs typeface="+mn-cs"/>
            </a:rPr>
            <a:t>WARNING</a:t>
          </a:r>
          <a:endParaRPr lang="en-US" sz="1600">
            <a:solidFill>
              <a:schemeClr val="tx1"/>
            </a:solidFill>
            <a:effectLst/>
            <a:latin typeface="+mn-lt"/>
            <a:ea typeface="+mn-ea"/>
            <a:cs typeface="+mn-cs"/>
          </a:endParaRPr>
        </a:p>
        <a:p>
          <a:pPr lvl="1"/>
          <a:r>
            <a:rPr lang="en-US" sz="1100">
              <a:solidFill>
                <a:schemeClr val="tx1"/>
              </a:solidFill>
              <a:effectLst/>
              <a:latin typeface="+mn-lt"/>
              <a:ea typeface="+mn-ea"/>
              <a:cs typeface="+mn-cs"/>
            </a:rPr>
            <a:t>This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is intended to be used by trained professionals only.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is not a substitute for Your professional judgment. This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is intended to assist with design and is not a substitute for independent design analysis or estimation. Due to the large variety of potential applications for the Software,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has not been tested in all situations under which it may be used.  Neither the NSBA nor its licensors or affiliates shall not be liable in any manner whatsoever for the results obtained through the use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Persons using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are responsible for the supervision, management and control of the Software and assume all risk from the use or any results thereof. This responsibility includes, but is not limited to, the determination of appropriate uses for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and the selection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and other programs to achieve intended results.  Persons using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are also responsible for establishing the adequacy of independent procedures for testing the reliability and accuracy of any program output, including all items designed by using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a:t>
          </a:r>
          <a:endParaRPr lang="en-US" sz="16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5"/>
          </a:pPr>
          <a:r>
            <a:rPr lang="en-US" sz="1100" b="1" u="sng">
              <a:solidFill>
                <a:schemeClr val="tx1"/>
              </a:solidFill>
              <a:effectLst/>
              <a:latin typeface="+mn-lt"/>
              <a:ea typeface="+mn-ea"/>
              <a:cs typeface="+mn-cs"/>
            </a:rPr>
            <a:t>LIABILITY LIMITATION</a:t>
          </a:r>
          <a:endParaRPr lang="en-US" sz="1600">
            <a:solidFill>
              <a:schemeClr val="tx1"/>
            </a:solidFill>
            <a:effectLst/>
            <a:latin typeface="+mn-lt"/>
            <a:ea typeface="+mn-ea"/>
            <a:cs typeface="+mn-cs"/>
          </a:endParaRPr>
        </a:p>
        <a:p>
          <a:pPr lvl="1"/>
          <a:r>
            <a:rPr lang="en-US" sz="1100">
              <a:solidFill>
                <a:schemeClr val="tx1"/>
              </a:solidFill>
              <a:effectLst/>
              <a:latin typeface="+mn-lt"/>
              <a:ea typeface="+mn-ea"/>
              <a:cs typeface="+mn-cs"/>
            </a:rPr>
            <a:t>In no event shall the NSBA, its licensor, or its affiliates have any liability for any loss or damages of any kind arising out of or in connection with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including direct, incidental, special, indirect, or consequential damages, loss of profits, revenue, data, or cost of cover.  The limitations of liability in this section shall apply to any damages, however caused and regardless of the theory of liability, whether derived from contract, tort (including, but not limited to, negligence), or otherwise, even if specifically advised of the possibility of such damages and regardless of whether the limited remedies available hereunder fail of their essential purpose.  You acknowledge that the royalty-free license fee reflects this allocation of risk.</a:t>
          </a:r>
          <a:endParaRPr lang="en-US" sz="1600">
            <a:solidFill>
              <a:schemeClr val="tx1"/>
            </a:solidFill>
            <a:effectLst/>
            <a:latin typeface="+mn-lt"/>
            <a:ea typeface="+mn-ea"/>
            <a:cs typeface="+mn-cs"/>
          </a:endParaRPr>
        </a:p>
        <a:p>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6"/>
          </a:pPr>
          <a:r>
            <a:rPr lang="en-US" sz="1100" b="1" u="sng">
              <a:solidFill>
                <a:schemeClr val="tx1"/>
              </a:solidFill>
              <a:effectLst/>
              <a:latin typeface="+mn-lt"/>
              <a:ea typeface="+mn-ea"/>
              <a:cs typeface="+mn-cs"/>
            </a:rPr>
            <a:t>INDEMNITY</a:t>
          </a:r>
          <a:endParaRPr lang="en-US" sz="1600">
            <a:solidFill>
              <a:schemeClr val="tx1"/>
            </a:solidFill>
            <a:effectLst/>
            <a:latin typeface="+mn-lt"/>
            <a:ea typeface="+mn-ea"/>
            <a:cs typeface="+mn-cs"/>
          </a:endParaRPr>
        </a:p>
        <a:p>
          <a:pPr lvl="1"/>
          <a:r>
            <a:rPr lang="en-US" sz="1100">
              <a:solidFill>
                <a:schemeClr val="tx1"/>
              </a:solidFill>
              <a:effectLst/>
              <a:latin typeface="+mn-lt"/>
              <a:ea typeface="+mn-ea"/>
              <a:cs typeface="+mn-cs"/>
            </a:rPr>
            <a:t>You shall indemnify, defend and hold harmless the NSBA, its licensors and affiliates, and their officers, directors, employees and representatives for any claim or cause of action, including reasonable attorneys' fees, arising from Your breach of this Agreement or applicable law or regulation, and/or Your use of the </a:t>
          </a:r>
          <a:r>
            <a:rPr lang="en-US" sz="1100" b="0">
              <a:solidFill>
                <a:schemeClr val="tx1"/>
              </a:solidFill>
              <a:effectLst/>
              <a:latin typeface="+mn-lt"/>
              <a:ea typeface="+mn-ea"/>
              <a:cs typeface="+mn-cs"/>
            </a:rPr>
            <a:t>Excel Workbook </a:t>
          </a:r>
          <a:r>
            <a:rPr lang="en-US" sz="1100">
              <a:solidFill>
                <a:schemeClr val="tx1"/>
              </a:solidFill>
              <a:effectLst/>
              <a:latin typeface="+mn-lt"/>
              <a:ea typeface="+mn-ea"/>
              <a:cs typeface="+mn-cs"/>
            </a:rPr>
            <a:t>.  </a:t>
          </a:r>
          <a:endParaRPr lang="en-US" sz="1600">
            <a:solidFill>
              <a:schemeClr val="tx1"/>
            </a:solidFill>
            <a:effectLst/>
            <a:latin typeface="+mn-lt"/>
            <a:ea typeface="+mn-ea"/>
            <a:cs typeface="+mn-cs"/>
          </a:endParaRPr>
        </a:p>
        <a:p>
          <a:r>
            <a:rPr lang="en-US" sz="1100" b="1" u="none" strike="noStrike">
              <a:solidFill>
                <a:schemeClr val="tx1"/>
              </a:solidFill>
              <a:effectLst/>
              <a:latin typeface="+mn-lt"/>
              <a:ea typeface="+mn-ea"/>
              <a:cs typeface="+mn-cs"/>
            </a:rPr>
            <a:t> </a:t>
          </a:r>
          <a:endParaRPr lang="en-US" sz="1600">
            <a:solidFill>
              <a:schemeClr val="tx1"/>
            </a:solidFill>
            <a:effectLst/>
            <a:latin typeface="+mn-lt"/>
            <a:ea typeface="+mn-ea"/>
            <a:cs typeface="+mn-cs"/>
          </a:endParaRPr>
        </a:p>
        <a:p>
          <a:pPr marL="228600" lvl="0" indent="-228600">
            <a:buFont typeface="+mj-lt"/>
            <a:buAutoNum type="arabicPeriod" startAt="7"/>
          </a:pPr>
          <a:r>
            <a:rPr lang="en-US" sz="1100" b="1" u="sng">
              <a:solidFill>
                <a:schemeClr val="tx1"/>
              </a:solidFill>
              <a:effectLst/>
              <a:latin typeface="+mn-lt"/>
              <a:ea typeface="+mn-ea"/>
              <a:cs typeface="+mn-cs"/>
            </a:rPr>
            <a:t>GENERAL</a:t>
          </a:r>
          <a:endParaRPr lang="en-US" sz="1600">
            <a:solidFill>
              <a:schemeClr val="tx1"/>
            </a:solidFill>
            <a:effectLst/>
            <a:latin typeface="+mn-lt"/>
            <a:ea typeface="+mn-ea"/>
            <a:cs typeface="+mn-cs"/>
          </a:endParaRPr>
        </a:p>
        <a:p>
          <a:pPr marL="628650" lvl="1" indent="-171450">
            <a:buFont typeface="Arial" panose="020B0604020202020204" pitchFamily="34" charset="0"/>
            <a:buChar char="•"/>
          </a:pPr>
          <a:r>
            <a:rPr lang="en-US" sz="1100">
              <a:solidFill>
                <a:schemeClr val="tx1"/>
              </a:solidFill>
              <a:effectLst/>
              <a:latin typeface="+mn-lt"/>
              <a:ea typeface="+mn-ea"/>
              <a:cs typeface="+mn-cs"/>
            </a:rPr>
            <a:t>This Agreement supersedes any prior form of communication that relates to the subject matter contained in this agreement.</a:t>
          </a:r>
          <a:endParaRPr lang="en-US" sz="1600">
            <a:solidFill>
              <a:schemeClr val="tx1"/>
            </a:solidFill>
            <a:effectLst/>
            <a:latin typeface="+mn-lt"/>
            <a:ea typeface="+mn-ea"/>
            <a:cs typeface="+mn-cs"/>
          </a:endParaRPr>
        </a:p>
        <a:p>
          <a:pPr marL="628650" lvl="1" indent="-171450">
            <a:buFont typeface="Arial" panose="020B0604020202020204" pitchFamily="34" charset="0"/>
            <a:buChar char="•"/>
          </a:pPr>
          <a:r>
            <a:rPr lang="en-US" sz="1100">
              <a:solidFill>
                <a:schemeClr val="tx1"/>
              </a:solidFill>
              <a:effectLst/>
              <a:latin typeface="+mn-lt"/>
              <a:ea typeface="+mn-ea"/>
              <a:cs typeface="+mn-cs"/>
            </a:rPr>
            <a:t>You represent and warrant that You are over the age of 18 and are fully authorized to enter into and perform this Agreement.  The parties are independent contractors, and nothing herein creates or implies an agency relationship or a joint venture or partnership between the parties.</a:t>
          </a:r>
          <a:endParaRPr lang="en-US" sz="1600">
            <a:solidFill>
              <a:schemeClr val="tx1"/>
            </a:solidFill>
            <a:effectLst/>
            <a:latin typeface="+mn-lt"/>
            <a:ea typeface="+mn-ea"/>
            <a:cs typeface="+mn-cs"/>
          </a:endParaRPr>
        </a:p>
        <a:p>
          <a:pPr marL="628650" lvl="1" indent="-171450">
            <a:buFont typeface="Arial" panose="020B0604020202020204" pitchFamily="34" charset="0"/>
            <a:buChar char="•"/>
          </a:pPr>
          <a:r>
            <a:rPr lang="en-US" sz="1100">
              <a:solidFill>
                <a:schemeClr val="tx1"/>
              </a:solidFill>
              <a:effectLst/>
              <a:latin typeface="+mn-lt"/>
              <a:ea typeface="+mn-ea"/>
              <a:cs typeface="+mn-cs"/>
            </a:rPr>
            <a:t>This Agreement will be interpreted and construed in accordance with the laws of the State of Illinois (and U.S. Copyright law) without regard to conflicts of law.  Any dispute relating to or arising out of this Agreement or the relationship between the parties shall be referred to binding arbitration to take place in Chicago, Illinois in accordance with the Commercial Arbitration Rules of the American Arbitration Association.  Said binding arbitration shall be the exclusive remedy available to the parties and any arbitration award shall be enforceable in any court of competent jurisdiction.  Notwithstanding, in the event that it may be necessary for NSBA or its licensors to seek injunctive relief, the parties agree and consent to the exclusive jurisdiction of the state or federal courts of competent jurisdiction in Chicago, Illinois for the sole purpose of granting said injunctive relief.  Any post-injunctive substantive proceedings shall be determined by arbitration as aforesaid, and any court proceedings related to injunctive relief shall be held in abeyance pending the outcome of arbitration.</a:t>
          </a:r>
          <a:endParaRPr lang="en-US" sz="1600">
            <a:solidFill>
              <a:schemeClr val="tx1"/>
            </a:solidFill>
            <a:effectLst/>
            <a:latin typeface="+mn-lt"/>
            <a:ea typeface="+mn-ea"/>
            <a:cs typeface="+mn-cs"/>
          </a:endParaRPr>
        </a:p>
        <a:p>
          <a:pPr marL="628650" lvl="1" indent="-171450">
            <a:buFont typeface="Arial" panose="020B0604020202020204" pitchFamily="34" charset="0"/>
            <a:buChar char="•"/>
          </a:pPr>
          <a:r>
            <a:rPr lang="en-US" sz="1100">
              <a:solidFill>
                <a:schemeClr val="tx1"/>
              </a:solidFill>
              <a:effectLst/>
              <a:latin typeface="+mn-lt"/>
              <a:ea typeface="+mn-ea"/>
              <a:cs typeface="+mn-cs"/>
            </a:rPr>
            <a:t>Any comments, feedback or suggestions (“Feedback”) You provide to NSBA shall be owned by NSBA, and You hereby assign to NSBA and waive any claim to ownership or contribution for any subsequent changes to the Software resulting from or related to Your Feedback.</a:t>
          </a:r>
          <a:endParaRPr lang="en-US" sz="1600">
            <a:solidFill>
              <a:schemeClr val="tx1"/>
            </a:solidFill>
            <a:effectLst/>
            <a:latin typeface="+mn-lt"/>
            <a:ea typeface="+mn-ea"/>
            <a:cs typeface="+mn-cs"/>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3031</xdr:rowOff>
    </xdr:from>
    <xdr:to>
      <xdr:col>0</xdr:col>
      <xdr:colOff>733425</xdr:colOff>
      <xdr:row>0</xdr:row>
      <xdr:rowOff>736456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3031"/>
          <a:ext cx="733425" cy="733425"/>
        </a:xfrm>
        <a:prstGeom prst="rect">
          <a:avLst/>
        </a:prstGeom>
        <a:solidFill>
          <a:schemeClr val="bg1"/>
        </a:solidFill>
      </xdr:spPr>
    </xdr:pic>
    <xdr:clientData/>
  </xdr:twoCellAnchor>
  <xdr:twoCellAnchor editAs="oneCell">
    <xdr:from>
      <xdr:col>6</xdr:col>
      <xdr:colOff>1109664</xdr:colOff>
      <xdr:row>0</xdr:row>
      <xdr:rowOff>61913</xdr:rowOff>
    </xdr:from>
    <xdr:to>
      <xdr:col>8</xdr:col>
      <xdr:colOff>1243014</xdr:colOff>
      <xdr:row>1</xdr:row>
      <xdr:rowOff>255434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320464" y="61913"/>
          <a:ext cx="2886075" cy="9364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237266</xdr:colOff>
      <xdr:row>2</xdr:row>
      <xdr:rowOff>120524</xdr:rowOff>
    </xdr:from>
    <xdr:to>
      <xdr:col>8</xdr:col>
      <xdr:colOff>527277</xdr:colOff>
      <xdr:row>22</xdr:row>
      <xdr:rowOff>180050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266" y="1132555"/>
          <a:ext cx="5460725" cy="4026859"/>
        </a:xfrm>
        <a:prstGeom prst="rect">
          <a:avLst/>
        </a:prstGeom>
      </xdr:spPr>
    </xdr:pic>
    <xdr:clientData/>
  </xdr:twoCellAnchor>
  <xdr:twoCellAnchor editAs="oneCell">
    <xdr:from>
      <xdr:col>0</xdr:col>
      <xdr:colOff>190120</xdr:colOff>
      <xdr:row>26</xdr:row>
      <xdr:rowOff>180976</xdr:rowOff>
    </xdr:from>
    <xdr:to>
      <xdr:col>10</xdr:col>
      <xdr:colOff>95807</xdr:colOff>
      <xdr:row>46</xdr:row>
      <xdr:rowOff>85726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0120" y="4562476"/>
          <a:ext cx="6001687" cy="3714750"/>
        </a:xfrm>
        <a:prstGeom prst="rect">
          <a:avLst/>
        </a:prstGeom>
      </xdr:spPr>
    </xdr:pic>
    <xdr:clientData/>
  </xdr:twoCellAnchor>
  <xdr:twoCellAnchor editAs="oneCell">
    <xdr:from>
      <xdr:col>9</xdr:col>
      <xdr:colOff>490151</xdr:colOff>
      <xdr:row>79</xdr:row>
      <xdr:rowOff>96609</xdr:rowOff>
    </xdr:from>
    <xdr:to>
      <xdr:col>18</xdr:col>
      <xdr:colOff>587179</xdr:colOff>
      <xdr:row>98</xdr:row>
      <xdr:rowOff>162141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976551" y="14574609"/>
          <a:ext cx="5583428" cy="3685032"/>
        </a:xfrm>
        <a:prstGeom prst="rect">
          <a:avLst/>
        </a:prstGeom>
      </xdr:spPr>
    </xdr:pic>
    <xdr:clientData/>
  </xdr:twoCellAnchor>
  <xdr:twoCellAnchor editAs="oneCell">
    <xdr:from>
      <xdr:col>10</xdr:col>
      <xdr:colOff>228600</xdr:colOff>
      <xdr:row>26</xdr:row>
      <xdr:rowOff>57151</xdr:rowOff>
    </xdr:from>
    <xdr:to>
      <xdr:col>18</xdr:col>
      <xdr:colOff>523876</xdr:colOff>
      <xdr:row>47</xdr:row>
      <xdr:rowOff>19051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6324600" y="4438651"/>
          <a:ext cx="5172076" cy="3962400"/>
        </a:xfrm>
        <a:prstGeom prst="rect">
          <a:avLst/>
        </a:prstGeom>
      </xdr:spPr>
    </xdr:pic>
    <xdr:clientData/>
  </xdr:twoCellAnchor>
  <xdr:twoCellAnchor editAs="oneCell">
    <xdr:from>
      <xdr:col>12</xdr:col>
      <xdr:colOff>133350</xdr:colOff>
      <xdr:row>50</xdr:row>
      <xdr:rowOff>19050</xdr:rowOff>
    </xdr:from>
    <xdr:to>
      <xdr:col>17</xdr:col>
      <xdr:colOff>352425</xdr:colOff>
      <xdr:row>76</xdr:row>
      <xdr:rowOff>62754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448550" y="8972550"/>
          <a:ext cx="3267075" cy="4996704"/>
        </a:xfrm>
        <a:prstGeom prst="rect">
          <a:avLst/>
        </a:prstGeom>
      </xdr:spPr>
    </xdr:pic>
    <xdr:clientData/>
  </xdr:twoCellAnchor>
  <xdr:twoCellAnchor editAs="oneCell">
    <xdr:from>
      <xdr:col>0</xdr:col>
      <xdr:colOff>76200</xdr:colOff>
      <xdr:row>52</xdr:row>
      <xdr:rowOff>31035</xdr:rowOff>
    </xdr:from>
    <xdr:to>
      <xdr:col>11</xdr:col>
      <xdr:colOff>9525</xdr:colOff>
      <xdr:row>74</xdr:row>
      <xdr:rowOff>50770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6200" y="9365535"/>
          <a:ext cx="6638925" cy="4210735"/>
        </a:xfrm>
        <a:prstGeom prst="rect">
          <a:avLst/>
        </a:prstGeom>
      </xdr:spPr>
    </xdr:pic>
    <xdr:clientData/>
  </xdr:twoCellAnchor>
  <xdr:twoCellAnchor editAs="oneCell">
    <xdr:from>
      <xdr:col>0</xdr:col>
      <xdr:colOff>76200</xdr:colOff>
      <xdr:row>78</xdr:row>
      <xdr:rowOff>114915</xdr:rowOff>
    </xdr:from>
    <xdr:to>
      <xdr:col>9</xdr:col>
      <xdr:colOff>439293</xdr:colOff>
      <xdr:row>99</xdr:row>
      <xdr:rowOff>143835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76200" y="14402415"/>
          <a:ext cx="5849493" cy="4029420"/>
        </a:xfrm>
        <a:prstGeom prst="rect">
          <a:avLst/>
        </a:prstGeom>
      </xdr:spPr>
    </xdr:pic>
    <xdr:clientData/>
  </xdr:twoCellAnchor>
  <xdr:twoCellAnchor editAs="oneCell">
    <xdr:from>
      <xdr:col>9</xdr:col>
      <xdr:colOff>467459</xdr:colOff>
      <xdr:row>4</xdr:row>
      <xdr:rowOff>60004</xdr:rowOff>
    </xdr:from>
    <xdr:to>
      <xdr:col>18</xdr:col>
      <xdr:colOff>212725</xdr:colOff>
      <xdr:row>23</xdr:row>
      <xdr:rowOff>31429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5896709" y="250504"/>
          <a:ext cx="5174516" cy="3590925"/>
        </a:xfrm>
        <a:prstGeom prst="rect">
          <a:avLst/>
        </a:prstGeom>
      </xdr:spPr>
    </xdr:pic>
    <xdr:clientData/>
  </xdr:twoCellAnchor>
  <xdr:twoCellAnchor editAs="oneCell">
    <xdr:from>
      <xdr:col>0</xdr:col>
      <xdr:colOff>0</xdr:colOff>
      <xdr:row>0</xdr:row>
      <xdr:rowOff>0</xdr:rowOff>
    </xdr:from>
    <xdr:to>
      <xdr:col>1</xdr:col>
      <xdr:colOff>121920</xdr:colOff>
      <xdr:row>0</xdr:row>
      <xdr:rowOff>731520</xdr:rowOff>
    </xdr:to>
    <xdr:pic>
      <xdr:nvPicPr>
        <xdr:cNvPr id="12" name="Picture 11">
          <a:extLst>
            <a:ext uri="{FF2B5EF4-FFF2-40B4-BE49-F238E27FC236}">
              <a16:creationId xmlns:a16="http://schemas.microsoft.com/office/drawing/2014/main" id="{00000000-0008-0000-0200-00000C000000}"/>
            </a:ext>
          </a:extLst>
        </xdr:cNvPr>
        <xdr:cNvPicPr>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0" y="0"/>
          <a:ext cx="731520" cy="731520"/>
        </a:xfrm>
        <a:prstGeom prst="rect">
          <a:avLst/>
        </a:prstGeom>
        <a:solidFill>
          <a:schemeClr val="bg1"/>
        </a:solidFill>
      </xdr:spPr>
    </xdr:pic>
    <xdr:clientData/>
  </xdr:twoCellAnchor>
  <xdr:twoCellAnchor editAs="oneCell">
    <xdr:from>
      <xdr:col>0</xdr:col>
      <xdr:colOff>159862</xdr:colOff>
      <xdr:row>100</xdr:row>
      <xdr:rowOff>64951</xdr:rowOff>
    </xdr:from>
    <xdr:to>
      <xdr:col>5</xdr:col>
      <xdr:colOff>145875</xdr:colOff>
      <xdr:row>116</xdr:row>
      <xdr:rowOff>8964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59862" y="19306302"/>
          <a:ext cx="3217709" cy="2869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3031</xdr:rowOff>
    </xdr:from>
    <xdr:to>
      <xdr:col>0</xdr:col>
      <xdr:colOff>731520</xdr:colOff>
      <xdr:row>0</xdr:row>
      <xdr:rowOff>734551</xdr:rowOff>
    </xdr:to>
    <xdr:pic>
      <xdr:nvPicPr>
        <xdr:cNvPr id="3" name="Picture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3031"/>
          <a:ext cx="731520" cy="731520"/>
        </a:xfrm>
        <a:prstGeom prst="rect">
          <a:avLst/>
        </a:prstGeom>
        <a:solidFill>
          <a:schemeClr val="bg1"/>
        </a:solidFill>
      </xdr:spPr>
    </xdr:pic>
    <xdr:clientData/>
  </xdr:twoCellAnchor>
  <xdr:twoCellAnchor editAs="oneCell">
    <xdr:from>
      <xdr:col>5</xdr:col>
      <xdr:colOff>66675</xdr:colOff>
      <xdr:row>0</xdr:row>
      <xdr:rowOff>57150</xdr:rowOff>
    </xdr:from>
    <xdr:to>
      <xdr:col>7</xdr:col>
      <xdr:colOff>28575</xdr:colOff>
      <xdr:row>1</xdr:row>
      <xdr:rowOff>250671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362825" y="57150"/>
          <a:ext cx="2514600" cy="936471"/>
        </a:xfrm>
        <a:prstGeom prst="rect">
          <a:avLst/>
        </a:prstGeom>
      </xdr:spPr>
    </xdr:pic>
    <xdr:clientData/>
  </xdr:twoCellAnchor>
  <xdr:twoCellAnchor editAs="oneCell">
    <xdr:from>
      <xdr:col>4</xdr:col>
      <xdr:colOff>933450</xdr:colOff>
      <xdr:row>2</xdr:row>
      <xdr:rowOff>47625</xdr:rowOff>
    </xdr:from>
    <xdr:to>
      <xdr:col>7</xdr:col>
      <xdr:colOff>9525</xdr:colOff>
      <xdr:row>4</xdr:row>
      <xdr:rowOff>133350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953250" y="1057275"/>
          <a:ext cx="2905125" cy="49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3031</xdr:rowOff>
    </xdr:from>
    <xdr:to>
      <xdr:col>0</xdr:col>
      <xdr:colOff>731520</xdr:colOff>
      <xdr:row>0</xdr:row>
      <xdr:rowOff>734551</xdr:rowOff>
    </xdr:to>
    <xdr:pic>
      <xdr:nvPicPr>
        <xdr:cNvPr id="2" name="Picture 1">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3031"/>
          <a:ext cx="731520" cy="731520"/>
        </a:xfrm>
        <a:prstGeom prst="rect">
          <a:avLst/>
        </a:prstGeom>
        <a:solidFill>
          <a:schemeClr val="bg1"/>
        </a:solidFill>
      </xdr:spPr>
    </xdr:pic>
    <xdr:clientData/>
  </xdr:twoCellAnchor>
  <xdr:twoCellAnchor editAs="oneCell">
    <xdr:from>
      <xdr:col>5</xdr:col>
      <xdr:colOff>1190625</xdr:colOff>
      <xdr:row>0</xdr:row>
      <xdr:rowOff>34925</xdr:rowOff>
    </xdr:from>
    <xdr:to>
      <xdr:col>7</xdr:col>
      <xdr:colOff>1276350</xdr:colOff>
      <xdr:row>1</xdr:row>
      <xdr:rowOff>228446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324975" y="34925"/>
          <a:ext cx="2714625" cy="936471"/>
        </a:xfrm>
        <a:prstGeom prst="rect">
          <a:avLst/>
        </a:prstGeom>
      </xdr:spPr>
    </xdr:pic>
    <xdr:clientData/>
  </xdr:twoCellAnchor>
  <xdr:twoCellAnchor editAs="oneCell">
    <xdr:from>
      <xdr:col>5</xdr:col>
      <xdr:colOff>860425</xdr:colOff>
      <xdr:row>2</xdr:row>
      <xdr:rowOff>22225</xdr:rowOff>
    </xdr:from>
    <xdr:to>
      <xdr:col>7</xdr:col>
      <xdr:colOff>1270000</xdr:colOff>
      <xdr:row>4</xdr:row>
      <xdr:rowOff>98425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8994775" y="1025525"/>
          <a:ext cx="3038475" cy="482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3048</xdr:rowOff>
    </xdr:from>
    <xdr:to>
      <xdr:col>0</xdr:col>
      <xdr:colOff>737616</xdr:colOff>
      <xdr:row>0</xdr:row>
      <xdr:rowOff>740664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3048"/>
          <a:ext cx="737616" cy="737616"/>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xdr:from>
          <xdr:col>5</xdr:col>
          <xdr:colOff>409575</xdr:colOff>
          <xdr:row>166</xdr:row>
          <xdr:rowOff>28575</xdr:rowOff>
        </xdr:from>
        <xdr:to>
          <xdr:col>5</xdr:col>
          <xdr:colOff>1209675</xdr:colOff>
          <xdr:row>166</xdr:row>
          <xdr:rowOff>257175</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67</xdr:row>
          <xdr:rowOff>85725</xdr:rowOff>
        </xdr:from>
        <xdr:to>
          <xdr:col>2</xdr:col>
          <xdr:colOff>1019175</xdr:colOff>
          <xdr:row>67</xdr:row>
          <xdr:rowOff>561975</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32</xdr:row>
          <xdr:rowOff>28575</xdr:rowOff>
        </xdr:from>
        <xdr:to>
          <xdr:col>5</xdr:col>
          <xdr:colOff>1171575</xdr:colOff>
          <xdr:row>32</xdr:row>
          <xdr:rowOff>581025</xdr:rowOff>
        </xdr:to>
        <xdr:sp macro="" textlink="">
          <xdr:nvSpPr>
            <xdr:cNvPr id="8203" name="Object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92</xdr:row>
          <xdr:rowOff>66675</xdr:rowOff>
        </xdr:from>
        <xdr:to>
          <xdr:col>5</xdr:col>
          <xdr:colOff>1514475</xdr:colOff>
          <xdr:row>92</xdr:row>
          <xdr:rowOff>266700</xdr:rowOff>
        </xdr:to>
        <xdr:sp macro="" textlink="">
          <xdr:nvSpPr>
            <xdr:cNvPr id="8204" name="Object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200025</xdr:colOff>
          <xdr:row>182</xdr:row>
          <xdr:rowOff>28575</xdr:rowOff>
        </xdr:from>
        <xdr:to>
          <xdr:col>7</xdr:col>
          <xdr:colOff>1257300</xdr:colOff>
          <xdr:row>182</xdr:row>
          <xdr:rowOff>238125</xdr:rowOff>
        </xdr:to>
        <xdr:sp macro="" textlink="">
          <xdr:nvSpPr>
            <xdr:cNvPr id="8205" name="Object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208</xdr:row>
          <xdr:rowOff>66675</xdr:rowOff>
        </xdr:from>
        <xdr:to>
          <xdr:col>6</xdr:col>
          <xdr:colOff>1076325</xdr:colOff>
          <xdr:row>208</xdr:row>
          <xdr:rowOff>295275</xdr:rowOff>
        </xdr:to>
        <xdr:sp macro="" textlink="">
          <xdr:nvSpPr>
            <xdr:cNvPr id="8207" name="Object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220</xdr:row>
          <xdr:rowOff>9525</xdr:rowOff>
        </xdr:from>
        <xdr:to>
          <xdr:col>2</xdr:col>
          <xdr:colOff>866775</xdr:colOff>
          <xdr:row>220</xdr:row>
          <xdr:rowOff>257175</xdr:rowOff>
        </xdr:to>
        <xdr:sp macro="" textlink="">
          <xdr:nvSpPr>
            <xdr:cNvPr id="8210" name="Object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246</xdr:row>
          <xdr:rowOff>66675</xdr:rowOff>
        </xdr:from>
        <xdr:to>
          <xdr:col>6</xdr:col>
          <xdr:colOff>1076325</xdr:colOff>
          <xdr:row>246</xdr:row>
          <xdr:rowOff>295275</xdr:rowOff>
        </xdr:to>
        <xdr:sp macro="" textlink="">
          <xdr:nvSpPr>
            <xdr:cNvPr id="8211" name="Object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258</xdr:row>
          <xdr:rowOff>38100</xdr:rowOff>
        </xdr:from>
        <xdr:to>
          <xdr:col>2</xdr:col>
          <xdr:colOff>885825</xdr:colOff>
          <xdr:row>258</xdr:row>
          <xdr:rowOff>276225</xdr:rowOff>
        </xdr:to>
        <xdr:sp macro="" textlink="">
          <xdr:nvSpPr>
            <xdr:cNvPr id="8213" name="Object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284</xdr:row>
          <xdr:rowOff>66675</xdr:rowOff>
        </xdr:from>
        <xdr:to>
          <xdr:col>6</xdr:col>
          <xdr:colOff>1076325</xdr:colOff>
          <xdr:row>284</xdr:row>
          <xdr:rowOff>295275</xdr:rowOff>
        </xdr:to>
        <xdr:sp macro="" textlink="">
          <xdr:nvSpPr>
            <xdr:cNvPr id="8214" name="Object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296</xdr:row>
          <xdr:rowOff>38100</xdr:rowOff>
        </xdr:from>
        <xdr:to>
          <xdr:col>2</xdr:col>
          <xdr:colOff>885825</xdr:colOff>
          <xdr:row>296</xdr:row>
          <xdr:rowOff>276225</xdr:rowOff>
        </xdr:to>
        <xdr:sp macro="" textlink="">
          <xdr:nvSpPr>
            <xdr:cNvPr id="8216" name="Object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390525</xdr:colOff>
          <xdr:row>319</xdr:row>
          <xdr:rowOff>47625</xdr:rowOff>
        </xdr:from>
        <xdr:to>
          <xdr:col>5</xdr:col>
          <xdr:colOff>1190625</xdr:colOff>
          <xdr:row>319</xdr:row>
          <xdr:rowOff>266700</xdr:rowOff>
        </xdr:to>
        <xdr:sp macro="" textlink="">
          <xdr:nvSpPr>
            <xdr:cNvPr id="8217" name="Object 25"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257175</xdr:colOff>
          <xdr:row>319</xdr:row>
          <xdr:rowOff>47625</xdr:rowOff>
        </xdr:from>
        <xdr:to>
          <xdr:col>6</xdr:col>
          <xdr:colOff>1095375</xdr:colOff>
          <xdr:row>319</xdr:row>
          <xdr:rowOff>266700</xdr:rowOff>
        </xdr:to>
        <xdr:sp macro="" textlink="">
          <xdr:nvSpPr>
            <xdr:cNvPr id="8218" name="Object 26"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330</xdr:row>
          <xdr:rowOff>47625</xdr:rowOff>
        </xdr:from>
        <xdr:to>
          <xdr:col>5</xdr:col>
          <xdr:colOff>1209675</xdr:colOff>
          <xdr:row>330</xdr:row>
          <xdr:rowOff>266700</xdr:rowOff>
        </xdr:to>
        <xdr:sp macro="" textlink="">
          <xdr:nvSpPr>
            <xdr:cNvPr id="8219" name="Object 27"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330</xdr:row>
          <xdr:rowOff>47625</xdr:rowOff>
        </xdr:from>
        <xdr:to>
          <xdr:col>6</xdr:col>
          <xdr:colOff>1133475</xdr:colOff>
          <xdr:row>330</xdr:row>
          <xdr:rowOff>266700</xdr:rowOff>
        </xdr:to>
        <xdr:sp macro="" textlink="">
          <xdr:nvSpPr>
            <xdr:cNvPr id="8220" name="Object 28"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314325</xdr:colOff>
          <xdr:row>319</xdr:row>
          <xdr:rowOff>47625</xdr:rowOff>
        </xdr:from>
        <xdr:to>
          <xdr:col>7</xdr:col>
          <xdr:colOff>1019175</xdr:colOff>
          <xdr:row>319</xdr:row>
          <xdr:rowOff>266700</xdr:rowOff>
        </xdr:to>
        <xdr:sp macro="" textlink="">
          <xdr:nvSpPr>
            <xdr:cNvPr id="8266" name="Object 74" hidden="1">
              <a:extLst>
                <a:ext uri="{63B3BB69-23CF-44E3-9099-C40C66FF867C}">
                  <a14:compatExt spid="_x0000_s8266"/>
                </a:ext>
                <a:ext uri="{FF2B5EF4-FFF2-40B4-BE49-F238E27FC236}">
                  <a16:creationId xmlns:a16="http://schemas.microsoft.com/office/drawing/2014/main" id="{00000000-0008-0000-0500-00004A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330</xdr:row>
          <xdr:rowOff>38100</xdr:rowOff>
        </xdr:from>
        <xdr:to>
          <xdr:col>7</xdr:col>
          <xdr:colOff>1028700</xdr:colOff>
          <xdr:row>330</xdr:row>
          <xdr:rowOff>257175</xdr:rowOff>
        </xdr:to>
        <xdr:sp macro="" textlink="">
          <xdr:nvSpPr>
            <xdr:cNvPr id="8267" name="Object 75" hidden="1">
              <a:extLst>
                <a:ext uri="{63B3BB69-23CF-44E3-9099-C40C66FF867C}">
                  <a14:compatExt spid="_x0000_s8267"/>
                </a:ext>
                <a:ext uri="{FF2B5EF4-FFF2-40B4-BE49-F238E27FC236}">
                  <a16:creationId xmlns:a16="http://schemas.microsoft.com/office/drawing/2014/main" id="{00000000-0008-0000-0500-00004B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638175</xdr:colOff>
          <xdr:row>296</xdr:row>
          <xdr:rowOff>257175</xdr:rowOff>
        </xdr:from>
        <xdr:to>
          <xdr:col>2</xdr:col>
          <xdr:colOff>1285875</xdr:colOff>
          <xdr:row>296</xdr:row>
          <xdr:rowOff>495300</xdr:rowOff>
        </xdr:to>
        <xdr:sp macro="" textlink="">
          <xdr:nvSpPr>
            <xdr:cNvPr id="8268" name="Object 76" hidden="1">
              <a:extLst>
                <a:ext uri="{63B3BB69-23CF-44E3-9099-C40C66FF867C}">
                  <a14:compatExt spid="_x0000_s8268"/>
                </a:ext>
                <a:ext uri="{FF2B5EF4-FFF2-40B4-BE49-F238E27FC236}">
                  <a16:creationId xmlns:a16="http://schemas.microsoft.com/office/drawing/2014/main" id="{00000000-0008-0000-0500-00004C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638175</xdr:colOff>
          <xdr:row>258</xdr:row>
          <xdr:rowOff>257175</xdr:rowOff>
        </xdr:from>
        <xdr:to>
          <xdr:col>2</xdr:col>
          <xdr:colOff>1266825</xdr:colOff>
          <xdr:row>258</xdr:row>
          <xdr:rowOff>495300</xdr:rowOff>
        </xdr:to>
        <xdr:sp macro="" textlink="">
          <xdr:nvSpPr>
            <xdr:cNvPr id="8269" name="Object 77" hidden="1">
              <a:extLst>
                <a:ext uri="{63B3BB69-23CF-44E3-9099-C40C66FF867C}">
                  <a14:compatExt spid="_x0000_s8269"/>
                </a:ext>
                <a:ext uri="{FF2B5EF4-FFF2-40B4-BE49-F238E27FC236}">
                  <a16:creationId xmlns:a16="http://schemas.microsoft.com/office/drawing/2014/main" id="{00000000-0008-0000-0500-00004D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390525</xdr:colOff>
          <xdr:row>220</xdr:row>
          <xdr:rowOff>257175</xdr:rowOff>
        </xdr:from>
        <xdr:to>
          <xdr:col>2</xdr:col>
          <xdr:colOff>1285875</xdr:colOff>
          <xdr:row>220</xdr:row>
          <xdr:rowOff>523875</xdr:rowOff>
        </xdr:to>
        <xdr:sp macro="" textlink="">
          <xdr:nvSpPr>
            <xdr:cNvPr id="8270" name="Object 78" hidden="1">
              <a:extLst>
                <a:ext uri="{63B3BB69-23CF-44E3-9099-C40C66FF867C}">
                  <a14:compatExt spid="_x0000_s8270"/>
                </a:ext>
                <a:ext uri="{FF2B5EF4-FFF2-40B4-BE49-F238E27FC236}">
                  <a16:creationId xmlns:a16="http://schemas.microsoft.com/office/drawing/2014/main" id="{00000000-0008-0000-0500-00004E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238125</xdr:colOff>
      <xdr:row>0</xdr:row>
      <xdr:rowOff>152400</xdr:rowOff>
    </xdr:from>
    <xdr:to>
      <xdr:col>8</xdr:col>
      <xdr:colOff>390525</xdr:colOff>
      <xdr:row>0</xdr:row>
      <xdr:rowOff>647700</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810625" y="152400"/>
          <a:ext cx="2905125" cy="495300"/>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638175</xdr:colOff>
          <xdr:row>290</xdr:row>
          <xdr:rowOff>219075</xdr:rowOff>
        </xdr:from>
        <xdr:to>
          <xdr:col>7</xdr:col>
          <xdr:colOff>1066800</xdr:colOff>
          <xdr:row>290</xdr:row>
          <xdr:rowOff>457200</xdr:rowOff>
        </xdr:to>
        <xdr:sp macro="" textlink="">
          <xdr:nvSpPr>
            <xdr:cNvPr id="8271" name="Object 79" hidden="1">
              <a:extLst>
                <a:ext uri="{63B3BB69-23CF-44E3-9099-C40C66FF867C}">
                  <a14:compatExt spid="_x0000_s8271"/>
                </a:ext>
                <a:ext uri="{FF2B5EF4-FFF2-40B4-BE49-F238E27FC236}">
                  <a16:creationId xmlns:a16="http://schemas.microsoft.com/office/drawing/2014/main" id="{00000000-0008-0000-0500-00004F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638175</xdr:colOff>
          <xdr:row>252</xdr:row>
          <xdr:rowOff>219075</xdr:rowOff>
        </xdr:from>
        <xdr:to>
          <xdr:col>7</xdr:col>
          <xdr:colOff>1066800</xdr:colOff>
          <xdr:row>252</xdr:row>
          <xdr:rowOff>457200</xdr:rowOff>
        </xdr:to>
        <xdr:sp macro="" textlink="">
          <xdr:nvSpPr>
            <xdr:cNvPr id="8273" name="Object 81" hidden="1">
              <a:extLst>
                <a:ext uri="{63B3BB69-23CF-44E3-9099-C40C66FF867C}">
                  <a14:compatExt spid="_x0000_s8273"/>
                </a:ext>
                <a:ext uri="{FF2B5EF4-FFF2-40B4-BE49-F238E27FC236}">
                  <a16:creationId xmlns:a16="http://schemas.microsoft.com/office/drawing/2014/main" id="{00000000-0008-0000-0500-00005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638175</xdr:colOff>
          <xdr:row>214</xdr:row>
          <xdr:rowOff>219075</xdr:rowOff>
        </xdr:from>
        <xdr:to>
          <xdr:col>7</xdr:col>
          <xdr:colOff>1066800</xdr:colOff>
          <xdr:row>214</xdr:row>
          <xdr:rowOff>457200</xdr:rowOff>
        </xdr:to>
        <xdr:sp macro="" textlink="">
          <xdr:nvSpPr>
            <xdr:cNvPr id="8274" name="Object 82" hidden="1">
              <a:extLst>
                <a:ext uri="{63B3BB69-23CF-44E3-9099-C40C66FF867C}">
                  <a14:compatExt spid="_x0000_s8274"/>
                </a:ext>
                <a:ext uri="{FF2B5EF4-FFF2-40B4-BE49-F238E27FC236}">
                  <a16:creationId xmlns:a16="http://schemas.microsoft.com/office/drawing/2014/main" id="{00000000-0008-0000-0500-000052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381000</xdr:colOff>
          <xdr:row>53</xdr:row>
          <xdr:rowOff>28575</xdr:rowOff>
        </xdr:from>
        <xdr:to>
          <xdr:col>5</xdr:col>
          <xdr:colOff>942975</xdr:colOff>
          <xdr:row>54</xdr:row>
          <xdr:rowOff>0</xdr:rowOff>
        </xdr:to>
        <xdr:sp macro="" textlink="">
          <xdr:nvSpPr>
            <xdr:cNvPr id="8276" name="Object 84" hidden="1">
              <a:extLst>
                <a:ext uri="{63B3BB69-23CF-44E3-9099-C40C66FF867C}">
                  <a14:compatExt spid="_x0000_s8276"/>
                </a:ext>
                <a:ext uri="{FF2B5EF4-FFF2-40B4-BE49-F238E27FC236}">
                  <a16:creationId xmlns:a16="http://schemas.microsoft.com/office/drawing/2014/main" id="{00000000-0008-0000-0500-000054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33</xdr:row>
          <xdr:rowOff>123825</xdr:rowOff>
        </xdr:from>
        <xdr:to>
          <xdr:col>6</xdr:col>
          <xdr:colOff>1019175</xdr:colOff>
          <xdr:row>33</xdr:row>
          <xdr:rowOff>371475</xdr:rowOff>
        </xdr:to>
        <xdr:sp macro="" textlink="">
          <xdr:nvSpPr>
            <xdr:cNvPr id="8282" name="Object 90"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8282"/>
                </a:ext>
                <a:ext uri="{FF2B5EF4-FFF2-40B4-BE49-F238E27FC236}">
                  <a16:creationId xmlns:a16="http://schemas.microsoft.com/office/drawing/2014/main" id="{00000000-0008-0000-0500-00005A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190500</xdr:colOff>
      <xdr:row>141</xdr:row>
      <xdr:rowOff>80742</xdr:rowOff>
    </xdr:from>
    <xdr:to>
      <xdr:col>5</xdr:col>
      <xdr:colOff>114925</xdr:colOff>
      <xdr:row>149</xdr:row>
      <xdr:rowOff>93440</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3"/>
        <a:stretch>
          <a:fillRect/>
        </a:stretch>
      </xdr:blipFill>
      <xdr:spPr>
        <a:xfrm>
          <a:off x="4648200" y="34732692"/>
          <a:ext cx="2515225" cy="1714498"/>
        </a:xfrm>
        <a:prstGeom prst="rect">
          <a:avLst/>
        </a:prstGeom>
      </xdr:spPr>
    </xdr:pic>
    <xdr:clientData/>
  </xdr:twoCellAnchor>
  <xdr:twoCellAnchor editAs="oneCell">
    <xdr:from>
      <xdr:col>3</xdr:col>
      <xdr:colOff>238124</xdr:colOff>
      <xdr:row>133</xdr:row>
      <xdr:rowOff>219075</xdr:rowOff>
    </xdr:from>
    <xdr:to>
      <xdr:col>4</xdr:col>
      <xdr:colOff>1238249</xdr:colOff>
      <xdr:row>141</xdr:row>
      <xdr:rowOff>89601</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4"/>
        <a:stretch>
          <a:fillRect/>
        </a:stretch>
      </xdr:blipFill>
      <xdr:spPr>
        <a:xfrm>
          <a:off x="4695824" y="33156525"/>
          <a:ext cx="2295525" cy="16104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737616</xdr:colOff>
      <xdr:row>1</xdr:row>
      <xdr:rowOff>762</xdr:rowOff>
    </xdr:to>
    <xdr:pic>
      <xdr:nvPicPr>
        <xdr:cNvPr id="2" name="Picture 1" descr="NSBA.gif">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0" y="0"/>
          <a:ext cx="737616" cy="743712"/>
        </a:xfrm>
        <a:prstGeom prst="rect">
          <a:avLst/>
        </a:prstGeom>
      </xdr:spPr>
    </xdr:pic>
    <xdr:clientData/>
  </xdr:twoCellAnchor>
  <xdr:twoCellAnchor editAs="oneCell">
    <xdr:from>
      <xdr:col>0</xdr:col>
      <xdr:colOff>0</xdr:colOff>
      <xdr:row>0</xdr:row>
      <xdr:rowOff>3048</xdr:rowOff>
    </xdr:from>
    <xdr:to>
      <xdr:col>0</xdr:col>
      <xdr:colOff>737616</xdr:colOff>
      <xdr:row>0</xdr:row>
      <xdr:rowOff>740664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048"/>
          <a:ext cx="737616" cy="737616"/>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xdr:from>
          <xdr:col>3</xdr:col>
          <xdr:colOff>28575</xdr:colOff>
          <xdr:row>80</xdr:row>
          <xdr:rowOff>66675</xdr:rowOff>
        </xdr:from>
        <xdr:to>
          <xdr:col>4</xdr:col>
          <xdr:colOff>0</xdr:colOff>
          <xdr:row>80</xdr:row>
          <xdr:rowOff>266700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152</xdr:row>
          <xdr:rowOff>9525</xdr:rowOff>
        </xdr:from>
        <xdr:to>
          <xdr:col>5</xdr:col>
          <xdr:colOff>0</xdr:colOff>
          <xdr:row>152</xdr:row>
          <xdr:rowOff>257175</xdr:rowOff>
        </xdr:to>
        <xdr:sp macro="" textlink="">
          <xdr:nvSpPr>
            <xdr:cNvPr id="15429" name="Object 69" hidden="1">
              <a:extLst>
                <a:ext uri="{63B3BB69-23CF-44E3-9099-C40C66FF867C}">
                  <a14:compatExt spid="_x0000_s15429"/>
                </a:ext>
                <a:ext uri="{FF2B5EF4-FFF2-40B4-BE49-F238E27FC236}">
                  <a16:creationId xmlns:a16="http://schemas.microsoft.com/office/drawing/2014/main" id="{00000000-0008-0000-0600-000045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170</xdr:row>
          <xdr:rowOff>66675</xdr:rowOff>
        </xdr:from>
        <xdr:to>
          <xdr:col>6</xdr:col>
          <xdr:colOff>1076325</xdr:colOff>
          <xdr:row>170</xdr:row>
          <xdr:rowOff>295275</xdr:rowOff>
        </xdr:to>
        <xdr:sp macro="" textlink="">
          <xdr:nvSpPr>
            <xdr:cNvPr id="15430" name="Object 70" hidden="1">
              <a:extLst>
                <a:ext uri="{63B3BB69-23CF-44E3-9099-C40C66FF867C}">
                  <a14:compatExt spid="_x0000_s15430"/>
                </a:ext>
                <a:ext uri="{FF2B5EF4-FFF2-40B4-BE49-F238E27FC236}">
                  <a16:creationId xmlns:a16="http://schemas.microsoft.com/office/drawing/2014/main" id="{00000000-0008-0000-0600-000046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638175</xdr:colOff>
          <xdr:row>174</xdr:row>
          <xdr:rowOff>219075</xdr:rowOff>
        </xdr:from>
        <xdr:to>
          <xdr:col>7</xdr:col>
          <xdr:colOff>790575</xdr:colOff>
          <xdr:row>174</xdr:row>
          <xdr:rowOff>457200</xdr:rowOff>
        </xdr:to>
        <xdr:sp macro="" textlink="">
          <xdr:nvSpPr>
            <xdr:cNvPr id="15431" name="Object 71" hidden="1">
              <a:extLst>
                <a:ext uri="{63B3BB69-23CF-44E3-9099-C40C66FF867C}">
                  <a14:compatExt spid="_x0000_s15431"/>
                </a:ext>
                <a:ext uri="{FF2B5EF4-FFF2-40B4-BE49-F238E27FC236}">
                  <a16:creationId xmlns:a16="http://schemas.microsoft.com/office/drawing/2014/main" id="{00000000-0008-0000-0600-000047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178</xdr:row>
          <xdr:rowOff>38100</xdr:rowOff>
        </xdr:from>
        <xdr:to>
          <xdr:col>2</xdr:col>
          <xdr:colOff>885825</xdr:colOff>
          <xdr:row>178</xdr:row>
          <xdr:rowOff>276225</xdr:rowOff>
        </xdr:to>
        <xdr:sp macro="" textlink="">
          <xdr:nvSpPr>
            <xdr:cNvPr id="15432" name="Object 72" hidden="1">
              <a:extLst>
                <a:ext uri="{63B3BB69-23CF-44E3-9099-C40C66FF867C}">
                  <a14:compatExt spid="_x0000_s15432"/>
                </a:ext>
                <a:ext uri="{FF2B5EF4-FFF2-40B4-BE49-F238E27FC236}">
                  <a16:creationId xmlns:a16="http://schemas.microsoft.com/office/drawing/2014/main" id="{00000000-0008-0000-0600-000048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142</xdr:row>
          <xdr:rowOff>28575</xdr:rowOff>
        </xdr:from>
        <xdr:to>
          <xdr:col>6</xdr:col>
          <xdr:colOff>1438275</xdr:colOff>
          <xdr:row>142</xdr:row>
          <xdr:rowOff>257175</xdr:rowOff>
        </xdr:to>
        <xdr:sp macro="" textlink="">
          <xdr:nvSpPr>
            <xdr:cNvPr id="15434" name="Object 74" hidden="1">
              <a:extLst>
                <a:ext uri="{63B3BB69-23CF-44E3-9099-C40C66FF867C}">
                  <a14:compatExt spid="_x0000_s15434"/>
                </a:ext>
                <a:ext uri="{FF2B5EF4-FFF2-40B4-BE49-F238E27FC236}">
                  <a16:creationId xmlns:a16="http://schemas.microsoft.com/office/drawing/2014/main" id="{00000000-0008-0000-0600-00004A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214</xdr:row>
          <xdr:rowOff>47625</xdr:rowOff>
        </xdr:from>
        <xdr:to>
          <xdr:col>5</xdr:col>
          <xdr:colOff>1066800</xdr:colOff>
          <xdr:row>214</xdr:row>
          <xdr:rowOff>266700</xdr:rowOff>
        </xdr:to>
        <xdr:sp macro="" textlink="">
          <xdr:nvSpPr>
            <xdr:cNvPr id="15449" name="Object 89"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15449"/>
                </a:ext>
                <a:ext uri="{FF2B5EF4-FFF2-40B4-BE49-F238E27FC236}">
                  <a16:creationId xmlns:a16="http://schemas.microsoft.com/office/drawing/2014/main" id="{00000000-0008-0000-0600-000059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457200</xdr:colOff>
          <xdr:row>214</xdr:row>
          <xdr:rowOff>38100</xdr:rowOff>
        </xdr:from>
        <xdr:to>
          <xdr:col>6</xdr:col>
          <xdr:colOff>1295400</xdr:colOff>
          <xdr:row>214</xdr:row>
          <xdr:rowOff>257175</xdr:rowOff>
        </xdr:to>
        <xdr:sp macro="" textlink="">
          <xdr:nvSpPr>
            <xdr:cNvPr id="15450" name="Object 90"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15450"/>
                </a:ext>
                <a:ext uri="{FF2B5EF4-FFF2-40B4-BE49-F238E27FC236}">
                  <a16:creationId xmlns:a16="http://schemas.microsoft.com/office/drawing/2014/main" id="{00000000-0008-0000-0600-00005A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219</xdr:row>
          <xdr:rowOff>47625</xdr:rowOff>
        </xdr:from>
        <xdr:to>
          <xdr:col>5</xdr:col>
          <xdr:colOff>1066800</xdr:colOff>
          <xdr:row>219</xdr:row>
          <xdr:rowOff>266700</xdr:rowOff>
        </xdr:to>
        <xdr:sp macro="" textlink="">
          <xdr:nvSpPr>
            <xdr:cNvPr id="15451" name="Object 91"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15451"/>
                </a:ext>
                <a:ext uri="{FF2B5EF4-FFF2-40B4-BE49-F238E27FC236}">
                  <a16:creationId xmlns:a16="http://schemas.microsoft.com/office/drawing/2014/main" id="{00000000-0008-0000-0600-00005B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219</xdr:row>
          <xdr:rowOff>38100</xdr:rowOff>
        </xdr:from>
        <xdr:to>
          <xdr:col>6</xdr:col>
          <xdr:colOff>1285875</xdr:colOff>
          <xdr:row>219</xdr:row>
          <xdr:rowOff>257175</xdr:rowOff>
        </xdr:to>
        <xdr:sp macro="" textlink="">
          <xdr:nvSpPr>
            <xdr:cNvPr id="15452" name="Object 92" descr="capital R equals capital N sub capital L over capital N sub lower case b plus capital X sub e x t times summation to capital N sub capital L of lower case e over summation to capital N sub lower case b of lower case x squared" hidden="1">
              <a:extLst>
                <a:ext uri="{63B3BB69-23CF-44E3-9099-C40C66FF867C}">
                  <a14:compatExt spid="_x0000_s15452"/>
                </a:ext>
                <a:ext uri="{FF2B5EF4-FFF2-40B4-BE49-F238E27FC236}">
                  <a16:creationId xmlns:a16="http://schemas.microsoft.com/office/drawing/2014/main" id="{00000000-0008-0000-0600-00005C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314325</xdr:colOff>
          <xdr:row>214</xdr:row>
          <xdr:rowOff>47625</xdr:rowOff>
        </xdr:from>
        <xdr:to>
          <xdr:col>7</xdr:col>
          <xdr:colOff>1019175</xdr:colOff>
          <xdr:row>214</xdr:row>
          <xdr:rowOff>266700</xdr:rowOff>
        </xdr:to>
        <xdr:sp macro="" textlink="">
          <xdr:nvSpPr>
            <xdr:cNvPr id="15453" name="Object 93" hidden="1">
              <a:extLst>
                <a:ext uri="{63B3BB69-23CF-44E3-9099-C40C66FF867C}">
                  <a14:compatExt spid="_x0000_s15453"/>
                </a:ext>
                <a:ext uri="{FF2B5EF4-FFF2-40B4-BE49-F238E27FC236}">
                  <a16:creationId xmlns:a16="http://schemas.microsoft.com/office/drawing/2014/main" id="{00000000-0008-0000-0600-00005D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314325</xdr:colOff>
          <xdr:row>219</xdr:row>
          <xdr:rowOff>47625</xdr:rowOff>
        </xdr:from>
        <xdr:to>
          <xdr:col>7</xdr:col>
          <xdr:colOff>1019175</xdr:colOff>
          <xdr:row>219</xdr:row>
          <xdr:rowOff>266700</xdr:rowOff>
        </xdr:to>
        <xdr:sp macro="" textlink="">
          <xdr:nvSpPr>
            <xdr:cNvPr id="15454" name="Object 94" hidden="1">
              <a:extLst>
                <a:ext uri="{63B3BB69-23CF-44E3-9099-C40C66FF867C}">
                  <a14:compatExt spid="_x0000_s15454"/>
                </a:ext>
                <a:ext uri="{FF2B5EF4-FFF2-40B4-BE49-F238E27FC236}">
                  <a16:creationId xmlns:a16="http://schemas.microsoft.com/office/drawing/2014/main" id="{00000000-0008-0000-0600-00005E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714375</xdr:colOff>
          <xdr:row>178</xdr:row>
          <xdr:rowOff>257175</xdr:rowOff>
        </xdr:from>
        <xdr:to>
          <xdr:col>2</xdr:col>
          <xdr:colOff>1171575</xdr:colOff>
          <xdr:row>178</xdr:row>
          <xdr:rowOff>495300</xdr:rowOff>
        </xdr:to>
        <xdr:sp macro="" textlink="">
          <xdr:nvSpPr>
            <xdr:cNvPr id="15455" name="Object 95" hidden="1">
              <a:extLst>
                <a:ext uri="{63B3BB69-23CF-44E3-9099-C40C66FF867C}">
                  <a14:compatExt spid="_x0000_s15455"/>
                </a:ext>
                <a:ext uri="{FF2B5EF4-FFF2-40B4-BE49-F238E27FC236}">
                  <a16:creationId xmlns:a16="http://schemas.microsoft.com/office/drawing/2014/main" id="{00000000-0008-0000-0600-00005F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190501</xdr:colOff>
      <xdr:row>0</xdr:row>
      <xdr:rowOff>190500</xdr:rowOff>
    </xdr:from>
    <xdr:to>
      <xdr:col>8</xdr:col>
      <xdr:colOff>244476</xdr:colOff>
      <xdr:row>0</xdr:row>
      <xdr:rowOff>685800</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3"/>
        <a:srcRect l="9274" r="11383"/>
        <a:stretch/>
      </xdr:blipFill>
      <xdr:spPr>
        <a:xfrm>
          <a:off x="8801101" y="190500"/>
          <a:ext cx="2933700" cy="495300"/>
        </a:xfrm>
        <a:prstGeom prst="rect">
          <a:avLst/>
        </a:prstGeom>
      </xdr:spPr>
    </xdr:pic>
    <xdr:clientData/>
  </xdr:twoCellAnchor>
  <xdr:twoCellAnchor>
    <xdr:from>
      <xdr:col>3</xdr:col>
      <xdr:colOff>6350</xdr:colOff>
      <xdr:row>50</xdr:row>
      <xdr:rowOff>63500</xdr:rowOff>
    </xdr:from>
    <xdr:to>
      <xdr:col>4</xdr:col>
      <xdr:colOff>38100</xdr:colOff>
      <xdr:row>50</xdr:row>
      <xdr:rowOff>521511</xdr:rowOff>
    </xdr:to>
    <mc:AlternateContent xmlns:mc="http://schemas.openxmlformats.org/markup-compatibility/2006" xmlns:a14="http://schemas.microsoft.com/office/drawing/2010/main">
      <mc:Choice Requires="a14">
        <xdr:sp macro="" textlink="">
          <xdr:nvSpPr>
            <xdr:cNvPr id="19" name="Object 134">
              <a:extLst>
                <a:ext uri="{FF2B5EF4-FFF2-40B4-BE49-F238E27FC236}">
                  <a16:creationId xmlns:a16="http://schemas.microsoft.com/office/drawing/2014/main" id="{00000000-0008-0000-0600-000013000000}"/>
                </a:ext>
              </a:extLst>
            </xdr:cNvPr>
            <xdr:cNvSpPr txBox="1"/>
          </xdr:nvSpPr>
          <xdr:spPr>
            <a:xfrm>
              <a:off x="5124450" y="12649200"/>
              <a:ext cx="1543050" cy="458011"/>
            </a:xfrm>
            <a:prstGeom prst="rect">
              <a:avLst/>
            </a:prstGeom>
          </xdr:spPr>
          <xdr:txBody>
            <a:bodyPr vertOverflow="clip" horzOverflow="clip" wrap="square">
              <a:spAutoFit/>
            </a:bodyPr>
            <a:lstStyle/>
            <a:p>
              <a:pPr/>
              <a14:m>
                <m:oMathPara xmlns:m="http://schemas.openxmlformats.org/officeDocument/2006/math">
                  <m:oMathParaPr>
                    <m:jc m:val="left"/>
                  </m:oMathParaPr>
                  <m:oMath xmlns:m="http://schemas.openxmlformats.org/officeDocument/2006/math">
                    <m:f>
                      <m:fPr>
                        <m:ctrlPr>
                          <a:rPr lang="en-US" i="1">
                            <a:solidFill>
                              <a:srgbClr val="000000"/>
                            </a:solidFill>
                            <a:latin typeface="Cambria Math" panose="02040503050406030204" pitchFamily="18" charset="0"/>
                          </a:rPr>
                        </m:ctrlPr>
                      </m:fPr>
                      <m:num>
                        <m:r>
                          <a:rPr lang="en-US" b="0" i="1">
                            <a:solidFill>
                              <a:srgbClr val="000000"/>
                            </a:solidFill>
                            <a:latin typeface="Cambria Math" panose="02040503050406030204" pitchFamily="18" charset="0"/>
                          </a:rPr>
                          <m:t>2</m:t>
                        </m:r>
                        <m:r>
                          <a:rPr lang="en-US" b="0" i="1">
                            <a:solidFill>
                              <a:srgbClr val="000000"/>
                            </a:solidFill>
                            <a:latin typeface="Cambria Math" panose="02040503050406030204" pitchFamily="18" charset="0"/>
                          </a:rPr>
                          <m:t>𝐷</m:t>
                        </m:r>
                        <m:sSub>
                          <m:sSubPr>
                            <m:ctrlPr>
                              <a:rPr lang="en-US" b="0" i="1">
                                <a:solidFill>
                                  <a:srgbClr val="000000"/>
                                </a:solidFill>
                                <a:latin typeface="Cambria Math" panose="02040503050406030204" pitchFamily="18" charset="0"/>
                              </a:rPr>
                            </m:ctrlPr>
                          </m:sSubPr>
                          <m:e>
                            <m:r>
                              <a:rPr lang="en-US" b="0" i="1">
                                <a:solidFill>
                                  <a:srgbClr val="000000"/>
                                </a:solidFill>
                                <a:latin typeface="Cambria Math" panose="02040503050406030204" pitchFamily="18" charset="0"/>
                              </a:rPr>
                              <m:t>𝑡</m:t>
                            </m:r>
                          </m:e>
                          <m:sub>
                            <m:r>
                              <a:rPr lang="en-US" b="0" i="1">
                                <a:solidFill>
                                  <a:srgbClr val="000000"/>
                                </a:solidFill>
                                <a:latin typeface="Cambria Math" panose="02040503050406030204" pitchFamily="18" charset="0"/>
                              </a:rPr>
                              <m:t>𝑤</m:t>
                            </m:r>
                          </m:sub>
                        </m:sSub>
                      </m:num>
                      <m:den>
                        <m:r>
                          <a:rPr lang="en-US" b="0" i="1">
                            <a:solidFill>
                              <a:srgbClr val="000000"/>
                            </a:solidFill>
                            <a:latin typeface="Cambria Math" panose="02040503050406030204" pitchFamily="18" charset="0"/>
                          </a:rPr>
                          <m:t>(</m:t>
                        </m:r>
                        <m:sSub>
                          <m:sSubPr>
                            <m:ctrlPr>
                              <a:rPr lang="en-US" b="0" i="1">
                                <a:solidFill>
                                  <a:srgbClr val="000000"/>
                                </a:solidFill>
                                <a:latin typeface="Cambria Math" panose="02040503050406030204" pitchFamily="18" charset="0"/>
                              </a:rPr>
                            </m:ctrlPr>
                          </m:sSubPr>
                          <m:e>
                            <m:r>
                              <a:rPr lang="en-US" b="0" i="1">
                                <a:solidFill>
                                  <a:srgbClr val="000000"/>
                                </a:solidFill>
                                <a:latin typeface="Cambria Math" panose="02040503050406030204" pitchFamily="18" charset="0"/>
                              </a:rPr>
                              <m:t>𝑏</m:t>
                            </m:r>
                          </m:e>
                          <m:sub>
                            <m:r>
                              <a:rPr lang="en-US" b="0" i="1">
                                <a:solidFill>
                                  <a:srgbClr val="000000"/>
                                </a:solidFill>
                                <a:latin typeface="Cambria Math" panose="02040503050406030204" pitchFamily="18" charset="0"/>
                              </a:rPr>
                              <m:t>𝑓𝑐</m:t>
                            </m:r>
                          </m:sub>
                        </m:sSub>
                        <m:sSub>
                          <m:sSubPr>
                            <m:ctrlPr>
                              <a:rPr lang="en-US" b="0" i="1">
                                <a:solidFill>
                                  <a:srgbClr val="000000"/>
                                </a:solidFill>
                                <a:latin typeface="Cambria Math" panose="02040503050406030204" pitchFamily="18" charset="0"/>
                              </a:rPr>
                            </m:ctrlPr>
                          </m:sSubPr>
                          <m:e>
                            <m:r>
                              <a:rPr lang="en-US" b="0" i="1">
                                <a:solidFill>
                                  <a:srgbClr val="000000"/>
                                </a:solidFill>
                                <a:latin typeface="Cambria Math" panose="02040503050406030204" pitchFamily="18" charset="0"/>
                              </a:rPr>
                              <m:t>𝑡</m:t>
                            </m:r>
                          </m:e>
                          <m:sub>
                            <m:r>
                              <a:rPr lang="en-US" b="0" i="1">
                                <a:solidFill>
                                  <a:srgbClr val="000000"/>
                                </a:solidFill>
                                <a:latin typeface="Cambria Math" panose="02040503050406030204" pitchFamily="18" charset="0"/>
                              </a:rPr>
                              <m:t>𝑓𝑐</m:t>
                            </m:r>
                          </m:sub>
                        </m:sSub>
                        <m:r>
                          <a:rPr lang="en-US" b="0" i="1">
                            <a:solidFill>
                              <a:srgbClr val="000000"/>
                            </a:solidFill>
                            <a:latin typeface="Cambria Math" panose="02040503050406030204" pitchFamily="18" charset="0"/>
                          </a:rPr>
                          <m:t>+</m:t>
                        </m:r>
                        <m:sSub>
                          <m:sSubPr>
                            <m:ctrlPr>
                              <a:rPr lang="en-US" b="0" i="1">
                                <a:solidFill>
                                  <a:srgbClr val="000000"/>
                                </a:solidFill>
                                <a:latin typeface="Cambria Math" panose="02040503050406030204" pitchFamily="18" charset="0"/>
                              </a:rPr>
                            </m:ctrlPr>
                          </m:sSubPr>
                          <m:e>
                            <m:r>
                              <a:rPr lang="en-US" b="0" i="1">
                                <a:solidFill>
                                  <a:srgbClr val="000000"/>
                                </a:solidFill>
                                <a:latin typeface="Cambria Math" panose="02040503050406030204" pitchFamily="18" charset="0"/>
                              </a:rPr>
                              <m:t>𝑏</m:t>
                            </m:r>
                          </m:e>
                          <m:sub>
                            <m:r>
                              <a:rPr lang="en-US" b="0" i="1">
                                <a:solidFill>
                                  <a:srgbClr val="000000"/>
                                </a:solidFill>
                                <a:latin typeface="Cambria Math" panose="02040503050406030204" pitchFamily="18" charset="0"/>
                              </a:rPr>
                              <m:t>𝑓𝑡</m:t>
                            </m:r>
                          </m:sub>
                        </m:sSub>
                        <m:sSub>
                          <m:sSubPr>
                            <m:ctrlPr>
                              <a:rPr lang="en-US" b="0" i="1">
                                <a:solidFill>
                                  <a:srgbClr val="000000"/>
                                </a:solidFill>
                                <a:latin typeface="Cambria Math" panose="02040503050406030204" pitchFamily="18" charset="0"/>
                              </a:rPr>
                            </m:ctrlPr>
                          </m:sSubPr>
                          <m:e>
                            <m:r>
                              <a:rPr lang="en-US" b="0" i="1">
                                <a:solidFill>
                                  <a:srgbClr val="000000"/>
                                </a:solidFill>
                                <a:latin typeface="Cambria Math" panose="02040503050406030204" pitchFamily="18" charset="0"/>
                              </a:rPr>
                              <m:t>𝑡</m:t>
                            </m:r>
                          </m:e>
                          <m:sub>
                            <m:r>
                              <a:rPr lang="en-US" b="0" i="1">
                                <a:solidFill>
                                  <a:srgbClr val="000000"/>
                                </a:solidFill>
                                <a:latin typeface="Cambria Math" panose="02040503050406030204" pitchFamily="18" charset="0"/>
                              </a:rPr>
                              <m:t>𝑓𝑡</m:t>
                            </m:r>
                          </m:sub>
                        </m:sSub>
                        <m:r>
                          <a:rPr lang="en-US" b="0" i="1">
                            <a:solidFill>
                              <a:srgbClr val="000000"/>
                            </a:solidFill>
                            <a:latin typeface="Cambria Math" panose="02040503050406030204" pitchFamily="18" charset="0"/>
                          </a:rPr>
                          <m:t>)</m:t>
                        </m:r>
                      </m:den>
                    </m:f>
                    <m:r>
                      <a:rPr lang="en-US" i="1">
                        <a:solidFill>
                          <a:srgbClr val="000000"/>
                        </a:solidFill>
                        <a:latin typeface="Cambria Math" panose="02040503050406030204" pitchFamily="18" charset="0"/>
                        <a:ea typeface="Cambria Math" panose="02040503050406030204" pitchFamily="18" charset="0"/>
                      </a:rPr>
                      <m:t>≤</m:t>
                    </m:r>
                    <m:r>
                      <a:rPr lang="en-US" b="0" i="1">
                        <a:solidFill>
                          <a:srgbClr val="000000"/>
                        </a:solidFill>
                        <a:latin typeface="Cambria Math" panose="02040503050406030204" pitchFamily="18" charset="0"/>
                        <a:ea typeface="Cambria Math" panose="02040503050406030204" pitchFamily="18" charset="0"/>
                      </a:rPr>
                      <m:t>2.5</m:t>
                    </m:r>
                  </m:oMath>
                </m:oMathPara>
              </a14:m>
              <a:endParaRPr lang="en-US"/>
            </a:p>
          </xdr:txBody>
        </xdr:sp>
      </mc:Choice>
      <mc:Fallback xmlns="">
        <xdr:sp macro="" textlink="">
          <xdr:nvSpPr>
            <xdr:cNvPr id="19" name="Object 134">
              <a:extLst>
                <a:ext uri="{FF2B5EF4-FFF2-40B4-BE49-F238E27FC236}">
                  <a16:creationId xmlns:a16="http://schemas.microsoft.com/office/drawing/2014/main" id="{A70E8DF6-AAA3-40B6-A629-7FCF7F8074D0}"/>
                </a:ext>
              </a:extLst>
            </xdr:cNvPr>
            <xdr:cNvSpPr txBox="1"/>
          </xdr:nvSpPr>
          <xdr:spPr>
            <a:xfrm>
              <a:off x="5124450" y="12649200"/>
              <a:ext cx="1543050" cy="458011"/>
            </a:xfrm>
            <a:prstGeom prst="rect">
              <a:avLst/>
            </a:prstGeom>
          </xdr:spPr>
          <xdr:txBody>
            <a:bodyPr vertOverflow="clip" horzOverflow="clip" wrap="square">
              <a:spAutoFit/>
            </a:bodyPr>
            <a:lstStyle/>
            <a:p>
              <a:pPr/>
              <a:r>
                <a:rPr lang="en-US" i="0">
                  <a:solidFill>
                    <a:srgbClr val="000000"/>
                  </a:solidFill>
                  <a:latin typeface="Cambria Math" panose="02040503050406030204" pitchFamily="18" charset="0"/>
                </a:rPr>
                <a:t>(</a:t>
              </a:r>
              <a:r>
                <a:rPr lang="en-US" b="0" i="0">
                  <a:solidFill>
                    <a:srgbClr val="000000"/>
                  </a:solidFill>
                  <a:latin typeface="Cambria Math" panose="02040503050406030204" pitchFamily="18" charset="0"/>
                </a:rPr>
                <a:t>2𝐷𝑡_𝑤)/((𝑏_𝑓𝑐 𝑡_𝑓𝑐+𝑏_𝑓𝑡 𝑡_𝑓𝑡))</a:t>
              </a:r>
              <a:r>
                <a:rPr lang="en-US" i="0">
                  <a:solidFill>
                    <a:srgbClr val="000000"/>
                  </a:solidFill>
                  <a:latin typeface="Cambria Math" panose="02040503050406030204" pitchFamily="18" charset="0"/>
                  <a:ea typeface="Cambria Math" panose="02040503050406030204" pitchFamily="18" charset="0"/>
                </a:rPr>
                <a:t>≤</a:t>
              </a:r>
              <a:r>
                <a:rPr lang="en-US" b="0" i="0">
                  <a:solidFill>
                    <a:srgbClr val="000000"/>
                  </a:solidFill>
                  <a:latin typeface="Cambria Math" panose="02040503050406030204" pitchFamily="18" charset="0"/>
                  <a:ea typeface="Cambria Math" panose="02040503050406030204" pitchFamily="18" charset="0"/>
                </a:rPr>
                <a:t>2.5</a:t>
              </a:r>
              <a:endParaRPr lang="en-US"/>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737616</xdr:colOff>
      <xdr:row>1</xdr:row>
      <xdr:rowOff>762</xdr:rowOff>
    </xdr:to>
    <xdr:pic>
      <xdr:nvPicPr>
        <xdr:cNvPr id="2" name="Picture 1" descr="NSBA.gif">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0" y="0"/>
          <a:ext cx="737616" cy="743712"/>
        </a:xfrm>
        <a:prstGeom prst="rect">
          <a:avLst/>
        </a:prstGeom>
      </xdr:spPr>
    </xdr:pic>
    <xdr:clientData/>
  </xdr:twoCellAnchor>
  <xdr:twoCellAnchor editAs="oneCell">
    <xdr:from>
      <xdr:col>6</xdr:col>
      <xdr:colOff>323850</xdr:colOff>
      <xdr:row>0</xdr:row>
      <xdr:rowOff>180975</xdr:rowOff>
    </xdr:from>
    <xdr:to>
      <xdr:col>8</xdr:col>
      <xdr:colOff>762000</xdr:colOff>
      <xdr:row>0</xdr:row>
      <xdr:rowOff>676275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734425" y="180975"/>
          <a:ext cx="293370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hiodas-my.sharepoint.com/Users/garrell/Documents/NSBA/Programs/Splice/New/Plate%20Girder/WIP/April/10262016_NSBASplice_v8_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hiodas-my.sharepoint.com/Users/garrell/Documents/NSBA/Programs/Splice/New/Plate%20Girder/WIP/April/12302016_NSBASplice_v8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LA"/>
      <sheetName val="Input and Results"/>
      <sheetName val="Calculations"/>
      <sheetName val="Constants"/>
      <sheetName val="Lists"/>
      <sheetName val="Sheet1"/>
    </sheetNames>
    <sheetDataSet>
      <sheetData sheetId="0"/>
      <sheetData sheetId="1">
        <row r="11">
          <cell r="B11">
            <v>1300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LA"/>
      <sheetName val="Input and Results"/>
      <sheetName val="Flange Splice Design"/>
      <sheetName val="Web Splice Design"/>
      <sheetName val="Constants"/>
      <sheetName val="Lists"/>
      <sheetName val="Calculations"/>
      <sheetName val="Sheet1"/>
      <sheetName val="12302016_NSBASplice_v8_wip"/>
    </sheetNames>
    <sheetDataSet>
      <sheetData sheetId="0" refreshError="1"/>
      <sheetData sheetId="1" refreshError="1">
        <row r="5">
          <cell r="F5" t="str">
            <v>A325</v>
          </cell>
        </row>
        <row r="20">
          <cell r="B20">
            <v>109</v>
          </cell>
        </row>
      </sheetData>
      <sheetData sheetId="2" refreshError="1"/>
      <sheetData sheetId="3" refreshError="1"/>
      <sheetData sheetId="4" refreshError="1"/>
      <sheetData sheetId="5" refreshError="1"/>
      <sheetData sheetId="6" refreshError="1">
        <row r="23">
          <cell r="I23">
            <v>64.65397681087795</v>
          </cell>
        </row>
        <row r="24">
          <cell r="I24">
            <v>51.954088508741201</v>
          </cell>
        </row>
        <row r="71">
          <cell r="O71">
            <v>38</v>
          </cell>
        </row>
        <row r="72">
          <cell r="O72">
            <v>38</v>
          </cell>
        </row>
      </sheetData>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2" totalsRowShown="0" headerRowDxfId="166" headerRowCellStyle="Heading 3">
  <autoFilter ref="A5:I12" xr:uid="{00000000-0009-0000-0100-000001000000}"/>
  <tableColumns count="9">
    <tableColumn id="1" xr3:uid="{00000000-0010-0000-0000-000001000000}" name="Diameter - Fraction (in)" dataDxfId="165">
      <calculatedColumnFormula>B6</calculatedColumnFormula>
    </tableColumn>
    <tableColumn id="2" xr3:uid="{00000000-0010-0000-0000-000002000000}" name="Diameter - Decimal (in)" dataDxfId="164">
      <calculatedColumnFormula>B5+1/8</calculatedColumnFormula>
    </tableColumn>
    <tableColumn id="3" xr3:uid="{00000000-0010-0000-0000-000003000000}" name="Area (sq-in)" dataDxfId="163">
      <calculatedColumnFormula>PI()*B6^2/4</calculatedColumnFormula>
    </tableColumn>
    <tableColumn id="4" xr3:uid="{00000000-0010-0000-0000-000004000000}" name="Pt - A325 (kip)" dataDxfId="162"/>
    <tableColumn id="5" xr3:uid="{00000000-0010-0000-0000-000005000000}" name="Pt - A490 (kip)" dataDxfId="161"/>
    <tableColumn id="7" xr3:uid="{00000000-0010-0000-0000-000007000000}" name="Standard Min Edge &amp; End Distance (in)" dataDxfId="160"/>
    <tableColumn id="6" xr3:uid="{00000000-0010-0000-0000-000006000000}" name="Standard Hole Diameter (in)" dataDxfId="159">
      <calculatedColumnFormula>Table1[[#This Row],[Diameter - Decimal (in)]]+1/16</calculatedColumnFormula>
    </tableColumn>
    <tableColumn id="9" xr3:uid="{00000000-0010-0000-0000-000009000000}" name="Oversized Min Edge &amp; End Distance (in)" dataDxfId="158"/>
    <tableColumn id="8" xr3:uid="{00000000-0010-0000-0000-000008000000}" name="Oversized Hole Diameter (in)" dataDxfId="157">
      <calculatedColumnFormula>Table1[[#This Row],[Diameter - Decimal (in)]]+3/16</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3:E40" totalsRowShown="0" headerRowDxfId="156" headerRowCellStyle="Heading 3">
  <autoFilter ref="A33:E40" xr:uid="{00000000-0009-0000-0100-000002000000}"/>
  <sortState xmlns:xlrd2="http://schemas.microsoft.com/office/spreadsheetml/2017/richdata2" ref="A34:E40">
    <sortCondition ref="A33:A40"/>
  </sortState>
  <tableColumns count="5">
    <tableColumn id="1" xr3:uid="{00000000-0010-0000-0100-000001000000}" name="Type" dataDxfId="155"/>
    <tableColumn id="2" xr3:uid="{00000000-0010-0000-0100-000002000000}" name="Fy (ksi)" dataDxfId="154"/>
    <tableColumn id="3" xr3:uid="{00000000-0010-0000-0100-000003000000}" name="Fu (ksi)" dataDxfId="153"/>
    <tableColumn id="4" xr3:uid="{00000000-0010-0000-0100-000004000000}" name="0.84 (Fu/Fy)" dataDxfId="152">
      <calculatedColumnFormula>0.84*(Table2[[#This Row],[Fu (ksi)]]/Table2[[#This Row],[Fy (ksi)]])</calculatedColumnFormula>
    </tableColumn>
    <tableColumn id="5" xr3:uid="{00000000-0010-0000-0100-000005000000}" name="E (ksi)" dataDxfId="151" dataCellStyle="Comma"/>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4:B49" totalsRowShown="0" headerRowDxfId="150" headerRowCellStyle="Heading 3">
  <autoFilter ref="A44:B49" xr:uid="{00000000-0009-0000-0100-000003000000}"/>
  <tableColumns count="2">
    <tableColumn id="1" xr3:uid="{00000000-0010-0000-0200-000001000000}" name="Class" dataDxfId="149"/>
    <tableColumn id="2" xr3:uid="{00000000-0010-0000-0200-000002000000}" name="Ks" dataDxfId="14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53:B57" totalsRowShown="0">
  <autoFilter ref="A53:B57" xr:uid="{00000000-0009-0000-0100-000004000000}"/>
  <sortState xmlns:xlrd2="http://schemas.microsoft.com/office/spreadsheetml/2017/richdata2" ref="A54:B57">
    <sortCondition ref="A53:A57"/>
  </sortState>
  <tableColumns count="2">
    <tableColumn id="1" xr3:uid="{00000000-0010-0000-0300-000001000000}" name="Hole Type" dataDxfId="147"/>
    <tableColumn id="2" xr3:uid="{00000000-0010-0000-0300-000002000000}" name="Kh" dataDxfId="14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61:B69" totalsRowShown="0" headerRowDxfId="145" headerRowCellStyle="Heading 3">
  <autoFilter ref="A61:B69" xr:uid="{00000000-0009-0000-0100-000005000000}"/>
  <sortState xmlns:xlrd2="http://schemas.microsoft.com/office/spreadsheetml/2017/richdata2" ref="A62:B69">
    <sortCondition ref="A61:A69"/>
  </sortState>
  <tableColumns count="2">
    <tableColumn id="1" xr3:uid="{00000000-0010-0000-0400-000001000000}" name="Case" dataDxfId="144"/>
    <tableColumn id="2" xr3:uid="{00000000-0010-0000-0400-000002000000}" name="Phi" dataDxfId="14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7:B29" totalsRowShown="0" headerRowDxfId="142" headerRowCellStyle="Heading 3">
  <autoFilter ref="A27:B29" xr:uid="{00000000-0009-0000-0100-000006000000}"/>
  <tableColumns count="2">
    <tableColumn id="1" xr3:uid="{00000000-0010-0000-0500-000001000000}" name="Bolt" dataDxfId="141"/>
    <tableColumn id="2" xr3:uid="{00000000-0010-0000-0500-000002000000}" name="Fu (ksi)" dataDxfId="14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58" displayName="Table58" ref="A73:B76" totalsRowShown="0" headerRowDxfId="139" headerRowCellStyle="Heading 3">
  <autoFilter ref="A73:B76" xr:uid="{00000000-0009-0000-0100-000007000000}"/>
  <tableColumns count="2">
    <tableColumn id="1" xr3:uid="{00000000-0010-0000-0600-000001000000}" name="Case"/>
    <tableColumn id="2" xr3:uid="{00000000-0010-0000-0600-000002000000}" name="Rp" dataDxfId="13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589" displayName="Table589" ref="A80:B81" totalsRowShown="0" headerRowDxfId="137" headerRowCellStyle="Heading 3">
  <autoFilter ref="A80:B81" xr:uid="{00000000-0009-0000-0100-000008000000}"/>
  <tableColumns count="2">
    <tableColumn id="1" xr3:uid="{00000000-0010-0000-0700-000001000000}" name="Case"/>
    <tableColumn id="2" xr3:uid="{00000000-0010-0000-0700-000002000000}" name="Ubs" dataDxfId="13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6:G23" totalsRowShown="0" headerRowDxfId="135" dataDxfId="134">
  <autoFilter ref="A16:G23" xr:uid="{00000000-0009-0000-0100-000009000000}"/>
  <tableColumns count="7">
    <tableColumn id="1" xr3:uid="{00000000-0010-0000-0800-000001000000}" name="Diameter - Fraction (in)" dataDxfId="133">
      <calculatedColumnFormula>B17</calculatedColumnFormula>
    </tableColumn>
    <tableColumn id="2" xr3:uid="{00000000-0010-0000-0800-000002000000}" name="Diameter - Decimal (in)" dataDxfId="132"/>
    <tableColumn id="3" xr3:uid="{00000000-0010-0000-0800-000003000000}" name="Socket Diameter" dataDxfId="131"/>
    <tableColumn id="4" xr3:uid="{00000000-0010-0000-0800-000004000000}" name="H1" dataDxfId="130"/>
    <tableColumn id="5" xr3:uid="{00000000-0010-0000-0800-000005000000}" name="H2" dataDxfId="129"/>
    <tableColumn id="6" xr3:uid="{00000000-0010-0000-0800-000006000000}" name="C1" dataDxfId="128"/>
    <tableColumn id="7" xr3:uid="{00000000-0010-0000-0800-000007000000}" name="C2" dataDxfId="12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image" Target="../media/image17.wmf"/><Relationship Id="rId18" Type="http://schemas.openxmlformats.org/officeDocument/2006/relationships/oleObject" Target="../embeddings/oleObject10.bin"/><Relationship Id="rId26" Type="http://schemas.openxmlformats.org/officeDocument/2006/relationships/image" Target="../media/image20.wmf"/><Relationship Id="rId39" Type="http://schemas.openxmlformats.org/officeDocument/2006/relationships/oleObject" Target="../embeddings/oleObject24.bin"/><Relationship Id="rId21" Type="http://schemas.openxmlformats.org/officeDocument/2006/relationships/oleObject" Target="../embeddings/oleObject12.bin"/><Relationship Id="rId34" Type="http://schemas.openxmlformats.org/officeDocument/2006/relationships/image" Target="../media/image23.emf"/><Relationship Id="rId42" Type="http://schemas.openxmlformats.org/officeDocument/2006/relationships/image" Target="../media/image26.wmf"/><Relationship Id="rId7" Type="http://schemas.openxmlformats.org/officeDocument/2006/relationships/image" Target="../media/image14.wmf"/><Relationship Id="rId2" Type="http://schemas.openxmlformats.org/officeDocument/2006/relationships/drawing" Target="../drawings/drawing6.xml"/><Relationship Id="rId16" Type="http://schemas.openxmlformats.org/officeDocument/2006/relationships/oleObject" Target="../embeddings/oleObject8.bin"/><Relationship Id="rId20" Type="http://schemas.openxmlformats.org/officeDocument/2006/relationships/image" Target="../media/image18.wmf"/><Relationship Id="rId29" Type="http://schemas.openxmlformats.org/officeDocument/2006/relationships/image" Target="../media/image21.wmf"/><Relationship Id="rId41" Type="http://schemas.openxmlformats.org/officeDocument/2006/relationships/oleObject" Target="../embeddings/oleObject25.bin"/><Relationship Id="rId1" Type="http://schemas.openxmlformats.org/officeDocument/2006/relationships/printerSettings" Target="../printerSettings/printerSettings6.bin"/><Relationship Id="rId6" Type="http://schemas.openxmlformats.org/officeDocument/2006/relationships/oleObject" Target="../embeddings/oleObject2.bin"/><Relationship Id="rId11" Type="http://schemas.openxmlformats.org/officeDocument/2006/relationships/image" Target="../media/image16.wmf"/><Relationship Id="rId24" Type="http://schemas.openxmlformats.org/officeDocument/2006/relationships/oleObject" Target="../embeddings/oleObject14.bin"/><Relationship Id="rId32" Type="http://schemas.openxmlformats.org/officeDocument/2006/relationships/image" Target="../media/image22.emf"/><Relationship Id="rId37" Type="http://schemas.openxmlformats.org/officeDocument/2006/relationships/oleObject" Target="../embeddings/oleObject23.bin"/><Relationship Id="rId40" Type="http://schemas.openxmlformats.org/officeDocument/2006/relationships/image" Target="../media/image25.wmf"/><Relationship Id="rId5" Type="http://schemas.openxmlformats.org/officeDocument/2006/relationships/image" Target="../media/image13.wmf"/><Relationship Id="rId15" Type="http://schemas.openxmlformats.org/officeDocument/2006/relationships/oleObject" Target="../embeddings/oleObject7.bin"/><Relationship Id="rId23" Type="http://schemas.openxmlformats.org/officeDocument/2006/relationships/oleObject" Target="../embeddings/oleObject13.bin"/><Relationship Id="rId28" Type="http://schemas.openxmlformats.org/officeDocument/2006/relationships/oleObject" Target="../embeddings/oleObject17.bin"/><Relationship Id="rId36" Type="http://schemas.openxmlformats.org/officeDocument/2006/relationships/oleObject" Target="../embeddings/oleObject22.bin"/><Relationship Id="rId10" Type="http://schemas.openxmlformats.org/officeDocument/2006/relationships/oleObject" Target="../embeddings/oleObject4.bin"/><Relationship Id="rId19" Type="http://schemas.openxmlformats.org/officeDocument/2006/relationships/oleObject" Target="../embeddings/oleObject11.bin"/><Relationship Id="rId31" Type="http://schemas.openxmlformats.org/officeDocument/2006/relationships/oleObject" Target="../embeddings/oleObject19.bin"/><Relationship Id="rId4" Type="http://schemas.openxmlformats.org/officeDocument/2006/relationships/oleObject" Target="../embeddings/oleObject1.bin"/><Relationship Id="rId9" Type="http://schemas.openxmlformats.org/officeDocument/2006/relationships/image" Target="../media/image15.wmf"/><Relationship Id="rId14" Type="http://schemas.openxmlformats.org/officeDocument/2006/relationships/oleObject" Target="../embeddings/oleObject6.bin"/><Relationship Id="rId22" Type="http://schemas.openxmlformats.org/officeDocument/2006/relationships/image" Target="../media/image19.wmf"/><Relationship Id="rId27" Type="http://schemas.openxmlformats.org/officeDocument/2006/relationships/oleObject" Target="../embeddings/oleObject16.bin"/><Relationship Id="rId30" Type="http://schemas.openxmlformats.org/officeDocument/2006/relationships/oleObject" Target="../embeddings/oleObject18.bin"/><Relationship Id="rId35" Type="http://schemas.openxmlformats.org/officeDocument/2006/relationships/oleObject" Target="../embeddings/oleObject21.bin"/><Relationship Id="rId43" Type="http://schemas.openxmlformats.org/officeDocument/2006/relationships/comments" Target="../comments3.xml"/><Relationship Id="rId8" Type="http://schemas.openxmlformats.org/officeDocument/2006/relationships/oleObject" Target="../embeddings/oleObject3.bin"/><Relationship Id="rId3" Type="http://schemas.openxmlformats.org/officeDocument/2006/relationships/vmlDrawing" Target="../drawings/vmlDrawing3.vml"/><Relationship Id="rId12" Type="http://schemas.openxmlformats.org/officeDocument/2006/relationships/oleObject" Target="../embeddings/oleObject5.bin"/><Relationship Id="rId17" Type="http://schemas.openxmlformats.org/officeDocument/2006/relationships/oleObject" Target="../embeddings/oleObject9.bin"/><Relationship Id="rId25" Type="http://schemas.openxmlformats.org/officeDocument/2006/relationships/oleObject" Target="../embeddings/oleObject15.bin"/><Relationship Id="rId33" Type="http://schemas.openxmlformats.org/officeDocument/2006/relationships/oleObject" Target="../embeddings/oleObject20.bin"/><Relationship Id="rId38" Type="http://schemas.openxmlformats.org/officeDocument/2006/relationships/image" Target="../media/image24.wmf"/></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oleObject" Target="../embeddings/oleObject31.bin"/><Relationship Id="rId18" Type="http://schemas.openxmlformats.org/officeDocument/2006/relationships/image" Target="../media/image19.wmf"/><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oleObject" Target="../embeddings/oleObject36.bin"/><Relationship Id="rId7" Type="http://schemas.openxmlformats.org/officeDocument/2006/relationships/image" Target="../media/image30.wmf"/><Relationship Id="rId12" Type="http://schemas.openxmlformats.org/officeDocument/2006/relationships/oleObject" Target="../embeddings/oleObject30.bin"/><Relationship Id="rId17" Type="http://schemas.openxmlformats.org/officeDocument/2006/relationships/oleObject" Target="../embeddings/oleObject33.bin"/><Relationship Id="rId25" Type="http://schemas.openxmlformats.org/officeDocument/2006/relationships/image" Target="../media/image21.wmf"/><Relationship Id="rId2" Type="http://schemas.openxmlformats.org/officeDocument/2006/relationships/drawing" Target="../drawings/drawing7.xml"/><Relationship Id="rId16" Type="http://schemas.openxmlformats.org/officeDocument/2006/relationships/image" Target="../media/image18.wmf"/><Relationship Id="rId20" Type="http://schemas.openxmlformats.org/officeDocument/2006/relationships/oleObject" Target="../embeddings/oleObject35.bin"/><Relationship Id="rId1" Type="http://schemas.openxmlformats.org/officeDocument/2006/relationships/printerSettings" Target="../printerSettings/printerSettings7.bin"/><Relationship Id="rId6" Type="http://schemas.openxmlformats.org/officeDocument/2006/relationships/oleObject" Target="../embeddings/oleObject27.bin"/><Relationship Id="rId11" Type="http://schemas.openxmlformats.org/officeDocument/2006/relationships/image" Target="../media/image31.wmf"/><Relationship Id="rId24" Type="http://schemas.openxmlformats.org/officeDocument/2006/relationships/oleObject" Target="../embeddings/oleObject38.bin"/><Relationship Id="rId5" Type="http://schemas.openxmlformats.org/officeDocument/2006/relationships/image" Target="../media/image15.wmf"/><Relationship Id="rId15" Type="http://schemas.openxmlformats.org/officeDocument/2006/relationships/oleObject" Target="../embeddings/oleObject32.bin"/><Relationship Id="rId23" Type="http://schemas.openxmlformats.org/officeDocument/2006/relationships/oleObject" Target="../embeddings/oleObject37.bin"/><Relationship Id="rId10" Type="http://schemas.openxmlformats.org/officeDocument/2006/relationships/oleObject" Target="../embeddings/oleObject29.bin"/><Relationship Id="rId19" Type="http://schemas.openxmlformats.org/officeDocument/2006/relationships/oleObject" Target="../embeddings/oleObject34.bin"/><Relationship Id="rId4" Type="http://schemas.openxmlformats.org/officeDocument/2006/relationships/oleObject" Target="../embeddings/oleObject26.bin"/><Relationship Id="rId9" Type="http://schemas.openxmlformats.org/officeDocument/2006/relationships/image" Target="../media/image17.wmf"/><Relationship Id="rId14" Type="http://schemas.openxmlformats.org/officeDocument/2006/relationships/image" Target="../media/image32.wmf"/><Relationship Id="rId22" Type="http://schemas.openxmlformats.org/officeDocument/2006/relationships/image" Target="../media/image20.wmf"/></Relationships>
</file>

<file path=xl/worksheets/_rels/sheet8.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table" Target="../tables/table4.xml"/><Relationship Id="rId12"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
  <sheetViews>
    <sheetView showGridLines="0" zoomScale="120" zoomScaleNormal="120" zoomScaleSheetLayoutView="130" workbookViewId="0"/>
  </sheetViews>
  <sheetFormatPr defaultRowHeight="15" x14ac:dyDescent="0.25"/>
  <sheetData/>
  <sheetProtection sheet="1" objects="1" scenarios="1" selectLockedCells="1" selectUnlockedCells="1"/>
  <pageMargins left="0.7" right="0.7" top="0.75" bottom="0.75" header="0.3" footer="0.3"/>
  <pageSetup orientation="portrait" horizontalDpi="4294967293" verticalDpi="4294967293" r:id="rId1"/>
  <headerFooter>
    <oddFooter>&amp;LNational Steel Bridge Alliance&amp;Cv3.14&amp;R&amp;P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499984740745262"/>
  </sheetPr>
  <dimension ref="A1:AB61"/>
  <sheetViews>
    <sheetView showGridLines="0" topLeftCell="A31" zoomScaleNormal="100" zoomScaleSheetLayoutView="100" workbookViewId="0">
      <selection activeCell="F25" sqref="F25"/>
    </sheetView>
  </sheetViews>
  <sheetFormatPr defaultColWidth="9.140625" defaultRowHeight="14.25" x14ac:dyDescent="0.2"/>
  <cols>
    <col min="1" max="1" width="40.5703125" style="1" bestFit="1" customWidth="1"/>
    <col min="2" max="3" width="18.85546875" style="1" customWidth="1"/>
    <col min="4" max="4" width="3.42578125" style="1" customWidth="1"/>
    <col min="5" max="5" width="36.42578125" style="1" customWidth="1"/>
    <col min="6" max="9" width="18.85546875" style="1" customWidth="1"/>
    <col min="10" max="16384" width="9.140625" style="1"/>
  </cols>
  <sheetData>
    <row r="1" spans="1:16" ht="58.5" customHeight="1" x14ac:dyDescent="0.2">
      <c r="A1" s="185" t="s">
        <v>229</v>
      </c>
      <c r="B1" s="185"/>
      <c r="C1" s="185"/>
      <c r="D1" s="185"/>
      <c r="E1" s="185"/>
      <c r="F1" s="185"/>
      <c r="G1" s="185"/>
    </row>
    <row r="2" spans="1:16" ht="21" thickBot="1" x14ac:dyDescent="0.25">
      <c r="A2" s="189" t="s">
        <v>0</v>
      </c>
      <c r="B2" s="189"/>
      <c r="C2" s="189"/>
      <c r="D2" s="189"/>
      <c r="E2" s="189"/>
      <c r="F2" s="189"/>
      <c r="G2" s="189"/>
      <c r="H2" s="189"/>
      <c r="I2" s="189"/>
    </row>
    <row r="3" spans="1:16" ht="15" thickTop="1" x14ac:dyDescent="0.2"/>
    <row r="4" spans="1:16" ht="30.95" customHeight="1" x14ac:dyDescent="0.25">
      <c r="A4" s="186" t="s">
        <v>2</v>
      </c>
      <c r="B4" s="186"/>
      <c r="C4" s="186"/>
      <c r="D4" s="22"/>
      <c r="E4" s="184" t="s">
        <v>18</v>
      </c>
      <c r="F4" s="184"/>
      <c r="G4" s="184"/>
    </row>
    <row r="5" spans="1:16" ht="30.95" customHeight="1" thickBot="1" x14ac:dyDescent="0.3">
      <c r="A5" s="22"/>
      <c r="B5" s="73" t="s">
        <v>12</v>
      </c>
      <c r="C5" s="73" t="s">
        <v>13</v>
      </c>
      <c r="D5" s="22"/>
      <c r="E5" s="148"/>
      <c r="F5" s="148"/>
      <c r="G5" s="148"/>
    </row>
    <row r="6" spans="1:16" ht="30.95" customHeight="1" x14ac:dyDescent="0.25">
      <c r="A6" s="74" t="s">
        <v>95</v>
      </c>
      <c r="B6" s="85">
        <v>84.84</v>
      </c>
      <c r="C6" s="85">
        <v>-78.64</v>
      </c>
      <c r="D6" s="22"/>
      <c r="E6" s="74" t="s">
        <v>19</v>
      </c>
      <c r="F6" s="68" t="s">
        <v>24</v>
      </c>
      <c r="G6" s="22"/>
    </row>
    <row r="7" spans="1:16" ht="30.95" customHeight="1" x14ac:dyDescent="0.25">
      <c r="A7" s="74" t="s">
        <v>96</v>
      </c>
      <c r="B7" s="85">
        <v>0</v>
      </c>
      <c r="C7" s="85">
        <v>0</v>
      </c>
      <c r="D7" s="22"/>
      <c r="E7" s="74" t="s">
        <v>23</v>
      </c>
      <c r="F7" s="69">
        <v>1</v>
      </c>
      <c r="G7" s="22"/>
    </row>
    <row r="8" spans="1:16" ht="30.95" customHeight="1" x14ac:dyDescent="0.25">
      <c r="A8" s="74" t="s">
        <v>43</v>
      </c>
      <c r="B8" s="85">
        <v>0</v>
      </c>
      <c r="C8" s="85">
        <v>0</v>
      </c>
      <c r="D8" s="22"/>
      <c r="E8" s="74" t="s">
        <v>20</v>
      </c>
      <c r="F8" s="68" t="s">
        <v>21</v>
      </c>
      <c r="G8" s="22"/>
    </row>
    <row r="9" spans="1:16" ht="30.95" customHeight="1" x14ac:dyDescent="0.25">
      <c r="A9" s="74" t="s">
        <v>97</v>
      </c>
      <c r="B9" s="85">
        <v>1042.3499999999999</v>
      </c>
      <c r="C9" s="85">
        <v>14.81</v>
      </c>
      <c r="D9" s="22"/>
      <c r="E9" s="74" t="s">
        <v>230</v>
      </c>
      <c r="F9" s="68" t="s">
        <v>22</v>
      </c>
      <c r="G9" s="22"/>
    </row>
    <row r="10" spans="1:16" ht="30.95" customHeight="1" x14ac:dyDescent="0.25">
      <c r="A10" s="74" t="s">
        <v>98</v>
      </c>
      <c r="B10" s="86">
        <v>-882.88</v>
      </c>
      <c r="C10" s="86">
        <v>-83.84</v>
      </c>
      <c r="D10" s="22"/>
      <c r="E10" s="74" t="s">
        <v>187</v>
      </c>
      <c r="F10" s="68" t="s">
        <v>27</v>
      </c>
      <c r="G10" s="157">
        <v>0.69</v>
      </c>
    </row>
    <row r="11" spans="1:16" ht="30.95" customHeight="1" x14ac:dyDescent="0.25">
      <c r="A11" s="75" t="s">
        <v>112</v>
      </c>
      <c r="B11" s="86">
        <v>0</v>
      </c>
      <c r="C11" s="86">
        <v>0</v>
      </c>
      <c r="D11" s="22"/>
      <c r="E11" s="74" t="s">
        <v>99</v>
      </c>
      <c r="F11" s="132" t="s">
        <v>78</v>
      </c>
      <c r="G11" s="22"/>
    </row>
    <row r="12" spans="1:16" ht="30.95" customHeight="1" x14ac:dyDescent="0.25">
      <c r="A12" s="184" t="s">
        <v>1</v>
      </c>
      <c r="B12" s="184"/>
      <c r="C12" s="184"/>
      <c r="D12" s="22"/>
      <c r="E12" s="75" t="s">
        <v>359</v>
      </c>
      <c r="F12" s="70">
        <v>4</v>
      </c>
      <c r="G12" s="170" t="str">
        <f>IF(AND(topFlangeBoltRowQuantity&gt;=2, ISEVEN(topFlangeBoltRowQuantity)), "OK", "NG")</f>
        <v>OK</v>
      </c>
    </row>
    <row r="13" spans="1:16" ht="30.95" customHeight="1" thickBot="1" x14ac:dyDescent="0.3">
      <c r="A13" s="22"/>
      <c r="B13" s="73" t="s">
        <v>3</v>
      </c>
      <c r="C13" s="73" t="s">
        <v>4</v>
      </c>
      <c r="D13" s="22"/>
      <c r="E13" s="75" t="s">
        <v>358</v>
      </c>
      <c r="F13" s="70">
        <v>4</v>
      </c>
      <c r="G13" s="170" t="str">
        <f>IF(webBoltRowQuantity&gt;=2, "OK", "NG")</f>
        <v>OK</v>
      </c>
    </row>
    <row r="14" spans="1:16" ht="30.95" customHeight="1" x14ac:dyDescent="0.25">
      <c r="A14" s="74" t="s">
        <v>56</v>
      </c>
      <c r="B14" s="71" t="s">
        <v>31</v>
      </c>
      <c r="C14" s="71" t="s">
        <v>31</v>
      </c>
      <c r="D14" s="22"/>
      <c r="E14" s="74" t="s">
        <v>360</v>
      </c>
      <c r="F14" s="70">
        <v>4</v>
      </c>
      <c r="G14" s="170" t="str">
        <f>IF(AND(bottomFlangeBoltRowQuantity&gt;=2, ISEVEN(bottomFlangeBoltRowQuantity)), "OK", "NG")</f>
        <v>OK</v>
      </c>
    </row>
    <row r="15" spans="1:16" ht="30.95" customHeight="1" x14ac:dyDescent="0.25">
      <c r="A15" s="74" t="s">
        <v>5</v>
      </c>
      <c r="B15" s="69">
        <v>1.625</v>
      </c>
      <c r="C15" s="69">
        <v>1.625</v>
      </c>
      <c r="D15" s="22"/>
      <c r="E15" s="22"/>
      <c r="F15" s="22"/>
      <c r="G15" s="22"/>
      <c r="H15" s="4"/>
    </row>
    <row r="16" spans="1:16" s="4" customFormat="1" ht="30.95" customHeight="1" x14ac:dyDescent="0.25">
      <c r="A16" s="74" t="s">
        <v>6</v>
      </c>
      <c r="B16" s="69">
        <v>16</v>
      </c>
      <c r="C16" s="69">
        <v>16</v>
      </c>
      <c r="D16" s="22"/>
      <c r="E16" s="184" t="s">
        <v>14</v>
      </c>
      <c r="F16" s="184"/>
      <c r="G16" s="184"/>
      <c r="I16" s="1"/>
      <c r="J16" s="1"/>
      <c r="K16" s="1"/>
      <c r="L16" s="1"/>
      <c r="M16" s="1"/>
      <c r="N16" s="1"/>
      <c r="O16" s="1"/>
      <c r="P16" s="1"/>
    </row>
    <row r="17" spans="1:28" s="4" customFormat="1" ht="30.95" customHeight="1" x14ac:dyDescent="0.25">
      <c r="A17" s="74"/>
      <c r="B17" s="161"/>
      <c r="C17" s="161"/>
      <c r="D17" s="22"/>
      <c r="E17" s="74" t="s">
        <v>15</v>
      </c>
      <c r="F17" s="68" t="s">
        <v>37</v>
      </c>
      <c r="G17" s="18"/>
    </row>
    <row r="18" spans="1:28" s="4" customFormat="1" ht="30.95" customHeight="1" x14ac:dyDescent="0.25">
      <c r="A18" s="74" t="s">
        <v>530</v>
      </c>
      <c r="B18" s="169" t="s">
        <v>533</v>
      </c>
      <c r="C18" s="169" t="s">
        <v>533</v>
      </c>
      <c r="D18" s="22"/>
      <c r="E18" s="74" t="s">
        <v>16</v>
      </c>
      <c r="F18" s="69">
        <v>8.5</v>
      </c>
      <c r="G18" s="18"/>
      <c r="H18" s="1"/>
    </row>
    <row r="19" spans="1:28" ht="30.95" customHeight="1" x14ac:dyDescent="0.2">
      <c r="A19" s="75" t="s">
        <v>105</v>
      </c>
      <c r="B19" s="69">
        <v>3.3542000000000001</v>
      </c>
      <c r="C19" s="69">
        <v>1.6457999999999999</v>
      </c>
      <c r="D19" s="75"/>
      <c r="E19" s="74" t="s">
        <v>539</v>
      </c>
      <c r="F19" s="85"/>
      <c r="G19" s="109" t="str">
        <f>IF(AND(deckIsCompositeEnum="Composite",deckEffectiveWidth=""),"NG","OK")</f>
        <v>OK</v>
      </c>
      <c r="I19" s="4"/>
      <c r="J19" s="4"/>
      <c r="K19" s="4"/>
      <c r="L19" s="4"/>
      <c r="M19" s="4"/>
      <c r="N19" s="4"/>
      <c r="O19" s="4"/>
      <c r="P19" s="4"/>
      <c r="Q19" s="4"/>
      <c r="R19" s="4"/>
      <c r="S19" s="4"/>
      <c r="T19" s="4"/>
      <c r="U19" s="4"/>
      <c r="V19" s="4"/>
      <c r="W19" s="4"/>
      <c r="X19" s="4"/>
      <c r="Y19" s="4"/>
      <c r="Z19" s="4"/>
      <c r="AA19" s="4"/>
      <c r="AB19" s="4"/>
    </row>
    <row r="20" spans="1:28" ht="30.95" customHeight="1" x14ac:dyDescent="0.2">
      <c r="A20" s="74" t="s">
        <v>529</v>
      </c>
      <c r="B20" s="168" t="str">
        <f>IF(AND(EXACT(B18,"Yes"),OR(stffenerSpacingLeft=0,stffenerSpacingLeft&gt;((2*webDepth)/12))),"NG",IF(OR(stffenerSpacingLeft=0,stffenerSpacingLeft&gt;((3*webDepth)/12)),"Unstiffened","Stiffened"))</f>
        <v>Stiffened</v>
      </c>
      <c r="C20" s="168" t="str">
        <f>IF(AND(EXACT(C18,"Yes"),OR(stffenerSpacingRight=0,stffenerSpacingRight&gt;((2*webDepth)/12))),"NG",IF(OR(stffenerSpacingRight=0,stffenerSpacingRight&gt;((3*webDepth)/12)),"Unstiffened","Stiffened"))</f>
        <v>Stiffened</v>
      </c>
      <c r="D20" s="75"/>
      <c r="E20" s="74" t="s">
        <v>540</v>
      </c>
      <c r="F20" s="85"/>
      <c r="G20" s="109" t="str">
        <f>IF(AND(deckIsCompositeEnum="Composite",deckConcreteStrength=""),"NG","OK")</f>
        <v>OK</v>
      </c>
      <c r="I20" s="4"/>
      <c r="J20" s="4"/>
      <c r="K20" s="4"/>
      <c r="L20" s="4"/>
      <c r="M20" s="4"/>
      <c r="N20" s="4"/>
      <c r="O20" s="4"/>
      <c r="P20" s="4"/>
      <c r="Q20" s="4"/>
      <c r="R20" s="4"/>
      <c r="S20" s="4"/>
      <c r="T20" s="4"/>
      <c r="U20" s="4"/>
      <c r="V20" s="4"/>
      <c r="W20" s="4"/>
      <c r="X20" s="4"/>
      <c r="Y20" s="4"/>
      <c r="Z20" s="4"/>
      <c r="AA20" s="4"/>
      <c r="AB20" s="4"/>
    </row>
    <row r="21" spans="1:28" ht="30.95" customHeight="1" x14ac:dyDescent="0.25">
      <c r="A21" s="75"/>
      <c r="B21" s="162"/>
      <c r="C21" s="162"/>
      <c r="D21" s="75"/>
      <c r="E21" s="184" t="s">
        <v>381</v>
      </c>
      <c r="F21" s="184"/>
      <c r="G21" s="184"/>
      <c r="J21" s="4"/>
      <c r="K21" s="4"/>
      <c r="L21" s="4"/>
      <c r="M21" s="4"/>
      <c r="N21" s="4"/>
      <c r="O21" s="4"/>
      <c r="P21" s="4"/>
    </row>
    <row r="22" spans="1:28" ht="30.95" customHeight="1" x14ac:dyDescent="0.2">
      <c r="A22" s="74" t="s">
        <v>11</v>
      </c>
      <c r="B22" s="71" t="s">
        <v>31</v>
      </c>
      <c r="C22" s="71" t="s">
        <v>31</v>
      </c>
      <c r="D22" s="75"/>
      <c r="E22" s="75" t="s">
        <v>281</v>
      </c>
      <c r="F22" s="101">
        <v>3.5</v>
      </c>
      <c r="G22" s="109" t="str">
        <f>IF(minimumBoltSpacingInitial&gt;0,IF(minimumBoltSpacingInitial&lt;boltDiameterEnum*3,"NG","OK"),"Use Minimum Spacing")</f>
        <v>OK</v>
      </c>
    </row>
    <row r="23" spans="1:28" ht="30.95" customHeight="1" x14ac:dyDescent="0.25">
      <c r="A23" s="74" t="s">
        <v>9</v>
      </c>
      <c r="B23" s="69">
        <v>0.4375</v>
      </c>
      <c r="C23" s="69">
        <v>1.4375</v>
      </c>
      <c r="D23" s="75"/>
      <c r="E23" s="75"/>
      <c r="F23"/>
      <c r="G23"/>
    </row>
    <row r="24" spans="1:28" ht="30.95" customHeight="1" x14ac:dyDescent="0.25">
      <c r="A24" s="74" t="s">
        <v>10</v>
      </c>
      <c r="B24" s="187">
        <v>72</v>
      </c>
      <c r="C24" s="188"/>
      <c r="D24" s="22"/>
      <c r="E24" s="75" t="s">
        <v>393</v>
      </c>
      <c r="F24" s="101">
        <v>1.75</v>
      </c>
      <c r="G24" s="109" t="str">
        <f>IF(minimumEdgeDistanceFlangeInitial&gt;0,IF(minimumEdgeDistanceFlangeInitial&lt;VLOOKUP(boltDiameterEnum, boltPropertiesTable, COLUMN(Table1[[#Headers],[Standard Min Edge &amp; End Distance (in)]])), "NG", "OK"), "Use Minimum Edge Distance")</f>
        <v>OK</v>
      </c>
    </row>
    <row r="25" spans="1:28" ht="30.95" customHeight="1" x14ac:dyDescent="0.25">
      <c r="A25" s="74"/>
      <c r="B25" s="19"/>
      <c r="C25" s="19"/>
      <c r="D25" s="22"/>
      <c r="E25" s="75" t="s">
        <v>376</v>
      </c>
      <c r="F25" s="101">
        <v>2</v>
      </c>
      <c r="G25" s="109" t="str">
        <f>IF(minimumEndDistanceFlangeInitial&gt;0, IF(minimumEndDistanceFlangeInitial&lt;VLOOKUP(boltDiameterEnum, boltPropertiesTable, COLUMN(Table1[[#Headers],[Standard Min Edge &amp; End Distance (in)]])), "NG", "OK"), "Use Minimum Edge Distance")</f>
        <v>OK</v>
      </c>
    </row>
    <row r="26" spans="1:28" ht="30.95" customHeight="1" x14ac:dyDescent="0.25">
      <c r="A26" s="74" t="s">
        <v>57</v>
      </c>
      <c r="B26" s="71" t="s">
        <v>31</v>
      </c>
      <c r="C26" s="71" t="s">
        <v>31</v>
      </c>
      <c r="D26" s="22"/>
      <c r="E26" s="75"/>
      <c r="F26"/>
      <c r="G26"/>
    </row>
    <row r="27" spans="1:28" ht="30.95" customHeight="1" x14ac:dyDescent="0.25">
      <c r="A27" s="74" t="s">
        <v>7</v>
      </c>
      <c r="B27" s="69">
        <v>1.625</v>
      </c>
      <c r="C27" s="69">
        <v>1.625</v>
      </c>
      <c r="D27" s="22"/>
      <c r="E27" s="75" t="s">
        <v>392</v>
      </c>
      <c r="F27" s="101"/>
      <c r="G27" s="109" t="str">
        <f>IF(minimumEdgeDistanceWebInitial&gt;0,IF(minimumEdgeDistanceWebInitial&lt;VLOOKUP(boltDiameterEnum, boltPropertiesTable, COLUMN(Table1[[#Headers],[Standard Min Edge &amp; End Distance (in)]])), "NG", "OK"), "Use Minimum Edge Distance")</f>
        <v>Use Minimum Edge Distance</v>
      </c>
    </row>
    <row r="28" spans="1:28" ht="30.95" customHeight="1" x14ac:dyDescent="0.25">
      <c r="A28" s="74" t="s">
        <v>8</v>
      </c>
      <c r="B28" s="69">
        <v>16</v>
      </c>
      <c r="C28" s="69">
        <v>16</v>
      </c>
      <c r="D28" s="22"/>
      <c r="E28" s="76" t="s">
        <v>377</v>
      </c>
      <c r="F28" s="101"/>
      <c r="G28" s="109" t="str">
        <f>IF(minimumEndDistanceWebInitial&gt;0, IF(minimumEndDistanceWebInitial&lt;VLOOKUP(boltDiameterEnum, boltPropertiesTable, COLUMN(Table1[[#Headers],[Standard Min Edge &amp; End Distance (in)]])), "NG", "OK"), "Use Minimum Edge Distance")</f>
        <v>Use Minimum Edge Distance</v>
      </c>
    </row>
    <row r="29" spans="1:28" ht="30.95" customHeight="1" x14ac:dyDescent="0.25">
      <c r="A29" s="184" t="s">
        <v>482</v>
      </c>
      <c r="B29" s="184"/>
      <c r="C29" s="184"/>
      <c r="D29" s="22"/>
    </row>
    <row r="30" spans="1:28" ht="30.95" customHeight="1" thickBot="1" x14ac:dyDescent="0.3">
      <c r="A30" s="74"/>
      <c r="B30" s="73" t="s">
        <v>3</v>
      </c>
      <c r="C30" s="73" t="s">
        <v>4</v>
      </c>
      <c r="D30" s="22"/>
      <c r="E30" s="76"/>
      <c r="F30"/>
      <c r="G30" s="102"/>
    </row>
    <row r="31" spans="1:28" ht="30.95" customHeight="1" x14ac:dyDescent="0.25">
      <c r="A31" s="74" t="s">
        <v>17</v>
      </c>
      <c r="B31" s="69">
        <v>2.5</v>
      </c>
      <c r="C31" s="84">
        <f>IF(EXACT(alignmentMode,"Web Center"),haunchLeft,IF(EXACT(alignmentMode,"Top"),(( haunchLeft-leftTopFlangeThickness) + (rightTopFlangeThickness)),((haunchLeft +  leftBottomFlangeThickness) - (rightBottomFlangeThickness))))</f>
        <v>2.5</v>
      </c>
      <c r="D31" s="22"/>
      <c r="E31" s="76" t="s">
        <v>362</v>
      </c>
      <c r="F31" s="101"/>
      <c r="G31" s="102"/>
    </row>
    <row r="32" spans="1:28" ht="30.95" customHeight="1" x14ac:dyDescent="0.25">
      <c r="A32" s="74" t="s">
        <v>483</v>
      </c>
      <c r="B32" s="178" t="str">
        <f>IF(AND(EXACT(alignmentMode,"Web Center"),((webDepth*0.5)+haunchLeft)&lt;((webDepth*0.5)+rightTopFlangeThickness)),"NG",IF(AND(EXACT(alignmentMode,"Bottom"),(haunchLeft+leftBottomFlangeThickness+webDepth)&lt;(rightTopFlangeThickness+rightBottomFlangeThickness+webDepth)),"NG","OK"))</f>
        <v>OK</v>
      </c>
      <c r="C32" s="179"/>
      <c r="D32" s="22"/>
      <c r="E32" s="76" t="s">
        <v>231</v>
      </c>
      <c r="F32" s="100"/>
      <c r="G32" s="22"/>
    </row>
    <row r="33" spans="1:9" ht="30.95" customHeight="1" x14ac:dyDescent="0.25">
      <c r="A33" s="184" t="s">
        <v>119</v>
      </c>
      <c r="B33" s="184"/>
      <c r="C33" s="184"/>
      <c r="D33" s="22"/>
      <c r="E33" s="76" t="s">
        <v>175</v>
      </c>
      <c r="F33" s="100"/>
    </row>
    <row r="34" spans="1:9" ht="30.95" customHeight="1" x14ac:dyDescent="0.25">
      <c r="A34" s="74"/>
      <c r="B34" s="77" t="s">
        <v>122</v>
      </c>
      <c r="C34" s="77" t="s">
        <v>123</v>
      </c>
      <c r="D34" s="22"/>
      <c r="E34" s="76" t="s">
        <v>232</v>
      </c>
      <c r="F34" s="101"/>
      <c r="G34" s="109" t="str">
        <f>IF(enteringTighteningClearenceInitial&gt;0,IF(enteringTighteningClearenceInitial&lt;VLOOKUP(boltDiameterEnum, boltClearencesTable, COLUMN(Table9[[#Headers],[H2]]))+MAX(VLOOKUP(boltDiameterEnum, boltClearencesTable, COLUMN(Table9[[#Headers],[C1]])), VLOOKUP(boltDiameterEnum, boltClearencesTable, COLUMN(Table9[[#Headers],[C2]]))), "NG", "OK"), "Use Minimum Clearence")</f>
        <v>Use Minimum Clearence</v>
      </c>
    </row>
    <row r="35" spans="1:9" ht="30.95" customHeight="1" x14ac:dyDescent="0.25">
      <c r="A35" s="74" t="s">
        <v>342</v>
      </c>
      <c r="B35" s="182"/>
      <c r="C35" s="183"/>
      <c r="D35" s="22"/>
      <c r="E35" s="184" t="s">
        <v>158</v>
      </c>
      <c r="F35" s="184"/>
      <c r="G35" s="184"/>
    </row>
    <row r="36" spans="1:9" ht="30.95" customHeight="1" x14ac:dyDescent="0.25">
      <c r="A36" s="74" t="s">
        <v>343</v>
      </c>
      <c r="B36" s="72"/>
      <c r="C36" s="72"/>
      <c r="D36" s="22"/>
      <c r="E36" s="74" t="s">
        <v>160</v>
      </c>
      <c r="F36" s="132" t="s">
        <v>152</v>
      </c>
      <c r="G36" s="22"/>
    </row>
    <row r="37" spans="1:9" ht="30.95" customHeight="1" x14ac:dyDescent="0.25">
      <c r="A37" s="74" t="s">
        <v>344</v>
      </c>
      <c r="B37" s="65">
        <f>ROUNDDOWN(8*((MIN(leftTopFlangeWidth,rightTopFlangeWidth)-MAX(leftWebThickness,rightWebThickness))/2-(webWeldClearence+webWeldSize)),0)/8</f>
        <v>7.25</v>
      </c>
      <c r="C37" s="84">
        <f>MIN(leftTopFlangeWidth, rightTopFlangeWidth)</f>
        <v>16</v>
      </c>
      <c r="D37" s="22"/>
      <c r="E37" s="75" t="s">
        <v>450</v>
      </c>
      <c r="F37" s="156" t="s">
        <v>452</v>
      </c>
      <c r="G37"/>
    </row>
    <row r="38" spans="1:9" ht="30.95" customHeight="1" x14ac:dyDescent="0.25">
      <c r="A38" s="74" t="s">
        <v>183</v>
      </c>
      <c r="B38" s="66">
        <f>2*(innerTopFlangeSplicePlateWidth*innerTopFlangeSplicePlateThickness)</f>
        <v>0</v>
      </c>
      <c r="C38" s="66">
        <f>outerTopFlangeSplicePlateWidth*outerTopFlangeSplicePlateThickness</f>
        <v>0</v>
      </c>
      <c r="D38" s="22"/>
      <c r="E38" s="184" t="s">
        <v>494</v>
      </c>
      <c r="F38" s="184"/>
      <c r="G38" s="184"/>
    </row>
    <row r="39" spans="1:9" ht="30.95" customHeight="1" x14ac:dyDescent="0.25">
      <c r="A39" s="74" t="s">
        <v>176</v>
      </c>
      <c r="B39" s="180">
        <f>IFERROR(ABS(C38-B38)/(0.5*(C38+B38)),0)</f>
        <v>0</v>
      </c>
      <c r="C39" s="181"/>
      <c r="D39" s="22"/>
      <c r="E39" s="148"/>
      <c r="F39" s="151" t="s">
        <v>500</v>
      </c>
      <c r="G39" s="151" t="s">
        <v>505</v>
      </c>
      <c r="H39" s="151" t="s">
        <v>506</v>
      </c>
      <c r="I39" s="151" t="s">
        <v>501</v>
      </c>
    </row>
    <row r="40" spans="1:9" ht="30.95" customHeight="1" x14ac:dyDescent="0.25">
      <c r="A40" s="74" t="s">
        <v>426</v>
      </c>
      <c r="B40" s="178">
        <f>IF(B39&gt;0.1,1, 2)</f>
        <v>2</v>
      </c>
      <c r="C40" s="179"/>
      <c r="D40" s="22"/>
      <c r="E40" s="74" t="s">
        <v>495</v>
      </c>
      <c r="F40" s="71" t="s">
        <v>502</v>
      </c>
      <c r="G40" s="149">
        <f>topFlangeTotalBoltCalculatedStrength</f>
        <v>12</v>
      </c>
      <c r="H40" s="150">
        <v>20</v>
      </c>
      <c r="I40" s="64" t="str">
        <f>IF(EXACT(topFlangeBoltOverrideStatus,"User Specified"),IF(AND(ISEVEN(topFlangeTotalBoltOverride), topFlangeTotalBoltOverride&gt;=G40), "OK", "NG"),"DNA")</f>
        <v>DNA</v>
      </c>
    </row>
    <row r="41" spans="1:9" ht="30.95" customHeight="1" x14ac:dyDescent="0.25">
      <c r="A41" s="74"/>
      <c r="B41"/>
      <c r="C41"/>
      <c r="D41" s="22"/>
      <c r="E41" s="74" t="s">
        <v>497</v>
      </c>
      <c r="F41" s="71" t="s">
        <v>502</v>
      </c>
      <c r="G41" s="149" t="e">
        <f>MAX(webTotalBoltCalculatedStrength, webTotalBoltCalculatedSlip, webTotalBoltCalculatedPitch)</f>
        <v>#DIV/0!</v>
      </c>
      <c r="H41" s="150">
        <v>66</v>
      </c>
      <c r="I41" s="64" t="str">
        <f>IF(EXACT(webBoltOverrideStatus,"User Specified"),IF(AND(MOD(webTotalBoltCalculatedOverride, webBoltRowQuantity)=0, webTotalBoltCalculatedOverride&gt;=G41), "OK", "NG"),"DNA")</f>
        <v>DNA</v>
      </c>
    </row>
    <row r="42" spans="1:9" ht="30.95" customHeight="1" x14ac:dyDescent="0.25">
      <c r="A42" s="74" t="s">
        <v>345</v>
      </c>
      <c r="B42" s="71"/>
      <c r="C42"/>
      <c r="D42" s="22"/>
      <c r="E42" s="74" t="s">
        <v>496</v>
      </c>
      <c r="F42" s="71" t="s">
        <v>502</v>
      </c>
      <c r="G42" s="149">
        <f>bottomFlangeTotalBoltCalculatedStrength</f>
        <v>16</v>
      </c>
      <c r="H42" s="150">
        <v>28</v>
      </c>
      <c r="I42" s="64" t="str">
        <f>IF(EXACT(bottomFlangeBoltOverrideStatus,"User Specified"),IF(AND(ISEVEN(bottomFlangeTotalBoltOverride), bottomFlangeTotalBoltOverride&gt;=G42), "OK", "NG"),"DNA")</f>
        <v>DNA</v>
      </c>
    </row>
    <row r="43" spans="1:9" ht="30.95" customHeight="1" x14ac:dyDescent="0.25">
      <c r="A43" s="74" t="s">
        <v>346</v>
      </c>
      <c r="B43" s="69"/>
      <c r="C43"/>
      <c r="D43" s="22"/>
      <c r="E43" s="74"/>
      <c r="F43"/>
      <c r="G43"/>
    </row>
    <row r="44" spans="1:9" ht="30.95" customHeight="1" x14ac:dyDescent="0.25">
      <c r="A44" s="74"/>
      <c r="B44"/>
      <c r="C44"/>
      <c r="D44"/>
      <c r="E44" s="184" t="s">
        <v>297</v>
      </c>
      <c r="F44" s="184"/>
      <c r="G44" s="184"/>
    </row>
    <row r="45" spans="1:9" ht="30.95" customHeight="1" x14ac:dyDescent="0.25">
      <c r="A45" s="74"/>
      <c r="B45" s="77" t="s">
        <v>122</v>
      </c>
      <c r="C45" s="77" t="s">
        <v>123</v>
      </c>
      <c r="D45"/>
      <c r="E45" s="74" t="s">
        <v>298</v>
      </c>
      <c r="F45" s="174">
        <f>COUNTIF('Design Check Summary'!B8:F11,"NG")+COUNTIF('Design Check Summary'!B14:D17,"NG")+COUNTIF(I40,"NG")+COUNTIF(I42,"NG")+COUNTIF('Design Check Summary'!C23:C24,"NG")</f>
        <v>0</v>
      </c>
    </row>
    <row r="46" spans="1:9" ht="30.95" customHeight="1" x14ac:dyDescent="0.25">
      <c r="A46" s="74" t="s">
        <v>347</v>
      </c>
      <c r="B46" s="182" t="s">
        <v>32</v>
      </c>
      <c r="C46" s="183"/>
      <c r="D46"/>
      <c r="E46" s="74" t="s">
        <v>350</v>
      </c>
      <c r="F46" s="174">
        <f>COUNTIF('Design Check Summary'!B53:F54,"NG")</f>
        <v>1</v>
      </c>
    </row>
    <row r="47" spans="1:9" ht="30.95" customHeight="1" x14ac:dyDescent="0.25">
      <c r="A47" s="74" t="s">
        <v>348</v>
      </c>
      <c r="B47" s="72">
        <v>1</v>
      </c>
      <c r="C47" s="72">
        <v>0.6875</v>
      </c>
      <c r="D47"/>
      <c r="E47" s="74"/>
      <c r="F47"/>
    </row>
    <row r="48" spans="1:9" ht="30.95" customHeight="1" x14ac:dyDescent="0.25">
      <c r="A48" s="74" t="s">
        <v>349</v>
      </c>
      <c r="B48" s="67">
        <f>ROUNDDOWN(8*((MIN(leftBottomFlangeWidth,rightBottomFlangeWidth)-MAX(leftWebThickness,rightWebThickness))/2-(webWeldClearence+webWeldSize)),0)/8</f>
        <v>7.25</v>
      </c>
      <c r="C48" s="67">
        <f>MIN(leftBottomFlangeWidth, rightBottomFlangeWidth)</f>
        <v>16</v>
      </c>
      <c r="D48"/>
      <c r="E48" s="74" t="s">
        <v>299</v>
      </c>
      <c r="F48" s="175">
        <f>COUNTIF('Design Check Summary'!B37:D37,"NG")+COUNTIF('Design Check Summary'!B40,"NG")+COUNTIF('Design Check Summary'!B42:B44,"NG")+COUNTIF(I41,"NG")+COUNTIF('Design Check Summary'!B46:B47,"NG")</f>
        <v>0</v>
      </c>
    </row>
    <row r="49" spans="1:6" ht="30.95" customHeight="1" x14ac:dyDescent="0.25">
      <c r="A49" s="74" t="s">
        <v>183</v>
      </c>
      <c r="B49" s="66">
        <f>2*(innerBottomFlangeSplicePlateWidth*innerBottomFlangeSplicePlateThickness)</f>
        <v>14.5</v>
      </c>
      <c r="C49" s="66">
        <f>outerBottomFlangeSplicePlateWidth*outerBottomFlangeSplicePlateThickness</f>
        <v>11</v>
      </c>
      <c r="D49"/>
      <c r="E49" s="74" t="s">
        <v>300</v>
      </c>
      <c r="F49" s="174">
        <f>COUNTIF('Design Check Summary'!B58:G58,"NG")</f>
        <v>2</v>
      </c>
    </row>
    <row r="50" spans="1:6" ht="30.95" customHeight="1" x14ac:dyDescent="0.25">
      <c r="A50" s="74" t="s">
        <v>184</v>
      </c>
      <c r="B50" s="180">
        <f>IFERROR(ABS(C49-B49)/(0.5*(C49+B49)),0)</f>
        <v>0.27450980392156865</v>
      </c>
      <c r="C50" s="181"/>
      <c r="D50"/>
      <c r="F50"/>
    </row>
    <row r="51" spans="1:6" ht="30.95" customHeight="1" x14ac:dyDescent="0.2">
      <c r="A51" s="74" t="s">
        <v>426</v>
      </c>
      <c r="B51" s="178">
        <f>IF(B50&gt;0.1,1,2)</f>
        <v>1</v>
      </c>
      <c r="C51" s="179"/>
      <c r="E51" s="74" t="s">
        <v>548</v>
      </c>
      <c r="F51" s="174">
        <f>COUNTIF('Design Check Summary'!B33,"NG")</f>
        <v>0</v>
      </c>
    </row>
    <row r="52" spans="1:6" x14ac:dyDescent="0.2">
      <c r="D52" s="53"/>
    </row>
    <row r="53" spans="1:6" ht="15" x14ac:dyDescent="0.25">
      <c r="D53"/>
    </row>
    <row r="54" spans="1:6" ht="15" x14ac:dyDescent="0.25">
      <c r="D54"/>
    </row>
    <row r="55" spans="1:6" ht="15" x14ac:dyDescent="0.25">
      <c r="D55"/>
    </row>
    <row r="56" spans="1:6" ht="15" x14ac:dyDescent="0.25">
      <c r="D56"/>
    </row>
    <row r="57" spans="1:6" ht="15" x14ac:dyDescent="0.25">
      <c r="D57"/>
    </row>
    <row r="58" spans="1:6" ht="15" x14ac:dyDescent="0.25">
      <c r="D58"/>
    </row>
    <row r="59" spans="1:6" ht="15" x14ac:dyDescent="0.25">
      <c r="D59"/>
    </row>
    <row r="60" spans="1:6" ht="15" x14ac:dyDescent="0.25">
      <c r="D60"/>
    </row>
    <row r="61" spans="1:6" ht="15" x14ac:dyDescent="0.25">
      <c r="D61"/>
    </row>
  </sheetData>
  <sheetProtection sheet="1" selectLockedCells="1"/>
  <protectedRanges>
    <protectedRange sqref="F43:F49 F32:F38 F51" name="Clearences"/>
    <protectedRange sqref="G10 F6:F14 F22:F28 F40:F42 F30:F31" name="BoltProperties"/>
    <protectedRange sqref="B31 F17:F20" name="DeckProperties"/>
    <protectedRange sqref="B22:C24 C35:C43 F36 H40:H42 B44:C44 B35:B39 B46:C50 B41:B43 B26:C28 C31:C32 G40:G43 G37 B14:C18" name="GirderProperties"/>
    <protectedRange sqref="B6:C11" name="UnfactoredLoad"/>
  </protectedRanges>
  <dataConsolidate/>
  <mergeCells count="20">
    <mergeCell ref="A29:C29"/>
    <mergeCell ref="E44:G44"/>
    <mergeCell ref="B40:C40"/>
    <mergeCell ref="E38:G38"/>
    <mergeCell ref="A1:G1"/>
    <mergeCell ref="A4:C4"/>
    <mergeCell ref="E4:G4"/>
    <mergeCell ref="A33:C33"/>
    <mergeCell ref="A12:C12"/>
    <mergeCell ref="E16:G16"/>
    <mergeCell ref="E21:G21"/>
    <mergeCell ref="B24:C24"/>
    <mergeCell ref="A2:I2"/>
    <mergeCell ref="E35:G35"/>
    <mergeCell ref="B51:C51"/>
    <mergeCell ref="B50:C50"/>
    <mergeCell ref="B32:C32"/>
    <mergeCell ref="B35:C35"/>
    <mergeCell ref="B46:C46"/>
    <mergeCell ref="B39:C39"/>
  </mergeCells>
  <conditionalFormatting sqref="B32">
    <cfRule type="cellIs" dxfId="126" priority="23" operator="equal">
      <formula>"OK"</formula>
    </cfRule>
    <cfRule type="cellIs" dxfId="125" priority="24" operator="equal">
      <formula>"NG"</formula>
    </cfRule>
  </conditionalFormatting>
  <conditionalFormatting sqref="B51">
    <cfRule type="cellIs" dxfId="124" priority="76" operator="equal">
      <formula>1</formula>
    </cfRule>
    <cfRule type="cellIs" dxfId="123" priority="78" operator="equal">
      <formula>2</formula>
    </cfRule>
  </conditionalFormatting>
  <conditionalFormatting sqref="B20:C20">
    <cfRule type="cellIs" dxfId="122" priority="5" operator="equal">
      <formula>"NG"</formula>
    </cfRule>
    <cfRule type="cellIs" dxfId="121" priority="7" operator="equal">
      <formula>"Stiffened"</formula>
    </cfRule>
    <cfRule type="cellIs" dxfId="120" priority="8" operator="equal">
      <formula>"Unstiffened"</formula>
    </cfRule>
  </conditionalFormatting>
  <conditionalFormatting sqref="F45:F46 F48:F49 F51">
    <cfRule type="cellIs" dxfId="119" priority="1" operator="equal">
      <formula>0</formula>
    </cfRule>
    <cfRule type="cellIs" dxfId="118" priority="2" operator="greaterThan">
      <formula>0</formula>
    </cfRule>
  </conditionalFormatting>
  <conditionalFormatting sqref="G10">
    <cfRule type="expression" dxfId="117" priority="84">
      <formula>EXACT($F$10, "Other")</formula>
    </cfRule>
  </conditionalFormatting>
  <conditionalFormatting sqref="G12:G14">
    <cfRule type="cellIs" dxfId="116" priority="39" operator="equal">
      <formula>"NG"</formula>
    </cfRule>
    <cfRule type="cellIs" dxfId="115" priority="40" operator="equal">
      <formula>"OK"</formula>
    </cfRule>
  </conditionalFormatting>
  <conditionalFormatting sqref="G19:G20">
    <cfRule type="cellIs" dxfId="114" priority="3" operator="equal">
      <formula>"NG"</formula>
    </cfRule>
    <cfRule type="cellIs" dxfId="113" priority="4" operator="equal">
      <formula>"OK"</formula>
    </cfRule>
  </conditionalFormatting>
  <conditionalFormatting sqref="G22">
    <cfRule type="cellIs" dxfId="112" priority="45" operator="equal">
      <formula>"NG"</formula>
    </cfRule>
    <cfRule type="cellIs" dxfId="111" priority="46" operator="equal">
      <formula>"OK"</formula>
    </cfRule>
  </conditionalFormatting>
  <conditionalFormatting sqref="G24:G25">
    <cfRule type="cellIs" dxfId="110" priority="35" operator="equal">
      <formula>"NG"</formula>
    </cfRule>
    <cfRule type="cellIs" dxfId="109" priority="36" operator="equal">
      <formula>"OK"</formula>
    </cfRule>
  </conditionalFormatting>
  <conditionalFormatting sqref="G27:G28">
    <cfRule type="cellIs" dxfId="108" priority="25" operator="equal">
      <formula>"NG"</formula>
    </cfRule>
    <cfRule type="cellIs" dxfId="107" priority="26" operator="equal">
      <formula>"OK"</formula>
    </cfRule>
  </conditionalFormatting>
  <conditionalFormatting sqref="G30:G31 B40 D52">
    <cfRule type="cellIs" dxfId="106" priority="77" operator="equal">
      <formula>1</formula>
    </cfRule>
    <cfRule type="cellIs" dxfId="105" priority="79" operator="equal">
      <formula>2</formula>
    </cfRule>
  </conditionalFormatting>
  <conditionalFormatting sqref="G34">
    <cfRule type="cellIs" dxfId="104" priority="33" operator="equal">
      <formula>"NG"</formula>
    </cfRule>
    <cfRule type="cellIs" dxfId="103" priority="34" operator="equal">
      <formula>"OK"</formula>
    </cfRule>
  </conditionalFormatting>
  <conditionalFormatting sqref="H40">
    <cfRule type="expression" dxfId="102" priority="16">
      <formula>EXACT(topFlangeBoltOverrideStatus, "Spreadsheet Calculated")</formula>
    </cfRule>
  </conditionalFormatting>
  <conditionalFormatting sqref="H41">
    <cfRule type="expression" dxfId="101" priority="15">
      <formula>EXACT(webBoltOverrideStatus, "Spreadsheet Calculated")</formula>
    </cfRule>
  </conditionalFormatting>
  <conditionalFormatting sqref="H42">
    <cfRule type="expression" dxfId="100" priority="14">
      <formula>EXACT(bottomFlangeBoltOverrideStatus, "Spreadsheet Calculated")</formula>
    </cfRule>
  </conditionalFormatting>
  <conditionalFormatting sqref="I40:I42">
    <cfRule type="cellIs" dxfId="99" priority="11" operator="equal">
      <formula>"NG"</formula>
    </cfRule>
    <cfRule type="cellIs" dxfId="98" priority="17" operator="equal">
      <formula>"OK"</formula>
    </cfRule>
    <cfRule type="cellIs" dxfId="97" priority="18" operator="equal">
      <formula>"DNA"</formula>
    </cfRule>
  </conditionalFormatting>
  <dataValidations count="7">
    <dataValidation type="decimal" operator="greaterThan" allowBlank="1" showInputMessage="1" showErrorMessage="1" sqref="B24 B48:C49 B37:C38 B28:C28 G40:G42 B16:C17 F18:F20" xr:uid="{370B58D6-6E69-4E9E-A31F-FEE3938FC9FD}">
      <formula1>0</formula1>
    </dataValidation>
    <dataValidation type="decimal" operator="greaterThanOrEqual" allowBlank="1" showInputMessage="1" showErrorMessage="1" sqref="F31:F34 F22:F28 B21:C21" xr:uid="{8FDABFAB-4321-4367-818E-4370340FD07F}">
      <formula1>0</formula1>
    </dataValidation>
    <dataValidation type="whole" operator="greaterThanOrEqual" allowBlank="1" showInputMessage="1" showErrorMessage="1" sqref="F12:F14" xr:uid="{9078B1B2-9CA4-4797-92FE-9BE2F68D08BD}">
      <formula1>2</formula1>
    </dataValidation>
    <dataValidation type="decimal" operator="greaterThanOrEqual" showErrorMessage="1" errorTitle="Input Error" error="Value must be at least the same as the thickness of the top left flange." sqref="B31" xr:uid="{CBDC58FA-6CA4-4D3F-A7D2-403656CFD820}">
      <formula1>B15</formula1>
    </dataValidation>
    <dataValidation operator="greaterThanOrEqual" allowBlank="1" sqref="C31" xr:uid="{F7893ADB-5E35-4D57-9476-08CF7DC9755C}"/>
    <dataValidation type="decimal" operator="greaterThan" allowBlank="1" showInputMessage="1" showErrorMessage="1" sqref="H40:H42" xr:uid="{26AAA8E6-4694-4966-AE31-58C4894389EA}">
      <formula1>1</formula1>
    </dataValidation>
    <dataValidation type="decimal" operator="greaterThanOrEqual" showInputMessage="1" showErrorMessage="1" sqref="B19:C19" xr:uid="{D760A2E4-F5E6-401B-9356-48606F33488C}">
      <formula1>0</formula1>
    </dataValidation>
  </dataValidations>
  <printOptions verticalCentered="1"/>
  <pageMargins left="0.7" right="0.7" top="0.75" bottom="0.75" header="0.3" footer="0.3"/>
  <pageSetup scale="57" orientation="landscape" horizontalDpi="4294967293" verticalDpi="4294967293" r:id="rId1"/>
  <headerFooter>
    <oddFooter>&amp;LNational Steel Bridge Alliance&amp;Cv3.14&amp;R&amp;P of &amp;N</oddFooter>
  </headerFooter>
  <rowBreaks count="1" manualBreakCount="1">
    <brk id="28" max="16383" man="1"/>
  </rowBreaks>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D86C3C53-9927-4F9D-ACFC-D1A005C51554}">
          <x14:formula1>
            <xm:f>Lists!$C$2:$C$3</xm:f>
          </x14:formula1>
          <xm:sqref>F6</xm:sqref>
        </x14:dataValidation>
        <x14:dataValidation type="list" allowBlank="1" showInputMessage="1" showErrorMessage="1" xr:uid="{1EDDC823-F8B5-4071-959F-AA1B3053F4C9}">
          <x14:formula1>
            <xm:f>Lists!$D$2:$D$8</xm:f>
          </x14:formula1>
          <xm:sqref>F7</xm:sqref>
        </x14:dataValidation>
        <x14:dataValidation type="list" allowBlank="1" showInputMessage="1" showErrorMessage="1" xr:uid="{C626FAFD-10AF-4458-B96B-02BD6727AFAD}">
          <x14:formula1>
            <xm:f>Lists!$B$2:$B$3</xm:f>
          </x14:formula1>
          <xm:sqref>F8:F9</xm:sqref>
        </x14:dataValidation>
        <x14:dataValidation type="list" allowBlank="1" showInputMessage="1" showErrorMessage="1" xr:uid="{5A232DD0-9F85-46FE-8143-3CCCE26CF02A}">
          <x14:formula1>
            <xm:f>Lists!$A$2:$A$3</xm:f>
          </x14:formula1>
          <xm:sqref>F17</xm:sqref>
        </x14:dataValidation>
        <x14:dataValidation type="list" allowBlank="1" showInputMessage="1" showErrorMessage="1" xr:uid="{5D6B8965-2BD6-4BE4-AD26-39487A31F8A1}">
          <x14:formula1>
            <xm:f>Lists!$E$2:$E$6</xm:f>
          </x14:formula1>
          <xm:sqref>F10</xm:sqref>
        </x14:dataValidation>
        <x14:dataValidation type="list" operator="greaterThan" allowBlank="1" showInputMessage="1" showErrorMessage="1" xr:uid="{6B1F11E7-1209-4F01-88D9-8366BD084282}">
          <x14:formula1>
            <xm:f>Lists!$I$2:$I$47</xm:f>
          </x14:formula1>
          <xm:sqref>B43 B47:C47 B36:C36 B23:C23 B27:C27 B15:C15</xm:sqref>
        </x14:dataValidation>
        <x14:dataValidation type="list" operator="greaterThanOrEqual" allowBlank="1" showInputMessage="1" showErrorMessage="1" xr:uid="{21FAAEFF-8D5A-403A-A6BA-832A0DC082EB}">
          <x14:formula1>
            <xm:f>Lists!$J$3</xm:f>
          </x14:formula1>
          <xm:sqref>F37</xm:sqref>
        </x14:dataValidation>
        <x14:dataValidation type="list" allowBlank="1" showInputMessage="1" showErrorMessage="1" xr:uid="{F1F39404-A5E9-4DD0-B9FE-F66ACACC8D3D}">
          <x14:formula1>
            <xm:f>Lists!$G$2</xm:f>
          </x14:formula1>
          <xm:sqref>F11</xm:sqref>
        </x14:dataValidation>
        <x14:dataValidation type="list" allowBlank="1" showInputMessage="1" showErrorMessage="1" xr:uid="{E6C6BCE5-8FDE-4C0A-9A45-95DA8F88008F}">
          <x14:formula1>
            <xm:f>Lists!$H$3</xm:f>
          </x14:formula1>
          <xm:sqref>F36</xm:sqref>
        </x14:dataValidation>
        <x14:dataValidation type="list" allowBlank="1" showInputMessage="1" showErrorMessage="1" xr:uid="{A582CF84-5533-4ECB-8D2F-DB613C5D472F}">
          <x14:formula1>
            <xm:f>Lists!$K$2:$K$3</xm:f>
          </x14:formula1>
          <xm:sqref>F40:F42</xm:sqref>
        </x14:dataValidation>
        <x14:dataValidation type="list" allowBlank="1" showInputMessage="1" showErrorMessage="1" xr:uid="{2F4054BB-1024-49CD-9FE0-A28478CC68B2}">
          <x14:formula1>
            <xm:f>Lists!$F$2:$F$8</xm:f>
          </x14:formula1>
          <xm:sqref>B14:C14 B46 B35 B42 B26:C26 B22:C22</xm:sqref>
        </x14:dataValidation>
        <x14:dataValidation type="list" operator="greaterThanOrEqual" allowBlank="1" showInputMessage="1" showErrorMessage="1" xr:uid="{D1C9E72B-58D6-48D5-9FE1-F821A18E0B12}">
          <x14:formula1>
            <xm:f>Lists!$M$2:$M$4</xm:f>
          </x14:formula1>
          <xm:sqref>B20:C20</xm:sqref>
        </x14:dataValidation>
        <x14:dataValidation type="list" allowBlank="1" showInputMessage="1" showErrorMessage="1" xr:uid="{0AADD866-29EB-462A-BE3B-8BD2B5A34AEB}">
          <x14:formula1>
            <xm:f>Lists!$L$2:$L$3</xm:f>
          </x14:formula1>
          <xm:sqref>B18:C18</xm:sqref>
        </x14:dataValidation>
        <x14:dataValidation type="list" allowBlank="1" showInputMessage="1" showErrorMessage="1" xr:uid="{C552D497-5972-4753-A1FA-4DE9FF41316F}">
          <x14:formula1>
            <xm:f>Lists!A2:A3</xm:f>
          </x14:formula1>
          <xm:sqref>F17</xm:sqref>
        </x14:dataValidation>
        <x14:dataValidation type="list" allowBlank="1" showInputMessage="1" showErrorMessage="1" xr:uid="{28C797BB-3685-4C86-BD18-52B3124A4E1A}">
          <x14:formula1>
            <xm:f>Lists!D2:D8</xm:f>
          </x14:formula1>
          <xm:sqref>F7</xm:sqref>
        </x14:dataValidation>
        <x14:dataValidation type="list" allowBlank="1" showInputMessage="1" showErrorMessage="1" xr:uid="{7D1F12DA-7ED9-4D13-9480-F0E6171D0068}">
          <x14:formula1>
            <xm:f>Lists!C2:C3</xm:f>
          </x14:formula1>
          <xm:sqref>F6</xm:sqref>
        </x14:dataValidation>
        <x14:dataValidation type="list" allowBlank="1" showInputMessage="1" showErrorMessage="1" xr:uid="{F8E6699E-2BCF-4E4F-A0D4-600D64ABA728}">
          <x14:formula1>
            <xm:f>Lists!B2:B3</xm:f>
          </x14:formula1>
          <xm:sqref>F8:F9</xm:sqref>
        </x14:dataValidation>
        <x14:dataValidation type="list" allowBlank="1" showInputMessage="1" showErrorMessage="1" xr:uid="{610B35AB-E52D-4167-93F4-38AE906B6908}">
          <x14:formula1>
            <xm:f>Lists!E2:E6</xm:f>
          </x14:formula1>
          <xm:sqref>F10</xm:sqref>
        </x14:dataValidation>
        <x14:dataValidation type="list" allowBlank="1" showInputMessage="1" showErrorMessage="1" xr:uid="{557135E9-FA50-40C4-AA07-ECCA416640FE}">
          <x14:formula1>
            <xm:f>Lists!F7:F12</xm:f>
          </x14:formula1>
          <xm:sqref>B22</xm:sqref>
        </x14:dataValidation>
        <x14:dataValidation type="list" allowBlank="1" showInputMessage="1" showErrorMessage="1" xr:uid="{FC158906-2CC9-453D-B933-C194D1F09D2C}">
          <x14:formula1>
            <xm:f>Lists!G8:G13</xm:f>
          </x14:formula1>
          <xm:sqref>C22</xm:sqref>
        </x14:dataValidation>
        <x14:dataValidation type="list" allowBlank="1" showInputMessage="1" showErrorMessage="1" xr:uid="{06127C05-AC42-4A66-8DA3-D7BE470B2C83}">
          <x14:formula1>
            <xm:f>Lists!F2:F8</xm:f>
          </x14:formula1>
          <xm:sqref>B14</xm:sqref>
        </x14:dataValidation>
        <x14:dataValidation type="list" allowBlank="1" showInputMessage="1" showErrorMessage="1" xr:uid="{5A0F9F4F-2740-46EE-85D2-37619287E38E}">
          <x14:formula1>
            <xm:f>Lists!G2:G9</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sheetPr>
  <dimension ref="A1:S4"/>
  <sheetViews>
    <sheetView showGridLines="0" topLeftCell="A20" zoomScaleNormal="100" workbookViewId="0">
      <selection activeCell="B6" sqref="B6"/>
    </sheetView>
  </sheetViews>
  <sheetFormatPr defaultRowHeight="15" x14ac:dyDescent="0.25"/>
  <sheetData>
    <row r="1" spans="1:19" s="54" customFormat="1" ht="58.5" customHeight="1" x14ac:dyDescent="0.2">
      <c r="A1" s="190" t="s">
        <v>229</v>
      </c>
      <c r="B1" s="190"/>
      <c r="C1" s="190"/>
      <c r="D1" s="190"/>
      <c r="E1" s="190"/>
      <c r="F1" s="190"/>
      <c r="G1" s="190"/>
      <c r="H1" s="190"/>
      <c r="I1" s="190"/>
      <c r="J1" s="190"/>
      <c r="K1" s="190"/>
      <c r="L1" s="190"/>
      <c r="M1" s="190"/>
      <c r="N1" s="190"/>
      <c r="O1" s="190"/>
      <c r="P1" s="190"/>
      <c r="Q1" s="190"/>
      <c r="R1" s="190"/>
      <c r="S1" s="190"/>
    </row>
    <row r="2" spans="1:19" s="54" customFormat="1" ht="21" thickBot="1" x14ac:dyDescent="0.25">
      <c r="A2" s="191" t="s">
        <v>394</v>
      </c>
      <c r="B2" s="191"/>
      <c r="C2" s="191"/>
      <c r="D2" s="191"/>
      <c r="E2" s="191"/>
      <c r="F2" s="191"/>
      <c r="G2" s="191"/>
      <c r="H2" s="191"/>
      <c r="I2" s="191"/>
      <c r="J2" s="191"/>
      <c r="K2" s="191"/>
      <c r="L2" s="191"/>
      <c r="M2" s="191"/>
      <c r="N2" s="191"/>
      <c r="O2" s="191"/>
      <c r="P2" s="191"/>
      <c r="Q2" s="191"/>
      <c r="R2" s="191"/>
      <c r="S2" s="191"/>
    </row>
    <row r="3" spans="1:19" s="54" customFormat="1" thickTop="1" x14ac:dyDescent="0.2"/>
    <row r="4" spans="1:19" ht="38.25" customHeight="1" x14ac:dyDescent="0.25"/>
  </sheetData>
  <sheetProtection sheet="1" objects="1" scenarios="1" selectLockedCells="1" selectUnlockedCells="1"/>
  <mergeCells count="2">
    <mergeCell ref="A1:S1"/>
    <mergeCell ref="A2:S2"/>
  </mergeCells>
  <printOptions verticalCentered="1"/>
  <pageMargins left="0.7" right="0.7" top="0.75" bottom="0.75" header="0.3" footer="0.3"/>
  <pageSetup scale="58" orientation="landscape" horizontalDpi="4294967293" verticalDpi="4294967293" r:id="rId1"/>
  <headerFooter>
    <oddFooter>&amp;LNational Steel Bridge Alliance&amp;Cv3.14&amp;R&amp;P of &amp;N</oddFoot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499984740745262"/>
    <pageSetUpPr fitToPage="1"/>
  </sheetPr>
  <dimension ref="A1:H37"/>
  <sheetViews>
    <sheetView showGridLines="0" tabSelected="1" topLeftCell="A16" zoomScaleNormal="100" workbookViewId="0">
      <selection activeCell="A3" sqref="A3:G22"/>
    </sheetView>
  </sheetViews>
  <sheetFormatPr defaultColWidth="9.140625" defaultRowHeight="14.25" x14ac:dyDescent="0.2"/>
  <cols>
    <col min="1" max="1" width="32.85546875" style="54" customWidth="1"/>
    <col min="2" max="8" width="19.140625" style="54" customWidth="1"/>
    <col min="9" max="16384" width="9.140625" style="54"/>
  </cols>
  <sheetData>
    <row r="1" spans="1:8" ht="58.5" customHeight="1" x14ac:dyDescent="0.2">
      <c r="A1" s="193" t="s">
        <v>229</v>
      </c>
      <c r="B1" s="193"/>
      <c r="C1" s="193"/>
      <c r="D1" s="193"/>
      <c r="E1" s="193"/>
      <c r="F1" s="193"/>
      <c r="G1" s="193"/>
      <c r="H1" s="128"/>
    </row>
    <row r="2" spans="1:8" ht="21" thickBot="1" x14ac:dyDescent="0.25">
      <c r="A2" s="191" t="s">
        <v>252</v>
      </c>
      <c r="B2" s="191"/>
      <c r="C2" s="191"/>
      <c r="D2" s="191"/>
      <c r="E2" s="191"/>
      <c r="F2" s="191"/>
      <c r="G2" s="191"/>
      <c r="H2" s="129"/>
    </row>
    <row r="3" spans="1:8" ht="15" thickTop="1" x14ac:dyDescent="0.2"/>
    <row r="4" spans="1:8" ht="18" x14ac:dyDescent="0.25">
      <c r="A4" s="192" t="s">
        <v>233</v>
      </c>
      <c r="B4" s="192"/>
      <c r="C4" s="192"/>
      <c r="D4" s="55"/>
    </row>
    <row r="5" spans="1:8" s="55" customFormat="1" ht="32.25" thickBot="1" x14ac:dyDescent="0.3">
      <c r="A5" s="61"/>
      <c r="B5" s="97" t="s">
        <v>249</v>
      </c>
      <c r="C5" s="97" t="s">
        <v>250</v>
      </c>
      <c r="D5" s="97" t="s">
        <v>503</v>
      </c>
    </row>
    <row r="6" spans="1:8" s="55" customFormat="1" ht="28.5" customHeight="1" x14ac:dyDescent="0.25">
      <c r="A6" s="59" t="s">
        <v>38</v>
      </c>
      <c r="B6" s="63">
        <f>topFlangeBoltRowsCalculated</f>
        <v>4</v>
      </c>
      <c r="C6" s="63">
        <f>topFlangeTotalBoltCalculatedFinal</f>
        <v>12</v>
      </c>
      <c r="D6" s="63" t="str">
        <f>topFlangeBoltOverrideStatus</f>
        <v>Spreadsheet Calculated</v>
      </c>
    </row>
    <row r="7" spans="1:8" s="55" customFormat="1" ht="28.5" customHeight="1" x14ac:dyDescent="0.25">
      <c r="A7" s="59" t="s">
        <v>40</v>
      </c>
      <c r="B7" s="63">
        <f>webBoltRowsCalculated</f>
        <v>4</v>
      </c>
      <c r="C7" s="63" t="e">
        <f>webTotalBoltCalculatedFinal</f>
        <v>#DIV/0!</v>
      </c>
      <c r="D7" s="63" t="str">
        <f>webBoltOverrideStatus</f>
        <v>Spreadsheet Calculated</v>
      </c>
    </row>
    <row r="8" spans="1:8" s="55" customFormat="1" ht="28.5" customHeight="1" x14ac:dyDescent="0.25">
      <c r="A8" s="59" t="s">
        <v>39</v>
      </c>
      <c r="B8" s="63">
        <f>bottomFlangeBoltRowsCalculated</f>
        <v>4</v>
      </c>
      <c r="C8" s="63">
        <f>bottomFlangeTotalBoltCalculatedFinal</f>
        <v>16</v>
      </c>
      <c r="D8" s="63" t="str">
        <f>bottomFlangeBoltOverrideStatus</f>
        <v>Spreadsheet Calculated</v>
      </c>
    </row>
    <row r="9" spans="1:8" ht="15.75" x14ac:dyDescent="0.25">
      <c r="A9" s="55"/>
      <c r="B9" s="55"/>
      <c r="C9" s="55"/>
    </row>
    <row r="10" spans="1:8" s="55" customFormat="1" ht="31.5" x14ac:dyDescent="0.25">
      <c r="A10" s="61"/>
      <c r="B10" s="90" t="s">
        <v>339</v>
      </c>
      <c r="C10" s="90" t="s">
        <v>280</v>
      </c>
      <c r="D10" s="90" t="s">
        <v>340</v>
      </c>
      <c r="E10" s="90" t="s">
        <v>278</v>
      </c>
      <c r="F10" s="90" t="s">
        <v>328</v>
      </c>
      <c r="G10" s="90" t="s">
        <v>341</v>
      </c>
    </row>
    <row r="11" spans="1:8" s="55" customFormat="1" ht="28.5" customHeight="1" x14ac:dyDescent="0.25">
      <c r="A11" s="59" t="s">
        <v>38</v>
      </c>
      <c r="B11" s="79">
        <f>topFlangeBoltTransGageCalculated</f>
        <v>3.75</v>
      </c>
      <c r="C11" s="79">
        <f>finalEdgeDistanceTopFlangeCalculated</f>
        <v>1.75</v>
      </c>
      <c r="D11" s="79">
        <f>flangeBoltLongPitchCalculated</f>
        <v>3.5</v>
      </c>
      <c r="E11" s="79">
        <f>minimumEndDistanceFlangeCalculated</f>
        <v>2</v>
      </c>
      <c r="F11" s="79">
        <f>topFlangeBoltGroupTransGageCalculated</f>
        <v>5</v>
      </c>
      <c r="G11" s="79">
        <f>minimumBoltGroupLongPitchCalculated</f>
        <v>4</v>
      </c>
    </row>
    <row r="12" spans="1:8" s="55" customFormat="1" ht="28.5" customHeight="1" x14ac:dyDescent="0.25">
      <c r="A12" s="59" t="s">
        <v>40</v>
      </c>
      <c r="B12" s="79">
        <f>minimumWebBoltLongGageCalculated</f>
        <v>3.5</v>
      </c>
      <c r="C12" s="79">
        <f>minimumWebLongEdgeDistanceCalculated</f>
        <v>1.25</v>
      </c>
      <c r="D12" s="79" t="e">
        <f>webBoltTransPitchCalculatedFinal</f>
        <v>#DIV/0!</v>
      </c>
      <c r="E12" s="79">
        <f>minimumEndDistanceWebCalculated</f>
        <v>1.25</v>
      </c>
      <c r="F12" s="79">
        <f>minimumWebBoltGroupLongGageCalculated</f>
        <v>2.5</v>
      </c>
      <c r="G12" s="79" t="s">
        <v>380</v>
      </c>
    </row>
    <row r="13" spans="1:8" s="55" customFormat="1" ht="28.5" customHeight="1" x14ac:dyDescent="0.25">
      <c r="A13" s="59" t="s">
        <v>39</v>
      </c>
      <c r="B13" s="79">
        <f>bottomFlangeBoltTransGageCalculated</f>
        <v>3.75</v>
      </c>
      <c r="C13" s="79">
        <f>finalEdgeDistanceBottomFlangeCalculated</f>
        <v>1.75</v>
      </c>
      <c r="D13" s="79">
        <f>flangeBoltLongPitchCalculated</f>
        <v>3.5</v>
      </c>
      <c r="E13" s="79">
        <f>minimumEndDistanceFlangeCalculated</f>
        <v>2</v>
      </c>
      <c r="F13" s="79">
        <f>bottomFlangeBoltGroupTransGageCalculated</f>
        <v>5</v>
      </c>
      <c r="G13" s="79">
        <f>minimumBoltGroupLongPitchCalculated</f>
        <v>4</v>
      </c>
    </row>
    <row r="14" spans="1:8" ht="15.75" x14ac:dyDescent="0.25">
      <c r="A14" s="55"/>
      <c r="B14" s="55"/>
      <c r="C14" s="55"/>
    </row>
    <row r="15" spans="1:8" ht="15.95" customHeight="1" x14ac:dyDescent="0.25">
      <c r="A15" s="192" t="s">
        <v>46</v>
      </c>
      <c r="B15" s="192"/>
      <c r="C15" s="192"/>
      <c r="D15" s="55"/>
    </row>
    <row r="16" spans="1:8" s="55" customFormat="1" ht="16.5" thickBot="1" x14ac:dyDescent="0.3">
      <c r="A16" s="61"/>
      <c r="B16" s="62" t="s">
        <v>16</v>
      </c>
      <c r="C16" s="62" t="s">
        <v>44</v>
      </c>
      <c r="D16" s="62" t="s">
        <v>45</v>
      </c>
    </row>
    <row r="17" spans="1:5" s="55" customFormat="1" ht="28.5" customHeight="1" x14ac:dyDescent="0.25">
      <c r="A17" s="59" t="s">
        <v>179</v>
      </c>
      <c r="B17" s="79">
        <f>outerTopFlangeSplicePlateThickness</f>
        <v>0</v>
      </c>
      <c r="C17" s="79">
        <f>outerTopFlangeSplicePlateWidth</f>
        <v>16</v>
      </c>
      <c r="D17" s="194">
        <f>topFlangeSplicePlateLengthCalculated</f>
        <v>22</v>
      </c>
    </row>
    <row r="18" spans="1:5" s="55" customFormat="1" ht="28.5" customHeight="1" x14ac:dyDescent="0.25">
      <c r="A18" s="59" t="s">
        <v>181</v>
      </c>
      <c r="B18" s="79">
        <f>innerTopFlangeSplicePlateThickness</f>
        <v>0</v>
      </c>
      <c r="C18" s="79">
        <f>innerTopFlangeSplicePlateWidth</f>
        <v>7.25</v>
      </c>
      <c r="D18" s="195"/>
    </row>
    <row r="19" spans="1:5" s="55" customFormat="1" ht="28.5" customHeight="1" x14ac:dyDescent="0.25">
      <c r="A19" s="59" t="s">
        <v>40</v>
      </c>
      <c r="B19" s="79">
        <f>webSplicePlateThickness</f>
        <v>0</v>
      </c>
      <c r="C19" s="79">
        <f>widthPlateWidthCaculated</f>
        <v>26</v>
      </c>
      <c r="D19" s="79" t="e">
        <f>webSplicePlateHeightFinal</f>
        <v>#DIV/0!</v>
      </c>
    </row>
    <row r="20" spans="1:5" s="55" customFormat="1" ht="28.5" customHeight="1" x14ac:dyDescent="0.25">
      <c r="A20" s="59" t="s">
        <v>180</v>
      </c>
      <c r="B20" s="79">
        <f>innerBottomFlangeSplicePlateThickness</f>
        <v>1</v>
      </c>
      <c r="C20" s="79">
        <f>innerBottomFlangeSplicePlateWidth</f>
        <v>7.25</v>
      </c>
      <c r="D20" s="196">
        <f>bottomFlangeSplicePlateLengthCalculated</f>
        <v>29</v>
      </c>
    </row>
    <row r="21" spans="1:5" s="55" customFormat="1" ht="28.5" customHeight="1" x14ac:dyDescent="0.25">
      <c r="A21" s="59" t="s">
        <v>178</v>
      </c>
      <c r="B21" s="79">
        <f>outerBottomFlangeSplicePlateThickness</f>
        <v>0.6875</v>
      </c>
      <c r="C21" s="79">
        <f>outerBottomFlangeSplicePlateWidth</f>
        <v>16</v>
      </c>
      <c r="D21" s="195"/>
    </row>
    <row r="23" spans="1:5" ht="18" x14ac:dyDescent="0.2">
      <c r="A23" s="192" t="s">
        <v>461</v>
      </c>
      <c r="B23" s="192"/>
      <c r="C23" s="192"/>
    </row>
    <row r="24" spans="1:5" ht="28.5" customHeight="1" thickBot="1" x14ac:dyDescent="0.3">
      <c r="B24" s="62" t="s">
        <v>16</v>
      </c>
      <c r="C24" s="62" t="s">
        <v>44</v>
      </c>
      <c r="D24" s="62" t="s">
        <v>45</v>
      </c>
    </row>
    <row r="25" spans="1:5" s="60" customFormat="1" ht="28.5" customHeight="1" x14ac:dyDescent="0.25">
      <c r="A25" s="60" t="s">
        <v>462</v>
      </c>
      <c r="B25" s="79">
        <f>outerLeftTopFlangeFillerPlateThickness</f>
        <v>0</v>
      </c>
      <c r="C25" s="79">
        <f>outerLeftTopFlangeFillerPlateWidth</f>
        <v>0</v>
      </c>
      <c r="D25" s="79">
        <f>outerLeftTopFlangeFillerPlateLength</f>
        <v>0</v>
      </c>
    </row>
    <row r="26" spans="1:5" s="60" customFormat="1" ht="28.5" customHeight="1" x14ac:dyDescent="0.25">
      <c r="A26" s="60" t="s">
        <v>464</v>
      </c>
      <c r="B26" s="79">
        <f>innerLeftTopFlangeFillerPlateThickness</f>
        <v>0</v>
      </c>
      <c r="C26" s="79">
        <f>innerLeftTopFlangeFillerPlateWidth</f>
        <v>0</v>
      </c>
      <c r="D26" s="79">
        <f>innerLeftTopFlangeFillerPlateLength</f>
        <v>0</v>
      </c>
    </row>
    <row r="27" spans="1:5" ht="28.5" customHeight="1" x14ac:dyDescent="0.2">
      <c r="A27" s="60" t="s">
        <v>463</v>
      </c>
      <c r="B27" s="79">
        <f>outerRightTopFlangeFillerPlateThickness</f>
        <v>0</v>
      </c>
      <c r="C27" s="79">
        <f>outerRightTopFlangeFillerPlateWidth</f>
        <v>0</v>
      </c>
      <c r="D27" s="79">
        <f>outerRightTopFlangeFillerPlateLength</f>
        <v>0</v>
      </c>
    </row>
    <row r="28" spans="1:5" ht="28.5" customHeight="1" x14ac:dyDescent="0.2">
      <c r="A28" s="60" t="s">
        <v>465</v>
      </c>
      <c r="B28" s="79">
        <f>innerRightTopFlangeFillerPlateThickness</f>
        <v>0</v>
      </c>
      <c r="C28" s="79">
        <f>innerRightTopFlangeFillerPlateWidth</f>
        <v>0</v>
      </c>
      <c r="D28" s="79">
        <f>innerRightTopFlangeFillerPlateLength</f>
        <v>0</v>
      </c>
    </row>
    <row r="29" spans="1:5" ht="15.75" customHeight="1" x14ac:dyDescent="0.2"/>
    <row r="30" spans="1:5" ht="28.5" customHeight="1" thickBot="1" x14ac:dyDescent="0.3">
      <c r="B30" s="62" t="s">
        <v>16</v>
      </c>
      <c r="C30" s="62" t="s">
        <v>44</v>
      </c>
      <c r="D30" s="62" t="s">
        <v>45</v>
      </c>
      <c r="E30" s="62" t="s">
        <v>526</v>
      </c>
    </row>
    <row r="31" spans="1:5" ht="28.5" customHeight="1" x14ac:dyDescent="0.2">
      <c r="A31" s="59" t="s">
        <v>523</v>
      </c>
      <c r="B31" s="79">
        <f>webFillerPlateThicknessEach</f>
        <v>0.5</v>
      </c>
      <c r="C31" s="79">
        <f>webFillerPlateWidth</f>
        <v>13</v>
      </c>
      <c r="D31" s="79" t="e">
        <f>webFillerPlateHeight</f>
        <v>#DIV/0!</v>
      </c>
      <c r="E31" s="63">
        <f>webFillerPlateQuantity</f>
        <v>2</v>
      </c>
    </row>
    <row r="32" spans="1:5" ht="15.75" customHeight="1" x14ac:dyDescent="0.2"/>
    <row r="33" spans="1:4" ht="28.5" customHeight="1" thickBot="1" x14ac:dyDescent="0.3">
      <c r="B33" s="62" t="s">
        <v>16</v>
      </c>
      <c r="C33" s="62" t="s">
        <v>44</v>
      </c>
      <c r="D33" s="62" t="s">
        <v>45</v>
      </c>
    </row>
    <row r="34" spans="1:4" ht="28.5" customHeight="1" x14ac:dyDescent="0.2">
      <c r="A34" s="60" t="s">
        <v>466</v>
      </c>
      <c r="B34" s="79">
        <f>outerLeftBottomFlangeFillerPlateThickness</f>
        <v>0</v>
      </c>
      <c r="C34" s="79">
        <f>outerLeftBottomFlangeFillerPlateWidth</f>
        <v>0</v>
      </c>
      <c r="D34" s="79">
        <f>outerLeftBottomFlangeFillerPlateLength</f>
        <v>0</v>
      </c>
    </row>
    <row r="35" spans="1:4" ht="28.5" customHeight="1" x14ac:dyDescent="0.2">
      <c r="A35" s="60" t="s">
        <v>467</v>
      </c>
      <c r="B35" s="79">
        <f>innerLeftBottomFlangeFillerPlateThickness</f>
        <v>0</v>
      </c>
      <c r="C35" s="79">
        <f>innerLeftBottomFlangeFillerPlateWidth</f>
        <v>0</v>
      </c>
      <c r="D35" s="79">
        <f>innerLeftBottomFlangeFillerPlateLength</f>
        <v>0</v>
      </c>
    </row>
    <row r="36" spans="1:4" ht="28.5" customHeight="1" x14ac:dyDescent="0.2">
      <c r="A36" s="60" t="s">
        <v>468</v>
      </c>
      <c r="B36" s="79">
        <f>outerRightBottomFlangeFillerPlateThickness</f>
        <v>0</v>
      </c>
      <c r="C36" s="79">
        <f>outerRightBottomFlangeFillerPlateWidth</f>
        <v>0</v>
      </c>
      <c r="D36" s="79">
        <f>outerRightBottomFlangeFillerPlateLength</f>
        <v>0</v>
      </c>
    </row>
    <row r="37" spans="1:4" ht="28.5" customHeight="1" x14ac:dyDescent="0.2">
      <c r="A37" s="60" t="s">
        <v>469</v>
      </c>
      <c r="B37" s="79">
        <f>innerRightBottomFlangeFillerPlateThickness</f>
        <v>0</v>
      </c>
      <c r="C37" s="79">
        <f>innerRightBottomFlangeFillerPlateWidth</f>
        <v>0</v>
      </c>
      <c r="D37" s="79">
        <f>innerRightBottomFlangeFillerPlateLength</f>
        <v>0</v>
      </c>
    </row>
  </sheetData>
  <sheetProtection sheet="1" objects="1" scenarios="1"/>
  <mergeCells count="7">
    <mergeCell ref="A23:C23"/>
    <mergeCell ref="A1:G1"/>
    <mergeCell ref="A2:G2"/>
    <mergeCell ref="D17:D18"/>
    <mergeCell ref="D20:D21"/>
    <mergeCell ref="A4:C4"/>
    <mergeCell ref="A15:C15"/>
  </mergeCells>
  <printOptions verticalCentered="1"/>
  <pageMargins left="0.7" right="0.7" top="0.75" bottom="0.75" header="0.3" footer="0.3"/>
  <pageSetup scale="73" fitToHeight="0" orientation="landscape" horizontalDpi="4294967293" verticalDpi="4294967293" r:id="rId1"/>
  <headerFooter>
    <oddFooter>&amp;LNational Steel Bridge Alliance&amp;Cv3.15&amp;R&amp;P of &amp;N</oddFooter>
  </headerFooter>
  <rowBreaks count="1" manualBreakCount="1">
    <brk id="22" max="7" man="1"/>
  </rowBreaks>
  <ignoredErrors>
    <ignoredError sqref="C12:D12 E12"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5" tint="-0.499984740745262"/>
    <pageSetUpPr fitToPage="1"/>
  </sheetPr>
  <dimension ref="A1:H58"/>
  <sheetViews>
    <sheetView showGridLines="0" zoomScaleNormal="100" workbookViewId="0">
      <selection activeCell="B8" sqref="B8"/>
    </sheetView>
  </sheetViews>
  <sheetFormatPr defaultColWidth="9.140625" defaultRowHeight="14.25" x14ac:dyDescent="0.2"/>
  <cols>
    <col min="1" max="1" width="41.140625" style="54" bestFit="1" customWidth="1"/>
    <col min="2" max="8" width="18.85546875" style="54" customWidth="1"/>
    <col min="9" max="16384" width="9.140625" style="54"/>
  </cols>
  <sheetData>
    <row r="1" spans="1:8" ht="58.5" customHeight="1" x14ac:dyDescent="0.2">
      <c r="A1" s="190" t="s">
        <v>229</v>
      </c>
      <c r="B1" s="190"/>
      <c r="C1" s="190"/>
      <c r="D1" s="190"/>
      <c r="E1" s="190"/>
      <c r="F1" s="190"/>
      <c r="G1" s="190"/>
      <c r="H1" s="190"/>
    </row>
    <row r="2" spans="1:8" ht="21" thickBot="1" x14ac:dyDescent="0.25">
      <c r="A2" s="201" t="s">
        <v>251</v>
      </c>
      <c r="B2" s="201"/>
      <c r="C2" s="201"/>
      <c r="D2" s="201"/>
      <c r="E2" s="201"/>
      <c r="F2" s="201"/>
      <c r="G2" s="201"/>
      <c r="H2" s="201"/>
    </row>
    <row r="3" spans="1:8" ht="15" thickTop="1" x14ac:dyDescent="0.2"/>
    <row r="4" spans="1:8" ht="18" x14ac:dyDescent="0.25">
      <c r="A4" s="192" t="s">
        <v>242</v>
      </c>
      <c r="B4" s="192"/>
      <c r="C4" s="192"/>
      <c r="D4" s="55"/>
    </row>
    <row r="5" spans="1:8" ht="18" x14ac:dyDescent="0.25">
      <c r="A5" s="92"/>
      <c r="B5" s="92"/>
      <c r="C5" s="92"/>
      <c r="D5" s="55"/>
    </row>
    <row r="6" spans="1:8" ht="15.75" x14ac:dyDescent="0.25">
      <c r="A6" s="23" t="s">
        <v>243</v>
      </c>
    </row>
    <row r="7" spans="1:8" s="55" customFormat="1" ht="48.75" x14ac:dyDescent="0.25">
      <c r="A7" s="56"/>
      <c r="B7" s="57" t="s">
        <v>351</v>
      </c>
      <c r="C7" s="57" t="s">
        <v>125</v>
      </c>
      <c r="D7" s="57" t="s">
        <v>265</v>
      </c>
      <c r="E7" s="57" t="s">
        <v>225</v>
      </c>
      <c r="F7" s="57" t="s">
        <v>169</v>
      </c>
    </row>
    <row r="8" spans="1:8" s="55" customFormat="1" ht="28.5" customHeight="1" x14ac:dyDescent="0.25">
      <c r="A8" s="172" t="s">
        <v>266</v>
      </c>
      <c r="B8" s="64" t="e">
        <f>statusFactoredYieldTopFlangeOuter</f>
        <v>#N/A</v>
      </c>
      <c r="C8" s="64" t="e">
        <f>statusSectionFractureTopFlangeOuter</f>
        <v>#N/A</v>
      </c>
      <c r="D8" s="64" t="str">
        <f>statusNetAreaGrossTopFlangeOuter</f>
        <v>OK</v>
      </c>
      <c r="E8" s="64" t="e">
        <f>statusBlockShearTopFlangeSplicePlateOuter</f>
        <v>#N/A</v>
      </c>
      <c r="F8" s="64" t="e">
        <f>statusBearingResistanceTopOuterSplice</f>
        <v>#DIV/0!</v>
      </c>
    </row>
    <row r="9" spans="1:8" s="55" customFormat="1" ht="28.5" customHeight="1" x14ac:dyDescent="0.25">
      <c r="A9" s="172" t="s">
        <v>267</v>
      </c>
      <c r="B9" s="64" t="e">
        <f>statusFactoredYieldTopFlangeInner</f>
        <v>#N/A</v>
      </c>
      <c r="C9" s="64" t="e">
        <f>statusSectionFractureTopFlangeInner</f>
        <v>#N/A</v>
      </c>
      <c r="D9" s="64" t="str">
        <f>statusNetAreaGrossTopFlangeInner</f>
        <v>OK</v>
      </c>
      <c r="E9" s="64" t="e">
        <f>statusBlockShearTopFlangeSplicePlateInner</f>
        <v>#N/A</v>
      </c>
      <c r="F9" s="64" t="e">
        <f>statusBearingResistanceTopInnerSplice</f>
        <v>#DIV/0!</v>
      </c>
    </row>
    <row r="10" spans="1:8" s="55" customFormat="1" ht="28.5" customHeight="1" x14ac:dyDescent="0.25">
      <c r="A10" s="172" t="s">
        <v>268</v>
      </c>
      <c r="B10" s="64" t="str">
        <f>statusFactoredYieldBottomFlangeInner</f>
        <v>OK</v>
      </c>
      <c r="C10" s="64" t="str">
        <f>statusSectionFractureBottomFlangeInner</f>
        <v>OK</v>
      </c>
      <c r="D10" s="64" t="str">
        <f>statusNetAreaGrossBottomFlangeInner</f>
        <v>OK</v>
      </c>
      <c r="E10" s="64" t="str">
        <f>statusBlockShearBottomFlangeSplicePlateInner</f>
        <v>OK</v>
      </c>
      <c r="F10" s="64" t="str">
        <f>statusBearingResistanceBottomInnerSplice</f>
        <v>OK</v>
      </c>
    </row>
    <row r="11" spans="1:8" s="55" customFormat="1" ht="28.5" customHeight="1" x14ac:dyDescent="0.25">
      <c r="A11" s="172" t="s">
        <v>269</v>
      </c>
      <c r="B11" s="64" t="str">
        <f>statusFactoredYieldBottomFlangeOuter</f>
        <v>OK</v>
      </c>
      <c r="C11" s="64" t="str">
        <f>statusSectionFractureBottomFlangeOuter</f>
        <v>OK</v>
      </c>
      <c r="D11" s="64" t="str">
        <f>statusNetAreaGrossBottomFlangeOuter</f>
        <v>OK</v>
      </c>
      <c r="E11" s="64" t="str">
        <f>statusBlockShearBottomFlangeSplicePlateOuter</f>
        <v>OK</v>
      </c>
      <c r="F11" s="64" t="str">
        <f>statusBearingResistanceBottomOuterSplice</f>
        <v>OK</v>
      </c>
    </row>
    <row r="12" spans="1:8" s="55" customFormat="1" ht="15.75" x14ac:dyDescent="0.25">
      <c r="A12" s="61"/>
      <c r="B12" s="61"/>
      <c r="C12" s="61"/>
    </row>
    <row r="13" spans="1:8" s="55" customFormat="1" ht="63" x14ac:dyDescent="0.25">
      <c r="A13" s="56"/>
      <c r="B13" s="57" t="s">
        <v>216</v>
      </c>
      <c r="C13" s="57" t="s">
        <v>217</v>
      </c>
      <c r="D13" s="57" t="s">
        <v>169</v>
      </c>
    </row>
    <row r="14" spans="1:8" s="55" customFormat="1" ht="28.5" customHeight="1" x14ac:dyDescent="0.25">
      <c r="A14" s="172" t="s">
        <v>93</v>
      </c>
      <c r="B14" s="64" t="str">
        <f>statusBlockShearTopLeftFlangeMode1</f>
        <v>OK</v>
      </c>
      <c r="C14" s="64" t="str">
        <f>statusBlockShearTopLeftFlangeMode2</f>
        <v>OK</v>
      </c>
      <c r="D14" s="202" t="str">
        <f>statusBearingResistanceTopFlange</f>
        <v>OK</v>
      </c>
    </row>
    <row r="15" spans="1:8" s="55" customFormat="1" ht="28.5" customHeight="1" x14ac:dyDescent="0.25">
      <c r="A15" s="172" t="s">
        <v>94</v>
      </c>
      <c r="B15" s="64" t="str">
        <f>statusBlockShearTopRightFlangeMode1</f>
        <v>OK</v>
      </c>
      <c r="C15" s="64" t="str">
        <f>statusBlockShearTopRightFlangeMode2</f>
        <v>OK</v>
      </c>
      <c r="D15" s="203"/>
    </row>
    <row r="16" spans="1:8" s="55" customFormat="1" ht="28.5" customHeight="1" x14ac:dyDescent="0.25">
      <c r="A16" s="172" t="s">
        <v>109</v>
      </c>
      <c r="B16" s="64" t="str">
        <f>statusBlockShearBottomLeftFlangeMode1</f>
        <v>OK</v>
      </c>
      <c r="C16" s="64" t="str">
        <f>statusBlockShearBottomLeftFlangeMode2</f>
        <v>OK</v>
      </c>
      <c r="D16" s="202" t="str">
        <f>statusBearingResistanceBottomFlange</f>
        <v>OK</v>
      </c>
    </row>
    <row r="17" spans="1:8" s="55" customFormat="1" ht="28.5" customHeight="1" x14ac:dyDescent="0.25">
      <c r="A17" s="172" t="s">
        <v>110</v>
      </c>
      <c r="B17" s="64" t="str">
        <f>statusBlockShearBottomRightFlangeMode1</f>
        <v>OK</v>
      </c>
      <c r="C17" s="64" t="str">
        <f>statusBlockShearBottomRightFlangeMode2</f>
        <v>OK</v>
      </c>
      <c r="D17" s="203"/>
    </row>
    <row r="18" spans="1:8" s="55" customFormat="1" ht="15.75" x14ac:dyDescent="0.25">
      <c r="A18" s="61"/>
      <c r="B18" s="61"/>
      <c r="C18" s="61"/>
    </row>
    <row r="19" spans="1:8" s="58" customFormat="1" ht="28.5" customHeight="1" x14ac:dyDescent="0.25">
      <c r="A19" s="172" t="s">
        <v>428</v>
      </c>
      <c r="B19" s="64">
        <f>statusTopFlangeSpliceShearPlaneCount</f>
        <v>2</v>
      </c>
    </row>
    <row r="20" spans="1:8" s="58" customFormat="1" ht="28.5" customHeight="1" x14ac:dyDescent="0.25">
      <c r="A20" s="172" t="s">
        <v>427</v>
      </c>
      <c r="B20" s="64">
        <f>statusBottomFlangeSplicePlateShearPlaneCount</f>
        <v>1</v>
      </c>
    </row>
    <row r="22" spans="1:8" ht="48" customHeight="1" x14ac:dyDescent="0.25">
      <c r="B22" s="57" t="s">
        <v>553</v>
      </c>
      <c r="C22" s="57" t="s">
        <v>555</v>
      </c>
      <c r="D22" s="57" t="s">
        <v>556</v>
      </c>
      <c r="E22" s="57" t="s">
        <v>557</v>
      </c>
      <c r="F22" s="57" t="s">
        <v>558</v>
      </c>
    </row>
    <row r="23" spans="1:8" s="58" customFormat="1" ht="28.5" customHeight="1" x14ac:dyDescent="0.25">
      <c r="A23" s="176" t="s">
        <v>551</v>
      </c>
      <c r="B23" s="64" t="str">
        <f>statusTopFlangeSpliceLengthReduction</f>
        <v>OK</v>
      </c>
      <c r="C23" s="64" t="str">
        <f>statusTopFlangeLongJointBoltCount</f>
        <v>OK</v>
      </c>
      <c r="D23" s="64">
        <f>topFlangeTotalBoltCalculatedLongJoint</f>
        <v>12</v>
      </c>
      <c r="E23" s="64">
        <f>topFlangeTotalBoltCalculatedStrength</f>
        <v>12</v>
      </c>
      <c r="F23" s="64">
        <f>topFlangeTotalBoltCalculatedStrength</f>
        <v>12</v>
      </c>
      <c r="G23" s="199" t="str">
        <f>IF(EXACT(statusTopFlangeLongJointBoltCount,"NG"),"Distance between extreme bolts exceeds 38 in.  Adjust splice or override bolt count.","")</f>
        <v/>
      </c>
      <c r="H23" s="200"/>
    </row>
    <row r="24" spans="1:8" s="58" customFormat="1" ht="28.5" customHeight="1" x14ac:dyDescent="0.25">
      <c r="A24" s="176" t="s">
        <v>552</v>
      </c>
      <c r="B24" s="64" t="str">
        <f>statusBottomFlangeSpliceLengthReduction</f>
        <v>OK</v>
      </c>
      <c r="C24" s="64" t="str">
        <f>statusBottomFlangeLongJointBoltCount</f>
        <v>OK</v>
      </c>
      <c r="D24" s="64">
        <f>bottomFlangeTotalBoltCalculatedLongJoint</f>
        <v>16</v>
      </c>
      <c r="E24" s="64">
        <f>bottomFlangeTotalBoltCalculatedStrength</f>
        <v>16</v>
      </c>
      <c r="F24" s="64">
        <f>bottomFlangeTotalBoltCalculatedStrength</f>
        <v>16</v>
      </c>
      <c r="G24" s="199" t="str">
        <f>IF(EXACT(statusBottomFlangeLongJointBoltCount,"NG"),"Distance between extreme bolts exceeds 38 in.  Adjust splice or override bolt count.","")</f>
        <v/>
      </c>
      <c r="H24" s="200"/>
    </row>
    <row r="26" spans="1:8" s="58" customFormat="1" ht="28.5" customHeight="1" x14ac:dyDescent="0.25">
      <c r="A26" s="172" t="s">
        <v>185</v>
      </c>
      <c r="B26" s="64" t="str">
        <f>statusMomentResistancePositive</f>
        <v>OK</v>
      </c>
      <c r="C26" s="197" t="str">
        <f>IF(EXACT(B26,"NOTICE"),"Flanges do not have adequate capacity to resist the Strength I moment at the splice.","")</f>
        <v/>
      </c>
      <c r="D26" s="198"/>
      <c r="E26" s="198"/>
      <c r="F26" s="198"/>
      <c r="G26" s="198"/>
    </row>
    <row r="27" spans="1:8" s="58" customFormat="1" ht="28.5" customHeight="1" x14ac:dyDescent="0.25">
      <c r="A27" s="172" t="s">
        <v>186</v>
      </c>
      <c r="B27" s="64" t="e">
        <f>statusMomentResistanceNegative</f>
        <v>#DIV/0!</v>
      </c>
      <c r="C27" s="197" t="e">
        <f>IF(EXACT(B27,"NOTICE"),"Flanges do not have adequate capacity to resist the Strength I moment at the splice.","")</f>
        <v>#DIV/0!</v>
      </c>
      <c r="D27" s="198"/>
      <c r="E27" s="198"/>
      <c r="F27" s="198"/>
      <c r="G27" s="198"/>
    </row>
    <row r="28" spans="1:8" s="60" customFormat="1" ht="15.95" customHeight="1" x14ac:dyDescent="0.25">
      <c r="B28" s="53"/>
    </row>
    <row r="29" spans="1:8" s="58" customFormat="1" ht="28.5" customHeight="1" x14ac:dyDescent="0.25">
      <c r="A29" s="172" t="s">
        <v>221</v>
      </c>
      <c r="B29" s="64" t="str">
        <f>statusPositiveMomentSlipCheck</f>
        <v>OK</v>
      </c>
      <c r="C29" s="199" t="str">
        <f>IF(EXACT(B29,"NOTICE"),"Flange splice bolts do not have adequate slip resistance under Service II moment at splice.","")</f>
        <v/>
      </c>
      <c r="D29" s="200"/>
      <c r="E29" s="200"/>
      <c r="F29" s="200"/>
      <c r="G29" s="200"/>
    </row>
    <row r="30" spans="1:8" s="58" customFormat="1" ht="28.5" customHeight="1" x14ac:dyDescent="0.25">
      <c r="A30" s="172" t="s">
        <v>222</v>
      </c>
      <c r="B30" s="64" t="e">
        <f>statusNegativeMomentSlipCheck</f>
        <v>#DIV/0!</v>
      </c>
      <c r="C30" s="199" t="e">
        <f>IF(EXACT(B30,"NOTICE"),"Flange splice bolts do not have adequate slip resistance under Service II moment at splice.","")</f>
        <v>#DIV/0!</v>
      </c>
      <c r="D30" s="200"/>
      <c r="E30" s="200"/>
      <c r="F30" s="200"/>
      <c r="G30" s="200"/>
    </row>
    <row r="31" spans="1:8" s="58" customFormat="1" ht="28.5" customHeight="1" x14ac:dyDescent="0.25">
      <c r="A31" s="172" t="s">
        <v>327</v>
      </c>
      <c r="B31" s="64" t="e">
        <f>statusDeckCastingSlipCheck</f>
        <v>#DIV/0!</v>
      </c>
      <c r="C31" s="199" t="e">
        <f>IF(EXACT(B31,"NOTICE"),"Flange splice bolts do not have adequate slip resistance under deck casting at splice.","")</f>
        <v>#DIV/0!</v>
      </c>
      <c r="D31" s="200"/>
      <c r="E31" s="200"/>
      <c r="F31" s="200"/>
      <c r="G31" s="200"/>
    </row>
    <row r="32" spans="1:8" s="58" customFormat="1" ht="28.5" customHeight="1" x14ac:dyDescent="0.25">
      <c r="A32" s="172"/>
      <c r="B32"/>
      <c r="C32"/>
      <c r="D32" s="102"/>
      <c r="E32" s="102"/>
      <c r="F32" s="102"/>
      <c r="G32" s="102"/>
    </row>
    <row r="33" spans="1:7" s="58" customFormat="1" ht="28.5" customHeight="1" x14ac:dyDescent="0.25">
      <c r="A33" s="172" t="s">
        <v>545</v>
      </c>
      <c r="B33" s="64" t="str">
        <f>statusDeckStrengthCheck</f>
        <v>DNA</v>
      </c>
      <c r="C33" s="199" t="str">
        <f>IF(EXACT(B33,"NG"),"Slab strength less than tensile demand on web and flange, design as noncomposite.","")</f>
        <v/>
      </c>
      <c r="D33" s="200"/>
      <c r="E33" s="200"/>
      <c r="F33" s="200"/>
      <c r="G33" s="200"/>
    </row>
    <row r="35" spans="1:7" ht="15.75" x14ac:dyDescent="0.25">
      <c r="A35" s="23" t="s">
        <v>285</v>
      </c>
    </row>
    <row r="36" spans="1:7" s="58" customFormat="1" ht="28.5" customHeight="1" x14ac:dyDescent="0.25">
      <c r="B36" s="29" t="s">
        <v>295</v>
      </c>
      <c r="C36" s="29" t="s">
        <v>296</v>
      </c>
      <c r="D36" s="57" t="s">
        <v>225</v>
      </c>
      <c r="F36" s="102"/>
      <c r="G36" s="102"/>
    </row>
    <row r="37" spans="1:7" s="58" customFormat="1" ht="28.5" customHeight="1" x14ac:dyDescent="0.25">
      <c r="A37" s="172" t="s">
        <v>293</v>
      </c>
      <c r="B37" s="173" t="e">
        <f>statusFactoredYieldWeb</f>
        <v>#N/A</v>
      </c>
      <c r="C37" s="173" t="e">
        <f>statusNetSectionRuptureWeb</f>
        <v>#N/A</v>
      </c>
      <c r="D37" s="173" t="e">
        <f>statusBlockShearWebSplicePlate</f>
        <v>#N/A</v>
      </c>
      <c r="F37" s="102"/>
      <c r="G37" s="102"/>
    </row>
    <row r="39" spans="1:7" s="58" customFormat="1" ht="28.5" customHeight="1" x14ac:dyDescent="0.25">
      <c r="B39" s="57" t="s">
        <v>169</v>
      </c>
      <c r="C39" s="111"/>
      <c r="D39" s="111"/>
      <c r="E39" s="111"/>
      <c r="F39" s="102"/>
      <c r="G39" s="102"/>
    </row>
    <row r="40" spans="1:7" s="58" customFormat="1" ht="28.5" customHeight="1" x14ac:dyDescent="0.25">
      <c r="A40" s="172" t="s">
        <v>40</v>
      </c>
      <c r="B40" s="173" t="e">
        <f>statusBearingResistanceWeb</f>
        <v>#DIV/0!</v>
      </c>
      <c r="C40" s="111"/>
      <c r="D40" s="111"/>
      <c r="E40" s="111"/>
      <c r="F40" s="102"/>
      <c r="G40" s="102"/>
    </row>
    <row r="41" spans="1:7" s="60" customFormat="1" ht="15.95" customHeight="1" x14ac:dyDescent="0.25">
      <c r="B41" s="53"/>
    </row>
    <row r="42" spans="1:7" s="58" customFormat="1" ht="28.5" customHeight="1" x14ac:dyDescent="0.25">
      <c r="A42" s="172" t="s">
        <v>327</v>
      </c>
      <c r="B42" s="173" t="e">
        <f>statusDeckCastingSlipWebCheck</f>
        <v>#DIV/0!</v>
      </c>
      <c r="C42" s="200" t="e">
        <f>IF(EXACT(B42,"NG"),"Web splice bolts do not have adequate slip resistance under Service II shear at splice.","")</f>
        <v>#DIV/0!</v>
      </c>
      <c r="D42" s="200"/>
      <c r="E42" s="200"/>
      <c r="F42" s="200"/>
      <c r="G42" s="200"/>
    </row>
    <row r="43" spans="1:7" s="58" customFormat="1" ht="28.5" customHeight="1" x14ac:dyDescent="0.25">
      <c r="A43" s="172" t="s">
        <v>323</v>
      </c>
      <c r="B43" s="173" t="e">
        <f>statusPositiveShearSlipWebCheck</f>
        <v>#DIV/0!</v>
      </c>
      <c r="C43" s="200" t="e">
        <f>IF(EXACT(B43,"NG"),"Web splice bolts do not have adequate slip resistance under Service II shear at splice.","")</f>
        <v>#DIV/0!</v>
      </c>
      <c r="D43" s="200"/>
      <c r="E43" s="200"/>
      <c r="F43" s="200"/>
      <c r="G43" s="200"/>
    </row>
    <row r="44" spans="1:7" s="58" customFormat="1" ht="28.5" customHeight="1" x14ac:dyDescent="0.25">
      <c r="A44" s="172" t="s">
        <v>324</v>
      </c>
      <c r="B44" s="173" t="e">
        <f>statusNegativeShearSlipWebCheck</f>
        <v>#DIV/0!</v>
      </c>
      <c r="C44" s="200" t="e">
        <f>IF(EXACT(B44,"NG"),"Web splice bolts do not have adequate slip resistance under Service II shear at splice.","")</f>
        <v>#DIV/0!</v>
      </c>
      <c r="D44" s="200"/>
      <c r="E44" s="200"/>
      <c r="F44" s="200"/>
      <c r="G44" s="200"/>
    </row>
    <row r="45" spans="1:7" s="60" customFormat="1" ht="15.95" customHeight="1" x14ac:dyDescent="0.25">
      <c r="B45" s="53"/>
    </row>
    <row r="46" spans="1:7" s="60" customFormat="1" ht="28.5" customHeight="1" x14ac:dyDescent="0.25">
      <c r="A46" s="172" t="s">
        <v>537</v>
      </c>
      <c r="B46" s="64" t="str">
        <f>IF(EXACT(stiffenedStatusLeft,"NG"),"NG","OK")</f>
        <v>OK</v>
      </c>
      <c r="C46" s="60" t="str">
        <f>IF(EXACT(B46,"NG"),"Web longitudinally stiffened and conditions of AASHTO LRFD 6.10.11.1.1 have not been met.","")</f>
        <v/>
      </c>
    </row>
    <row r="47" spans="1:7" s="60" customFormat="1" ht="28.5" customHeight="1" x14ac:dyDescent="0.25">
      <c r="A47" s="172" t="s">
        <v>538</v>
      </c>
      <c r="B47" s="64" t="str">
        <f>IF(EXACT(stiffenedStatusRight,"NG"),"NG","OK")</f>
        <v>OK</v>
      </c>
      <c r="C47" s="60" t="str">
        <f>IF(EXACT(B47,"NG"),"Web longitudinally stiffened and conditions of AASHTO LRFD 6.10.11.1.1 have not been met.","")</f>
        <v/>
      </c>
    </row>
    <row r="48" spans="1:7" s="60" customFormat="1" ht="15.95" customHeight="1" x14ac:dyDescent="0.25">
      <c r="B48" s="53"/>
    </row>
    <row r="49" spans="1:7" ht="18" x14ac:dyDescent="0.25">
      <c r="A49" s="192" t="s">
        <v>283</v>
      </c>
      <c r="B49" s="192"/>
      <c r="C49" s="192"/>
      <c r="D49" s="55"/>
    </row>
    <row r="51" spans="1:7" ht="15.75" x14ac:dyDescent="0.25">
      <c r="A51" s="23" t="s">
        <v>243</v>
      </c>
    </row>
    <row r="52" spans="1:7" ht="47.25" x14ac:dyDescent="0.25">
      <c r="B52" s="96" t="s">
        <v>401</v>
      </c>
      <c r="C52" s="57" t="s">
        <v>402</v>
      </c>
      <c r="D52" s="57" t="s">
        <v>403</v>
      </c>
      <c r="E52" s="57" t="s">
        <v>372</v>
      </c>
      <c r="F52" s="29" t="s">
        <v>405</v>
      </c>
      <c r="G52" s="29" t="s">
        <v>407</v>
      </c>
    </row>
    <row r="53" spans="1:7" s="60" customFormat="1" ht="28.5" customHeight="1" x14ac:dyDescent="0.25">
      <c r="A53" s="172" t="s">
        <v>244</v>
      </c>
      <c r="B53" s="64" t="str">
        <f>statusTopFlangeBoltSpacingCheck</f>
        <v>OK</v>
      </c>
      <c r="C53" s="64" t="str">
        <f>statusTopFlangeTransBoltGroupSpacingCheck</f>
        <v>NG</v>
      </c>
      <c r="D53" s="64" t="str">
        <f>statusTopFlangeInnerSpliceEdgeCheck</f>
        <v>OK</v>
      </c>
      <c r="E53" s="64" t="str">
        <f>statusTopFlangeLongBoltGroupSpacingCheck</f>
        <v>OK</v>
      </c>
      <c r="F53" s="64" t="str">
        <f>statusTopFlangeOuterSpliceTransDimCheck</f>
        <v>OK</v>
      </c>
      <c r="G53" s="64" t="str">
        <f>statusTopFlangeInnerSpliceTransDimCheck</f>
        <v>OK</v>
      </c>
    </row>
    <row r="54" spans="1:7" s="60" customFormat="1" ht="28.5" customHeight="1" x14ac:dyDescent="0.25">
      <c r="A54" s="172" t="s">
        <v>245</v>
      </c>
      <c r="B54" s="64" t="str">
        <f>statusBottomFlangeBoltSpacingCheck</f>
        <v>OK</v>
      </c>
      <c r="C54" s="64" t="str">
        <f>statusBottomFlangeTransBoltGroupSpacingCheck</f>
        <v>OK</v>
      </c>
      <c r="D54" s="64" t="str">
        <f>statusBottomFlangeInnerSpliceEdgeCheck</f>
        <v>OK</v>
      </c>
      <c r="E54" s="64" t="str">
        <f>statusBottomFlangeLongBoltGroupSpacingCheck</f>
        <v>OK</v>
      </c>
      <c r="F54" s="64" t="str">
        <f>statusBottomFlangeOuterSpliceTransDimCheck</f>
        <v>OK</v>
      </c>
      <c r="G54" s="64" t="str">
        <f>statusBottomFlangeInnerSpliceTransDimCheck</f>
        <v>OK</v>
      </c>
    </row>
    <row r="56" spans="1:7" ht="15.75" x14ac:dyDescent="0.25">
      <c r="A56" s="23" t="s">
        <v>285</v>
      </c>
    </row>
    <row r="57" spans="1:7" ht="31.5" x14ac:dyDescent="0.25">
      <c r="B57" s="96" t="s">
        <v>520</v>
      </c>
      <c r="C57" s="96" t="s">
        <v>397</v>
      </c>
      <c r="D57" s="29" t="s">
        <v>373</v>
      </c>
      <c r="E57" s="96" t="s">
        <v>404</v>
      </c>
      <c r="F57" s="29" t="s">
        <v>406</v>
      </c>
      <c r="G57" s="29" t="s">
        <v>371</v>
      </c>
    </row>
    <row r="58" spans="1:7" s="60" customFormat="1" ht="28.5" customHeight="1" x14ac:dyDescent="0.25">
      <c r="A58" s="172" t="s">
        <v>286</v>
      </c>
      <c r="B58" s="64" t="e">
        <f>statusWebBoltTransPitchCheck</f>
        <v>#DIV/0!</v>
      </c>
      <c r="C58" s="64" t="str">
        <f>statusWebTransBoltEndDistanceCheck</f>
        <v>OK</v>
      </c>
      <c r="D58" s="64" t="str">
        <f>statusWebLongBoltGroupSpacingCheck</f>
        <v>NG</v>
      </c>
      <c r="E58" s="64" t="str">
        <f>statusWebDiagEdgeDistanceCheck</f>
        <v>OK</v>
      </c>
      <c r="F58" s="64" t="e">
        <f>statusWebSplicePlateHeightCheck</f>
        <v>#DIV/0!</v>
      </c>
      <c r="G58" s="64" t="str">
        <f>statusWebLongBoltGroupSpacingCheck</f>
        <v>NG</v>
      </c>
    </row>
  </sheetData>
  <sheetProtection sheet="1" objects="1" scenarios="1"/>
  <mergeCells count="17">
    <mergeCell ref="A1:H1"/>
    <mergeCell ref="A2:H2"/>
    <mergeCell ref="G23:H23"/>
    <mergeCell ref="G24:H24"/>
    <mergeCell ref="A4:C4"/>
    <mergeCell ref="D14:D15"/>
    <mergeCell ref="D16:D17"/>
    <mergeCell ref="A49:C49"/>
    <mergeCell ref="C26:G26"/>
    <mergeCell ref="C27:G27"/>
    <mergeCell ref="C29:G29"/>
    <mergeCell ref="C30:G30"/>
    <mergeCell ref="C42:G42"/>
    <mergeCell ref="C33:G33"/>
    <mergeCell ref="C43:G43"/>
    <mergeCell ref="C44:G44"/>
    <mergeCell ref="C31:G31"/>
  </mergeCells>
  <conditionalFormatting sqref="B19:B20">
    <cfRule type="cellIs" dxfId="96" priority="116" operator="equal">
      <formula>"NG"</formula>
    </cfRule>
    <cfRule type="cellIs" dxfId="95" priority="117" operator="equal">
      <formula>"OK"</formula>
    </cfRule>
  </conditionalFormatting>
  <conditionalFormatting sqref="B23:B24">
    <cfRule type="cellIs" dxfId="94" priority="11" operator="equal">
      <formula>"Notice"</formula>
    </cfRule>
  </conditionalFormatting>
  <conditionalFormatting sqref="B26:B27 B29:B31">
    <cfRule type="cellIs" dxfId="93" priority="114" operator="equal">
      <formula>"NOTICE"</formula>
    </cfRule>
    <cfRule type="cellIs" dxfId="92" priority="115" operator="equal">
      <formula>"OK"</formula>
    </cfRule>
  </conditionalFormatting>
  <conditionalFormatting sqref="B33">
    <cfRule type="cellIs" dxfId="91" priority="13" operator="equal">
      <formula>"NG"</formula>
    </cfRule>
    <cfRule type="cellIs" dxfId="90" priority="14" operator="equal">
      <formula>"OK"</formula>
    </cfRule>
  </conditionalFormatting>
  <conditionalFormatting sqref="B40:B48">
    <cfRule type="cellIs" dxfId="89" priority="17" operator="equal">
      <formula>"NG"</formula>
    </cfRule>
    <cfRule type="cellIs" dxfId="88" priority="18" operator="equal">
      <formula>"OK"</formula>
    </cfRule>
  </conditionalFormatting>
  <conditionalFormatting sqref="B8:C11">
    <cfRule type="cellIs" dxfId="87" priority="102" operator="equal">
      <formula>"NG"</formula>
    </cfRule>
  </conditionalFormatting>
  <conditionalFormatting sqref="B14:C17">
    <cfRule type="cellIs" dxfId="86" priority="78" operator="equal">
      <formula>"NG"</formula>
    </cfRule>
    <cfRule type="cellIs" dxfId="85" priority="79" operator="equal">
      <formula>"OK"</formula>
    </cfRule>
  </conditionalFormatting>
  <conditionalFormatting sqref="B37:D37 C39:E40">
    <cfRule type="cellIs" dxfId="84" priority="54" operator="equal">
      <formula>"NG"</formula>
    </cfRule>
    <cfRule type="cellIs" dxfId="83" priority="55" operator="equal">
      <formula>"OK"</formula>
    </cfRule>
  </conditionalFormatting>
  <conditionalFormatting sqref="B8:F11">
    <cfRule type="cellIs" dxfId="82" priority="22" operator="equal">
      <formula>"OK"</formula>
    </cfRule>
  </conditionalFormatting>
  <conditionalFormatting sqref="B23:F24">
    <cfRule type="cellIs" dxfId="81" priority="2" operator="equal">
      <formula>"OK"</formula>
    </cfRule>
  </conditionalFormatting>
  <conditionalFormatting sqref="B53:G54">
    <cfRule type="cellIs" dxfId="80" priority="40" operator="equal">
      <formula>"NG"</formula>
    </cfRule>
    <cfRule type="cellIs" dxfId="79" priority="41" operator="equal">
      <formula>"OK"</formula>
    </cfRule>
  </conditionalFormatting>
  <conditionalFormatting sqref="B58:G58">
    <cfRule type="cellIs" dxfId="78" priority="28" operator="equal">
      <formula>"NG"</formula>
    </cfRule>
    <cfRule type="cellIs" dxfId="77" priority="29" operator="equal">
      <formula>"OK"</formula>
    </cfRule>
  </conditionalFormatting>
  <conditionalFormatting sqref="C23:F24">
    <cfRule type="cellIs" dxfId="76" priority="1" operator="equal">
      <formula>"NG"</formula>
    </cfRule>
  </conditionalFormatting>
  <conditionalFormatting sqref="D8:D11">
    <cfRule type="cellIs" dxfId="75" priority="27" operator="equal">
      <formula>"NOTICE"</formula>
    </cfRule>
  </conditionalFormatting>
  <conditionalFormatting sqref="D14">
    <cfRule type="cellIs" dxfId="74" priority="70" operator="equal">
      <formula>"NG"</formula>
    </cfRule>
    <cfRule type="cellIs" dxfId="73" priority="71" operator="equal">
      <formula>"OK"</formula>
    </cfRule>
  </conditionalFormatting>
  <conditionalFormatting sqref="D16">
    <cfRule type="cellIs" dxfId="72" priority="68" operator="equal">
      <formula>"NG"</formula>
    </cfRule>
    <cfRule type="cellIs" dxfId="71" priority="69" operator="equal">
      <formula>"OK"</formula>
    </cfRule>
  </conditionalFormatting>
  <conditionalFormatting sqref="E8:F11">
    <cfRule type="cellIs" dxfId="70" priority="21" operator="equal">
      <formula>"NG"</formula>
    </cfRule>
  </conditionalFormatting>
  <printOptions verticalCentered="1"/>
  <pageMargins left="0.7" right="0.7" top="0.75" bottom="0.75" header="0.3" footer="0.3"/>
  <pageSetup scale="70" fitToHeight="0" orientation="landscape" horizontalDpi="4294967293" verticalDpi="4294967293" r:id="rId1"/>
  <headerFooter>
    <oddFooter>&amp;LNational Steel Bridge Alliance&amp;Cv3.15&amp;R&amp;P of &amp;N</oddFooter>
  </headerFooter>
  <rowBreaks count="2" manualBreakCount="2">
    <brk id="17" max="16383" man="1"/>
    <brk id="34" max="16383" man="1"/>
  </rowBreaks>
  <ignoredErrors>
    <ignoredError sqref="F53:F54"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6" tint="-0.499984740745262"/>
    <pageSetUpPr fitToPage="1"/>
  </sheetPr>
  <dimension ref="A1:N403"/>
  <sheetViews>
    <sheetView showGridLines="0" topLeftCell="A122" zoomScaleNormal="100" workbookViewId="0">
      <selection activeCell="B8" sqref="B8"/>
    </sheetView>
  </sheetViews>
  <sheetFormatPr defaultColWidth="9.140625" defaultRowHeight="15.75" x14ac:dyDescent="0.25"/>
  <cols>
    <col min="1" max="1" width="28" style="19" customWidth="1"/>
    <col min="2" max="5" width="19.42578125" style="19" customWidth="1"/>
    <col min="6" max="6" width="23.42578125" style="19" customWidth="1"/>
    <col min="7" max="7" width="19.42578125" style="19" customWidth="1"/>
    <col min="8" max="8" width="21.85546875" style="19" bestFit="1" customWidth="1"/>
    <col min="9" max="9" width="19.85546875" style="19" bestFit="1" customWidth="1"/>
    <col min="10" max="10" width="22" style="19" bestFit="1" customWidth="1"/>
    <col min="11" max="11" width="20.42578125" style="19" customWidth="1"/>
    <col min="12" max="14" width="13.140625" style="19" customWidth="1"/>
    <col min="15" max="16" width="15.85546875" style="19" customWidth="1"/>
    <col min="17" max="16384" width="9.140625" style="19"/>
  </cols>
  <sheetData>
    <row r="1" spans="1:10" ht="58.5" customHeight="1" x14ac:dyDescent="0.25">
      <c r="A1" s="235" t="s">
        <v>229</v>
      </c>
      <c r="B1" s="235"/>
      <c r="C1" s="235"/>
      <c r="D1" s="235"/>
      <c r="E1" s="235"/>
      <c r="F1" s="235"/>
      <c r="G1" s="235"/>
      <c r="H1" s="235"/>
      <c r="I1" s="235"/>
    </row>
    <row r="2" spans="1:10" s="24" customFormat="1" ht="21.75" thickBot="1" x14ac:dyDescent="0.4">
      <c r="A2" s="234" t="s">
        <v>253</v>
      </c>
      <c r="B2" s="234"/>
      <c r="C2" s="234"/>
      <c r="D2" s="234"/>
      <c r="E2" s="234"/>
      <c r="F2" s="234"/>
      <c r="G2" s="234"/>
      <c r="H2" s="234"/>
      <c r="I2" s="234"/>
    </row>
    <row r="3" spans="1:10" ht="16.5" thickTop="1" x14ac:dyDescent="0.25"/>
    <row r="4" spans="1:10" ht="18.75" x14ac:dyDescent="0.25">
      <c r="A4" s="220" t="s">
        <v>67</v>
      </c>
      <c r="B4" s="220"/>
      <c r="C4" s="220"/>
      <c r="E4" s="25"/>
      <c r="F4" s="25"/>
      <c r="G4" s="25"/>
    </row>
    <row r="5" spans="1:10" ht="15" customHeight="1" x14ac:dyDescent="0.25">
      <c r="A5" s="26"/>
      <c r="B5" s="26"/>
      <c r="C5" s="26"/>
      <c r="E5" s="25"/>
      <c r="F5" s="25"/>
      <c r="G5" s="25"/>
    </row>
    <row r="6" spans="1:10" ht="15" customHeight="1" x14ac:dyDescent="0.25">
      <c r="A6" s="25"/>
      <c r="B6" s="238" t="s">
        <v>12</v>
      </c>
      <c r="C6" s="238"/>
      <c r="D6" s="238"/>
      <c r="E6" s="238"/>
      <c r="F6" s="238"/>
      <c r="G6" s="238"/>
    </row>
    <row r="7" spans="1:10" s="29" customFormat="1" ht="47.25" x14ac:dyDescent="0.25">
      <c r="A7" s="27"/>
      <c r="B7" s="28" t="str">
        <f>noncompositeDeadLoadLabel</f>
        <v>Noncomposite Dead Load (DC1)</v>
      </c>
      <c r="C7" s="28" t="str">
        <f>superCompositeDeadLoadLabel</f>
        <v>Superimposed Composite Dead Load (DC2)</v>
      </c>
      <c r="D7" s="28" t="str">
        <f>futureWearingSurfaceLabel</f>
        <v>Future Wearing Surface (DW)</v>
      </c>
      <c r="E7" s="28" t="str">
        <f>positiveLiveLoadImpactLabel</f>
        <v>Positive Live Load plus Impact (LL+ + I)</v>
      </c>
      <c r="F7" s="28" t="str">
        <f>negativeLiveLoadImpactLabel</f>
        <v>Negative Live Load plus Impact (LL- + I)</v>
      </c>
      <c r="G7" s="28" t="s">
        <v>112</v>
      </c>
    </row>
    <row r="8" spans="1:10" s="18" customFormat="1" x14ac:dyDescent="0.25">
      <c r="A8" s="104" t="s">
        <v>62</v>
      </c>
      <c r="B8" s="33">
        <f>noncompositeDeadLoadMoment</f>
        <v>84.84</v>
      </c>
      <c r="C8" s="33">
        <f>superCompositeDeadLoadMoment</f>
        <v>0</v>
      </c>
      <c r="D8" s="33">
        <f>futureWearingSurfaceMoment</f>
        <v>0</v>
      </c>
      <c r="E8" s="33">
        <f>positiveLiveLoadImpactMoment</f>
        <v>1042.3499999999999</v>
      </c>
      <c r="F8" s="33">
        <f>negativeLiveLoadImpactMoment</f>
        <v>-882.88</v>
      </c>
      <c r="G8" s="33">
        <f>deckCastingMoment</f>
        <v>0</v>
      </c>
      <c r="H8" s="104" t="s">
        <v>128</v>
      </c>
    </row>
    <row r="9" spans="1:10" s="18" customFormat="1" x14ac:dyDescent="0.25">
      <c r="A9" s="30" t="s">
        <v>112</v>
      </c>
      <c r="B9" s="33">
        <v>0</v>
      </c>
      <c r="C9" s="33">
        <v>0</v>
      </c>
      <c r="D9" s="33">
        <v>0</v>
      </c>
      <c r="E9" s="33">
        <v>0</v>
      </c>
      <c r="F9" s="33">
        <v>0</v>
      </c>
      <c r="G9" s="33">
        <v>1.4</v>
      </c>
      <c r="H9" s="82">
        <f>SUM($B$8*B9,$C$8*C9,$D$8*D9,$E$8*E9, $F$8*F9, $G$8*G9)</f>
        <v>0</v>
      </c>
    </row>
    <row r="10" spans="1:10" s="18" customFormat="1" x14ac:dyDescent="0.25">
      <c r="A10" s="30" t="s">
        <v>63</v>
      </c>
      <c r="B10" s="33">
        <f>IF(AND($E$8&gt;=0,$B$8&gt;0),1.25,0.9)</f>
        <v>1.25</v>
      </c>
      <c r="C10" s="33">
        <f>IF(AND($E$8&gt;=0,$C$8&gt;0),1.25,0.9)</f>
        <v>0.9</v>
      </c>
      <c r="D10" s="33">
        <f>IF(AND($E$8&gt;=0,$D$8&gt;0),1.5,0.65)</f>
        <v>0.65</v>
      </c>
      <c r="E10" s="33">
        <v>1.75</v>
      </c>
      <c r="F10" s="33">
        <v>0</v>
      </c>
      <c r="G10" s="33">
        <v>0</v>
      </c>
      <c r="H10" s="82">
        <f>SUM($B$8*B10,$C$8*C10,$D$8*D10,$E$8*E10, $F$8*F10, $G$8*G10)</f>
        <v>1930.1624999999997</v>
      </c>
    </row>
    <row r="11" spans="1:10" s="18" customFormat="1" x14ac:dyDescent="0.25">
      <c r="A11" s="30" t="s">
        <v>64</v>
      </c>
      <c r="B11" s="33">
        <f>IF(AND($F$8&lt;0,$B$8&lt;0),1.25,0.9)</f>
        <v>0.9</v>
      </c>
      <c r="C11" s="33">
        <f>IF(AND($F$8&lt;0,$C$8&lt;0),1.25,0.9)</f>
        <v>0.9</v>
      </c>
      <c r="D11" s="33">
        <f>IF(AND($F$8&lt;0,$D$8&lt;0),1.5,0.65)</f>
        <v>0.65</v>
      </c>
      <c r="E11" s="33">
        <v>0</v>
      </c>
      <c r="F11" s="33">
        <v>1.75</v>
      </c>
      <c r="G11" s="33">
        <v>0</v>
      </c>
      <c r="H11" s="82">
        <f>SUM($B$8*B11,$C$8*C11,$D$8*D11,$E$8*E11, $F$8*F11, $G$8*G11)</f>
        <v>-1468.684</v>
      </c>
    </row>
    <row r="12" spans="1:10" s="18" customFormat="1" x14ac:dyDescent="0.25">
      <c r="A12" s="30" t="s">
        <v>65</v>
      </c>
      <c r="B12" s="33">
        <v>1</v>
      </c>
      <c r="C12" s="33">
        <v>1</v>
      </c>
      <c r="D12" s="33">
        <v>1</v>
      </c>
      <c r="E12" s="33">
        <v>1.3</v>
      </c>
      <c r="F12" s="33">
        <v>0</v>
      </c>
      <c r="G12" s="33">
        <v>0</v>
      </c>
      <c r="H12" s="82">
        <f>SUM($B$8*B12,$C$8*C12,$D$8*D12,$E$8*E12, $F$8*F12, $G$8*G12)</f>
        <v>1439.8949999999998</v>
      </c>
      <c r="I12" s="125"/>
    </row>
    <row r="13" spans="1:10" s="18" customFormat="1" x14ac:dyDescent="0.25">
      <c r="A13" s="30" t="s">
        <v>66</v>
      </c>
      <c r="B13" s="33">
        <v>1</v>
      </c>
      <c r="C13" s="33">
        <v>1</v>
      </c>
      <c r="D13" s="33">
        <v>1</v>
      </c>
      <c r="E13" s="33">
        <v>0</v>
      </c>
      <c r="F13" s="33">
        <v>1.3</v>
      </c>
      <c r="G13" s="33">
        <v>0</v>
      </c>
      <c r="H13" s="82">
        <f>SUM($B$8*B13,$C$8*C13,$D$8*D13,$E$8*E13, $F$8*F13, $G$8*G13)</f>
        <v>-1062.9040000000002</v>
      </c>
      <c r="I13" s="239"/>
      <c r="J13" s="240"/>
    </row>
    <row r="15" spans="1:10" ht="18.75" x14ac:dyDescent="0.25">
      <c r="A15" s="220" t="s">
        <v>270</v>
      </c>
      <c r="B15" s="220"/>
      <c r="C15" s="220"/>
    </row>
    <row r="17" spans="1:9" s="31" customFormat="1" ht="36" x14ac:dyDescent="0.35">
      <c r="A17" s="108" t="s">
        <v>74</v>
      </c>
      <c r="B17" s="108" t="s">
        <v>19</v>
      </c>
      <c r="C17" s="108" t="s">
        <v>91</v>
      </c>
      <c r="D17" s="108" t="s">
        <v>131</v>
      </c>
      <c r="E17" s="144" t="s">
        <v>441</v>
      </c>
      <c r="F17" s="108" t="s">
        <v>132</v>
      </c>
      <c r="G17" s="108" t="s">
        <v>133</v>
      </c>
      <c r="H17" s="28" t="s">
        <v>273</v>
      </c>
      <c r="I17" s="28" t="s">
        <v>274</v>
      </c>
    </row>
    <row r="18" spans="1:9" s="18" customFormat="1" x14ac:dyDescent="0.25">
      <c r="A18" s="32" t="s">
        <v>75</v>
      </c>
      <c r="B18" s="104" t="str">
        <f>CONCATENATE(boltTypeEnum," - ",flangeThreadStateEnum)</f>
        <v>A325 - Excluded</v>
      </c>
      <c r="C18" s="103">
        <f>VLOOKUP(boltDiameterEnum, boltPropertiesTable,3)</f>
        <v>0.78539816339744828</v>
      </c>
      <c r="D18" s="137" t="str">
        <f>holeSizeFactorEnum</f>
        <v>Standard</v>
      </c>
      <c r="E18" s="33">
        <f>VLOOKUP("fs", Table5[],2)</f>
        <v>0.8</v>
      </c>
      <c r="F18" s="105">
        <f>VLOOKUP(boltTypeEnum, boltGradeTable,COLUMN(Table6[[#Headers],[Fu (ksi)]]))</f>
        <v>120</v>
      </c>
      <c r="G18" s="33">
        <f>VLOOKUP(boltDiameterEnum, boltPropertiesTable, IF(EXACT(boltTypeEnum,"A325"), COLUMN(Table1[[#Headers],[Pt - A325 (kip)]]), COLUMN(Table1[[#Headers],[Pt - A490 (kip)]])))</f>
        <v>51</v>
      </c>
      <c r="H18" s="33">
        <f>IF(EXACT(flangeThreadStateEnum,"Excluded"),E18*0.56*C18*F18,E18*0.45*C18*F18)</f>
        <v>42.223005264246822</v>
      </c>
      <c r="I18" s="33">
        <f>H18*2</f>
        <v>84.446010528493645</v>
      </c>
    </row>
    <row r="20" spans="1:9" ht="18.75" x14ac:dyDescent="0.25">
      <c r="A20" s="220" t="s">
        <v>72</v>
      </c>
      <c r="B20" s="220">
        <f>VLOOKUP(boltDiameterEnum, boltPropertiesTable,IF(EXACT(boltTypeEnum,"A325"), COLUMN(Table1[[#Headers],[Pt - A325 (kip)]]), COLUMN(Table1[[#Headers],[Pt - A490 (kip)]])))</f>
        <v>51</v>
      </c>
      <c r="C20" s="220"/>
    </row>
    <row r="22" spans="1:9" ht="36" x14ac:dyDescent="0.35">
      <c r="A22" s="108" t="s">
        <v>188</v>
      </c>
      <c r="B22" s="28" t="s">
        <v>135</v>
      </c>
      <c r="C22" s="108" t="s">
        <v>133</v>
      </c>
      <c r="D22" s="28" t="s">
        <v>275</v>
      </c>
    </row>
    <row r="23" spans="1:9" x14ac:dyDescent="0.25">
      <c r="A23" s="33">
        <f>VLOOKUP(fayingSurfaceClassEnum,Table3[],2)</f>
        <v>0.3</v>
      </c>
      <c r="B23" s="33">
        <f>VLOOKUP(holeSizeFactorEnum,Table4[], 2)</f>
        <v>1</v>
      </c>
      <c r="C23" s="33">
        <f>VLOOKUP(boltDiameterEnum, boltPropertiesTable,IF(EXACT(boltTypeEnum,"A325"), COLUMN(Table1[[#Headers],[Pt - A325 (kip)]]), COLUMN(Table1[[#Headers],[Pt - A490 (kip)]])))</f>
        <v>51</v>
      </c>
      <c r="D23" s="33">
        <f>2*(A23*B23*C23)</f>
        <v>30.599999999999998</v>
      </c>
    </row>
    <row r="25" spans="1:9" ht="18.75" x14ac:dyDescent="0.25">
      <c r="A25" s="220" t="s">
        <v>113</v>
      </c>
      <c r="B25" s="220">
        <f>VLOOKUP(boltDiameterEnum, boltPropertiesTable,IF(EXACT(boltTypeEnum,"A325"), COLUMN(Table1[[#Headers],[Pt - A325 (kip)]]), COLUMN(Table1[[#Headers],[Pt - A490 (kip)]])))</f>
        <v>51</v>
      </c>
      <c r="C25" s="220"/>
    </row>
    <row r="27" spans="1:9" ht="36" x14ac:dyDescent="0.35">
      <c r="A27" s="28" t="s">
        <v>74</v>
      </c>
      <c r="B27" s="28" t="s">
        <v>44</v>
      </c>
      <c r="C27" s="28" t="s">
        <v>16</v>
      </c>
      <c r="D27" s="28" t="s">
        <v>182</v>
      </c>
      <c r="E27" s="28" t="s">
        <v>144</v>
      </c>
      <c r="F27" s="28" t="s">
        <v>145</v>
      </c>
      <c r="G27" s="28" t="s">
        <v>432</v>
      </c>
    </row>
    <row r="28" spans="1:9" ht="30.95" customHeight="1" x14ac:dyDescent="0.25">
      <c r="A28" s="99" t="s">
        <v>266</v>
      </c>
      <c r="B28" s="94">
        <f>outerTopFlangeSplicePlateWidth</f>
        <v>16</v>
      </c>
      <c r="C28" s="94">
        <f>outerTopFlangeSplicePlateThickness</f>
        <v>0</v>
      </c>
      <c r="D28" s="82">
        <f>B28*C28</f>
        <v>0</v>
      </c>
      <c r="E28" s="242" t="e">
        <f>ABS(D28-D29)/(0.5*(D28+D29))</f>
        <v>#DIV/0!</v>
      </c>
      <c r="F28" s="244" t="e">
        <f>IF(E28&lt;=10%,"OK","NG")</f>
        <v>#DIV/0!</v>
      </c>
      <c r="G28" s="33" t="e">
        <f>IF(E28&lt;=10%,0.5,(D28/(D28+D29)))</f>
        <v>#DIV/0!</v>
      </c>
    </row>
    <row r="29" spans="1:9" ht="30.95" customHeight="1" x14ac:dyDescent="0.25">
      <c r="A29" s="99" t="s">
        <v>267</v>
      </c>
      <c r="B29" s="94">
        <f>innerTopFlangeSplicePlateWidth</f>
        <v>7.25</v>
      </c>
      <c r="C29" s="94">
        <f>innerTopFlangeSplicePlateThickness</f>
        <v>0</v>
      </c>
      <c r="D29" s="82">
        <f>B29*C29*2</f>
        <v>0</v>
      </c>
      <c r="E29" s="243"/>
      <c r="F29" s="245"/>
      <c r="G29" s="33" t="e">
        <f>IF(E28&lt;=10%,0.5,(D29/(D28+D29)))</f>
        <v>#DIV/0!</v>
      </c>
    </row>
    <row r="30" spans="1:9" ht="30.95" customHeight="1" x14ac:dyDescent="0.25">
      <c r="A30" s="99" t="s">
        <v>268</v>
      </c>
      <c r="B30" s="94">
        <f>innerBottomFlangeSplicePlateWidth</f>
        <v>7.25</v>
      </c>
      <c r="C30" s="94">
        <f>innerBottomFlangeSplicePlateThickness</f>
        <v>1</v>
      </c>
      <c r="D30" s="82">
        <f>B30*C30*2</f>
        <v>14.5</v>
      </c>
      <c r="E30" s="242">
        <f>ABS(D30-D31)/(0.5*(D30+D31))</f>
        <v>0.27450980392156865</v>
      </c>
      <c r="F30" s="244" t="str">
        <f>IF(E30&lt;=10%,"OK","NG")</f>
        <v>NG</v>
      </c>
      <c r="G30" s="33">
        <f>IF(E30&lt;=10%,0.5,(D30/(D30+D31)))</f>
        <v>0.56862745098039214</v>
      </c>
    </row>
    <row r="31" spans="1:9" ht="30.95" customHeight="1" x14ac:dyDescent="0.25">
      <c r="A31" s="99" t="s">
        <v>269</v>
      </c>
      <c r="B31" s="94">
        <f>outerBottomFlangeSplicePlateWidth</f>
        <v>16</v>
      </c>
      <c r="C31" s="94">
        <f>outerBottomFlangeSplicePlateThickness</f>
        <v>0.6875</v>
      </c>
      <c r="D31" s="82">
        <f t="shared" ref="D31" si="0">B31*C31</f>
        <v>11</v>
      </c>
      <c r="E31" s="243"/>
      <c r="F31" s="245"/>
      <c r="G31" s="33">
        <f>IF(E30&lt;=10%,0.5,(D31/(D30+D31)))</f>
        <v>0.43137254901960786</v>
      </c>
      <c r="H31"/>
    </row>
    <row r="33" spans="1:12" ht="46.5" customHeight="1" x14ac:dyDescent="0.25">
      <c r="E33" s="238"/>
      <c r="F33" s="238"/>
    </row>
    <row r="34" spans="1:12" s="34" customFormat="1" ht="64.5" x14ac:dyDescent="0.35">
      <c r="A34" s="28" t="s">
        <v>74</v>
      </c>
      <c r="B34" s="28" t="s">
        <v>138</v>
      </c>
      <c r="C34" s="28" t="s">
        <v>139</v>
      </c>
      <c r="D34" s="28" t="s">
        <v>140</v>
      </c>
      <c r="E34" s="28" t="s">
        <v>141</v>
      </c>
      <c r="F34" s="28" t="s">
        <v>489</v>
      </c>
      <c r="G34" s="28" t="s">
        <v>142</v>
      </c>
      <c r="H34" s="28" t="s">
        <v>224</v>
      </c>
      <c r="I34" s="28" t="s">
        <v>435</v>
      </c>
    </row>
    <row r="35" spans="1:12" s="18" customFormat="1" x14ac:dyDescent="0.25">
      <c r="A35" s="32" t="s">
        <v>93</v>
      </c>
      <c r="B35" s="33">
        <f>VLOOKUP(leftTopFlangeMaterialEnum,steelGradeTable, COLUMN(Table2[[#Headers],[0.84 (Fu/Fy)]]))</f>
        <v>1.3533333333333333</v>
      </c>
      <c r="C35" s="33">
        <f>leftTopFlangeThickness*leftTopFlangeWidth</f>
        <v>26</v>
      </c>
      <c r="D35" s="33">
        <f>(leftTopFlangeWidth-topFlangeBoltRowQuantity*VLOOKUP(boltDiameterEnum,boltPropertiesTable,7))*leftTopFlangeThickness</f>
        <v>18.6875</v>
      </c>
      <c r="E35" s="33">
        <f>IF(B35*D35&lt;=C35,B35*D35,C35)</f>
        <v>25.290416666666665</v>
      </c>
      <c r="F35" s="104" t="str">
        <f>IF(E35&lt;=C35, "OK", "NG")</f>
        <v>OK</v>
      </c>
      <c r="G35" s="82">
        <f>VLOOKUP(leftTopFlangeMaterialEnum,steelGradeTable, COLUMN(Table2[[#Headers],[Fy (ksi)]]))*MIN(C35,E35)</f>
        <v>910.45499999999993</v>
      </c>
      <c r="H35" s="104" t="str">
        <f>IF(MIN(G35,G36)=G35,"CONTROLS","")</f>
        <v>CONTROLS</v>
      </c>
      <c r="I35" s="35" t="e">
        <f>G35*(MAX(G28:G29))</f>
        <v>#DIV/0!</v>
      </c>
    </row>
    <row r="36" spans="1:12" s="18" customFormat="1" x14ac:dyDescent="0.25">
      <c r="A36" s="32" t="s">
        <v>94</v>
      </c>
      <c r="B36" s="33">
        <f>VLOOKUP(rightTopFlangeMaterialEnum,steelGradeTable, COLUMN(Table2[[#Headers],[0.84 (Fu/Fy)]]))</f>
        <v>1.3533333333333333</v>
      </c>
      <c r="C36" s="33">
        <f>rightTopFlangeThickness*rightTopFlangeWidth</f>
        <v>26</v>
      </c>
      <c r="D36" s="33">
        <f>(rightTopFlangeWidth-topFlangeBoltRowQuantity*VLOOKUP(boltDiameterEnum,boltPropertiesTable,7))*rightTopFlangeThickness</f>
        <v>18.6875</v>
      </c>
      <c r="E36" s="33">
        <f>IF(B36*D36&lt;=C36,B36*D36,C36)</f>
        <v>25.290416666666665</v>
      </c>
      <c r="F36" s="104" t="str">
        <f t="shared" ref="F36:F38" si="1">IF(E36&lt;=C36, "OK", "NG")</f>
        <v>OK</v>
      </c>
      <c r="G36" s="82">
        <f>VLOOKUP(rightTopFlangeMaterialEnum,steelGradeTable, COLUMN(Table2[[#Headers],[Fy (ksi)]]))*MIN(C36,E36)</f>
        <v>910.45499999999993</v>
      </c>
      <c r="H36" s="104" t="str">
        <f>IF(MIN(G35,G36)=G36,"CONTROLS","")</f>
        <v>CONTROLS</v>
      </c>
      <c r="I36" s="35" t="e">
        <f>G36*(MAX(G28:G29))</f>
        <v>#DIV/0!</v>
      </c>
    </row>
    <row r="37" spans="1:12" s="18" customFormat="1" x14ac:dyDescent="0.25">
      <c r="A37" s="32" t="s">
        <v>109</v>
      </c>
      <c r="B37" s="33">
        <f>VLOOKUP(leftBottomFlangeMaterialEnum,steelGradeTable, COLUMN(Table2[[#Headers],[0.84 (Fu/Fy)]]))</f>
        <v>1.3533333333333333</v>
      </c>
      <c r="C37" s="33">
        <f>leftBottomFlangeThickness*leftBottomFlangeWidth</f>
        <v>26</v>
      </c>
      <c r="D37" s="33">
        <f>(leftBottomFlangeWidth-bottomFlangeBoltRowQuantity*VLOOKUP(boltDiameterEnum,boltPropertiesTable,7))*leftBottomFlangeThickness</f>
        <v>18.6875</v>
      </c>
      <c r="E37" s="33">
        <f>IF(B37*D37&lt;=C37,B37*D37,C37)</f>
        <v>25.290416666666665</v>
      </c>
      <c r="F37" s="104" t="str">
        <f t="shared" si="1"/>
        <v>OK</v>
      </c>
      <c r="G37" s="82">
        <f>VLOOKUP(leftBottomFlangeMaterialEnum,steelGradeTable, COLUMN(Table2[[#Headers],[Fy (ksi)]]))*MIN(C37,E37)</f>
        <v>910.45499999999993</v>
      </c>
      <c r="H37" s="104" t="str">
        <f>IF(MIN(G37,G38)=G37,"CONTROLS","")</f>
        <v>CONTROLS</v>
      </c>
      <c r="I37" s="35">
        <f>G37*(MAX(G30:G31))</f>
        <v>517.70970588235286</v>
      </c>
    </row>
    <row r="38" spans="1:12" s="18" customFormat="1" x14ac:dyDescent="0.25">
      <c r="A38" s="32" t="s">
        <v>110</v>
      </c>
      <c r="B38" s="33">
        <f>VLOOKUP(rightBottomFlangeMaterialEnum,steelGradeTable, COLUMN(Table2[[#Headers],[0.84 (Fu/Fy)]]))</f>
        <v>1.3533333333333333</v>
      </c>
      <c r="C38" s="33">
        <f>rightBottomFlangeThickness*rightBottomFlangeWidth</f>
        <v>26</v>
      </c>
      <c r="D38" s="33">
        <f>(rightBottomFlangeWidth-bottomFlangeBoltRowQuantity*VLOOKUP(boltDiameterEnum,boltPropertiesTable,7))*rightBottomFlangeThickness</f>
        <v>18.6875</v>
      </c>
      <c r="E38" s="33">
        <f>IF(B38*D38&lt;=C38,B38*D38,C38)</f>
        <v>25.290416666666665</v>
      </c>
      <c r="F38" s="104" t="str">
        <f t="shared" si="1"/>
        <v>OK</v>
      </c>
      <c r="G38" s="82">
        <f>VLOOKUP(rightBottomFlangeMaterialEnum,steelGradeTable, COLUMN(Table2[[#Headers],[Fy (ksi)]]))*MIN(C38,E38)</f>
        <v>910.45499999999993</v>
      </c>
      <c r="H38" s="104" t="str">
        <f>IF(MIN(G37,G38)=G38,"CONTROLS","")</f>
        <v>CONTROLS</v>
      </c>
      <c r="I38" s="35">
        <f>G38*(MAX(G30:G31))</f>
        <v>517.70970588235286</v>
      </c>
    </row>
    <row r="39" spans="1:12" s="18" customFormat="1" x14ac:dyDescent="0.25">
      <c r="B39" s="51"/>
      <c r="C39" s="43"/>
      <c r="D39" s="43"/>
      <c r="E39" s="43"/>
      <c r="F39" s="43"/>
      <c r="G39" s="52"/>
      <c r="H39" s="43"/>
    </row>
    <row r="40" spans="1:12" s="18" customFormat="1" x14ac:dyDescent="0.25">
      <c r="A40" s="23" t="s">
        <v>481</v>
      </c>
      <c r="B40" s="51"/>
      <c r="C40" s="43"/>
      <c r="D40" s="43"/>
      <c r="E40" s="43"/>
      <c r="F40" s="43"/>
      <c r="G40" s="52"/>
      <c r="H40" s="43"/>
    </row>
    <row r="41" spans="1:12" x14ac:dyDescent="0.25">
      <c r="H41" s="36"/>
    </row>
    <row r="42" spans="1:12" ht="31.5" x14ac:dyDescent="0.25">
      <c r="A42" s="28" t="s">
        <v>74</v>
      </c>
      <c r="B42" s="28" t="s">
        <v>450</v>
      </c>
      <c r="C42" s="28" t="s">
        <v>10</v>
      </c>
      <c r="D42" s="28" t="s">
        <v>5</v>
      </c>
      <c r="E42" s="28" t="s">
        <v>7</v>
      </c>
      <c r="F42" s="28" t="s">
        <v>460</v>
      </c>
      <c r="L42" s="36"/>
    </row>
    <row r="43" spans="1:12" x14ac:dyDescent="0.25">
      <c r="A43" s="246" t="s">
        <v>458</v>
      </c>
      <c r="B43" s="221" t="str">
        <f>alignmentMode</f>
        <v>Web Center</v>
      </c>
      <c r="C43" s="221">
        <f>webDepth</f>
        <v>72</v>
      </c>
      <c r="D43" s="221">
        <f>leftTopFlangeThickness</f>
        <v>1.625</v>
      </c>
      <c r="E43" s="221">
        <f>leftBottomFlangeThickness</f>
        <v>1.625</v>
      </c>
      <c r="F43" s="221">
        <f>SUM(C43,D43,E43)</f>
        <v>75.25</v>
      </c>
      <c r="L43" s="36"/>
    </row>
    <row r="44" spans="1:12" x14ac:dyDescent="0.25">
      <c r="A44" s="247"/>
      <c r="B44" s="222"/>
      <c r="C44" s="222"/>
      <c r="D44" s="223"/>
      <c r="E44" s="223"/>
      <c r="F44" s="223"/>
      <c r="L44" s="36"/>
    </row>
    <row r="45" spans="1:12" x14ac:dyDescent="0.25">
      <c r="A45" s="246" t="s">
        <v>459</v>
      </c>
      <c r="B45" s="222"/>
      <c r="C45" s="222"/>
      <c r="D45" s="221">
        <f>rightTopFlangeThickness</f>
        <v>1.625</v>
      </c>
      <c r="E45" s="221">
        <f>rightBottomFlangeThickness</f>
        <v>1.625</v>
      </c>
      <c r="F45" s="221">
        <f>SUM(C43,D45,E45)</f>
        <v>75.25</v>
      </c>
      <c r="L45" s="36"/>
    </row>
    <row r="46" spans="1:12" x14ac:dyDescent="0.25">
      <c r="A46" s="247"/>
      <c r="B46" s="223"/>
      <c r="C46" s="223"/>
      <c r="D46" s="223"/>
      <c r="E46" s="223"/>
      <c r="F46" s="223"/>
      <c r="L46" s="36"/>
    </row>
    <row r="47" spans="1:12" x14ac:dyDescent="0.25">
      <c r="H47" s="36"/>
    </row>
    <row r="48" spans="1:12" ht="31.5" x14ac:dyDescent="0.25">
      <c r="A48" s="28" t="s">
        <v>74</v>
      </c>
      <c r="B48" s="28" t="s">
        <v>471</v>
      </c>
      <c r="C48" s="28" t="s">
        <v>218</v>
      </c>
      <c r="D48" s="28" t="s">
        <v>457</v>
      </c>
      <c r="E48" s="28" t="s">
        <v>456</v>
      </c>
      <c r="F48" s="28" t="s">
        <v>472</v>
      </c>
      <c r="G48" s="28" t="s">
        <v>455</v>
      </c>
      <c r="H48" s="28" t="s">
        <v>454</v>
      </c>
      <c r="I48" s="28" t="s">
        <v>473</v>
      </c>
      <c r="L48" s="36"/>
    </row>
    <row r="49" spans="1:12" x14ac:dyDescent="0.25">
      <c r="A49" s="32" t="s">
        <v>93</v>
      </c>
      <c r="B49" s="94">
        <f>leftTopFlangeWidth</f>
        <v>16</v>
      </c>
      <c r="C49" s="94">
        <f>leftTopFlangeThickness</f>
        <v>1.625</v>
      </c>
      <c r="D49" s="94">
        <f>IF(IF(EXACT(alignmentMode,"Top"),0,IF(AND((rightGirderHeight&gt;leftGirderHeight),EXACT(alignmentMode,"Bottom")),(rightGirderHeight-leftGirderHeight),IF(AND((rightTopFlangeThickness&gt;leftTopFlangeThickness),EXACT(alignmentMode,"Web Center")),rightTopFlangeThickness-leftTopFlangeThickness,0)))&lt;=0.0625,0,IF(EXACT(alignmentMode,"Top"),0,IF(AND((rightGirderHeight&gt;leftGirderHeight),EXACT(alignmentMode,"Bottom")),(rightGirderHeight-leftGirderHeight),IF(AND((rightTopFlangeThickness&gt;leftTopFlangeThickness),EXACT(alignmentMode,"Web Center")),rightTopFlangeThickness-leftTopFlangeThickness,0))))</f>
        <v>0</v>
      </c>
      <c r="E49" s="147">
        <f>IF(outerLeftTopFlangeFillerPlateThickness,outerTopFlangeSplicePlateWidth,0)</f>
        <v>0</v>
      </c>
      <c r="F49" s="147">
        <f>IF(outerLeftTopFlangeFillerPlateWidth&gt;0,(topFlangeSplicePlateLengthCalculated-giderGapClearence)/2,0)</f>
        <v>0</v>
      </c>
      <c r="G49" s="94">
        <f>IF(IF(OR(EXACT(alignmentMode,"Web Center"),AND(EXACT(alignmentMode,"Top"),(leftTopFlangeThickness=rightTopFlangeThickness))),0,IF(AND((rightTopFlangeThickness&gt;leftTopFlangeThickness),EXACT(alignmentMode,"Top")),(rightTopFlangeThickness-leftTopFlangeThickness),IF(AND((leftGirderHeight-leftTopFlangeThickness&gt;rightGirderHeight-rightTopFlangeThickness),EXACT(alignmentMode,"Bottom")),(leftGirderHeight-leftTopFlangeThickness)-(rightGirderHeight-rightTopFlangeThickness),0)))&lt;=0.0625,0,IF(OR(EXACT(alignmentMode,"Web Center"),AND(EXACT(alignmentMode,"Top"),(leftTopFlangeThickness=rightTopFlangeThickness))),0,IF(AND((rightTopFlangeThickness&gt;leftTopFlangeThickness),EXACT(alignmentMode,"Top")),(rightTopFlangeThickness-leftTopFlangeThickness),IF(AND((leftGirderHeight-leftTopFlangeThickness&gt;rightGirderHeight-rightTopFlangeThickness),EXACT(alignmentMode,"Bottom")),(leftGirderHeight-leftTopFlangeThickness)-(rightGirderHeight-rightTopFlangeThickness),0))))</f>
        <v>0</v>
      </c>
      <c r="H49" s="147">
        <f>IF(innerLeftTopFlangeFillerPlateThickness,innerTopFlangeSplicePlateWidth,0)</f>
        <v>0</v>
      </c>
      <c r="I49" s="147">
        <f>IF(innerLeftTopFlangeFillerPlateWidth&gt;0,(topFlangeSplicePlateLengthCalculated-giderGapClearence)/2,0)</f>
        <v>0</v>
      </c>
      <c r="L49" s="36"/>
    </row>
    <row r="50" spans="1:12" x14ac:dyDescent="0.25">
      <c r="A50" s="32" t="s">
        <v>94</v>
      </c>
      <c r="B50" s="94">
        <f>rightTopFlangeWidth</f>
        <v>16</v>
      </c>
      <c r="C50" s="94">
        <f>rightTopFlangeThickness</f>
        <v>1.625</v>
      </c>
      <c r="D50" s="94">
        <f>IF(IF(EXACT(alignmentMode,"Top"),0,IF(AND((leftGirderHeight&gt;rightGirderHeight),EXACT(alignmentMode,"Bottom")),(leftGirderHeight-rightGirderHeight),IF(AND((leftTopFlangeThickness&gt;rightTopFlangeThickness),EXACT(alignmentMode,"Web Center")),leftTopFlangeThickness-rightTopFlangeThickness,0)))&lt;=0.0625,0,IF(EXACT(alignmentMode,"Top"),0,IF(AND((leftGirderHeight&gt;rightGirderHeight),EXACT(alignmentMode,"Bottom")),(leftGirderHeight-rightGirderHeight),IF(AND((leftTopFlangeThickness&gt;rightTopFlangeThickness),EXACT(alignmentMode,"Web Center")),leftTopFlangeThickness-rightTopFlangeThickness,0))))</f>
        <v>0</v>
      </c>
      <c r="E50" s="147">
        <f>IF(outerRightTopFlangeFillerPlateThickness,outerTopFlangeSplicePlateWidth,0)</f>
        <v>0</v>
      </c>
      <c r="F50" s="147">
        <f>IF(outerRightTopFlangeFillerPlateWidth&gt;0,(topFlangeSplicePlateLengthCalculated-giderGapClearence)/2,0)</f>
        <v>0</v>
      </c>
      <c r="G50" s="94">
        <f>IF(IF(OR(EXACT(alignmentMode,"Web Center"),AND(EXACT(alignmentMode,"Top"),(leftTopFlangeThickness=rightTopFlangeThickness))),0,IF(AND((leftTopFlangeThickness&gt;rightTopFlangeThickness),EXACT(alignmentMode,"Top")),(leftTopFlangeThickness-rightTopFlangeThickness),IF(AND((rightGirderHeight-rightTopFlangeThickness&gt;leftGirderHeight-leftTopFlangeThickness),EXACT(alignmentMode,"Bottom")),(rightGirderHeight-rightTopFlangeThickness)-(leftGirderHeight-leftTopFlangeThickness),0)))&lt;=0.0625,0,IF(OR(EXACT(alignmentMode,"Web Center"),AND(EXACT(alignmentMode,"Top"),(leftTopFlangeThickness=rightTopFlangeThickness))),0,IF(AND((leftTopFlangeThickness&gt;rightTopFlangeThickness),EXACT(alignmentMode,"Top")),(leftTopFlangeThickness-rightTopFlangeThickness),IF(AND((rightGirderHeight-rightTopFlangeThickness&gt;leftGirderHeight-leftTopFlangeThickness),EXACT(alignmentMode,"Bottom")),(rightGirderHeight-rightTopFlangeThickness)-(leftGirderHeight-leftTopFlangeThickness),0))))</f>
        <v>0</v>
      </c>
      <c r="H50" s="147">
        <f>IF(innerRightTopFlangeFillerPlateThickness,innerTopFlangeSplicePlateWidth,0)</f>
        <v>0</v>
      </c>
      <c r="I50" s="147">
        <f>IF(innerRightTopFlangeFillerPlateWidth&gt;0,(topFlangeSplicePlateLengthCalculated-giderGapClearence)/2,0)</f>
        <v>0</v>
      </c>
      <c r="L50" s="36"/>
    </row>
    <row r="51" spans="1:12" x14ac:dyDescent="0.25">
      <c r="A51" s="32" t="s">
        <v>109</v>
      </c>
      <c r="B51" s="94">
        <f>leftBottomFlangeWidth</f>
        <v>16</v>
      </c>
      <c r="C51" s="94">
        <f>leftBottomFlangeThickness</f>
        <v>1.625</v>
      </c>
      <c r="D51" s="94">
        <f>IF(IF(EXACT(alignmentMode,"Bottom"),0,IF(AND((rightGirderHeight&gt;leftGirderHeight),EXACT(alignmentMode,"Top")),(rightGirderHeight-leftGirderHeight),IF(AND((rightBottomFlangeThickness&gt;leftBottomFlangeThickness),EXACT(alignmentMode,"Web Center")),rightBottomFlangeThickness-leftBottomFlangeThickness,0)))&lt;=0.0625,0,IF(EXACT(alignmentMode,"Bottom"),0,IF(AND((rightGirderHeight&gt;leftGirderHeight),EXACT(alignmentMode,"Top")),(rightGirderHeight-leftGirderHeight),IF(AND((rightBottomFlangeThickness&gt;leftBottomFlangeThickness),EXACT(alignmentMode,"Web Center")),rightBottomFlangeThickness-leftBottomFlangeThickness,0))))</f>
        <v>0</v>
      </c>
      <c r="E51" s="147">
        <f>IF(outerLeftBottomFlangeFillerPlateThickness,outerBottomFlangeSplicePlateWidth,0)</f>
        <v>0</v>
      </c>
      <c r="F51" s="147">
        <f>IF(outerLeftBottomFlangeFillerPlateWidth&gt;0,(bottomFlangeSplicePlateLengthCalculated-giderGapClearence)/2,0)</f>
        <v>0</v>
      </c>
      <c r="G51" s="94">
        <f>IF(IF(OR(EXACT(alignmentMode,"Web Center"),AND(EXACT(alignmentMode,"Bottom"),(leftBottomFlangeThickness=rightBottomFlangeThickness))),0,IF(AND((rightBottomFlangeThickness&gt;leftBottomFlangeThickness),EXACT(alignmentMode,"Bottom")),(rightBottomFlangeThickness-leftBottomFlangeThickness),IF(AND((leftGirderHeight-leftBottomFlangeThickness&gt;rightGirderHeight-rightBottomFlangeThickness),EXACT(alignmentMode,"Top")),(leftGirderHeight-leftBottomFlangeThickness)-(rightGirderHeight-rightBottomFlangeThickness),0)))&lt;=0.0625,0,IF(OR(EXACT(alignmentMode,"Web Center"),AND(EXACT(alignmentMode,"Bottom"),(leftBottomFlangeThickness=rightBottomFlangeThickness))),0,IF(AND((rightBottomFlangeThickness&gt;leftBottomFlangeThickness),EXACT(alignmentMode,"Bottom")),(rightBottomFlangeThickness-leftBottomFlangeThickness),IF(AND((leftGirderHeight-leftBottomFlangeThickness&gt;rightGirderHeight-rightBottomFlangeThickness),EXACT(alignmentMode,"Top")),(leftGirderHeight-leftBottomFlangeThickness)-(rightGirderHeight-rightBottomFlangeThickness),0))))</f>
        <v>0</v>
      </c>
      <c r="H51" s="147">
        <f>IF(innerLeftBottomFlangeFillerPlateThickness,innerBottomFlangeSplicePlateWidth,0)</f>
        <v>0</v>
      </c>
      <c r="I51" s="147">
        <f>IF(innerLeftBottomFlangeFillerPlateWidth&gt;0,(bottomFlangeSplicePlateLengthCalculated-giderGapClearence)/2,0)</f>
        <v>0</v>
      </c>
      <c r="L51" s="36"/>
    </row>
    <row r="52" spans="1:12" x14ac:dyDescent="0.25">
      <c r="A52" s="32" t="s">
        <v>110</v>
      </c>
      <c r="B52" s="94">
        <f>rightBottomFlangeWidth</f>
        <v>16</v>
      </c>
      <c r="C52" s="94">
        <f>rightBottomFlangeThickness</f>
        <v>1.625</v>
      </c>
      <c r="D52" s="94">
        <f>IF(IF(EXACT(alignmentMode,"Bottom"),0,IF(AND((leftGirderHeight&gt;rightGirderHeight),EXACT(alignmentMode,"Top")),(leftGirderHeight-rightGirderHeight),IF(AND((leftBottomFlangeThickness&gt;rightBottomFlangeThickness),EXACT(alignmentMode,"Web Center")),leftBottomFlangeThickness-rightBottomFlangeThickness,0)))&lt;=0.0625,0,IF(EXACT(alignmentMode,"Bottom"),0,IF(AND((leftGirderHeight&gt;rightGirderHeight),EXACT(alignmentMode,"Top")),(leftGirderHeight-rightGirderHeight),IF(AND((leftBottomFlangeThickness&gt;rightBottomFlangeThickness),EXACT(alignmentMode,"Web Center")),leftBottomFlangeThickness-rightBottomFlangeThickness,0))))</f>
        <v>0</v>
      </c>
      <c r="E52" s="147">
        <f>IF(outerRightBottomFlangeFillerPlateThickness,outerBottomFlangeSplicePlateWidth,0)</f>
        <v>0</v>
      </c>
      <c r="F52" s="147">
        <f>IF(outerRightBottomFlangeFillerPlateWidth&gt;0,(bottomFlangeSplicePlateLengthCalculated-giderGapClearence)/2,0)</f>
        <v>0</v>
      </c>
      <c r="G52" s="94">
        <f>IF(IF(OR(EXACT(alignmentMode,"Web Center"),AND(EXACT(alignmentMode,"Bottom"),(leftBottomFlangeThickness=rightBottomFlangeThickness))),0,IF(AND((leftBottomFlangeThickness&gt;rightBottomFlangeThickness),EXACT(alignmentMode,"Bottom")),(leftBottomFlangeThickness-rightBottomFlangeThickness),IF(AND((rightGirderHeight-rightBottomFlangeThickness&gt;leftGirderHeight-leftBottomFlangeThickness),EXACT(alignmentMode,"Top")),(rightGirderHeight-rightBottomFlangeThickness)-(leftGirderHeight-leftBottomFlangeThickness),0)))&lt;=0.0625,0,IF(OR(EXACT(alignmentMode,"Web Center"),AND(EXACT(alignmentMode,"Bottom"),(leftBottomFlangeThickness=rightBottomFlangeThickness))),0,IF(AND((leftBottomFlangeThickness&gt;rightBottomFlangeThickness),EXACT(alignmentMode,"Bottom")),(leftBottomFlangeThickness-rightBottomFlangeThickness),IF(AND((rightGirderHeight-rightBottomFlangeThickness&gt;leftGirderHeight-leftBottomFlangeThickness),EXACT(alignmentMode,"Top")),(rightGirderHeight-rightBottomFlangeThickness)-(leftGirderHeight-leftBottomFlangeThickness),0))))</f>
        <v>0</v>
      </c>
      <c r="H52" s="147">
        <f>IF(innerRightBottomFlangeFillerPlateThickness,innerBottomFlangeSplicePlateWidth,0)</f>
        <v>0</v>
      </c>
      <c r="I52" s="147">
        <f>IF(innerRightBottomFlangeFillerPlateWidth&gt;0,(bottomFlangeSplicePlateLengthCalculated-giderGapClearence)/2,0)</f>
        <v>0</v>
      </c>
      <c r="L52" s="36"/>
    </row>
    <row r="53" spans="1:12" x14ac:dyDescent="0.25">
      <c r="A53" s="18"/>
      <c r="B53" s="80"/>
      <c r="C53" s="80"/>
      <c r="D53" s="80"/>
      <c r="E53" s="80"/>
      <c r="F53" s="80"/>
      <c r="G53" s="80"/>
      <c r="H53" s="80"/>
      <c r="L53" s="36"/>
    </row>
    <row r="54" spans="1:12" ht="36" x14ac:dyDescent="0.35">
      <c r="A54" s="28" t="s">
        <v>74</v>
      </c>
      <c r="B54" s="28" t="s">
        <v>521</v>
      </c>
      <c r="C54" s="28" t="s">
        <v>448</v>
      </c>
      <c r="D54" s="28" t="s">
        <v>470</v>
      </c>
      <c r="E54" s="28" t="s">
        <v>449</v>
      </c>
      <c r="F54" s="28"/>
      <c r="G54"/>
      <c r="H54"/>
      <c r="I54"/>
      <c r="J54" s="36"/>
    </row>
    <row r="55" spans="1:12" x14ac:dyDescent="0.25">
      <c r="A55" s="32" t="s">
        <v>93</v>
      </c>
      <c r="B55" s="94">
        <f>SUM(outerLeftTopFlangeFillerPlateThickness,innerLeftTopFlangeFillerPlateThickness)</f>
        <v>0</v>
      </c>
      <c r="C55" s="82">
        <f>(outerLeftTopFlangeFillerPlateThickness*outerLeftTopFlangeFillerPlateWidth)+2*(innerLeftTopFlangeFillerPlateThickness*innerLeftTopFlangeFillerPlateWidth)</f>
        <v>0</v>
      </c>
      <c r="D55" s="218">
        <f>(outerTopFlangeSplicePlateThickness*outerTopFlangeSplicePlateWidth) + 2*(innerTopFlangeSplicePlateThickness*innerTopFlangeSplicePlateWidth)</f>
        <v>0</v>
      </c>
      <c r="E55" s="82">
        <f>(leftTopFlangeThickness*leftTopFlangeWidth)</f>
        <v>26</v>
      </c>
      <c r="F55" s="82" t="e">
        <f>C55/MIN(D55,E55)</f>
        <v>#DIV/0!</v>
      </c>
      <c r="G55"/>
      <c r="H55"/>
      <c r="I55"/>
      <c r="J55" s="36"/>
    </row>
    <row r="56" spans="1:12" x14ac:dyDescent="0.25">
      <c r="A56" s="32" t="s">
        <v>94</v>
      </c>
      <c r="B56" s="94">
        <f>SUM(outerRightTopFlangeFillerPlateThickness,innerRightTopFlangeFillerPlateWidth)</f>
        <v>0</v>
      </c>
      <c r="C56" s="82">
        <f>(outerRightTopFlangeFillerPlateThickness*outerRightTopFlangeFillerPlateWidth)+2*(innerRightTopFlangeFillerPlateThickness*innerRightTopFlangeFillerPlateWidth)</f>
        <v>0</v>
      </c>
      <c r="D56" s="237"/>
      <c r="E56" s="82">
        <f>(rightTopFlangeThickness*rightTopFlangeWidth)</f>
        <v>26</v>
      </c>
      <c r="F56" s="82" t="e">
        <f>C56/MIN(D55,E56)</f>
        <v>#DIV/0!</v>
      </c>
      <c r="G56"/>
      <c r="H56"/>
      <c r="I56"/>
      <c r="J56" s="36"/>
    </row>
    <row r="57" spans="1:12" x14ac:dyDescent="0.25">
      <c r="A57" s="32" t="s">
        <v>109</v>
      </c>
      <c r="B57" s="94">
        <f>SUM(outerLeftBottomFlangeFillerPlateThickness,innerLeftBottomFlangeFillerPlateWidth)</f>
        <v>0</v>
      </c>
      <c r="C57" s="82">
        <f>(outerLeftBottomFlangeFillerPlateThickness*outerLeftBottomFlangeFillerPlateWidth)+2*(innerLeftBottomFlangeFillerPlateThickness*innerLeftBottomFlangeFillerPlateWidth)</f>
        <v>0</v>
      </c>
      <c r="D57" s="218">
        <f>(outerBottomFlangeSplicePlateThickness*outerBottomFlangeSplicePlateWidth) + 2*(innerBottomFlangeSplicePlateThickness*innerBottomFlangeSplicePlateWidth)</f>
        <v>25.5</v>
      </c>
      <c r="E57" s="82">
        <f>(leftBottomFlangeThickness*leftBottomFlangeWidth)</f>
        <v>26</v>
      </c>
      <c r="F57" s="82">
        <f>C57/MIN(D57,E57)</f>
        <v>0</v>
      </c>
      <c r="G57"/>
      <c r="H57"/>
      <c r="I57"/>
      <c r="J57" s="36"/>
    </row>
    <row r="58" spans="1:12" x14ac:dyDescent="0.25">
      <c r="A58" s="32" t="s">
        <v>110</v>
      </c>
      <c r="B58" s="94">
        <f>SUM(outerRightBottomFlangeFillerPlateThickness,innerRightBottomFlangeFillerPlateWidth)</f>
        <v>0</v>
      </c>
      <c r="C58" s="82">
        <f>(outerRightBottomFlangeFillerPlateThickness*outerRightBottomFlangeFillerPlateWidth)+2*(innerRightBottomFlangeFillerPlateThickness*innerRightBottomFlangeFillerPlateWidth)</f>
        <v>0</v>
      </c>
      <c r="D58" s="237"/>
      <c r="E58" s="82">
        <f>(rightBottomFlangeThickness*rightBottomFlangeWidth)</f>
        <v>26</v>
      </c>
      <c r="F58" s="82">
        <f>C58/MIN(D57,E58)</f>
        <v>0</v>
      </c>
      <c r="G58"/>
      <c r="H58"/>
      <c r="I58"/>
      <c r="J58" s="36"/>
    </row>
    <row r="59" spans="1:12" x14ac:dyDescent="0.25">
      <c r="A59" s="23"/>
      <c r="H59" s="36"/>
    </row>
    <row r="60" spans="1:12" x14ac:dyDescent="0.25">
      <c r="A60" s="23" t="s">
        <v>357</v>
      </c>
      <c r="B60" s="80"/>
      <c r="C60" s="80"/>
      <c r="D60" s="80"/>
      <c r="E60" s="80"/>
      <c r="F60" s="80"/>
      <c r="G60" s="80"/>
      <c r="H60" s="80"/>
      <c r="I60" s="80"/>
      <c r="J60" s="123"/>
    </row>
    <row r="61" spans="1:12" x14ac:dyDescent="0.25">
      <c r="A61" s="122"/>
      <c r="B61" s="80"/>
      <c r="C61" s="80"/>
      <c r="D61" s="80"/>
      <c r="E61" s="80"/>
      <c r="F61" s="80"/>
      <c r="G61" s="123"/>
    </row>
    <row r="62" spans="1:12" ht="63" x14ac:dyDescent="0.25">
      <c r="A62" s="28" t="s">
        <v>74</v>
      </c>
      <c r="B62" s="28" t="s">
        <v>356</v>
      </c>
      <c r="C62" s="28" t="s">
        <v>553</v>
      </c>
      <c r="D62" s="28" t="s">
        <v>101</v>
      </c>
      <c r="E62" s="28" t="s">
        <v>249</v>
      </c>
      <c r="F62" s="28" t="s">
        <v>219</v>
      </c>
      <c r="G62" s="123"/>
    </row>
    <row r="63" spans="1:12" x14ac:dyDescent="0.25">
      <c r="A63" s="32" t="s">
        <v>331</v>
      </c>
      <c r="B63" s="33">
        <f>IF((topFlangeTotalBoltCalculatedFinal/topFlangeBoltRowsCalculated-1)*D122&lt;38, 1, 0.83)</f>
        <v>1</v>
      </c>
      <c r="C63" s="94" t="str">
        <f>IF(topFlangeSpliceLengthReduction&lt;1, "Notice", "OK")</f>
        <v>OK</v>
      </c>
      <c r="D63" s="33">
        <f>B69/(IF(statusTopFlangeSpliceShearPlaneCount=2,flangeBoltDoubleShearCapacity,flangeBoltSingleShearCapacity)*topFlangeFillerReduction*topFlangeSpliceLengthReduction)</f>
        <v>10.781503996483002</v>
      </c>
      <c r="E63" s="33">
        <f>topFlangeBoltRowQuantity</f>
        <v>4</v>
      </c>
      <c r="F63" s="33">
        <f>CEILING(D63, E63)</f>
        <v>12</v>
      </c>
      <c r="G63" s="123"/>
    </row>
    <row r="64" spans="1:12" x14ac:dyDescent="0.25">
      <c r="A64" s="32" t="s">
        <v>332</v>
      </c>
      <c r="B64" s="33">
        <f>IF((bottomFlangeTotalBoltCalculatedFinal/bottomFlangeBoltRowsCalculated-1)*D122&lt;38, 1, 0.83)</f>
        <v>1</v>
      </c>
      <c r="C64" s="94" t="str">
        <f>IF(bottomFlangeSpliceLengthReduction&lt;1, "Notice", "OK")</f>
        <v>OK</v>
      </c>
      <c r="D64" s="33">
        <f>B71/(IF(statusBottomFlangeSplicePlateShearPlaneCount=2,flangeBoltDoubleShearCapacity,flangeBoltSingleShearCapacity)*bottomFlangeFillerReduction*bottomFlangeSpliceLengthReduction)</f>
        <v>12.261318270510081</v>
      </c>
      <c r="E64" s="33">
        <f>bottomFlangeBoltRowQuantity</f>
        <v>4</v>
      </c>
      <c r="F64" s="33">
        <f>CEILING(D64, E64)</f>
        <v>16</v>
      </c>
      <c r="G64" s="123"/>
    </row>
    <row r="65" spans="1:8" x14ac:dyDescent="0.25">
      <c r="A65" s="23"/>
      <c r="H65" s="36"/>
    </row>
    <row r="66" spans="1:8" x14ac:dyDescent="0.25">
      <c r="A66" s="23" t="s">
        <v>248</v>
      </c>
      <c r="H66" s="36"/>
    </row>
    <row r="67" spans="1:8" s="18" customFormat="1" x14ac:dyDescent="0.25">
      <c r="B67" s="51"/>
      <c r="C67" s="43"/>
      <c r="D67" s="43"/>
      <c r="E67" s="43"/>
      <c r="F67" s="43"/>
      <c r="G67" s="52"/>
      <c r="H67" s="43"/>
    </row>
    <row r="68" spans="1:8" ht="66" customHeight="1" x14ac:dyDescent="0.35">
      <c r="A68" s="28" t="s">
        <v>74</v>
      </c>
      <c r="B68" s="28" t="s">
        <v>142</v>
      </c>
      <c r="C68" s="28" t="s">
        <v>103</v>
      </c>
      <c r="D68" s="28" t="s">
        <v>101</v>
      </c>
      <c r="E68" s="28" t="s">
        <v>249</v>
      </c>
      <c r="F68" s="28" t="s">
        <v>219</v>
      </c>
      <c r="G68" s="36"/>
    </row>
    <row r="69" spans="1:8" x14ac:dyDescent="0.25">
      <c r="A69" s="32" t="s">
        <v>93</v>
      </c>
      <c r="B69" s="218">
        <f>IF(statusTopFlangeSpliceShearPlaneCount=2,MIN(G35:G36),MIN(I35:I36))</f>
        <v>910.45499999999993</v>
      </c>
      <c r="C69" s="210">
        <f>IF(OR(leftFlangeTopFillerPlateThicknessTotal&gt;=0.25,rightFlangeTopFillerPlateThicknessTotal&gt;=0.25),(1+MAX(F55,F56))/(1+2*MAX(F55,F56)),1)</f>
        <v>1</v>
      </c>
      <c r="D69" s="210">
        <f>B69/(IF(statusTopFlangeSpliceShearPlaneCount=2,flangeBoltDoubleShearCapacity,flangeBoltSingleShearCapacity)*topFlangeFillerReduction)</f>
        <v>10.781503996483002</v>
      </c>
      <c r="E69" s="224">
        <f>topFlangeBoltRowQuantity</f>
        <v>4</v>
      </c>
      <c r="F69" s="224">
        <f>CEILING(topFlangeTotalBoltInitial, topFlangeBoltRowsCalculated)</f>
        <v>12</v>
      </c>
      <c r="G69" s="36"/>
    </row>
    <row r="70" spans="1:8" x14ac:dyDescent="0.25">
      <c r="A70" s="32" t="s">
        <v>94</v>
      </c>
      <c r="B70" s="211"/>
      <c r="C70" s="210"/>
      <c r="D70" s="210"/>
      <c r="E70" s="224"/>
      <c r="F70" s="224"/>
      <c r="G70" s="36"/>
    </row>
    <row r="71" spans="1:8" x14ac:dyDescent="0.25">
      <c r="A71" s="32" t="s">
        <v>109</v>
      </c>
      <c r="B71" s="218">
        <f>IF(statusBottomFlangeSplicePlateShearPlaneCount=2,MIN(G37:G38),MIN(I37:I38))</f>
        <v>517.70970588235286</v>
      </c>
      <c r="C71" s="210">
        <f>IF(OR(leftFlangeBottomFillerPlateThicknessTotal&gt;=0.25,rightFlangeBottomFillerPlateThicknessTotal&gt;=0.25),(1+MAX(F57,F58))/(1+2*MAX(F57,F58)),1)</f>
        <v>1</v>
      </c>
      <c r="D71" s="210">
        <f>B71/(IF(statusBottomFlangeSplicePlateShearPlaneCount=2,flangeBoltDoubleShearCapacity,flangeBoltSingleShearCapacity)*bottomFlangeFillerReduction)</f>
        <v>12.261318270510081</v>
      </c>
      <c r="E71" s="224">
        <f>bottomFlangeBoltRowQuantity</f>
        <v>4</v>
      </c>
      <c r="F71" s="224">
        <f>CEILING(bottomFlangeTotalBoltInitial,bottomFlangeBoltRowsCalculated)</f>
        <v>16</v>
      </c>
      <c r="G71" s="36"/>
    </row>
    <row r="72" spans="1:8" x14ac:dyDescent="0.25">
      <c r="A72" s="32" t="s">
        <v>110</v>
      </c>
      <c r="B72" s="211"/>
      <c r="C72" s="210"/>
      <c r="D72" s="210"/>
      <c r="E72" s="224"/>
      <c r="F72" s="224"/>
      <c r="G72" s="36"/>
    </row>
    <row r="73" spans="1:8" x14ac:dyDescent="0.25">
      <c r="A73" s="18"/>
      <c r="B73" s="51"/>
      <c r="C73" s="43"/>
      <c r="D73" s="43"/>
      <c r="E73" s="91"/>
      <c r="F73" s="91"/>
      <c r="G73" s="153"/>
      <c r="H73" s="36"/>
    </row>
    <row r="74" spans="1:8" ht="18.75" x14ac:dyDescent="0.25">
      <c r="A74" s="220" t="s">
        <v>513</v>
      </c>
      <c r="B74" s="220">
        <f>VLOOKUP(boltDiameterEnum, boltPropertiesTable,IF(EXACT(boltTypeEnum,"A325"), COLUMN(Table1[[#Headers],[Pt - A325 (kip)]]), COLUMN(Table1[[#Headers],[Pt - A490 (kip)]])))</f>
        <v>51</v>
      </c>
      <c r="C74" s="220"/>
      <c r="D74" s="91"/>
      <c r="E74" s="91"/>
    </row>
    <row r="75" spans="1:8" ht="18.75" x14ac:dyDescent="0.25">
      <c r="A75" s="106"/>
      <c r="B75" s="106"/>
      <c r="C75" s="106"/>
      <c r="D75" s="91"/>
      <c r="E75" s="91"/>
    </row>
    <row r="76" spans="1:8" ht="18.75" x14ac:dyDescent="0.25">
      <c r="A76" s="23" t="s">
        <v>305</v>
      </c>
      <c r="B76" s="106"/>
      <c r="C76" s="106"/>
      <c r="D76" s="91"/>
      <c r="E76" s="91"/>
    </row>
    <row r="77" spans="1:8" s="18" customFormat="1" x14ac:dyDescent="0.25">
      <c r="B77" s="51"/>
      <c r="C77" s="43"/>
      <c r="D77" s="43"/>
      <c r="E77" s="43"/>
      <c r="F77" s="43"/>
      <c r="G77" s="52"/>
      <c r="H77" s="43"/>
    </row>
    <row r="78" spans="1:8" s="18" customFormat="1" ht="47.25" x14ac:dyDescent="0.25">
      <c r="A78" s="23"/>
      <c r="B78" s="152" t="s">
        <v>511</v>
      </c>
      <c r="C78" s="108" t="s">
        <v>108</v>
      </c>
      <c r="D78" s="108" t="s">
        <v>509</v>
      </c>
      <c r="E78" s="28" t="s">
        <v>101</v>
      </c>
      <c r="F78" s="28" t="s">
        <v>249</v>
      </c>
      <c r="G78" s="28" t="s">
        <v>235</v>
      </c>
      <c r="H78" s="28" t="s">
        <v>510</v>
      </c>
    </row>
    <row r="79" spans="1:8" s="18" customFormat="1" x14ac:dyDescent="0.25">
      <c r="A79" s="32" t="s">
        <v>163</v>
      </c>
      <c r="B79" s="114">
        <f>serviceIIPositiveMoment</f>
        <v>1439.8949999999998</v>
      </c>
      <c r="C79" s="114">
        <f>IF(I37&lt;=I38,IF(EXACT(deckIsCompositeEnum,"Composite"),deckThickness/2+haunchLeft,leftTopFlangeThickness/2)+webDepth+leftBottomFlangeThickness/2,
IF(EXACT(deckIsCompositeEnum,"Composite"),deckThickness/2+haunchRight,rightTopFlangeThickness/2)+webDepth+rightBottomFlangeThickness/2)</f>
        <v>73.625</v>
      </c>
      <c r="D79" s="210">
        <f>D23</f>
        <v>30.599999999999998</v>
      </c>
      <c r="E79" s="114">
        <f>ABS(B79)/D79*(12/C79)</f>
        <v>7.6694696894037744</v>
      </c>
      <c r="F79" s="108">
        <f>bottomFlangeBoltRowQuantity</f>
        <v>4</v>
      </c>
      <c r="G79" s="104">
        <f>CEILING(E79,F79)</f>
        <v>8</v>
      </c>
      <c r="H79" s="113">
        <f>G79</f>
        <v>8</v>
      </c>
    </row>
    <row r="80" spans="1:8" s="18" customFormat="1" x14ac:dyDescent="0.25">
      <c r="A80" s="32" t="s">
        <v>164</v>
      </c>
      <c r="B80" s="114">
        <f>serviceIINegativeMoment</f>
        <v>-1062.9040000000002</v>
      </c>
      <c r="C80" s="114" t="e">
        <f>IF(OR(MIN(I35:I38)=I35,MIN(I35:I38)=I37),webDepth +(leftBottomFlangeThickness+leftTopFlangeThickness)/2,webDepth +(rightBottomFlangeThickness+rightTopFlangeThickness)/2)</f>
        <v>#DIV/0!</v>
      </c>
      <c r="D80" s="210"/>
      <c r="E80" s="114" t="e">
        <f>ABS(B80)/D79*(12/C80)</f>
        <v>#DIV/0!</v>
      </c>
      <c r="F80" s="108">
        <f>topFlangeBoltRowQuantity</f>
        <v>4</v>
      </c>
      <c r="G80" s="104" t="e">
        <f>CEILING(E80,F80)</f>
        <v>#DIV/0!</v>
      </c>
      <c r="H80" s="248" t="e">
        <f>MAX(G80:G81)</f>
        <v>#DIV/0!</v>
      </c>
    </row>
    <row r="81" spans="1:10" s="18" customFormat="1" x14ac:dyDescent="0.25">
      <c r="A81" s="32" t="s">
        <v>326</v>
      </c>
      <c r="B81" s="114">
        <f>deckCastingFactoredMoment</f>
        <v>0</v>
      </c>
      <c r="C81" s="114" t="e">
        <f>IF(OR(MIN(I35:I38)=I35,MIN(I35:I38)=I37),webDepth +(leftBottomFlangeThickness+leftTopFlangeThickness)/2,webDepth +(rightBottomFlangeThickness+rightTopFlangeThickness)/2)</f>
        <v>#DIV/0!</v>
      </c>
      <c r="D81" s="210"/>
      <c r="E81" s="114" t="e">
        <f>ABS(B81)/D79*(12/C81)</f>
        <v>#DIV/0!</v>
      </c>
      <c r="F81" s="108">
        <f>topFlangeBoltRowQuantity</f>
        <v>4</v>
      </c>
      <c r="G81" s="104" t="e">
        <f>CEILING(E81,F81)</f>
        <v>#DIV/0!</v>
      </c>
      <c r="H81" s="248"/>
    </row>
    <row r="82" spans="1:10" x14ac:dyDescent="0.25">
      <c r="A82" s="18"/>
      <c r="B82" s="51"/>
      <c r="C82" s="43"/>
      <c r="D82" s="43"/>
      <c r="E82" s="91"/>
      <c r="F82" s="91"/>
      <c r="G82" s="153"/>
      <c r="H82" s="36"/>
    </row>
    <row r="83" spans="1:10" ht="18.75" x14ac:dyDescent="0.25">
      <c r="A83" s="220" t="s">
        <v>518</v>
      </c>
      <c r="B83" s="220">
        <f>VLOOKUP(boltDiameterEnum, boltPropertiesTable,IF(EXACT(boltTypeEnum,"A325"), COLUMN(Table1[[#Headers],[Pt - A325 (kip)]]), COLUMN(Table1[[#Headers],[Pt - A490 (kip)]])))</f>
        <v>51</v>
      </c>
      <c r="C83" s="220"/>
    </row>
    <row r="84" spans="1:10" ht="18.75" x14ac:dyDescent="0.25">
      <c r="A84" s="106"/>
      <c r="B84" s="106"/>
      <c r="C84" s="106"/>
      <c r="D84" s="106"/>
    </row>
    <row r="85" spans="1:10" ht="62.1" customHeight="1" x14ac:dyDescent="0.25">
      <c r="B85" s="108" t="s">
        <v>512</v>
      </c>
      <c r="C85" s="108" t="s">
        <v>514</v>
      </c>
      <c r="D85" s="108" t="s">
        <v>554</v>
      </c>
      <c r="E85" s="108" t="s">
        <v>515</v>
      </c>
      <c r="F85" s="108" t="s">
        <v>114</v>
      </c>
      <c r="G85" s="28" t="s">
        <v>499</v>
      </c>
      <c r="H85" s="177" t="s">
        <v>555</v>
      </c>
      <c r="I85" s="153"/>
      <c r="J85" s="36"/>
    </row>
    <row r="86" spans="1:10" x14ac:dyDescent="0.25">
      <c r="A86" s="32" t="s">
        <v>38</v>
      </c>
      <c r="B86" s="154">
        <f>topFlangeTotalBoltCalculatedStrength</f>
        <v>12</v>
      </c>
      <c r="C86" s="154" t="e">
        <f>topFlangeTotalBoltCalculatedSlip</f>
        <v>#DIV/0!</v>
      </c>
      <c r="D86" s="154">
        <f>topFlangeTotalBoltCalculatedLongJoint</f>
        <v>12</v>
      </c>
      <c r="E86" s="154" t="str">
        <f>IF(EXACT(topFlangeBoltOverrideStatus,"User Specified"),topFlangeTotalBoltOverride, "DNA")</f>
        <v>DNA</v>
      </c>
      <c r="F86" s="154">
        <f>IF(EXACT(topFlangeBoltOverrideStatus,"User Specified"),topFlangeTotalBoltOverride,topFlangeTotalBoltCalculatedStrength)</f>
        <v>12</v>
      </c>
      <c r="G86" s="155" t="b">
        <f>IF(EXACT(topFlangeBoltOverrideStatus,"User Specified"),TRUE,FALSE)</f>
        <v>0</v>
      </c>
      <c r="H86" s="105" t="str">
        <f>IF(topFlangeTotalBoltCalculatedLongJoint&gt;topFlangeTotalBoltCalculatedFinal,"NG","OK")</f>
        <v>OK</v>
      </c>
      <c r="I86" s="153"/>
      <c r="J86" s="36"/>
    </row>
    <row r="87" spans="1:10" x14ac:dyDescent="0.25">
      <c r="A87" s="32" t="s">
        <v>39</v>
      </c>
      <c r="B87" s="105">
        <f>bottomFlangeTotalBoltCalculatedStrength</f>
        <v>16</v>
      </c>
      <c r="C87" s="105">
        <f>bottomFlangeTotalBoltCalculatedSlip</f>
        <v>8</v>
      </c>
      <c r="D87" s="105">
        <f>bottomFlangeTotalBoltCalculatedLongJoint</f>
        <v>16</v>
      </c>
      <c r="E87" s="105" t="str">
        <f>IF(EXACT(bottomFlangeBoltOverrideStatus,"User Specified"),bottomFlangeTotalBoltOverride, "DNA")</f>
        <v>DNA</v>
      </c>
      <c r="F87" s="105">
        <f>IF(EXACT(bottomFlangeBoltOverrideStatus,"User Specified"),bottomFlangeTotalBoltOverride,bottomFlangeTotalBoltCalculatedStrength)</f>
        <v>16</v>
      </c>
      <c r="G87" s="99" t="b">
        <f>IF(EXACT(bottomFlangeBoltOverrideStatus,"User Specified"),TRUE,FALSE)</f>
        <v>0</v>
      </c>
      <c r="H87" s="105" t="str">
        <f>IF(bottomFlangeTotalBoltCalculatedLongJoint&gt;bottomFlangeTotalBoltCalculatedFinal,"NG","OK")</f>
        <v>OK</v>
      </c>
      <c r="I87" s="153"/>
      <c r="J87" s="36"/>
    </row>
    <row r="88" spans="1:10" x14ac:dyDescent="0.25">
      <c r="A88" s="18"/>
      <c r="B88" s="51"/>
      <c r="C88" s="43"/>
      <c r="D88" s="43"/>
      <c r="E88" s="43"/>
      <c r="F88" s="91"/>
      <c r="G88" s="51"/>
    </row>
    <row r="89" spans="1:10" ht="18.75" x14ac:dyDescent="0.25">
      <c r="A89" s="220" t="s">
        <v>246</v>
      </c>
      <c r="B89" s="220">
        <f>VLOOKUP(boltDiameterEnum, boltPropertiesTable,IF(EXACT(boltTypeEnum,"A325"), COLUMN(Table1[[#Headers],[Pt - A325 (kip)]]), COLUMN(Table1[[#Headers],[Pt - A490 (kip)]])))</f>
        <v>51</v>
      </c>
      <c r="C89" s="220"/>
    </row>
    <row r="90" spans="1:10" ht="15.75" customHeight="1" x14ac:dyDescent="0.25">
      <c r="A90" s="106"/>
      <c r="B90" s="106"/>
      <c r="C90" s="106"/>
    </row>
    <row r="91" spans="1:10" x14ac:dyDescent="0.25">
      <c r="A91" s="23" t="s">
        <v>276</v>
      </c>
      <c r="H91" s="36"/>
    </row>
    <row r="93" spans="1:10" ht="33" x14ac:dyDescent="0.35">
      <c r="A93" s="28" t="s">
        <v>74</v>
      </c>
      <c r="B93" s="28" t="s">
        <v>201</v>
      </c>
      <c r="C93" s="28" t="s">
        <v>259</v>
      </c>
      <c r="D93" s="28" t="s">
        <v>367</v>
      </c>
      <c r="E93" s="28" t="s">
        <v>194</v>
      </c>
      <c r="F93" s="108" t="s">
        <v>195</v>
      </c>
      <c r="G93" s="36"/>
      <c r="H93"/>
    </row>
    <row r="94" spans="1:10" ht="30.95" customHeight="1" x14ac:dyDescent="0.25">
      <c r="A94" s="99" t="s">
        <v>266</v>
      </c>
      <c r="B94" s="94">
        <f>outerTopFlangeSplicePlateThickness</f>
        <v>0</v>
      </c>
      <c r="C94" s="221">
        <f>MIN(B94:B95)</f>
        <v>0</v>
      </c>
      <c r="D94" s="221">
        <f>IF(minimumBoltSpacingInitial&gt;0,minimumBoltSpacingInitial,boltDiameterEnum*3)</f>
        <v>3.5</v>
      </c>
      <c r="E94" s="221">
        <f>4+4*C94</f>
        <v>4</v>
      </c>
      <c r="F94" s="221">
        <f>IF((4+4*C94)&gt;=7,7,(4+4*C94))</f>
        <v>4</v>
      </c>
      <c r="G94" s="36"/>
      <c r="H94" s="36"/>
    </row>
    <row r="95" spans="1:10" ht="30.95" customHeight="1" x14ac:dyDescent="0.25">
      <c r="A95" s="99" t="s">
        <v>267</v>
      </c>
      <c r="B95" s="94">
        <f>innerTopFlangeSplicePlateThickness</f>
        <v>0</v>
      </c>
      <c r="C95" s="223"/>
      <c r="D95" s="222"/>
      <c r="E95" s="223"/>
      <c r="F95" s="223"/>
      <c r="G95" s="36"/>
      <c r="H95" s="36"/>
      <c r="J95" s="36"/>
    </row>
    <row r="96" spans="1:10" ht="30.95" customHeight="1" x14ac:dyDescent="0.25">
      <c r="A96" s="99" t="s">
        <v>268</v>
      </c>
      <c r="B96" s="94">
        <f>innerBottomFlangeSplicePlateThickness</f>
        <v>1</v>
      </c>
      <c r="C96" s="221">
        <f>MIN(B96:B97)</f>
        <v>0.6875</v>
      </c>
      <c r="D96" s="222"/>
      <c r="E96" s="221">
        <f>4+4*C96</f>
        <v>6.75</v>
      </c>
      <c r="F96" s="221">
        <f>IF((4+4*C96)&gt;=7,7,(4+4*C96))</f>
        <v>6.75</v>
      </c>
      <c r="G96" s="36"/>
      <c r="H96" s="36"/>
    </row>
    <row r="97" spans="1:10" ht="30.95" customHeight="1" x14ac:dyDescent="0.25">
      <c r="A97" s="99" t="s">
        <v>269</v>
      </c>
      <c r="B97" s="94">
        <f>outerBottomFlangeSplicePlateThickness</f>
        <v>0.6875</v>
      </c>
      <c r="C97" s="223"/>
      <c r="D97" s="223"/>
      <c r="E97" s="223"/>
      <c r="F97" s="223"/>
      <c r="G97" s="36"/>
      <c r="H97" s="36"/>
    </row>
    <row r="99" spans="1:10" x14ac:dyDescent="0.25">
      <c r="A99" s="23" t="s">
        <v>199</v>
      </c>
    </row>
    <row r="101" spans="1:10" ht="31.5" x14ac:dyDescent="0.25">
      <c r="A101" s="28" t="s">
        <v>74</v>
      </c>
      <c r="B101" s="28" t="s">
        <v>549</v>
      </c>
      <c r="C101" s="28" t="s">
        <v>550</v>
      </c>
      <c r="D101" s="28" t="s">
        <v>281</v>
      </c>
      <c r="E101" s="28" t="s">
        <v>237</v>
      </c>
      <c r="F101" s="28" t="s">
        <v>236</v>
      </c>
      <c r="G101" s="28" t="s">
        <v>238</v>
      </c>
      <c r="H101" s="28" t="s">
        <v>239</v>
      </c>
      <c r="I101" s="28" t="s">
        <v>241</v>
      </c>
      <c r="J101" s="28" t="s">
        <v>339</v>
      </c>
    </row>
    <row r="102" spans="1:10" x14ac:dyDescent="0.25">
      <c r="A102" s="32" t="s">
        <v>38</v>
      </c>
      <c r="B102" s="94">
        <f>(MIN(leftTopFlangeWidth,rightTopFlangeWidth)-MAX(leftWebThickness,rightWebThickness))/2-(webWeldClearence+webWeldSize)</f>
        <v>7.28125</v>
      </c>
      <c r="C102" s="94">
        <f>innerTopFlangeSplicePlateWidth</f>
        <v>7.25</v>
      </c>
      <c r="D102" s="241">
        <f>IF(minimumBoltSpacingInitial&gt;0,minimumBoltSpacingInitial,boltDiameterEnum*3)</f>
        <v>3.5</v>
      </c>
      <c r="E102" s="221">
        <f>boltDiameterEnum*3</f>
        <v>3</v>
      </c>
      <c r="F102" s="221">
        <f>IF(minimumEdgeDistanceFlangeInitial&gt;0, minimumEdgeDistanceFlangeInitial, VLOOKUP(boltDiameterEnum, boltPropertiesTable, COLUMN(Table1[[#Headers],[Standard Min Edge &amp; End Distance (in)]])))</f>
        <v>1.75</v>
      </c>
      <c r="G102" s="221">
        <f>VLOOKUP(boltDiameterEnum, boltPropertiesTable, COLUMN(Table1[[#Headers],[Standard Min Edge &amp; End Distance (in)]]))</f>
        <v>1.25</v>
      </c>
      <c r="H102" s="110" t="str">
        <f>IF(topFlangeBoltRowQuantity&gt;2,IF(((topFlangeBoltRowQuantity/2)-1)*D102+2*F102&gt;C102,"NG","OK"),IF((2*F102)&gt;C102,"NG","OK"))</f>
        <v>OK</v>
      </c>
      <c r="I102" s="93">
        <f>IF(EXACT(H102, "NG"), IF(topFlangeBoltRowQuantity &gt; 2,(C102-((topFlangeBoltRowQuantity/2)-1)*D102)/2,C102/2), F102)</f>
        <v>1.75</v>
      </c>
      <c r="J102" s="94">
        <f>IF(topFlangeBoltRowQuantity&gt;2,(innerTopFlangeSplicePlateWidth-2*finalEdgeDistanceTopFlangeCalculated)/((topFlangeBoltRowQuantity/2)-1),0)</f>
        <v>3.75</v>
      </c>
    </row>
    <row r="103" spans="1:10" x14ac:dyDescent="0.25">
      <c r="A103" s="32" t="s">
        <v>39</v>
      </c>
      <c r="B103" s="94">
        <f>(MIN(leftBottomFlangeWidth,rightBottomFlangeWidth)-MAX(leftWebThickness,rightWebThickness))/2-(webWeldClearence+webWeldSize)</f>
        <v>7.28125</v>
      </c>
      <c r="C103" s="94">
        <f>innerBottomFlangeSplicePlateWidth</f>
        <v>7.25</v>
      </c>
      <c r="D103" s="241"/>
      <c r="E103" s="223"/>
      <c r="F103" s="223"/>
      <c r="G103" s="223"/>
      <c r="H103" s="110" t="str">
        <f>IF(bottomFlangeBoltRowQuantity&gt;2,IF(((bottomFlangeBoltRowQuantity/2)-1)*D102+2*F102&gt;C103,"NG","OK"),IF((2*F102)&gt;C103,"NG","OK"))</f>
        <v>OK</v>
      </c>
      <c r="I103" s="93">
        <f>IF(EXACT(H103, "NG"), IF(bottomFlangeBoltRowQuantity &gt; 2,(C103-((bottomFlangeBoltRowQuantity/2)-1)*D102)/2,C103/2), F102)</f>
        <v>1.75</v>
      </c>
      <c r="J103" s="94">
        <f>IF(bottomFlangeBoltRowQuantity&gt;2,(innerBottomFlangeSplicePlateWidth-2*finalEdgeDistanceBottomFlangeCalculated)/((bottomFlangeBoltRowQuantity/2)-1),0)</f>
        <v>3.75</v>
      </c>
    </row>
    <row r="105" spans="1:10" ht="31.5" x14ac:dyDescent="0.25">
      <c r="A105" s="28" t="s">
        <v>74</v>
      </c>
      <c r="B105" s="28" t="s">
        <v>247</v>
      </c>
      <c r="C105" s="28" t="s">
        <v>240</v>
      </c>
      <c r="D105" s="28" t="s">
        <v>198</v>
      </c>
      <c r="E105" s="36"/>
    </row>
    <row r="106" spans="1:10" x14ac:dyDescent="0.25">
      <c r="A106" s="32" t="s">
        <v>38</v>
      </c>
      <c r="B106" s="94">
        <f>outerTopFlangeSplicePlateWidth</f>
        <v>16</v>
      </c>
      <c r="C106" s="93">
        <f>finalEdgeDistanceTopFlangeCalculated</f>
        <v>1.75</v>
      </c>
      <c r="D106" s="94">
        <f>outerTopFlangeSplicePlateWidth- (2*finalEdgeDistanceTopFlangeCalculated)-(2*((topFlangeBoltRowQuantity/2)-1)*topFlangeBoltTransGageCalculated)</f>
        <v>5</v>
      </c>
      <c r="E106" s="36"/>
    </row>
    <row r="107" spans="1:10" x14ac:dyDescent="0.25">
      <c r="A107" s="32" t="s">
        <v>39</v>
      </c>
      <c r="B107" s="94">
        <f>outerBottomFlangeSplicePlateWidth</f>
        <v>16</v>
      </c>
      <c r="C107" s="93">
        <f>finalEdgeDistanceBottomFlangeCalculated</f>
        <v>1.75</v>
      </c>
      <c r="D107" s="94">
        <f>outerBottomFlangeSplicePlateWidth- (2*finalEdgeDistanceBottomFlangeCalculated)-(2*((bottomFlangeBoltRowQuantity/2)-1)*bottomFlangeBoltTransGageCalculated)</f>
        <v>5</v>
      </c>
      <c r="E107" s="36"/>
    </row>
    <row r="108" spans="1:10" x14ac:dyDescent="0.25">
      <c r="A108" s="18"/>
      <c r="B108" s="95"/>
      <c r="C108" s="51"/>
      <c r="D108" s="51"/>
      <c r="E108" s="80"/>
      <c r="F108" s="80"/>
      <c r="G108" s="36"/>
    </row>
    <row r="109" spans="1:10" ht="47.25" x14ac:dyDescent="0.25">
      <c r="A109" s="28" t="s">
        <v>74</v>
      </c>
      <c r="B109" s="28" t="s">
        <v>365</v>
      </c>
      <c r="C109" s="28" t="s">
        <v>366</v>
      </c>
      <c r="D109" s="28" t="s">
        <v>257</v>
      </c>
      <c r="E109" s="28" t="s">
        <v>329</v>
      </c>
      <c r="F109" s="28" t="s">
        <v>330</v>
      </c>
      <c r="G109" s="36"/>
    </row>
    <row r="110" spans="1:10" x14ac:dyDescent="0.25">
      <c r="A110" s="32" t="s">
        <v>38</v>
      </c>
      <c r="B110" s="110" t="str">
        <f>IF(topFlangeBoltRowQuantity&gt;2,IF(AND(topFlangeBoltTransGageCalculated&gt;=minimumBoltSpacingCalculated, topFlangeBoltTransGageCalculated&lt;=topFlangeMaximumBoltSpacingCalculated),"OK","NG"),"OK")</f>
        <v>OK</v>
      </c>
      <c r="C110" s="110" t="str">
        <f>IF(AND(topFlangeBoltGroupTransGageCalculated&gt;=minimumBoltSpacingCalculated, topFlangeBoltGroupTransGageCalculated&lt;=topFlangeMaximumBoltSpacingCalculated), "OK", "NG")</f>
        <v>NG</v>
      </c>
      <c r="D110" s="110" t="str">
        <f>IF(AND(finalEdgeDistanceTopFlangeCalculated&gt;=G102, finalEdgeDistanceTopFlangeCalculated&lt;=topFlangeMaximumBoltSpacingCalculated), "OK", "NG")</f>
        <v>OK</v>
      </c>
      <c r="E110" s="110" t="str">
        <f>IF(outerTopFlangeSplicePlateWidth-topFlangeBoltTransGageCalculated*(2*((topFlangeBoltRowQuantity/2)-1))-2*finalEdgeDistanceTopFlangeCalculated-topFlangeBoltGroupTransGageCalculated=0, "OK", "NG")</f>
        <v>OK</v>
      </c>
      <c r="F110" s="110" t="str">
        <f>IF(innerTopFlangeSplicePlateWidth-topFlangeBoltTransGageCalculated*((topFlangeBoltRowQuantity/2)-1)-2*finalEdgeDistanceTopFlangeCalculated=0, "OK", "NG")</f>
        <v>OK</v>
      </c>
      <c r="G110" s="36"/>
    </row>
    <row r="111" spans="1:10" x14ac:dyDescent="0.25">
      <c r="A111" s="32" t="s">
        <v>39</v>
      </c>
      <c r="B111" s="110" t="str">
        <f>IF(bottomFlangeBoltRowQuantity&gt;2,IF(AND(bottomFlangeBoltTransGageCalculated&gt;=minimumBoltSpacingCalculated, bottomFlangeBoltTransGageCalculated&lt;=bottomFlangeMaximumBoltSpacingCalculated),"OK","NG"),"OK")</f>
        <v>OK</v>
      </c>
      <c r="C111" s="110" t="str">
        <f>IF(AND(bottomFlangeBoltGroupTransGageCalculated&gt;=minimumBoltSpacingCalculated,bottomFlangeBoltGroupTransGageCalculated&lt;=bottomFlangeMaximumBoltSpacingCalculated), "OK", "NG")</f>
        <v>OK</v>
      </c>
      <c r="D111" s="110" t="str">
        <f>IF(AND(finalEdgeDistanceBottomFlangeCalculated&gt;=G102,finalEdgeDistanceBottomFlangeCalculated&lt;=bottomFlangeMaximumBoltSpacingCalculated), "OK", "NG")</f>
        <v>OK</v>
      </c>
      <c r="E111" s="110" t="str">
        <f>IF(outerBottomFlangeSplicePlateWidth-bottomFlangeBoltTransGageCalculated*(2*((bottomFlangeBoltRowQuantity/2)-1))-2*finalEdgeDistanceBottomFlangeCalculated-bottomFlangeBoltGroupTransGageCalculated=0, "OK", "NG")</f>
        <v>OK</v>
      </c>
      <c r="F111" s="110" t="str">
        <f>IF(innerBottomFlangeSplicePlateWidth-bottomFlangeBoltTransGageCalculated*((bottomFlangeBoltRowQuantity/2)-1)-2*finalEdgeDistanceBottomFlangeCalculated=0, "OK", "NG")</f>
        <v>OK</v>
      </c>
      <c r="G111" s="36"/>
    </row>
    <row r="112" spans="1:10" x14ac:dyDescent="0.25">
      <c r="A112" s="18"/>
      <c r="B112" s="95"/>
      <c r="C112" s="51"/>
      <c r="D112" s="51"/>
      <c r="E112" s="80"/>
      <c r="F112" s="80"/>
      <c r="G112" s="36"/>
    </row>
    <row r="113" spans="1:10" x14ac:dyDescent="0.25">
      <c r="A113" s="23" t="s">
        <v>255</v>
      </c>
    </row>
    <row r="115" spans="1:10" ht="47.25" x14ac:dyDescent="0.25">
      <c r="A115" s="28" t="s">
        <v>74</v>
      </c>
      <c r="B115" s="28" t="s">
        <v>175</v>
      </c>
      <c r="C115" s="28" t="s">
        <v>281</v>
      </c>
      <c r="D115" s="28" t="s">
        <v>368</v>
      </c>
      <c r="E115" s="28" t="s">
        <v>278</v>
      </c>
      <c r="F115" s="28" t="s">
        <v>341</v>
      </c>
      <c r="G115" s="28" t="s">
        <v>256</v>
      </c>
      <c r="H115" s="36"/>
      <c r="I115" s="36"/>
      <c r="J115" s="36"/>
    </row>
    <row r="116" spans="1:10" x14ac:dyDescent="0.25">
      <c r="A116" s="32" t="s">
        <v>38</v>
      </c>
      <c r="B116" s="221">
        <f>giderGapClearence</f>
        <v>0</v>
      </c>
      <c r="C116" s="221">
        <f>IF(minimumBoltSpacingInitial&gt;0,minimumBoltSpacingInitial,boltDiameterEnum*3)</f>
        <v>3.5</v>
      </c>
      <c r="D116" s="241">
        <f>minimumBoltSpacingCalculated</f>
        <v>3</v>
      </c>
      <c r="E116" s="241">
        <f>IF(minimumEndDistanceFlangeInitial&gt;0, minimumEndDistanceFlangeInitial, VLOOKUP(boltDiameterEnum, boltPropertiesTable, COLUMN(Table1[[#Headers],[Standard Min Edge &amp; End Distance (in)]])))</f>
        <v>2</v>
      </c>
      <c r="F116" s="241">
        <f>MAX(2*minimumEndDistanceFlangeCalculated+giderGapClearence, C116)</f>
        <v>4</v>
      </c>
      <c r="G116" s="110" t="str">
        <f>IF(AND(minimumBoltGroupLongPitchCalculated&gt;=minimumBoltSpacingCalculated, minimumBoltGroupLongPitchCalculated&lt;=topFlangeMaximumBoltSpacingCalculated), "OK", "NG")</f>
        <v>OK</v>
      </c>
    </row>
    <row r="117" spans="1:10" x14ac:dyDescent="0.25">
      <c r="A117" s="32" t="s">
        <v>39</v>
      </c>
      <c r="B117" s="223"/>
      <c r="C117" s="223"/>
      <c r="D117" s="241"/>
      <c r="E117" s="241"/>
      <c r="F117" s="241"/>
      <c r="G117" s="110" t="str">
        <f>IF(AND(minimumBoltGroupLongPitchCalculated&gt;=minimumBoltSpacingCalculated, minimumBoltGroupLongPitchCalculated&lt;=bottomFlangeMaximumBoltSpacingCalculated), "OK", "NG")</f>
        <v>OK</v>
      </c>
    </row>
    <row r="118" spans="1:10" x14ac:dyDescent="0.25">
      <c r="A118" s="18"/>
      <c r="B118" s="80"/>
      <c r="C118" s="80"/>
      <c r="D118" s="80"/>
      <c r="E118" s="80"/>
      <c r="F118" s="80"/>
      <c r="G118" s="98"/>
      <c r="H118" s="95"/>
      <c r="I118" s="80"/>
    </row>
    <row r="119" spans="1:10" x14ac:dyDescent="0.25">
      <c r="A119" s="23" t="s">
        <v>203</v>
      </c>
    </row>
    <row r="121" spans="1:10" ht="31.5" x14ac:dyDescent="0.25">
      <c r="A121" s="28" t="s">
        <v>74</v>
      </c>
      <c r="B121" s="28" t="s">
        <v>277</v>
      </c>
      <c r="C121" s="28" t="s">
        <v>102</v>
      </c>
      <c r="D121" s="28" t="s">
        <v>340</v>
      </c>
      <c r="E121" s="28" t="s">
        <v>341</v>
      </c>
      <c r="F121" s="28" t="s">
        <v>278</v>
      </c>
      <c r="G121" s="28" t="s">
        <v>200</v>
      </c>
      <c r="H121" s="28" t="s">
        <v>201</v>
      </c>
      <c r="I121" s="28" t="s">
        <v>202</v>
      </c>
    </row>
    <row r="122" spans="1:10" ht="30.95" customHeight="1" x14ac:dyDescent="0.25">
      <c r="A122" s="99" t="s">
        <v>266</v>
      </c>
      <c r="B122" s="224">
        <f>topFlangeBoltRowsCalculated</f>
        <v>4</v>
      </c>
      <c r="C122" s="224">
        <f>topFlangeTotalBoltCalculatedFinal</f>
        <v>12</v>
      </c>
      <c r="D122" s="241">
        <f>IF(minimumBoltSpacingInitial&gt;0,minimumBoltSpacingInitial,boltDiameterEnum*3)</f>
        <v>3.5</v>
      </c>
      <c r="E122" s="241">
        <f>minimumBoltGroupLongPitchCalculated</f>
        <v>4</v>
      </c>
      <c r="F122" s="241">
        <f>minimumEndDistanceFlangeCalculated</f>
        <v>2</v>
      </c>
      <c r="G122" s="94">
        <f>outerTopFlangeSplicePlateWidth</f>
        <v>16</v>
      </c>
      <c r="H122" s="94">
        <f>outerTopFlangeSplicePlateThickness</f>
        <v>0</v>
      </c>
      <c r="I122" s="241">
        <f>2*F122+2*((C122/B122-1)*D122)+E122</f>
        <v>22</v>
      </c>
    </row>
    <row r="123" spans="1:10" ht="30.95" customHeight="1" x14ac:dyDescent="0.25">
      <c r="A123" s="99" t="s">
        <v>267</v>
      </c>
      <c r="B123" s="224"/>
      <c r="C123" s="224"/>
      <c r="D123" s="241"/>
      <c r="E123" s="241"/>
      <c r="F123" s="241"/>
      <c r="G123" s="94">
        <f>innerTopFlangeSplicePlateWidth</f>
        <v>7.25</v>
      </c>
      <c r="H123" s="94">
        <f>innerTopFlangeSplicePlateThickness</f>
        <v>0</v>
      </c>
      <c r="I123" s="241"/>
    </row>
    <row r="124" spans="1:10" ht="30.95" customHeight="1" x14ac:dyDescent="0.25">
      <c r="A124" s="99" t="s">
        <v>268</v>
      </c>
      <c r="B124" s="224">
        <f>bottomFlangeBoltRowsCalculated</f>
        <v>4</v>
      </c>
      <c r="C124" s="224">
        <f>bottomFlangeTotalBoltCalculatedFinal</f>
        <v>16</v>
      </c>
      <c r="D124" s="241"/>
      <c r="E124" s="241"/>
      <c r="F124" s="241"/>
      <c r="G124" s="94">
        <f>innerBottomFlangeSplicePlateWidth</f>
        <v>7.25</v>
      </c>
      <c r="H124" s="94">
        <f>innerBottomFlangeSplicePlateThickness</f>
        <v>1</v>
      </c>
      <c r="I124" s="241">
        <f>2*F122+2*((C124/B124-1)*D122)+E122</f>
        <v>29</v>
      </c>
    </row>
    <row r="125" spans="1:10" ht="30.95" customHeight="1" x14ac:dyDescent="0.25">
      <c r="A125" s="99" t="s">
        <v>269</v>
      </c>
      <c r="B125" s="224"/>
      <c r="C125" s="224"/>
      <c r="D125" s="241"/>
      <c r="E125" s="241"/>
      <c r="F125" s="241"/>
      <c r="G125" s="94">
        <f>outerBottomFlangeSplicePlateWidth</f>
        <v>16</v>
      </c>
      <c r="H125" s="94">
        <f>outerBottomFlangeSplicePlateThickness</f>
        <v>0.6875</v>
      </c>
      <c r="I125" s="241"/>
    </row>
    <row r="126" spans="1:10" x14ac:dyDescent="0.25">
      <c r="A126" s="122"/>
      <c r="B126" s="80"/>
      <c r="C126" s="80"/>
      <c r="D126" s="80"/>
      <c r="E126" s="80"/>
      <c r="F126" s="80"/>
      <c r="G126" s="80"/>
      <c r="H126" s="80"/>
      <c r="I126" s="80"/>
      <c r="J126" s="123"/>
    </row>
    <row r="127" spans="1:10" x14ac:dyDescent="0.25">
      <c r="A127" s="23" t="s">
        <v>303</v>
      </c>
    </row>
    <row r="128" spans="1:10" x14ac:dyDescent="0.25">
      <c r="A128" s="23"/>
    </row>
    <row r="129" spans="1:10" ht="47.25" x14ac:dyDescent="0.25">
      <c r="A129" s="28" t="s">
        <v>74</v>
      </c>
      <c r="B129" s="28" t="s">
        <v>290</v>
      </c>
      <c r="C129" s="28" t="s">
        <v>280</v>
      </c>
      <c r="D129" s="28" t="s">
        <v>302</v>
      </c>
      <c r="E129" s="28" t="s">
        <v>301</v>
      </c>
      <c r="F129" s="80"/>
      <c r="G129" s="80"/>
      <c r="H129" s="80"/>
      <c r="I129" s="51"/>
      <c r="J129" s="98"/>
    </row>
    <row r="130" spans="1:10" x14ac:dyDescent="0.25">
      <c r="A130" s="32" t="s">
        <v>331</v>
      </c>
      <c r="B130" s="204">
        <f>minimumEndDistanceFlangeCalculated</f>
        <v>2</v>
      </c>
      <c r="C130" s="204">
        <f>minimumWebLongEdgeDistanceCalculated</f>
        <v>1.25</v>
      </c>
      <c r="D130" s="210">
        <f>SQRT(B130^2+C130^2)</f>
        <v>2.3584952830141508</v>
      </c>
      <c r="E130" s="249" t="str">
        <f>IF(D130&gt;=VLOOKUP(boltDiameterEnum, boltPropertiesTable, COLUMN(Table1[[#Headers],[Standard Min Edge &amp; End Distance (in)]])),"OK","NG")</f>
        <v>OK</v>
      </c>
      <c r="F130" s="80"/>
      <c r="G130" s="80"/>
      <c r="H130" s="80"/>
      <c r="I130" s="51"/>
      <c r="J130" s="98"/>
    </row>
    <row r="131" spans="1:10" x14ac:dyDescent="0.25">
      <c r="A131" s="32" t="s">
        <v>332</v>
      </c>
      <c r="B131" s="206"/>
      <c r="C131" s="206"/>
      <c r="D131" s="210"/>
      <c r="E131" s="250"/>
      <c r="F131" s="80"/>
      <c r="G131" s="80"/>
      <c r="H131" s="80"/>
      <c r="I131" s="51"/>
      <c r="J131" s="98"/>
    </row>
    <row r="132" spans="1:10" x14ac:dyDescent="0.25">
      <c r="A132" s="122"/>
      <c r="B132" s="80"/>
      <c r="C132" s="80"/>
      <c r="D132" s="80"/>
      <c r="E132" s="80"/>
      <c r="F132" s="80"/>
      <c r="G132" s="80"/>
      <c r="H132" s="80"/>
      <c r="I132" s="80"/>
      <c r="J132" s="123"/>
    </row>
    <row r="133" spans="1:10" ht="18.75" x14ac:dyDescent="0.25">
      <c r="A133" s="220" t="s">
        <v>115</v>
      </c>
      <c r="B133" s="220">
        <f>VLOOKUP(boltDiameterEnum, boltPropertiesTable,IF(EXACT(boltTypeEnum,"A325"), COLUMN(Table1[[#Headers],[Pt - A325 (kip)]]), COLUMN(Table1[[#Headers],[Pt - A490 (kip)]])))</f>
        <v>51</v>
      </c>
      <c r="C133" s="220"/>
      <c r="F133" s="36"/>
    </row>
    <row r="134" spans="1:10" ht="18.75" x14ac:dyDescent="0.25">
      <c r="A134" s="106"/>
      <c r="B134" s="106"/>
      <c r="C134" s="106"/>
      <c r="F134" s="36"/>
    </row>
    <row r="135" spans="1:10" x14ac:dyDescent="0.25">
      <c r="A135" s="23" t="s">
        <v>116</v>
      </c>
    </row>
    <row r="136" spans="1:10" x14ac:dyDescent="0.25">
      <c r="A136" s="37" t="s">
        <v>108</v>
      </c>
      <c r="B136" s="46">
        <f>IF(I37&lt;=I38,IF(EXACT(deckIsCompositeEnum,"Composite"),deckThickness/2+haunchLeft,leftTopFlangeThickness/2)+webDepth+leftBottomFlangeThickness/2,
IF(EXACT(deckIsCompositeEnum,"Composite"),deckThickness/2+haunchRight,rightTopFlangeThickness/2)+webDepth+rightBottomFlangeThickness/2)</f>
        <v>73.625</v>
      </c>
      <c r="F136" s="40"/>
    </row>
    <row r="137" spans="1:10" x14ac:dyDescent="0.25">
      <c r="A137" s="37" t="s">
        <v>544</v>
      </c>
      <c r="B137" s="46">
        <f>MIN(G37:G38)</f>
        <v>910.45499999999993</v>
      </c>
    </row>
    <row r="138" spans="1:10" ht="18.75" x14ac:dyDescent="0.35">
      <c r="A138" s="37" t="s">
        <v>143</v>
      </c>
      <c r="B138" s="46">
        <f>B137*B136/12</f>
        <v>5586.0207812500003</v>
      </c>
    </row>
    <row r="139" spans="1:10" x14ac:dyDescent="0.25">
      <c r="A139" s="37" t="s">
        <v>507</v>
      </c>
      <c r="B139" s="46">
        <f>strengthIPositiveMoment</f>
        <v>1930.1624999999997</v>
      </c>
      <c r="C139" s="39"/>
    </row>
    <row r="140" spans="1:10" ht="18.75" x14ac:dyDescent="0.35">
      <c r="A140" s="37" t="s">
        <v>150</v>
      </c>
      <c r="B140" s="45" t="str">
        <f>IF(B138&gt;B139, "OK", "NOTICE")</f>
        <v>OK</v>
      </c>
      <c r="C140" s="39"/>
    </row>
    <row r="141" spans="1:10" ht="18.75" x14ac:dyDescent="0.35">
      <c r="A141" s="37" t="s">
        <v>288</v>
      </c>
      <c r="B141" s="44" t="str">
        <f>IF(EXACT(B140,"NOTICE"), ((B139-B138)*12)/(IF(EXACT(deckIsCompositeEnum,"Composite"),(webDepth/2+IF(haunchLeft=0,leftTopFlangeThickness,haunchLeft)+deckThickness/2),webDepth/4)), "DNA")</f>
        <v>DNA</v>
      </c>
      <c r="C141" s="116" t="str">
        <f>IF(EXACT(positiveMomentHorizontalWebForce,"DNA"),"","CONTROLS")</f>
        <v/>
      </c>
    </row>
    <row r="142" spans="1:10" x14ac:dyDescent="0.25">
      <c r="A142" s="37"/>
      <c r="B142" s="38"/>
      <c r="C142" s="39"/>
      <c r="E142" s="37"/>
      <c r="F142" s="38"/>
    </row>
    <row r="143" spans="1:10" x14ac:dyDescent="0.25">
      <c r="A143" s="23" t="s">
        <v>117</v>
      </c>
      <c r="E143" s="37"/>
      <c r="F143" s="38"/>
    </row>
    <row r="144" spans="1:10" x14ac:dyDescent="0.25">
      <c r="A144" s="37" t="s">
        <v>108</v>
      </c>
      <c r="B144" s="44" t="e">
        <f>IF(OR(MIN(I35:I38)=I35,MIN(I35:I38)=I37),webDepth +(leftBottomFlangeThickness+leftTopFlangeThickness)/2,webDepth +(rightBottomFlangeThickness+rightTopFlangeThickness)/2)</f>
        <v>#DIV/0!</v>
      </c>
      <c r="E144" s="37"/>
      <c r="F144" s="38"/>
    </row>
    <row r="145" spans="1:6" x14ac:dyDescent="0.25">
      <c r="A145" s="37" t="s">
        <v>543</v>
      </c>
      <c r="B145" s="44">
        <f>MIN(G35:G38)</f>
        <v>910.45499999999993</v>
      </c>
      <c r="E145" s="37"/>
      <c r="F145" s="38"/>
    </row>
    <row r="146" spans="1:6" ht="18.75" x14ac:dyDescent="0.35">
      <c r="A146" s="37" t="s">
        <v>143</v>
      </c>
      <c r="B146" s="44" t="e">
        <f>B145*(B144/12)</f>
        <v>#DIV/0!</v>
      </c>
      <c r="E146" s="37"/>
      <c r="F146" s="38"/>
    </row>
    <row r="147" spans="1:6" x14ac:dyDescent="0.25">
      <c r="A147" s="37" t="s">
        <v>508</v>
      </c>
      <c r="B147" s="44">
        <f>strengthINegativeMoment</f>
        <v>-1468.684</v>
      </c>
      <c r="E147" s="37"/>
      <c r="F147" s="38"/>
    </row>
    <row r="148" spans="1:6" ht="18.75" x14ac:dyDescent="0.35">
      <c r="A148" s="37" t="s">
        <v>150</v>
      </c>
      <c r="B148" s="45" t="e">
        <f>IF(B146&lt;ABS(B147), "NOTICE", "OK")</f>
        <v>#DIV/0!</v>
      </c>
      <c r="E148" s="37"/>
      <c r="F148" s="38"/>
    </row>
    <row r="149" spans="1:6" ht="18.75" x14ac:dyDescent="0.35">
      <c r="A149" s="37" t="s">
        <v>288</v>
      </c>
      <c r="B149" s="44" t="e">
        <f>IF(EXACT(B148,"NOTICE"), ((ABS(B147)-B146)*12)/(webDepth/4), "DNA")</f>
        <v>#DIV/0!</v>
      </c>
      <c r="C149" s="116" t="e">
        <f>IF(EXACT(negativeMomentHorizontalWebForce,"DNA"),"","CONTROLS")</f>
        <v>#DIV/0!</v>
      </c>
      <c r="E149" s="37"/>
      <c r="F149" s="38"/>
    </row>
    <row r="150" spans="1:6" x14ac:dyDescent="0.25">
      <c r="A150" s="37"/>
      <c r="B150" s="38"/>
      <c r="C150" s="39"/>
      <c r="E150" s="37"/>
      <c r="F150" s="38"/>
    </row>
    <row r="151" spans="1:6" x14ac:dyDescent="0.25">
      <c r="A151" s="23" t="s">
        <v>541</v>
      </c>
      <c r="B151" s="38"/>
      <c r="C151" s="39"/>
      <c r="E151" s="37"/>
      <c r="F151" s="38"/>
    </row>
    <row r="152" spans="1:6" x14ac:dyDescent="0.25">
      <c r="A152" s="37" t="s">
        <v>15</v>
      </c>
      <c r="B152" s="44" t="str">
        <f>deckIsCompositeEnum</f>
        <v>Non-Composite</v>
      </c>
      <c r="C152" s="39"/>
      <c r="E152" s="37"/>
      <c r="F152" s="38"/>
    </row>
    <row r="153" spans="1:6" x14ac:dyDescent="0.25">
      <c r="A153" s="37" t="s">
        <v>542</v>
      </c>
      <c r="B153" s="44">
        <f>0.85*deckConcreteStrength*deckEffectiveWidth*deckThickness</f>
        <v>0</v>
      </c>
      <c r="C153" s="39"/>
      <c r="E153" s="37"/>
      <c r="F153" s="38"/>
    </row>
    <row r="154" spans="1:6" ht="18.75" x14ac:dyDescent="0.35">
      <c r="A154" s="37" t="s">
        <v>546</v>
      </c>
      <c r="B154" s="44">
        <f>SUM(positiveMomentHorizontalWebForce,B137)</f>
        <v>910.45499999999993</v>
      </c>
      <c r="C154" s="39"/>
      <c r="E154" s="37"/>
      <c r="F154" s="38"/>
    </row>
    <row r="155" spans="1:6" x14ac:dyDescent="0.25">
      <c r="A155" s="37" t="s">
        <v>547</v>
      </c>
      <c r="B155" s="45" t="str">
        <f>IF(deckIsCompositeEnum="Composite",IF(B153&lt;B154,"NG", "OK"),"DNA")</f>
        <v>DNA</v>
      </c>
    </row>
    <row r="156" spans="1:6" x14ac:dyDescent="0.25">
      <c r="A156" s="37"/>
      <c r="B156" s="38"/>
      <c r="C156" s="39"/>
      <c r="E156" s="37"/>
      <c r="F156" s="38"/>
    </row>
    <row r="157" spans="1:6" ht="18.75" x14ac:dyDescent="0.25">
      <c r="A157" s="220" t="s">
        <v>118</v>
      </c>
      <c r="B157" s="220">
        <f>VLOOKUP(boltDiameterEnum, boltPropertiesTable,IF(EXACT(boltTypeEnum,"A325"), COLUMN(Table1[[#Headers],[Pt - A325 (kip)]]), COLUMN(Table1[[#Headers],[Pt - A490 (kip)]])))</f>
        <v>51</v>
      </c>
      <c r="C157" s="220"/>
    </row>
    <row r="159" spans="1:6" ht="18.75" x14ac:dyDescent="0.35">
      <c r="A159" s="28" t="s">
        <v>74</v>
      </c>
      <c r="B159" s="28" t="s">
        <v>44</v>
      </c>
      <c r="C159" s="28" t="s">
        <v>16</v>
      </c>
      <c r="D159" s="28" t="s">
        <v>182</v>
      </c>
    </row>
    <row r="160" spans="1:6" s="18" customFormat="1" ht="30.95" customHeight="1" x14ac:dyDescent="0.25">
      <c r="A160" s="99" t="s">
        <v>266</v>
      </c>
      <c r="B160" s="94">
        <f>outerTopFlangeSplicePlateWidth</f>
        <v>16</v>
      </c>
      <c r="C160" s="94">
        <f>outerTopFlangeSplicePlateThickness</f>
        <v>0</v>
      </c>
      <c r="D160" s="82">
        <f>B160*C160</f>
        <v>0</v>
      </c>
    </row>
    <row r="161" spans="1:7" s="18" customFormat="1" ht="30.95" customHeight="1" x14ac:dyDescent="0.25">
      <c r="A161" s="99" t="s">
        <v>267</v>
      </c>
      <c r="B161" s="94">
        <f>innerTopFlangeSplicePlateWidth</f>
        <v>7.25</v>
      </c>
      <c r="C161" s="94">
        <f>innerTopFlangeSplicePlateThickness</f>
        <v>0</v>
      </c>
      <c r="D161" s="82">
        <f>B161*C161*2</f>
        <v>0</v>
      </c>
    </row>
    <row r="162" spans="1:7" s="18" customFormat="1" ht="30.95" customHeight="1" x14ac:dyDescent="0.25">
      <c r="A162" s="99" t="s">
        <v>268</v>
      </c>
      <c r="B162" s="94">
        <f>innerBottomFlangeSplicePlateWidth</f>
        <v>7.25</v>
      </c>
      <c r="C162" s="94">
        <f>innerBottomFlangeSplicePlateThickness</f>
        <v>1</v>
      </c>
      <c r="D162" s="82">
        <f>B162*C162*2</f>
        <v>14.5</v>
      </c>
    </row>
    <row r="163" spans="1:7" s="18" customFormat="1" ht="30.95" customHeight="1" x14ac:dyDescent="0.25">
      <c r="A163" s="99" t="s">
        <v>269</v>
      </c>
      <c r="B163" s="94">
        <f>outerBottomFlangeSplicePlateWidth</f>
        <v>16</v>
      </c>
      <c r="C163" s="94">
        <f>outerBottomFlangeSplicePlateThickness</f>
        <v>0.6875</v>
      </c>
      <c r="D163" s="82">
        <f>B163*C163</f>
        <v>11</v>
      </c>
    </row>
    <row r="165" spans="1:7" x14ac:dyDescent="0.25">
      <c r="A165" s="23" t="s">
        <v>126</v>
      </c>
    </row>
    <row r="166" spans="1:7" x14ac:dyDescent="0.25">
      <c r="B166" s="36"/>
    </row>
    <row r="167" spans="1:7" ht="33" x14ac:dyDescent="0.35">
      <c r="A167" s="28" t="s">
        <v>74</v>
      </c>
      <c r="B167" s="28" t="s">
        <v>433</v>
      </c>
      <c r="C167" s="115" t="s">
        <v>437</v>
      </c>
      <c r="D167" s="28" t="s">
        <v>136</v>
      </c>
      <c r="E167" s="28" t="s">
        <v>146</v>
      </c>
      <c r="F167" s="108" t="s">
        <v>442</v>
      </c>
      <c r="G167" s="28" t="s">
        <v>124</v>
      </c>
    </row>
    <row r="168" spans="1:7" s="18" customFormat="1" ht="30.95" customHeight="1" x14ac:dyDescent="0.25">
      <c r="A168" s="99" t="s">
        <v>266</v>
      </c>
      <c r="B168" s="82" t="e">
        <f>IF(EXACT(F28,"OK"),MIN(I35,I36), MIN(G35,G36)*G28)</f>
        <v>#DIV/0!</v>
      </c>
      <c r="C168" s="204">
        <f>VLOOKUP("fy", Table5[],2)</f>
        <v>0.95</v>
      </c>
      <c r="D168" s="226" t="e">
        <f>VLOOKUP(topFlangeSpliceMaterialEnum,steelGradeTable, COLUMN(Table2[[#Headers],[Fy (ksi)]]))</f>
        <v>#N/A</v>
      </c>
      <c r="E168" s="82">
        <f>D160</f>
        <v>0</v>
      </c>
      <c r="F168" s="82" t="e">
        <f>C168*D168*E168</f>
        <v>#N/A</v>
      </c>
      <c r="G168" s="104" t="e">
        <f>IF(F168&gt;B168, "OK", "NG")</f>
        <v>#N/A</v>
      </c>
    </row>
    <row r="169" spans="1:7" s="18" customFormat="1" ht="30.95" customHeight="1" x14ac:dyDescent="0.25">
      <c r="A169" s="99" t="s">
        <v>267</v>
      </c>
      <c r="B169" s="82" t="e">
        <f>IF(EXACT(F28,"OK"),MIN(I35,I36), MIN(G35,G36)*G29)</f>
        <v>#DIV/0!</v>
      </c>
      <c r="C169" s="205"/>
      <c r="D169" s="226"/>
      <c r="E169" s="82">
        <f>D161</f>
        <v>0</v>
      </c>
      <c r="F169" s="82" t="e">
        <f>C168*D168*E169</f>
        <v>#N/A</v>
      </c>
      <c r="G169" s="104" t="e">
        <f>IF(F169&gt;B169, "OK", "NG")</f>
        <v>#N/A</v>
      </c>
    </row>
    <row r="170" spans="1:7" s="18" customFormat="1" ht="30.95" customHeight="1" x14ac:dyDescent="0.25">
      <c r="A170" s="99" t="s">
        <v>268</v>
      </c>
      <c r="B170" s="82">
        <f>IF(EXACT(F30,"OK"),MIN(I37,I38),MIN(G37,G38)*G30)</f>
        <v>517.70970588235286</v>
      </c>
      <c r="C170" s="205"/>
      <c r="D170" s="226">
        <f>VLOOKUP(bottomFlangeSpliceMaterialEnum,steelGradeTable, COLUMN(Table2[[#Headers],[Fy (ksi)]]))</f>
        <v>50</v>
      </c>
      <c r="E170" s="82">
        <f>D162</f>
        <v>14.5</v>
      </c>
      <c r="F170" s="82">
        <f>C168*D170*E170</f>
        <v>688.75</v>
      </c>
      <c r="G170" s="104" t="str">
        <f>IF(F170&gt;B170, "OK", "NG")</f>
        <v>OK</v>
      </c>
    </row>
    <row r="171" spans="1:7" s="18" customFormat="1" ht="30.95" customHeight="1" x14ac:dyDescent="0.25">
      <c r="A171" s="99" t="s">
        <v>269</v>
      </c>
      <c r="B171" s="82">
        <f>IF(EXACT(F30,"OK"),MIN(I37,I38), MIN(G37,G38)*G31)</f>
        <v>392.74529411764706</v>
      </c>
      <c r="C171" s="206"/>
      <c r="D171" s="226"/>
      <c r="E171" s="82">
        <f>D163</f>
        <v>11</v>
      </c>
      <c r="F171" s="82">
        <f>C168*D170*E171</f>
        <v>522.5</v>
      </c>
      <c r="G171" s="104" t="str">
        <f>IF(F171&gt;B171, "OK", "NG")</f>
        <v>OK</v>
      </c>
    </row>
    <row r="172" spans="1:7" s="18" customFormat="1" x14ac:dyDescent="0.25">
      <c r="A172" s="122"/>
      <c r="B172" s="43"/>
      <c r="C172" s="51"/>
      <c r="D172" s="134"/>
      <c r="E172" s="134"/>
      <c r="F172" s="51"/>
    </row>
    <row r="173" spans="1:7" x14ac:dyDescent="0.25">
      <c r="A173" s="23" t="s">
        <v>130</v>
      </c>
    </row>
    <row r="175" spans="1:7" ht="51.75" x14ac:dyDescent="0.35">
      <c r="A175" s="28" t="s">
        <v>74</v>
      </c>
      <c r="B175" s="28" t="s">
        <v>147</v>
      </c>
      <c r="C175" s="28" t="s">
        <v>146</v>
      </c>
      <c r="D175" s="28" t="s">
        <v>149</v>
      </c>
      <c r="E175" s="28" t="s">
        <v>272</v>
      </c>
      <c r="F175" s="28" t="s">
        <v>422</v>
      </c>
      <c r="G175" s="36"/>
    </row>
    <row r="176" spans="1:7" ht="30.95" customHeight="1" x14ac:dyDescent="0.25">
      <c r="A176" s="99" t="s">
        <v>266</v>
      </c>
      <c r="B176" s="82">
        <f>(outerTopFlangeSplicePlateWidth-topFlangeBoltRowQuantity*VLOOKUP(boltDiameterEnum,boltPropertiesTable,7))*outerTopFlangeSplicePlateThickness</f>
        <v>0</v>
      </c>
      <c r="C176" s="82">
        <f>D160</f>
        <v>0</v>
      </c>
      <c r="D176" s="82">
        <f>C176*0.85</f>
        <v>0</v>
      </c>
      <c r="E176" s="104" t="str">
        <f>IF(B176&lt;=D176, "OK", "NOTICE")</f>
        <v>OK</v>
      </c>
      <c r="F176" s="33">
        <f>IF(EXACT(statusNetAreaGrossTopFlangeOuter,"OK"),B176,D176)</f>
        <v>0</v>
      </c>
    </row>
    <row r="177" spans="1:13" ht="30.95" customHeight="1" x14ac:dyDescent="0.25">
      <c r="A177" s="99" t="s">
        <v>267</v>
      </c>
      <c r="B177" s="82">
        <f>(2*innerTopFlangeSplicePlateWidth-topFlangeBoltRowQuantity*VLOOKUP(boltDiameterEnum,boltPropertiesTable,7))*innerTopFlangeSplicePlateThickness</f>
        <v>0</v>
      </c>
      <c r="C177" s="82">
        <f>D161</f>
        <v>0</v>
      </c>
      <c r="D177" s="82">
        <f t="shared" ref="D177:D179" si="2">C177*0.85</f>
        <v>0</v>
      </c>
      <c r="E177" s="104" t="str">
        <f>IF(B177&lt;=D177, "OK", "NOTICE")</f>
        <v>OK</v>
      </c>
      <c r="F177" s="33">
        <f>IF(EXACT(statusNetAreaGrossTopFlangeInner,"OK"),B177,D177)</f>
        <v>0</v>
      </c>
    </row>
    <row r="178" spans="1:13" ht="30.95" customHeight="1" x14ac:dyDescent="0.25">
      <c r="A178" s="99" t="s">
        <v>268</v>
      </c>
      <c r="B178" s="82">
        <f>(2*innerBottomFlangeSplicePlateWidth-bottomFlangeBoltRowQuantity*VLOOKUP(boltDiameterEnum,boltPropertiesTable,7))*innerBottomFlangeSplicePlateThickness</f>
        <v>10</v>
      </c>
      <c r="C178" s="82">
        <f>D162</f>
        <v>14.5</v>
      </c>
      <c r="D178" s="82">
        <f t="shared" si="2"/>
        <v>12.324999999999999</v>
      </c>
      <c r="E178" s="104" t="str">
        <f>IF(B178&lt;=D178, "OK", "NOTICE")</f>
        <v>OK</v>
      </c>
      <c r="F178" s="33">
        <f>IF(EXACT(statusNetAreaGrossBottomFlangeInner,"OK"),B178,D178)</f>
        <v>10</v>
      </c>
    </row>
    <row r="179" spans="1:13" ht="30.95" customHeight="1" x14ac:dyDescent="0.25">
      <c r="A179" s="99" t="s">
        <v>269</v>
      </c>
      <c r="B179" s="82">
        <f>(outerBottomFlangeSplicePlateWidth-bottomFlangeBoltRowQuantity*VLOOKUP(boltDiameterEnum,boltPropertiesTable,7))*outerBottomFlangeSplicePlateThickness</f>
        <v>7.90625</v>
      </c>
      <c r="C179" s="82">
        <f>D163</f>
        <v>11</v>
      </c>
      <c r="D179" s="82">
        <f t="shared" si="2"/>
        <v>9.35</v>
      </c>
      <c r="E179" s="104" t="str">
        <f>IF(B179&lt;=D179, "OK", "NOTICE")</f>
        <v>OK</v>
      </c>
      <c r="F179" s="33">
        <f>IF(EXACT(statusNetAreaGrossBottomFlangeOuter,"OK"),B179,D179)</f>
        <v>7.90625</v>
      </c>
    </row>
    <row r="181" spans="1:13" x14ac:dyDescent="0.25">
      <c r="A181" s="23" t="s">
        <v>271</v>
      </c>
    </row>
    <row r="182" spans="1:13" x14ac:dyDescent="0.25">
      <c r="A182" s="36"/>
    </row>
    <row r="183" spans="1:13" ht="48.75" x14ac:dyDescent="0.35">
      <c r="A183" s="28" t="s">
        <v>74</v>
      </c>
      <c r="B183" s="28" t="s">
        <v>433</v>
      </c>
      <c r="C183" s="144" t="s">
        <v>438</v>
      </c>
      <c r="D183" s="28" t="s">
        <v>137</v>
      </c>
      <c r="E183" s="28" t="s">
        <v>422</v>
      </c>
      <c r="F183" s="28" t="s">
        <v>148</v>
      </c>
      <c r="G183" s="28" t="s">
        <v>129</v>
      </c>
      <c r="H183" s="108" t="s">
        <v>442</v>
      </c>
      <c r="I183" s="28" t="s">
        <v>125</v>
      </c>
    </row>
    <row r="184" spans="1:13" ht="30.95" customHeight="1" x14ac:dyDescent="0.25">
      <c r="A184" s="99" t="s">
        <v>266</v>
      </c>
      <c r="B184" s="137" t="e">
        <f>IF(EXACT(F28,"OK"),MIN(I35,I36), MIN(G35,G36)*G28)</f>
        <v>#DIV/0!</v>
      </c>
      <c r="C184" s="204">
        <f>VLOOKUP("fu",Table5[],2)</f>
        <v>0.8</v>
      </c>
      <c r="D184" s="212" t="e">
        <f>VLOOKUP(topFlangeSpliceMaterialEnum,steelGradeTable, COLUMN(Table2[[#Headers],[Fu (ksi)]]))</f>
        <v>#N/A</v>
      </c>
      <c r="E184" s="82">
        <f>F176</f>
        <v>0</v>
      </c>
      <c r="F184" s="218">
        <f>VLOOKUP(splicePlateHoleMethod,holeMethodReductionFactorTable, COLUMN(Table58[[#Headers],[Rp]]))</f>
        <v>1</v>
      </c>
      <c r="G184" s="218">
        <f>VLOOKUP("Tension Members",Table589[],2)</f>
        <v>1</v>
      </c>
      <c r="H184" s="82" t="e">
        <f>C184*D184*E184*F184*G184</f>
        <v>#N/A</v>
      </c>
      <c r="I184" s="104" t="e">
        <f>IF(H184&gt;B184, "OK", "NG")</f>
        <v>#N/A</v>
      </c>
    </row>
    <row r="185" spans="1:13" ht="30.95" customHeight="1" x14ac:dyDescent="0.25">
      <c r="A185" s="99" t="s">
        <v>267</v>
      </c>
      <c r="B185" s="137" t="e">
        <f>IF(EXACT(F28,"OK"),MIN(I35,I36), MIN(G35,G36)*G29)</f>
        <v>#DIV/0!</v>
      </c>
      <c r="C185" s="205"/>
      <c r="D185" s="211"/>
      <c r="E185" s="82">
        <f>F177</f>
        <v>0</v>
      </c>
      <c r="F185" s="236"/>
      <c r="G185" s="236"/>
      <c r="H185" s="82" t="e">
        <f>C184*D184*E185*F184*G184</f>
        <v>#N/A</v>
      </c>
      <c r="I185" s="104" t="e">
        <f>IF(H185&gt;B185, "OK", "NG")</f>
        <v>#N/A</v>
      </c>
    </row>
    <row r="186" spans="1:13" ht="30.95" customHeight="1" x14ac:dyDescent="0.25">
      <c r="A186" s="99" t="s">
        <v>268</v>
      </c>
      <c r="B186" s="137">
        <f>IF(EXACT(F30,"OK"),MIN(I37,I38),MIN(G37,G38)*G30)</f>
        <v>517.70970588235286</v>
      </c>
      <c r="C186" s="205"/>
      <c r="D186" s="212">
        <f>VLOOKUP(bottomFlangeSpliceMaterialEnum,steelGradeTable, COLUMN(Table2[[#Headers],[Fu (ksi)]]))</f>
        <v>65</v>
      </c>
      <c r="E186" s="82">
        <f>F178</f>
        <v>10</v>
      </c>
      <c r="F186" s="236"/>
      <c r="G186" s="236"/>
      <c r="H186" s="82">
        <f>C184*D186*E186*F184*G184</f>
        <v>520</v>
      </c>
      <c r="I186" s="104" t="str">
        <f>IF(H186&gt;B186, "OK", "NG")</f>
        <v>OK</v>
      </c>
    </row>
    <row r="187" spans="1:13" ht="30.95" customHeight="1" x14ac:dyDescent="0.25">
      <c r="A187" s="99" t="s">
        <v>269</v>
      </c>
      <c r="B187" s="137">
        <f>IF(EXACT(F30,"OK"),MIN(I37,I38), MIN(G37,G38)*G31)</f>
        <v>392.74529411764706</v>
      </c>
      <c r="C187" s="206"/>
      <c r="D187" s="211"/>
      <c r="E187" s="82">
        <f>F179</f>
        <v>7.90625</v>
      </c>
      <c r="F187" s="237"/>
      <c r="G187" s="237"/>
      <c r="H187" s="82">
        <f>C184*D186*E187*F184*G184</f>
        <v>411.125</v>
      </c>
      <c r="I187" s="104" t="str">
        <f>IF(H187&gt;B187, "OK", "NG")</f>
        <v>OK</v>
      </c>
    </row>
    <row r="189" spans="1:13" x14ac:dyDescent="0.25">
      <c r="A189" s="23" t="s">
        <v>213</v>
      </c>
    </row>
    <row r="190" spans="1:13" x14ac:dyDescent="0.25">
      <c r="A190" s="18"/>
    </row>
    <row r="191" spans="1:13" ht="48.75" x14ac:dyDescent="0.35">
      <c r="A191" s="28" t="s">
        <v>74</v>
      </c>
      <c r="B191" s="28" t="s">
        <v>279</v>
      </c>
      <c r="C191" s="28" t="s">
        <v>207</v>
      </c>
      <c r="D191" s="28" t="s">
        <v>208</v>
      </c>
      <c r="E191" s="28" t="s">
        <v>282</v>
      </c>
      <c r="F191" s="28" t="s">
        <v>352</v>
      </c>
      <c r="G191" s="28" t="s">
        <v>201</v>
      </c>
      <c r="H191" s="28" t="s">
        <v>204</v>
      </c>
      <c r="I191" s="36"/>
      <c r="J191" s="36"/>
      <c r="K191" s="36"/>
      <c r="L191" s="36"/>
      <c r="M191" s="36"/>
    </row>
    <row r="192" spans="1:13" s="18" customFormat="1" ht="30.95" customHeight="1" x14ac:dyDescent="0.25">
      <c r="A192" s="99" t="s">
        <v>266</v>
      </c>
      <c r="B192" s="33">
        <f>(outerTopFlangeSplicePlateWidth - topFlangeBoltGroupTransGageCalculated)/2</f>
        <v>5.5</v>
      </c>
      <c r="C192" s="104">
        <f>(topFlangeBoltRowsCalculated/2)-0.5</f>
        <v>1.5</v>
      </c>
      <c r="D192" s="212">
        <f>VLOOKUP(boltDiameterEnum,boltPropertiesTable, IF(EXACT(holeSizeFactorEnum,"Standard"),COLUMN(Table1[[#Headers],[Standard Hole Diameter (in)]]),COLUMN(Table1[[#Headers],[Oversized Hole Diameter (in)]])))</f>
        <v>1.125</v>
      </c>
      <c r="E192" s="231">
        <v>2</v>
      </c>
      <c r="F192" s="33">
        <f>E192*(B192-C192*D192)</f>
        <v>7.625</v>
      </c>
      <c r="G192" s="94">
        <f>outerTopFlangeSplicePlateThickness</f>
        <v>0</v>
      </c>
      <c r="H192" s="33">
        <f>F192*G192</f>
        <v>0</v>
      </c>
      <c r="I192" s="19"/>
    </row>
    <row r="193" spans="1:13" s="18" customFormat="1" ht="30.95" customHeight="1" x14ac:dyDescent="0.25">
      <c r="A193" s="99" t="s">
        <v>267</v>
      </c>
      <c r="B193" s="33">
        <f>(outerTopFlangeSplicePlateWidth - topFlangeBoltGroupTransGageCalculated)/2</f>
        <v>5.5</v>
      </c>
      <c r="C193" s="104">
        <f>((topFlangeBoltRowsCalculated/2)-0.5)</f>
        <v>1.5</v>
      </c>
      <c r="D193" s="219"/>
      <c r="E193" s="232"/>
      <c r="F193" s="33">
        <f>E192*(B193-C193*D192)</f>
        <v>7.625</v>
      </c>
      <c r="G193" s="94">
        <f>innerTopFlangeSplicePlateThickness</f>
        <v>0</v>
      </c>
      <c r="H193" s="33">
        <f t="shared" ref="H193:H195" si="3">F193*G193</f>
        <v>0</v>
      </c>
      <c r="I193" s="19"/>
    </row>
    <row r="194" spans="1:13" s="18" customFormat="1" ht="30.95" customHeight="1" x14ac:dyDescent="0.25">
      <c r="A194" s="99" t="s">
        <v>268</v>
      </c>
      <c r="B194" s="33">
        <f>(outerBottomFlangeSplicePlateWidth - bottomFlangeBoltGroupTransGageCalculated)/2</f>
        <v>5.5</v>
      </c>
      <c r="C194" s="104">
        <f>(bottomFlangeBoltRowsCalculated/2)-0.5</f>
        <v>1.5</v>
      </c>
      <c r="D194" s="219"/>
      <c r="E194" s="232"/>
      <c r="F194" s="33">
        <f>E192*(B194-C194*D192)</f>
        <v>7.625</v>
      </c>
      <c r="G194" s="94">
        <f>innerBottomFlangeSplicePlateThickness</f>
        <v>1</v>
      </c>
      <c r="H194" s="33">
        <f t="shared" si="3"/>
        <v>7.625</v>
      </c>
      <c r="I194" s="19"/>
    </row>
    <row r="195" spans="1:13" s="18" customFormat="1" ht="30.95" customHeight="1" x14ac:dyDescent="0.25">
      <c r="A195" s="99" t="s">
        <v>269</v>
      </c>
      <c r="B195" s="33">
        <f>(outerBottomFlangeSplicePlateWidth - bottomFlangeBoltGroupTransGageCalculated)/2</f>
        <v>5.5</v>
      </c>
      <c r="C195" s="104">
        <f>(bottomFlangeBoltRowsCalculated/2)-0.5</f>
        <v>1.5</v>
      </c>
      <c r="D195" s="211"/>
      <c r="E195" s="233"/>
      <c r="F195" s="33">
        <f>E192*(B195-C195*D192)</f>
        <v>7.625</v>
      </c>
      <c r="G195" s="94">
        <f>outerBottomFlangeSplicePlateThickness</f>
        <v>0.6875</v>
      </c>
      <c r="H195" s="33">
        <f t="shared" si="3"/>
        <v>5.2421875</v>
      </c>
      <c r="I195" s="19"/>
    </row>
    <row r="197" spans="1:13" ht="48.75" x14ac:dyDescent="0.35">
      <c r="A197" s="28" t="s">
        <v>74</v>
      </c>
      <c r="B197" s="28" t="s">
        <v>423</v>
      </c>
      <c r="C197" s="28" t="s">
        <v>207</v>
      </c>
      <c r="D197" s="28" t="s">
        <v>208</v>
      </c>
      <c r="E197" s="28" t="s">
        <v>282</v>
      </c>
      <c r="F197" s="28" t="s">
        <v>424</v>
      </c>
      <c r="G197" s="28" t="s">
        <v>201</v>
      </c>
      <c r="H197" s="28" t="s">
        <v>205</v>
      </c>
      <c r="I197" s="36"/>
      <c r="J197" s="36"/>
      <c r="K197" s="36"/>
      <c r="L197" s="36"/>
      <c r="M197" s="36"/>
    </row>
    <row r="198" spans="1:13" ht="30.95" customHeight="1" x14ac:dyDescent="0.25">
      <c r="A198" s="99" t="s">
        <v>266</v>
      </c>
      <c r="B198" s="33">
        <f>((topFlangeTotalBoltCalculatedFinal/topFlangeBoltRowsCalculated-1)*flangeBoltLongPitchCalculated)+minimumEndDistanceFlangeCalculated</f>
        <v>9</v>
      </c>
      <c r="C198" s="142">
        <f>topFlangeTotalBoltCalculatedFinal/topFlangeBoltRowsCalculated-0.5</f>
        <v>2.5</v>
      </c>
      <c r="D198" s="212">
        <f>VLOOKUP(boltDiameterEnum,boltPropertiesTable, IF(EXACT(holeSizeFactorEnum,"Standard"),COLUMN(Table1[[#Headers],[Standard Hole Diameter (in)]]),COLUMN(Table1[[#Headers],[Oversized Hole Diameter (in)]])))</f>
        <v>1.125</v>
      </c>
      <c r="E198" s="231">
        <v>2</v>
      </c>
      <c r="F198" s="33">
        <f>E198*(B198-C198*D198)</f>
        <v>12.375</v>
      </c>
      <c r="G198" s="94">
        <f>outerTopFlangeSplicePlateThickness</f>
        <v>0</v>
      </c>
      <c r="H198" s="33">
        <f>F198*G198</f>
        <v>0</v>
      </c>
    </row>
    <row r="199" spans="1:13" ht="30.95" customHeight="1" x14ac:dyDescent="0.25">
      <c r="A199" s="99" t="s">
        <v>267</v>
      </c>
      <c r="B199" s="33">
        <f>((topFlangeTotalBoltCalculatedFinal/topFlangeBoltRowsCalculated-1)*flangeBoltLongPitchCalculated)+minimumEndDistanceFlangeCalculated</f>
        <v>9</v>
      </c>
      <c r="C199" s="142">
        <f>topFlangeTotalBoltCalculatedFinal/topFlangeBoltRowsCalculated-0.5</f>
        <v>2.5</v>
      </c>
      <c r="D199" s="219"/>
      <c r="E199" s="232"/>
      <c r="F199" s="33">
        <f>E198*(B199-C199*D198)</f>
        <v>12.375</v>
      </c>
      <c r="G199" s="94">
        <f>innerTopFlangeSplicePlateThickness</f>
        <v>0</v>
      </c>
      <c r="H199" s="33">
        <f t="shared" ref="H199:H201" si="4">F199*G199</f>
        <v>0</v>
      </c>
    </row>
    <row r="200" spans="1:13" ht="30.95" customHeight="1" x14ac:dyDescent="0.25">
      <c r="A200" s="99" t="s">
        <v>268</v>
      </c>
      <c r="B200" s="33">
        <f>((bottomFlangeTotalBoltCalculatedFinal/bottomFlangeBoltRowsCalculated-1)*flangeBoltLongPitchCalculated)+minimumEndDistanceFlangeCalculated</f>
        <v>12.5</v>
      </c>
      <c r="C200" s="142">
        <f>bottomFlangeTotalBoltCalculatedFinal/bottomFlangeBoltRowsCalculated-0.5</f>
        <v>3.5</v>
      </c>
      <c r="D200" s="219"/>
      <c r="E200" s="232"/>
      <c r="F200" s="33">
        <f>E198*(B200-C200*D198)</f>
        <v>17.125</v>
      </c>
      <c r="G200" s="94">
        <f>innerBottomFlangeSplicePlateThickness</f>
        <v>1</v>
      </c>
      <c r="H200" s="33">
        <f t="shared" si="4"/>
        <v>17.125</v>
      </c>
    </row>
    <row r="201" spans="1:13" ht="30.95" customHeight="1" x14ac:dyDescent="0.25">
      <c r="A201" s="99" t="s">
        <v>269</v>
      </c>
      <c r="B201" s="33">
        <f>((bottomFlangeTotalBoltCalculatedFinal/bottomFlangeBoltRowsCalculated-1)*flangeBoltLongPitchCalculated)+minimumEndDistanceFlangeCalculated</f>
        <v>12.5</v>
      </c>
      <c r="C201" s="142">
        <f>bottomFlangeTotalBoltCalculatedFinal/bottomFlangeBoltRowsCalculated-0.5</f>
        <v>3.5</v>
      </c>
      <c r="D201" s="211"/>
      <c r="E201" s="233"/>
      <c r="F201" s="33">
        <f>E198*(B201-C201*D198)</f>
        <v>17.125</v>
      </c>
      <c r="G201" s="94">
        <f>outerBottomFlangeSplicePlateThickness</f>
        <v>0.6875</v>
      </c>
      <c r="H201" s="33">
        <f t="shared" si="4"/>
        <v>11.7734375</v>
      </c>
    </row>
    <row r="202" spans="1:13" x14ac:dyDescent="0.25">
      <c r="A202" s="18"/>
      <c r="B202" s="18"/>
      <c r="C202" s="18"/>
      <c r="H202" s="81"/>
    </row>
    <row r="203" spans="1:13" ht="48.75" x14ac:dyDescent="0.35">
      <c r="A203" s="28" t="s">
        <v>74</v>
      </c>
      <c r="B203" s="28" t="s">
        <v>423</v>
      </c>
      <c r="C203" s="28" t="s">
        <v>201</v>
      </c>
      <c r="D203" s="28" t="s">
        <v>282</v>
      </c>
      <c r="E203" s="28" t="s">
        <v>209</v>
      </c>
      <c r="F203" s="36"/>
      <c r="G203" s="36"/>
      <c r="H203" s="36"/>
      <c r="I203" s="36"/>
      <c r="J203" s="36"/>
    </row>
    <row r="204" spans="1:13" s="18" customFormat="1" ht="30.95" customHeight="1" x14ac:dyDescent="0.25">
      <c r="A204" s="99" t="s">
        <v>266</v>
      </c>
      <c r="B204" s="33">
        <f>((topFlangeTotalBoltCalculatedFinal/topFlangeBoltRowsCalculated-1)*flangeBoltLongPitchCalculated)+minimumEndDistanceFlangeCalculated</f>
        <v>9</v>
      </c>
      <c r="C204" s="94">
        <f>outerTopFlangeSplicePlateThickness</f>
        <v>0</v>
      </c>
      <c r="D204" s="231">
        <v>2</v>
      </c>
      <c r="E204" s="33">
        <f>D204*(C204*B204)</f>
        <v>0</v>
      </c>
    </row>
    <row r="205" spans="1:13" s="18" customFormat="1" ht="30.95" customHeight="1" x14ac:dyDescent="0.25">
      <c r="A205" s="99" t="s">
        <v>267</v>
      </c>
      <c r="B205" s="33">
        <f>((topFlangeTotalBoltCalculatedFinal/topFlangeBoltRowsCalculated-1)*flangeBoltLongPitchCalculated)+minimumEndDistanceFlangeCalculated</f>
        <v>9</v>
      </c>
      <c r="C205" s="94">
        <f>innerTopFlangeSplicePlateThickness</f>
        <v>0</v>
      </c>
      <c r="D205" s="232"/>
      <c r="E205" s="33">
        <f>D204*(C205*B205)</f>
        <v>0</v>
      </c>
    </row>
    <row r="206" spans="1:13" s="18" customFormat="1" ht="30.95" customHeight="1" x14ac:dyDescent="0.25">
      <c r="A206" s="99" t="s">
        <v>268</v>
      </c>
      <c r="B206" s="33">
        <f>((bottomFlangeTotalBoltCalculatedFinal/bottomFlangeBoltRowsCalculated-1)*flangeBoltLongPitchCalculated)+minimumEndDistanceFlangeCalculated</f>
        <v>12.5</v>
      </c>
      <c r="C206" s="94">
        <f>innerBottomFlangeSplicePlateThickness</f>
        <v>1</v>
      </c>
      <c r="D206" s="232"/>
      <c r="E206" s="33">
        <f>D204*(C206*B206)</f>
        <v>25</v>
      </c>
    </row>
    <row r="207" spans="1:13" s="18" customFormat="1" ht="30.95" customHeight="1" x14ac:dyDescent="0.25">
      <c r="A207" s="99" t="s">
        <v>269</v>
      </c>
      <c r="B207" s="33">
        <f>((bottomFlangeTotalBoltCalculatedFinal/bottomFlangeBoltRowsCalculated-1)*flangeBoltLongPitchCalculated)+minimumEndDistanceFlangeCalculated</f>
        <v>12.5</v>
      </c>
      <c r="C207" s="94">
        <f>outerBottomFlangeSplicePlateThickness</f>
        <v>0.6875</v>
      </c>
      <c r="D207" s="233"/>
      <c r="E207" s="33">
        <f>D204*(C207*B207)</f>
        <v>17.1875</v>
      </c>
      <c r="H207" s="19"/>
    </row>
    <row r="208" spans="1:13" s="18" customFormat="1" x14ac:dyDescent="0.25">
      <c r="B208" s="83"/>
      <c r="C208" s="80"/>
      <c r="D208" s="83"/>
      <c r="E208" s="119"/>
      <c r="F208" s="120"/>
      <c r="G208" s="120"/>
      <c r="H208" s="120"/>
      <c r="I208" s="120"/>
      <c r="J208" s="120"/>
    </row>
    <row r="209" spans="1:14" s="18" customFormat="1" ht="39.75" customHeight="1" x14ac:dyDescent="0.35">
      <c r="A209" s="28" t="s">
        <v>74</v>
      </c>
      <c r="B209" s="144" t="s">
        <v>439</v>
      </c>
      <c r="C209" s="28" t="s">
        <v>148</v>
      </c>
      <c r="D209" s="28" t="s">
        <v>137</v>
      </c>
      <c r="E209" s="28" t="s">
        <v>212</v>
      </c>
      <c r="F209" s="227" t="s">
        <v>206</v>
      </c>
      <c r="G209" s="227"/>
      <c r="H209" s="36"/>
      <c r="I209" s="36"/>
      <c r="J209" s="36"/>
      <c r="K209" s="120"/>
      <c r="L209" s="120"/>
      <c r="M209" s="120"/>
      <c r="N209" s="120"/>
    </row>
    <row r="210" spans="1:14" s="18" customFormat="1" ht="30.95" customHeight="1" x14ac:dyDescent="0.25">
      <c r="A210" s="99" t="s">
        <v>266</v>
      </c>
      <c r="B210" s="210">
        <f>VLOOKUP("fbs", Table5[],2)</f>
        <v>0.8</v>
      </c>
      <c r="C210" s="228">
        <f>VLOOKUP(splicePlateHoleMethod,holeMethodReductionFactorTable, COLUMN(Table58[[#Headers],[Rp]]))</f>
        <v>1</v>
      </c>
      <c r="D210" s="212" t="e">
        <f>VLOOKUP(topFlangeSpliceMaterialEnum,steelGradeTable, COLUMN(Table2[[#Headers],[Fu (ksi)]]))</f>
        <v>#N/A</v>
      </c>
      <c r="E210" s="210">
        <f>VLOOKUP("Tension Members",Table589[],2)</f>
        <v>1</v>
      </c>
      <c r="F210" s="225" t="e">
        <f>B210*C210*((0.58*D210*H198)+(E210*D210*H192))</f>
        <v>#N/A</v>
      </c>
      <c r="G210" s="210"/>
      <c r="H210" s="19"/>
      <c r="I210" s="19"/>
    </row>
    <row r="211" spans="1:14" s="18" customFormat="1" ht="30.95" customHeight="1" x14ac:dyDescent="0.25">
      <c r="A211" s="99" t="s">
        <v>267</v>
      </c>
      <c r="B211" s="210"/>
      <c r="C211" s="228"/>
      <c r="D211" s="211"/>
      <c r="E211" s="210"/>
      <c r="F211" s="225" t="e">
        <f>B210*C210*((0.58*D210*H199)+(E210*D210*H193))</f>
        <v>#N/A</v>
      </c>
      <c r="G211" s="210"/>
      <c r="H211" s="19"/>
      <c r="I211" s="19"/>
    </row>
    <row r="212" spans="1:14" s="18" customFormat="1" ht="30.95" customHeight="1" x14ac:dyDescent="0.25">
      <c r="A212" s="99" t="s">
        <v>268</v>
      </c>
      <c r="B212" s="210"/>
      <c r="C212" s="228"/>
      <c r="D212" s="212">
        <f>VLOOKUP(bottomFlangeSpliceMaterialEnum,steelGradeTable, COLUMN(Table2[[#Headers],[Fu (ksi)]]))</f>
        <v>65</v>
      </c>
      <c r="E212" s="210"/>
      <c r="F212" s="225">
        <f>B210*C210*((0.58*D212*H200)+(E210*D212*H194))</f>
        <v>912.99</v>
      </c>
      <c r="G212" s="210"/>
      <c r="H212" s="19"/>
      <c r="I212" s="19"/>
    </row>
    <row r="213" spans="1:14" s="18" customFormat="1" ht="30.95" customHeight="1" x14ac:dyDescent="0.25">
      <c r="A213" s="99" t="s">
        <v>269</v>
      </c>
      <c r="B213" s="210"/>
      <c r="C213" s="228"/>
      <c r="D213" s="211"/>
      <c r="E213" s="210"/>
      <c r="F213" s="225">
        <f>B210*C210*((0.58*D212*H201)+(E210*D212*H195))</f>
        <v>627.68062499999996</v>
      </c>
      <c r="G213" s="210"/>
      <c r="H213" s="19"/>
      <c r="I213" s="19"/>
    </row>
    <row r="214" spans="1:14" s="18" customFormat="1" x14ac:dyDescent="0.25">
      <c r="B214" s="83"/>
      <c r="C214" s="80"/>
      <c r="D214" s="83"/>
      <c r="E214" s="119"/>
      <c r="F214" s="120"/>
      <c r="G214" s="120"/>
      <c r="H214" s="120"/>
      <c r="I214" s="120"/>
      <c r="J214" s="120"/>
    </row>
    <row r="215" spans="1:14" s="18" customFormat="1" ht="39.75" customHeight="1" x14ac:dyDescent="0.35">
      <c r="A215" s="28" t="s">
        <v>74</v>
      </c>
      <c r="B215" s="144" t="s">
        <v>439</v>
      </c>
      <c r="C215" s="28" t="s">
        <v>148</v>
      </c>
      <c r="D215" s="28" t="s">
        <v>314</v>
      </c>
      <c r="E215" s="28" t="s">
        <v>137</v>
      </c>
      <c r="F215" s="28" t="s">
        <v>212</v>
      </c>
      <c r="G215" s="248"/>
      <c r="H215" s="248"/>
      <c r="I215" s="120"/>
      <c r="J215" s="120"/>
      <c r="K215" s="120"/>
    </row>
    <row r="216" spans="1:14" s="18" customFormat="1" ht="30.95" customHeight="1" x14ac:dyDescent="0.25">
      <c r="A216" s="99" t="s">
        <v>266</v>
      </c>
      <c r="B216" s="210">
        <f>VLOOKUP("fbs", Table5[],2)</f>
        <v>0.8</v>
      </c>
      <c r="C216" s="228">
        <f>VLOOKUP(splicePlateHoleMethod,holeMethodReductionFactorTable, COLUMN(Table58[[#Headers],[Rp]]))</f>
        <v>1</v>
      </c>
      <c r="D216" s="226" t="e">
        <f>VLOOKUP(topFlangeSpliceMaterialEnum,steelGradeTable, COLUMN(Table2[[#Headers],[Fy (ksi)]]))</f>
        <v>#N/A</v>
      </c>
      <c r="E216" s="212" t="e">
        <f>VLOOKUP(topFlangeSpliceMaterialEnum,steelGradeTable, COLUMN(Table2[[#Headers],[Fu (ksi)]]))</f>
        <v>#N/A</v>
      </c>
      <c r="F216" s="210">
        <f>VLOOKUP("Tension Members",Table589[],2)</f>
        <v>1</v>
      </c>
      <c r="G216" s="225" t="e">
        <f>B216*C216*((0.58*D216*E204)+(F216*E216*H192))</f>
        <v>#N/A</v>
      </c>
      <c r="H216" s="210"/>
    </row>
    <row r="217" spans="1:14" s="18" customFormat="1" ht="30.95" customHeight="1" x14ac:dyDescent="0.25">
      <c r="A217" s="99" t="s">
        <v>267</v>
      </c>
      <c r="B217" s="210"/>
      <c r="C217" s="228"/>
      <c r="D217" s="226"/>
      <c r="E217" s="211"/>
      <c r="F217" s="210"/>
      <c r="G217" s="225" t="e">
        <f>B216*C216*((0.58*D216*E205)+(F216*E216*H193))</f>
        <v>#N/A</v>
      </c>
      <c r="H217" s="210"/>
    </row>
    <row r="218" spans="1:14" s="18" customFormat="1" ht="30.95" customHeight="1" x14ac:dyDescent="0.25">
      <c r="A218" s="99" t="s">
        <v>268</v>
      </c>
      <c r="B218" s="210"/>
      <c r="C218" s="228"/>
      <c r="D218" s="226">
        <f>VLOOKUP(bottomFlangeSpliceMaterialEnum,steelGradeTable, COLUMN(Table2[[#Headers],[Fy (ksi)]]))</f>
        <v>50</v>
      </c>
      <c r="E218" s="212">
        <f>VLOOKUP(bottomFlangeSpliceMaterialEnum,steelGradeTable, COLUMN(Table2[[#Headers],[Fu (ksi)]]))</f>
        <v>65</v>
      </c>
      <c r="F218" s="210"/>
      <c r="G218" s="225">
        <f>B216*C216*((0.58*D218*E206)+(F216*E218*H194))</f>
        <v>976.5</v>
      </c>
      <c r="H218" s="210"/>
    </row>
    <row r="219" spans="1:14" s="18" customFormat="1" ht="30.95" customHeight="1" x14ac:dyDescent="0.25">
      <c r="A219" s="99" t="s">
        <v>269</v>
      </c>
      <c r="B219" s="210"/>
      <c r="C219" s="228"/>
      <c r="D219" s="226"/>
      <c r="E219" s="211"/>
      <c r="F219" s="210"/>
      <c r="G219" s="225">
        <f>B216*C216*((0.58*D218*E207)+(F216*E218*H195))</f>
        <v>671.34375</v>
      </c>
      <c r="H219" s="210"/>
    </row>
    <row r="220" spans="1:14" s="18" customFormat="1" x14ac:dyDescent="0.25">
      <c r="B220" s="83"/>
      <c r="C220" s="80"/>
      <c r="D220" s="83"/>
      <c r="E220" s="119"/>
      <c r="F220" s="120"/>
      <c r="G220" s="120"/>
      <c r="H220" s="120"/>
      <c r="I220" s="120"/>
      <c r="J220" s="120"/>
    </row>
    <row r="221" spans="1:14" s="18" customFormat="1" ht="47.25" x14ac:dyDescent="0.25">
      <c r="A221" s="28" t="s">
        <v>74</v>
      </c>
      <c r="B221" s="229"/>
      <c r="C221" s="229"/>
      <c r="D221" s="28" t="s">
        <v>434</v>
      </c>
      <c r="E221" s="28" t="s">
        <v>436</v>
      </c>
      <c r="F221" s="119"/>
      <c r="G221" s="120"/>
      <c r="H221" s="120"/>
      <c r="I221" s="120"/>
      <c r="J221" s="120"/>
      <c r="K221" s="120"/>
    </row>
    <row r="222" spans="1:14" s="18" customFormat="1" ht="30.95" customHeight="1" x14ac:dyDescent="0.25">
      <c r="A222" s="99" t="s">
        <v>266</v>
      </c>
      <c r="B222" s="210" t="e">
        <f>MIN(F210,G216)</f>
        <v>#N/A</v>
      </c>
      <c r="C222" s="210"/>
      <c r="D222" s="218" t="e">
        <f>MIN(I35:I36)</f>
        <v>#DIV/0!</v>
      </c>
      <c r="E222" s="104" t="e">
        <f>IF(B222&gt;=D222,"OK", "NG")</f>
        <v>#N/A</v>
      </c>
      <c r="F222" s="36"/>
    </row>
    <row r="223" spans="1:14" s="18" customFormat="1" ht="30.95" customHeight="1" x14ac:dyDescent="0.25">
      <c r="A223" s="99" t="s">
        <v>267</v>
      </c>
      <c r="B223" s="210" t="e">
        <f t="shared" ref="B223:B225" si="5">MIN(F211,G217)</f>
        <v>#N/A</v>
      </c>
      <c r="C223" s="210"/>
      <c r="D223" s="211"/>
      <c r="E223" s="104" t="e">
        <f>IF(B223&gt;=D222,"OK", "NG")</f>
        <v>#N/A</v>
      </c>
      <c r="F223" s="36"/>
      <c r="G223" s="36"/>
    </row>
    <row r="224" spans="1:14" s="18" customFormat="1" ht="30.95" customHeight="1" x14ac:dyDescent="0.25">
      <c r="A224" s="99" t="s">
        <v>268</v>
      </c>
      <c r="B224" s="210">
        <f t="shared" si="5"/>
        <v>912.99</v>
      </c>
      <c r="C224" s="210"/>
      <c r="D224" s="218">
        <f>MIN(I37:I38)</f>
        <v>517.70970588235286</v>
      </c>
      <c r="E224" s="104" t="str">
        <f>IF(B224&gt;=D224,"OK", "NG")</f>
        <v>OK</v>
      </c>
      <c r="F224" s="36"/>
    </row>
    <row r="225" spans="1:13" s="18" customFormat="1" ht="30.95" customHeight="1" x14ac:dyDescent="0.25">
      <c r="A225" s="99" t="s">
        <v>269</v>
      </c>
      <c r="B225" s="210">
        <f t="shared" si="5"/>
        <v>627.68062499999996</v>
      </c>
      <c r="C225" s="210"/>
      <c r="D225" s="211"/>
      <c r="E225" s="104" t="str">
        <f>IF(B225&gt;=D224,"OK", "NG")</f>
        <v>OK</v>
      </c>
      <c r="F225" s="36"/>
    </row>
    <row r="226" spans="1:13" s="18" customFormat="1" x14ac:dyDescent="0.25">
      <c r="B226" s="83"/>
      <c r="C226" s="83"/>
      <c r="D226" s="83"/>
      <c r="E226" s="119"/>
      <c r="F226" s="120"/>
      <c r="G226" s="120"/>
      <c r="H226" s="120"/>
      <c r="I226" s="120"/>
      <c r="J226" s="120"/>
    </row>
    <row r="227" spans="1:13" x14ac:dyDescent="0.25">
      <c r="A227" s="23" t="s">
        <v>214</v>
      </c>
    </row>
    <row r="228" spans="1:13" s="18" customFormat="1" x14ac:dyDescent="0.25">
      <c r="B228" s="83"/>
      <c r="C228" s="80"/>
      <c r="D228" s="83"/>
      <c r="E228" s="119"/>
      <c r="F228" s="120"/>
      <c r="G228" s="120"/>
      <c r="H228" s="120"/>
      <c r="I228" s="120"/>
      <c r="J228" s="120"/>
    </row>
    <row r="229" spans="1:13" ht="48.75" x14ac:dyDescent="0.35">
      <c r="A229" s="28" t="s">
        <v>74</v>
      </c>
      <c r="B229" s="28" t="s">
        <v>279</v>
      </c>
      <c r="C229" s="28" t="s">
        <v>207</v>
      </c>
      <c r="D229" s="28" t="s">
        <v>208</v>
      </c>
      <c r="E229" s="28" t="s">
        <v>282</v>
      </c>
      <c r="F229" s="28" t="s">
        <v>352</v>
      </c>
      <c r="G229" s="28" t="s">
        <v>218</v>
      </c>
      <c r="H229" s="28" t="s">
        <v>204</v>
      </c>
      <c r="I229" s="36"/>
      <c r="J229" s="36"/>
      <c r="K229" s="36"/>
      <c r="L229" s="36"/>
      <c r="M229" s="36"/>
    </row>
    <row r="230" spans="1:13" s="18" customFormat="1" x14ac:dyDescent="0.25">
      <c r="A230" s="32" t="s">
        <v>93</v>
      </c>
      <c r="B230" s="33">
        <f>((topFlangeBoltRowQuantity/2) - 1) * topFlangeBoltTransGageCalculated</f>
        <v>3.75</v>
      </c>
      <c r="C230" s="104">
        <f>(topFlangeBoltRowsCalculated/2)-1</f>
        <v>1</v>
      </c>
      <c r="D230" s="212">
        <f>VLOOKUP(boltDiameterEnum,boltPropertiesTable, IF(EXACT(holeSizeFactorEnum,"Standard"),COLUMN(Table1[[#Headers],[Standard Hole Diameter (in)]]),COLUMN(Table1[[#Headers],[Oversized Hole Diameter (in)]])))</f>
        <v>1.125</v>
      </c>
      <c r="E230" s="231">
        <v>2</v>
      </c>
      <c r="F230" s="33">
        <f>E230*(B230-C230*D230)</f>
        <v>5.25</v>
      </c>
      <c r="G230" s="107">
        <f>leftTopFlangeThickness</f>
        <v>1.625</v>
      </c>
      <c r="H230" s="33">
        <f>F230*G230</f>
        <v>8.53125</v>
      </c>
      <c r="I230" s="19"/>
    </row>
    <row r="231" spans="1:13" s="18" customFormat="1" x14ac:dyDescent="0.25">
      <c r="A231" s="32" t="s">
        <v>94</v>
      </c>
      <c r="B231" s="33">
        <f>((topFlangeBoltRowQuantity/2) - 1) * topFlangeBoltTransGageCalculated</f>
        <v>3.75</v>
      </c>
      <c r="C231" s="104">
        <f>(topFlangeBoltRowsCalculated/2)-1</f>
        <v>1</v>
      </c>
      <c r="D231" s="219"/>
      <c r="E231" s="232"/>
      <c r="F231" s="33">
        <f>E230*(B231-C231*D230)</f>
        <v>5.25</v>
      </c>
      <c r="G231" s="107">
        <f>rightTopFlangeThickness</f>
        <v>1.625</v>
      </c>
      <c r="H231" s="33">
        <f t="shared" ref="H231:H233" si="6">F231*G231</f>
        <v>8.53125</v>
      </c>
      <c r="I231" s="19"/>
    </row>
    <row r="232" spans="1:13" s="18" customFormat="1" x14ac:dyDescent="0.25">
      <c r="A232" s="32" t="s">
        <v>109</v>
      </c>
      <c r="B232" s="33">
        <f>((bottomFlangeBoltRowQuantity/2) - 1) * bottomFlangeBoltTransGageCalculated</f>
        <v>3.75</v>
      </c>
      <c r="C232" s="104">
        <f>(bottomFlangeBoltRowsCalculated/2)-1</f>
        <v>1</v>
      </c>
      <c r="D232" s="219"/>
      <c r="E232" s="232"/>
      <c r="F232" s="33">
        <f>E230*(B232-C232*D230)</f>
        <v>5.25</v>
      </c>
      <c r="G232" s="107">
        <f>leftBottomFlangeThickness</f>
        <v>1.625</v>
      </c>
      <c r="H232" s="33">
        <f t="shared" si="6"/>
        <v>8.53125</v>
      </c>
      <c r="I232" s="19"/>
    </row>
    <row r="233" spans="1:13" s="18" customFormat="1" x14ac:dyDescent="0.25">
      <c r="A233" s="32" t="s">
        <v>110</v>
      </c>
      <c r="B233" s="33">
        <f>((bottomFlangeBoltRowQuantity/2) - 1) * bottomFlangeBoltTransGageCalculated</f>
        <v>3.75</v>
      </c>
      <c r="C233" s="104">
        <f>(bottomFlangeBoltRowsCalculated/2)-1</f>
        <v>1</v>
      </c>
      <c r="D233" s="211"/>
      <c r="E233" s="233"/>
      <c r="F233" s="33">
        <f>E230*(B233-C233*D230)</f>
        <v>5.25</v>
      </c>
      <c r="G233" s="107">
        <f>rightBottomFlangeThickness</f>
        <v>1.625</v>
      </c>
      <c r="H233" s="33">
        <f t="shared" si="6"/>
        <v>8.53125</v>
      </c>
      <c r="I233" s="19"/>
    </row>
    <row r="235" spans="1:13" ht="48.75" x14ac:dyDescent="0.35">
      <c r="A235" s="28" t="s">
        <v>74</v>
      </c>
      <c r="B235" s="28" t="s">
        <v>423</v>
      </c>
      <c r="C235" s="28" t="s">
        <v>207</v>
      </c>
      <c r="D235" s="28" t="s">
        <v>208</v>
      </c>
      <c r="E235" s="28" t="s">
        <v>282</v>
      </c>
      <c r="F235" s="28" t="s">
        <v>424</v>
      </c>
      <c r="G235" s="28" t="s">
        <v>218</v>
      </c>
      <c r="H235" s="28" t="s">
        <v>205</v>
      </c>
      <c r="I235" s="36"/>
      <c r="J235" s="36"/>
      <c r="K235" s="36"/>
      <c r="L235" s="36"/>
      <c r="M235" s="36"/>
    </row>
    <row r="236" spans="1:13" x14ac:dyDescent="0.25">
      <c r="A236" s="32" t="s">
        <v>93</v>
      </c>
      <c r="B236" s="33">
        <f>((topFlangeTotalBoltCalculatedFinal/topFlangeBoltRowsCalculated-1)*flangeBoltLongPitchCalculated)+minimumEndDistanceFlangeCalculated</f>
        <v>9</v>
      </c>
      <c r="C236" s="142">
        <f>topFlangeTotalBoltCalculatedFinal/topFlangeBoltRowsCalculated-0.5</f>
        <v>2.5</v>
      </c>
      <c r="D236" s="212">
        <f>VLOOKUP(boltDiameterEnum,boltPropertiesTable, IF(EXACT(holeSizeFactorEnum,"Standard"),COLUMN(Table1[[#Headers],[Standard Hole Diameter (in)]]),COLUMN(Table1[[#Headers],[Oversized Hole Diameter (in)]])))</f>
        <v>1.125</v>
      </c>
      <c r="E236" s="231">
        <v>4</v>
      </c>
      <c r="F236" s="33">
        <f>E236*(B236-C236*D236)</f>
        <v>24.75</v>
      </c>
      <c r="G236" s="107">
        <f>leftTopFlangeThickness</f>
        <v>1.625</v>
      </c>
      <c r="H236" s="33">
        <f>F236*G236</f>
        <v>40.21875</v>
      </c>
    </row>
    <row r="237" spans="1:13" x14ac:dyDescent="0.25">
      <c r="A237" s="32" t="s">
        <v>94</v>
      </c>
      <c r="B237" s="33">
        <f>((topFlangeTotalBoltCalculatedFinal/topFlangeBoltRowsCalculated-1)*flangeBoltLongPitchCalculated)+minimumEndDistanceFlangeCalculated</f>
        <v>9</v>
      </c>
      <c r="C237" s="142">
        <f>topFlangeTotalBoltCalculatedFinal/topFlangeBoltRowsCalculated-0.5</f>
        <v>2.5</v>
      </c>
      <c r="D237" s="219"/>
      <c r="E237" s="232"/>
      <c r="F237" s="33">
        <f>E236*(B237-C237*D236)</f>
        <v>24.75</v>
      </c>
      <c r="G237" s="107">
        <f>rightTopFlangeThickness</f>
        <v>1.625</v>
      </c>
      <c r="H237" s="33">
        <f t="shared" ref="H237:H239" si="7">F237*G237</f>
        <v>40.21875</v>
      </c>
    </row>
    <row r="238" spans="1:13" x14ac:dyDescent="0.25">
      <c r="A238" s="32" t="s">
        <v>109</v>
      </c>
      <c r="B238" s="33">
        <f>((bottomFlangeTotalBoltCalculatedFinal/bottomFlangeBoltRowsCalculated-1)*flangeBoltLongPitchCalculated)+minimumEndDistanceFlangeCalculated</f>
        <v>12.5</v>
      </c>
      <c r="C238" s="142">
        <f>bottomFlangeTotalBoltCalculatedFinal/bottomFlangeBoltRowsCalculated-0.5</f>
        <v>3.5</v>
      </c>
      <c r="D238" s="219"/>
      <c r="E238" s="232"/>
      <c r="F238" s="33">
        <f>E236*(B238-C238*D236)</f>
        <v>34.25</v>
      </c>
      <c r="G238" s="107">
        <f>leftBottomFlangeThickness</f>
        <v>1.625</v>
      </c>
      <c r="H238" s="33">
        <f t="shared" si="7"/>
        <v>55.65625</v>
      </c>
    </row>
    <row r="239" spans="1:13" x14ac:dyDescent="0.25">
      <c r="A239" s="32" t="s">
        <v>110</v>
      </c>
      <c r="B239" s="33">
        <f>((bottomFlangeTotalBoltCalculatedFinal/bottomFlangeBoltRowsCalculated-1)*flangeBoltLongPitchCalculated)+minimumEndDistanceFlangeCalculated</f>
        <v>12.5</v>
      </c>
      <c r="C239" s="142">
        <f>bottomFlangeTotalBoltCalculatedFinal/bottomFlangeBoltRowsCalculated-0.5</f>
        <v>3.5</v>
      </c>
      <c r="D239" s="211"/>
      <c r="E239" s="233"/>
      <c r="F239" s="33">
        <f>E236*(B239-C239*D236)</f>
        <v>34.25</v>
      </c>
      <c r="G239" s="107">
        <f>rightBottomFlangeThickness</f>
        <v>1.625</v>
      </c>
      <c r="H239" s="33">
        <f t="shared" si="7"/>
        <v>55.65625</v>
      </c>
    </row>
    <row r="240" spans="1:13" x14ac:dyDescent="0.25">
      <c r="A240" s="18"/>
      <c r="B240" s="18"/>
      <c r="C240" s="18"/>
      <c r="H240" s="81"/>
    </row>
    <row r="241" spans="1:14" ht="48.75" x14ac:dyDescent="0.35">
      <c r="A241" s="28" t="s">
        <v>74</v>
      </c>
      <c r="B241" s="28" t="s">
        <v>423</v>
      </c>
      <c r="C241" s="28" t="s">
        <v>218</v>
      </c>
      <c r="D241" s="28" t="s">
        <v>282</v>
      </c>
      <c r="E241" s="28" t="s">
        <v>209</v>
      </c>
      <c r="F241" s="36"/>
      <c r="G241" s="36"/>
      <c r="H241" s="36"/>
      <c r="I241" s="36"/>
      <c r="J241" s="36"/>
    </row>
    <row r="242" spans="1:14" s="18" customFormat="1" x14ac:dyDescent="0.25">
      <c r="A242" s="32" t="s">
        <v>93</v>
      </c>
      <c r="B242" s="33">
        <f>((topFlangeTotalBoltCalculatedFinal/topFlangeBoltRowsCalculated-1)*flangeBoltLongPitchCalculated)+minimumEndDistanceFlangeCalculated</f>
        <v>9</v>
      </c>
      <c r="C242" s="107">
        <f>leftTopFlangeThickness</f>
        <v>1.625</v>
      </c>
      <c r="D242" s="231">
        <v>4</v>
      </c>
      <c r="E242" s="33">
        <f>D242*C242*B242</f>
        <v>58.5</v>
      </c>
    </row>
    <row r="243" spans="1:14" s="18" customFormat="1" x14ac:dyDescent="0.25">
      <c r="A243" s="32" t="s">
        <v>94</v>
      </c>
      <c r="B243" s="33">
        <f>((topFlangeTotalBoltCalculatedFinal/topFlangeBoltRowsCalculated-1)*flangeBoltLongPitchCalculated)+minimumEndDistanceFlangeCalculated</f>
        <v>9</v>
      </c>
      <c r="C243" s="107">
        <f>rightTopFlangeThickness</f>
        <v>1.625</v>
      </c>
      <c r="D243" s="232"/>
      <c r="E243" s="33">
        <f>D242*C243*B243</f>
        <v>58.5</v>
      </c>
    </row>
    <row r="244" spans="1:14" s="18" customFormat="1" x14ac:dyDescent="0.25">
      <c r="A244" s="32" t="s">
        <v>109</v>
      </c>
      <c r="B244" s="33">
        <f>((bottomFlangeTotalBoltCalculatedFinal/bottomFlangeBoltRowsCalculated-1)*flangeBoltLongPitchCalculated)+minimumEndDistanceFlangeCalculated</f>
        <v>12.5</v>
      </c>
      <c r="C244" s="107">
        <f>leftBottomFlangeThickness</f>
        <v>1.625</v>
      </c>
      <c r="D244" s="232"/>
      <c r="E244" s="33">
        <f>D242*C244*B244</f>
        <v>81.25</v>
      </c>
    </row>
    <row r="245" spans="1:14" s="18" customFormat="1" x14ac:dyDescent="0.25">
      <c r="A245" s="32" t="s">
        <v>110</v>
      </c>
      <c r="B245" s="33">
        <f>((bottomFlangeTotalBoltCalculatedFinal/bottomFlangeBoltRowsCalculated-1)*flangeBoltLongPitchCalculated)+minimumEndDistanceFlangeCalculated</f>
        <v>12.5</v>
      </c>
      <c r="C245" s="107">
        <f>rightBottomFlangeThickness</f>
        <v>1.625</v>
      </c>
      <c r="D245" s="233"/>
      <c r="E245" s="33">
        <f>D242*C245*B245</f>
        <v>81.25</v>
      </c>
      <c r="H245" s="19"/>
    </row>
    <row r="246" spans="1:14" s="18" customFormat="1" x14ac:dyDescent="0.25">
      <c r="B246" s="83"/>
      <c r="C246" s="80"/>
      <c r="D246" s="83"/>
      <c r="E246" s="119"/>
      <c r="F246" s="120"/>
      <c r="G246" s="120"/>
      <c r="H246" s="120"/>
      <c r="I246" s="120"/>
      <c r="J246" s="120"/>
    </row>
    <row r="247" spans="1:14" s="18" customFormat="1" ht="39.75" customHeight="1" x14ac:dyDescent="0.35">
      <c r="A247" s="28" t="s">
        <v>74</v>
      </c>
      <c r="B247" s="144" t="s">
        <v>439</v>
      </c>
      <c r="C247" s="28" t="s">
        <v>148</v>
      </c>
      <c r="D247" s="28" t="s">
        <v>137</v>
      </c>
      <c r="E247" s="28" t="s">
        <v>212</v>
      </c>
      <c r="F247" s="227" t="s">
        <v>206</v>
      </c>
      <c r="G247" s="227"/>
      <c r="H247" s="36"/>
      <c r="I247" s="36"/>
      <c r="J247" s="36"/>
      <c r="K247" s="120"/>
      <c r="L247" s="120"/>
      <c r="M247" s="120"/>
      <c r="N247" s="120"/>
    </row>
    <row r="248" spans="1:14" s="18" customFormat="1" x14ac:dyDescent="0.25">
      <c r="A248" s="32" t="s">
        <v>93</v>
      </c>
      <c r="B248" s="210">
        <f>VLOOKUP("fbs", Table5[],2)</f>
        <v>0.8</v>
      </c>
      <c r="C248" s="228">
        <f>VLOOKUP(splicePlateHoleMethod,holeMethodReductionFactorTable, COLUMN(Table58[[#Headers],[Rp]]))</f>
        <v>1</v>
      </c>
      <c r="D248" s="104">
        <f>VLOOKUP(leftTopFlangeMaterialEnum,steelGradeTable, COLUMN(Table2[[#Headers],[Fu (ksi)]]))</f>
        <v>58</v>
      </c>
      <c r="E248" s="210">
        <f>VLOOKUP("Tension Members",Table589[],2)</f>
        <v>1</v>
      </c>
      <c r="F248" s="225">
        <f>B248*C248*((0.58*D248*H236)+(E248*D248*H230))</f>
        <v>1478.2170000000001</v>
      </c>
      <c r="G248" s="210"/>
      <c r="H248" s="19"/>
      <c r="I248" s="19"/>
    </row>
    <row r="249" spans="1:14" s="18" customFormat="1" x14ac:dyDescent="0.25">
      <c r="A249" s="32" t="s">
        <v>94</v>
      </c>
      <c r="B249" s="210"/>
      <c r="C249" s="228"/>
      <c r="D249" s="104">
        <f>VLOOKUP(rightTopFlangeMaterialEnum,steelGradeTable, COLUMN(Table2[[#Headers],[Fu (ksi)]]))</f>
        <v>58</v>
      </c>
      <c r="E249" s="210"/>
      <c r="F249" s="225">
        <f>B248*C248*((0.58*D249*H237)+(E248*D249*H231))</f>
        <v>1478.2170000000001</v>
      </c>
      <c r="G249" s="210"/>
      <c r="H249" s="19"/>
      <c r="I249" s="19"/>
    </row>
    <row r="250" spans="1:14" s="18" customFormat="1" x14ac:dyDescent="0.25">
      <c r="A250" s="32" t="s">
        <v>109</v>
      </c>
      <c r="B250" s="210"/>
      <c r="C250" s="228"/>
      <c r="D250" s="104">
        <f>VLOOKUP(leftBottomFlangeMaterialEnum,steelGradeTable, COLUMN(Table2[[#Headers],[Fu (ksi)]]))</f>
        <v>58</v>
      </c>
      <c r="E250" s="210"/>
      <c r="F250" s="225">
        <f>B248*C248*((0.58*D250*H238)+(E248*D250*H232))</f>
        <v>1893.671</v>
      </c>
      <c r="G250" s="210"/>
      <c r="H250" s="19"/>
      <c r="I250" s="19"/>
    </row>
    <row r="251" spans="1:14" s="18" customFormat="1" x14ac:dyDescent="0.25">
      <c r="A251" s="32" t="s">
        <v>110</v>
      </c>
      <c r="B251" s="210"/>
      <c r="C251" s="228"/>
      <c r="D251" s="104">
        <f>VLOOKUP(rightBottomFlangeMaterialEnum,steelGradeTable, COLUMN(Table2[[#Headers],[Fu (ksi)]]))</f>
        <v>58</v>
      </c>
      <c r="E251" s="210"/>
      <c r="F251" s="225">
        <f>B248*C248*((0.58*D251*H239)+(E248*D251*H233))</f>
        <v>1893.671</v>
      </c>
      <c r="G251" s="210"/>
      <c r="H251" s="19"/>
      <c r="I251" s="19"/>
    </row>
    <row r="252" spans="1:14" s="18" customFormat="1" x14ac:dyDescent="0.25">
      <c r="B252" s="83"/>
      <c r="C252" s="80"/>
      <c r="D252" s="83"/>
      <c r="E252" s="119"/>
      <c r="F252" s="120"/>
      <c r="G252" s="120"/>
      <c r="H252" s="120"/>
      <c r="I252" s="120"/>
      <c r="J252" s="120"/>
    </row>
    <row r="253" spans="1:14" s="18" customFormat="1" ht="39.75" customHeight="1" x14ac:dyDescent="0.35">
      <c r="A253" s="28" t="s">
        <v>74</v>
      </c>
      <c r="B253" s="144" t="s">
        <v>439</v>
      </c>
      <c r="C253" s="28" t="s">
        <v>148</v>
      </c>
      <c r="D253" s="28" t="s">
        <v>136</v>
      </c>
      <c r="E253" s="28" t="s">
        <v>137</v>
      </c>
      <c r="F253" s="28" t="s">
        <v>212</v>
      </c>
      <c r="G253" s="248"/>
      <c r="H253" s="248"/>
      <c r="I253" s="120"/>
      <c r="J253" s="120"/>
      <c r="K253" s="120"/>
    </row>
    <row r="254" spans="1:14" s="18" customFormat="1" x14ac:dyDescent="0.25">
      <c r="A254" s="32" t="s">
        <v>93</v>
      </c>
      <c r="B254" s="210">
        <f>VLOOKUP("fbs", Table5[],2)</f>
        <v>0.8</v>
      </c>
      <c r="C254" s="228">
        <f>VLOOKUP(splicePlateHoleMethod,holeMethodReductionFactorTable, COLUMN(Table58[[#Headers],[Rp]]))</f>
        <v>1</v>
      </c>
      <c r="D254" s="104">
        <f>VLOOKUP(leftTopFlangeMaterialEnum,steelGradeTable, COLUMN(Table2[[#Headers],[Fy (ksi)]]))</f>
        <v>36</v>
      </c>
      <c r="E254" s="104">
        <f>VLOOKUP(leftTopFlangeMaterialEnum,steelGradeTable, COLUMN(Table2[[#Headers],[Fu (ksi)]]))</f>
        <v>58</v>
      </c>
      <c r="F254" s="210">
        <f>VLOOKUP("Tension Members",Table589[],2)</f>
        <v>1</v>
      </c>
      <c r="G254" s="225">
        <f>B254*C254*((0.58*D254*E242)+(F254*E254*H230))</f>
        <v>1373.0340000000001</v>
      </c>
      <c r="H254" s="210"/>
    </row>
    <row r="255" spans="1:14" s="18" customFormat="1" x14ac:dyDescent="0.25">
      <c r="A255" s="32" t="s">
        <v>94</v>
      </c>
      <c r="B255" s="210"/>
      <c r="C255" s="228"/>
      <c r="D255" s="104">
        <f>VLOOKUP(rightTopFlangeMaterialEnum,steelGradeTable, COLUMN(Table2[[#Headers],[Fy (ksi)]]))</f>
        <v>36</v>
      </c>
      <c r="E255" s="104">
        <f>VLOOKUP(rightTopFlangeMaterialEnum,steelGradeTable, COLUMN(Table2[[#Headers],[Fu (ksi)]]))</f>
        <v>58</v>
      </c>
      <c r="F255" s="210"/>
      <c r="G255" s="225">
        <f>B254*C254*((0.58*D255*E243)+(F254*E255*H231))</f>
        <v>1373.0340000000001</v>
      </c>
      <c r="H255" s="210"/>
    </row>
    <row r="256" spans="1:14" s="18" customFormat="1" x14ac:dyDescent="0.25">
      <c r="A256" s="32" t="s">
        <v>109</v>
      </c>
      <c r="B256" s="210"/>
      <c r="C256" s="228"/>
      <c r="D256" s="104">
        <f>VLOOKUP(leftBottomFlangeMaterialEnum,steelGradeTable, COLUMN(Table2[[#Headers],[Fy (ksi)]]))</f>
        <v>36</v>
      </c>
      <c r="E256" s="104">
        <f>VLOOKUP(leftBottomFlangeMaterialEnum,steelGradeTable, COLUMN(Table2[[#Headers],[Fu (ksi)]]))</f>
        <v>58</v>
      </c>
      <c r="F256" s="210"/>
      <c r="G256" s="225">
        <f>B254*C254*((0.58*D256*E244)+(F254*E256*H232))</f>
        <v>1753.0500000000002</v>
      </c>
      <c r="H256" s="210"/>
    </row>
    <row r="257" spans="1:13" s="18" customFormat="1" x14ac:dyDescent="0.25">
      <c r="A257" s="32" t="s">
        <v>110</v>
      </c>
      <c r="B257" s="210"/>
      <c r="C257" s="228"/>
      <c r="D257" s="104">
        <f>VLOOKUP(rightBottomFlangeMaterialEnum,steelGradeTable, COLUMN(Table2[[#Headers],[Fy (ksi)]]))</f>
        <v>36</v>
      </c>
      <c r="E257" s="104">
        <f>VLOOKUP(rightBottomFlangeMaterialEnum,steelGradeTable, COLUMN(Table2[[#Headers],[Fu (ksi)]]))</f>
        <v>58</v>
      </c>
      <c r="F257" s="210"/>
      <c r="G257" s="225">
        <f>B254*C254*((0.58*D257*E245)+(F254*E257*H233))</f>
        <v>1753.0500000000002</v>
      </c>
      <c r="H257" s="210"/>
    </row>
    <row r="258" spans="1:13" s="18" customFormat="1" x14ac:dyDescent="0.25">
      <c r="B258" s="83"/>
      <c r="C258" s="80"/>
      <c r="D258" s="83"/>
      <c r="E258" s="119"/>
      <c r="F258" s="120"/>
      <c r="G258" s="120"/>
      <c r="H258" s="120"/>
      <c r="I258" s="120"/>
      <c r="J258" s="120"/>
    </row>
    <row r="259" spans="1:13" s="18" customFormat="1" ht="39.75" customHeight="1" x14ac:dyDescent="0.35">
      <c r="A259" s="28" t="s">
        <v>74</v>
      </c>
      <c r="B259" s="229"/>
      <c r="C259" s="229"/>
      <c r="D259" s="28" t="s">
        <v>142</v>
      </c>
      <c r="E259" s="28" t="s">
        <v>436</v>
      </c>
      <c r="F259" s="120"/>
      <c r="G259" s="120"/>
      <c r="H259" s="120"/>
      <c r="I259" s="120"/>
      <c r="J259" s="120"/>
    </row>
    <row r="260" spans="1:13" s="18" customFormat="1" x14ac:dyDescent="0.25">
      <c r="A260" s="32" t="s">
        <v>93</v>
      </c>
      <c r="B260" s="230">
        <f>MIN(F248,G254)</f>
        <v>1373.0340000000001</v>
      </c>
      <c r="C260" s="225"/>
      <c r="D260" s="218">
        <f>MIN(G35:G36)</f>
        <v>910.45499999999993</v>
      </c>
      <c r="E260" s="104" t="str">
        <f>IF(B260&gt;=D260,"OK", "NG")</f>
        <v>OK</v>
      </c>
      <c r="F260" s="36"/>
      <c r="G260" s="120"/>
      <c r="H260" s="120"/>
      <c r="I260" s="120"/>
      <c r="J260" s="120"/>
    </row>
    <row r="261" spans="1:13" s="18" customFormat="1" x14ac:dyDescent="0.25">
      <c r="A261" s="32" t="s">
        <v>94</v>
      </c>
      <c r="B261" s="230">
        <f t="shared" ref="B261:B263" si="8">MIN(F249,G255)</f>
        <v>1373.0340000000001</v>
      </c>
      <c r="C261" s="225"/>
      <c r="D261" s="211"/>
      <c r="E261" s="104" t="str">
        <f>IF(B261&gt;=D260,"OK", "NG")</f>
        <v>OK</v>
      </c>
      <c r="F261" s="120"/>
      <c r="G261" s="120"/>
      <c r="H261" s="120"/>
      <c r="I261" s="120"/>
      <c r="J261" s="120"/>
    </row>
    <row r="262" spans="1:13" s="18" customFormat="1" x14ac:dyDescent="0.25">
      <c r="A262" s="32" t="s">
        <v>109</v>
      </c>
      <c r="B262" s="230">
        <f t="shared" si="8"/>
        <v>1753.0500000000002</v>
      </c>
      <c r="C262" s="225"/>
      <c r="D262" s="218">
        <f>MIN(G37:G38)</f>
        <v>910.45499999999993</v>
      </c>
      <c r="E262" s="104" t="str">
        <f>IF(B262&gt;=D262,"OK", "NG")</f>
        <v>OK</v>
      </c>
      <c r="F262" s="120"/>
      <c r="G262" s="120"/>
      <c r="H262" s="120"/>
      <c r="I262" s="120"/>
      <c r="J262" s="120"/>
    </row>
    <row r="263" spans="1:13" s="18" customFormat="1" x14ac:dyDescent="0.25">
      <c r="A263" s="32" t="s">
        <v>110</v>
      </c>
      <c r="B263" s="230">
        <f t="shared" si="8"/>
        <v>1753.0500000000002</v>
      </c>
      <c r="C263" s="225"/>
      <c r="D263" s="211"/>
      <c r="E263" s="104" t="str">
        <f>IF(B263&gt;=D262,"OK", "NG")</f>
        <v>OK</v>
      </c>
      <c r="F263" s="120"/>
      <c r="G263" s="120"/>
      <c r="H263" s="120"/>
      <c r="I263" s="120"/>
      <c r="J263" s="120"/>
    </row>
    <row r="264" spans="1:13" s="18" customFormat="1" x14ac:dyDescent="0.25">
      <c r="B264" s="83"/>
      <c r="C264" s="83"/>
      <c r="D264" s="83"/>
      <c r="E264" s="119"/>
      <c r="F264" s="120"/>
      <c r="G264" s="120"/>
      <c r="H264" s="120"/>
      <c r="I264" s="120"/>
      <c r="J264" s="120"/>
    </row>
    <row r="265" spans="1:13" x14ac:dyDescent="0.25">
      <c r="A265" s="23" t="s">
        <v>215</v>
      </c>
    </row>
    <row r="266" spans="1:13" s="18" customFormat="1" x14ac:dyDescent="0.25">
      <c r="B266" s="83"/>
      <c r="C266" s="80"/>
      <c r="D266" s="83"/>
      <c r="E266" s="119"/>
      <c r="F266" s="120"/>
      <c r="G266" s="120"/>
      <c r="H266" s="120"/>
      <c r="I266" s="120"/>
      <c r="J266" s="120"/>
    </row>
    <row r="267" spans="1:13" ht="48.75" x14ac:dyDescent="0.35">
      <c r="A267" s="28" t="s">
        <v>74</v>
      </c>
      <c r="B267" s="28" t="s">
        <v>279</v>
      </c>
      <c r="C267" s="28" t="s">
        <v>207</v>
      </c>
      <c r="D267" s="28" t="s">
        <v>208</v>
      </c>
      <c r="E267" s="28" t="s">
        <v>282</v>
      </c>
      <c r="F267" s="28" t="s">
        <v>352</v>
      </c>
      <c r="G267" s="28" t="s">
        <v>218</v>
      </c>
      <c r="H267" s="28" t="s">
        <v>204</v>
      </c>
      <c r="I267" s="36"/>
      <c r="J267" s="36"/>
      <c r="K267" s="36"/>
      <c r="L267" s="36"/>
      <c r="M267" s="36"/>
    </row>
    <row r="268" spans="1:13" s="18" customFormat="1" x14ac:dyDescent="0.25">
      <c r="A268" s="32" t="s">
        <v>93</v>
      </c>
      <c r="B268" s="33">
        <f>(leftTopFlangeWidth-topFlangeBoltGroupTransGageCalculated)/2</f>
        <v>5.5</v>
      </c>
      <c r="C268" s="104">
        <f>(topFlangeBoltRowsCalculated/2)-0.5</f>
        <v>1.5</v>
      </c>
      <c r="D268" s="212">
        <f>VLOOKUP(boltDiameterEnum,boltPropertiesTable, IF(EXACT(holeSizeFactorEnum,"Standard"),COLUMN(Table1[[#Headers],[Standard Hole Diameter (in)]]),COLUMN(Table1[[#Headers],[Oversized Hole Diameter (in)]])))</f>
        <v>1.125</v>
      </c>
      <c r="E268" s="231">
        <v>2</v>
      </c>
      <c r="F268" s="33">
        <f>2*(B268-C268*D268)</f>
        <v>7.625</v>
      </c>
      <c r="G268" s="107">
        <f>leftTopFlangeThickness</f>
        <v>1.625</v>
      </c>
      <c r="H268" s="33">
        <f>F268*G268</f>
        <v>12.390625</v>
      </c>
      <c r="I268" s="19"/>
    </row>
    <row r="269" spans="1:13" s="18" customFormat="1" x14ac:dyDescent="0.25">
      <c r="A269" s="32" t="s">
        <v>94</v>
      </c>
      <c r="B269" s="33">
        <f>(rightTopFlangeWidth-topFlangeBoltGroupTransGageCalculated)/2</f>
        <v>5.5</v>
      </c>
      <c r="C269" s="104">
        <f>((topFlangeBoltRowsCalculated/2)-0.5)</f>
        <v>1.5</v>
      </c>
      <c r="D269" s="219"/>
      <c r="E269" s="232"/>
      <c r="F269" s="33">
        <f>2*(B269-C269*D268)</f>
        <v>7.625</v>
      </c>
      <c r="G269" s="107">
        <f>rightTopFlangeThickness</f>
        <v>1.625</v>
      </c>
      <c r="H269" s="33">
        <f t="shared" ref="H269:H271" si="9">F269*G269</f>
        <v>12.390625</v>
      </c>
      <c r="I269" s="19"/>
    </row>
    <row r="270" spans="1:13" s="18" customFormat="1" x14ac:dyDescent="0.25">
      <c r="A270" s="32" t="s">
        <v>109</v>
      </c>
      <c r="B270" s="33">
        <f>(leftBottomFlangeWidth-bottomFlangeBoltGroupTransGageCalculated)/2</f>
        <v>5.5</v>
      </c>
      <c r="C270" s="104">
        <f>(bottomFlangeBoltRowsCalculated/2)-0.5</f>
        <v>1.5</v>
      </c>
      <c r="D270" s="219"/>
      <c r="E270" s="232"/>
      <c r="F270" s="33">
        <f>2*(B270-C270*D268)</f>
        <v>7.625</v>
      </c>
      <c r="G270" s="107">
        <f>leftBottomFlangeThickness</f>
        <v>1.625</v>
      </c>
      <c r="H270" s="33">
        <f t="shared" si="9"/>
        <v>12.390625</v>
      </c>
      <c r="I270" s="19"/>
    </row>
    <row r="271" spans="1:13" s="18" customFormat="1" x14ac:dyDescent="0.25">
      <c r="A271" s="32" t="s">
        <v>110</v>
      </c>
      <c r="B271" s="33">
        <f>(rightBottomFlangeWidth-bottomFlangeBoltGroupTransGageCalculated)/2</f>
        <v>5.5</v>
      </c>
      <c r="C271" s="104">
        <f>(bottomFlangeBoltRowsCalculated/2)-0.5</f>
        <v>1.5</v>
      </c>
      <c r="D271" s="211"/>
      <c r="E271" s="233"/>
      <c r="F271" s="33">
        <f>2*(B271-C271*D268)</f>
        <v>7.625</v>
      </c>
      <c r="G271" s="107">
        <f>rightBottomFlangeThickness</f>
        <v>1.625</v>
      </c>
      <c r="H271" s="33">
        <f t="shared" si="9"/>
        <v>12.390625</v>
      </c>
      <c r="I271" s="19"/>
    </row>
    <row r="273" spans="1:14" ht="48.75" x14ac:dyDescent="0.35">
      <c r="A273" s="28" t="s">
        <v>74</v>
      </c>
      <c r="B273" s="28" t="s">
        <v>423</v>
      </c>
      <c r="C273" s="28" t="s">
        <v>207</v>
      </c>
      <c r="D273" s="28" t="s">
        <v>208</v>
      </c>
      <c r="E273" s="28" t="s">
        <v>282</v>
      </c>
      <c r="F273" s="28" t="s">
        <v>424</v>
      </c>
      <c r="G273" s="28" t="s">
        <v>218</v>
      </c>
      <c r="H273" s="28" t="s">
        <v>205</v>
      </c>
      <c r="I273" s="36"/>
      <c r="J273" s="36"/>
      <c r="K273" s="36"/>
      <c r="L273" s="36"/>
      <c r="M273" s="36"/>
    </row>
    <row r="274" spans="1:14" x14ac:dyDescent="0.25">
      <c r="A274" s="32" t="s">
        <v>93</v>
      </c>
      <c r="B274" s="33">
        <f>((topFlangeTotalBoltCalculatedFinal/topFlangeBoltRowsCalculated-1)*flangeBoltLongPitchCalculated)+minimumEndDistanceFlangeCalculated</f>
        <v>9</v>
      </c>
      <c r="C274" s="142">
        <f>topFlangeTotalBoltCalculatedFinal/topFlangeBoltRowsCalculated-0.5</f>
        <v>2.5</v>
      </c>
      <c r="D274" s="212">
        <f>VLOOKUP(boltDiameterEnum,boltPropertiesTable, IF(EXACT(holeSizeFactorEnum,"Standard"),COLUMN(Table1[[#Headers],[Standard Hole Diameter (in)]]),COLUMN(Table1[[#Headers],[Oversized Hole Diameter (in)]])))</f>
        <v>1.125</v>
      </c>
      <c r="E274" s="231">
        <v>2</v>
      </c>
      <c r="F274" s="33">
        <f>2*(B274-C274*D274)</f>
        <v>12.375</v>
      </c>
      <c r="G274" s="107">
        <f>leftTopFlangeThickness</f>
        <v>1.625</v>
      </c>
      <c r="H274" s="33">
        <f>F274*G274</f>
        <v>20.109375</v>
      </c>
    </row>
    <row r="275" spans="1:14" x14ac:dyDescent="0.25">
      <c r="A275" s="32" t="s">
        <v>94</v>
      </c>
      <c r="B275" s="33">
        <f>((topFlangeTotalBoltCalculatedFinal/topFlangeBoltRowsCalculated-1)*flangeBoltLongPitchCalculated)+minimumEndDistanceFlangeCalculated</f>
        <v>9</v>
      </c>
      <c r="C275" s="142">
        <f>topFlangeTotalBoltCalculatedFinal/topFlangeBoltRowsCalculated-0.5</f>
        <v>2.5</v>
      </c>
      <c r="D275" s="219"/>
      <c r="E275" s="232"/>
      <c r="F275" s="33">
        <f>2*(B275-C275*D274)</f>
        <v>12.375</v>
      </c>
      <c r="G275" s="107">
        <f>rightTopFlangeThickness</f>
        <v>1.625</v>
      </c>
      <c r="H275" s="33">
        <f t="shared" ref="H275:H277" si="10">F275*G275</f>
        <v>20.109375</v>
      </c>
    </row>
    <row r="276" spans="1:14" x14ac:dyDescent="0.25">
      <c r="A276" s="32" t="s">
        <v>109</v>
      </c>
      <c r="B276" s="33">
        <f>((bottomFlangeTotalBoltCalculatedFinal/bottomFlangeBoltRowsCalculated-1)*flangeBoltLongPitchCalculated)+minimumEndDistanceFlangeCalculated</f>
        <v>12.5</v>
      </c>
      <c r="C276" s="142">
        <f>bottomFlangeTotalBoltCalculatedFinal/bottomFlangeBoltRowsCalculated-0.5</f>
        <v>3.5</v>
      </c>
      <c r="D276" s="219"/>
      <c r="E276" s="232"/>
      <c r="F276" s="33">
        <f>2*(B276-C276*D274)</f>
        <v>17.125</v>
      </c>
      <c r="G276" s="107">
        <f>leftBottomFlangeThickness</f>
        <v>1.625</v>
      </c>
      <c r="H276" s="33">
        <f t="shared" si="10"/>
        <v>27.828125</v>
      </c>
    </row>
    <row r="277" spans="1:14" x14ac:dyDescent="0.25">
      <c r="A277" s="32" t="s">
        <v>110</v>
      </c>
      <c r="B277" s="33">
        <f>((bottomFlangeTotalBoltCalculatedFinal/bottomFlangeBoltRowsCalculated-1)*flangeBoltLongPitchCalculated)+minimumEndDistanceFlangeCalculated</f>
        <v>12.5</v>
      </c>
      <c r="C277" s="142">
        <f>bottomFlangeTotalBoltCalculatedFinal/bottomFlangeBoltRowsCalculated-0.5</f>
        <v>3.5</v>
      </c>
      <c r="D277" s="211"/>
      <c r="E277" s="233"/>
      <c r="F277" s="33">
        <f>2*(B277-C277*D274)</f>
        <v>17.125</v>
      </c>
      <c r="G277" s="107">
        <f>rightBottomFlangeThickness</f>
        <v>1.625</v>
      </c>
      <c r="H277" s="33">
        <f t="shared" si="10"/>
        <v>27.828125</v>
      </c>
    </row>
    <row r="278" spans="1:14" x14ac:dyDescent="0.25">
      <c r="A278" s="18"/>
      <c r="B278" s="18"/>
      <c r="C278" s="18"/>
      <c r="H278" s="81"/>
    </row>
    <row r="279" spans="1:14" ht="48.75" x14ac:dyDescent="0.35">
      <c r="A279" s="28" t="s">
        <v>74</v>
      </c>
      <c r="B279" s="28" t="s">
        <v>423</v>
      </c>
      <c r="C279" s="28" t="s">
        <v>218</v>
      </c>
      <c r="D279" s="28" t="s">
        <v>282</v>
      </c>
      <c r="E279" s="28" t="s">
        <v>209</v>
      </c>
      <c r="F279" s="36"/>
      <c r="G279" s="36"/>
      <c r="H279" s="36"/>
      <c r="I279" s="36"/>
      <c r="J279" s="36"/>
    </row>
    <row r="280" spans="1:14" s="18" customFormat="1" x14ac:dyDescent="0.25">
      <c r="A280" s="32" t="s">
        <v>93</v>
      </c>
      <c r="B280" s="33">
        <f>((topFlangeTotalBoltCalculatedFinal/topFlangeBoltRowsCalculated-1)*flangeBoltLongPitchCalculated)+minimumEndDistanceFlangeCalculated</f>
        <v>9</v>
      </c>
      <c r="C280" s="107">
        <f>leftTopFlangeThickness</f>
        <v>1.625</v>
      </c>
      <c r="D280" s="231">
        <v>2</v>
      </c>
      <c r="E280" s="33">
        <f>D280*C280*B280</f>
        <v>29.25</v>
      </c>
    </row>
    <row r="281" spans="1:14" s="18" customFormat="1" x14ac:dyDescent="0.25">
      <c r="A281" s="32" t="s">
        <v>94</v>
      </c>
      <c r="B281" s="33">
        <f>((topFlangeTotalBoltCalculatedFinal/topFlangeBoltRowsCalculated-1)*flangeBoltLongPitchCalculated)+minimumEndDistanceFlangeCalculated</f>
        <v>9</v>
      </c>
      <c r="C281" s="107">
        <f>rightTopFlangeThickness</f>
        <v>1.625</v>
      </c>
      <c r="D281" s="232"/>
      <c r="E281" s="33">
        <f>D280*C281*B281</f>
        <v>29.25</v>
      </c>
    </row>
    <row r="282" spans="1:14" s="18" customFormat="1" x14ac:dyDescent="0.25">
      <c r="A282" s="32" t="s">
        <v>109</v>
      </c>
      <c r="B282" s="33">
        <f>((bottomFlangeTotalBoltCalculatedFinal/bottomFlangeBoltRowsCalculated-1)*flangeBoltLongPitchCalculated)+minimumEndDistanceFlangeCalculated</f>
        <v>12.5</v>
      </c>
      <c r="C282" s="107">
        <f>leftBottomFlangeThickness</f>
        <v>1.625</v>
      </c>
      <c r="D282" s="232"/>
      <c r="E282" s="33">
        <f>D280*C282*B282</f>
        <v>40.625</v>
      </c>
    </row>
    <row r="283" spans="1:14" s="18" customFormat="1" x14ac:dyDescent="0.25">
      <c r="A283" s="32" t="s">
        <v>110</v>
      </c>
      <c r="B283" s="33">
        <f>((bottomFlangeTotalBoltCalculatedFinal/bottomFlangeBoltRowsCalculated-1)*flangeBoltLongPitchCalculated)+minimumEndDistanceFlangeCalculated</f>
        <v>12.5</v>
      </c>
      <c r="C283" s="107">
        <f>rightBottomFlangeThickness</f>
        <v>1.625</v>
      </c>
      <c r="D283" s="233"/>
      <c r="E283" s="33">
        <f>D280*C283*B283</f>
        <v>40.625</v>
      </c>
      <c r="H283" s="19"/>
    </row>
    <row r="284" spans="1:14" s="18" customFormat="1" x14ac:dyDescent="0.25">
      <c r="B284" s="83"/>
      <c r="C284" s="80"/>
      <c r="D284" s="83"/>
      <c r="E284" s="119"/>
      <c r="F284" s="120"/>
      <c r="G284" s="120"/>
      <c r="H284" s="120"/>
      <c r="I284" s="120"/>
      <c r="J284" s="120"/>
    </row>
    <row r="285" spans="1:14" s="18" customFormat="1" ht="39.75" customHeight="1" x14ac:dyDescent="0.35">
      <c r="A285" s="28" t="s">
        <v>74</v>
      </c>
      <c r="B285" s="144" t="s">
        <v>439</v>
      </c>
      <c r="C285" s="28" t="s">
        <v>148</v>
      </c>
      <c r="D285" s="28" t="s">
        <v>137</v>
      </c>
      <c r="E285" s="28" t="s">
        <v>212</v>
      </c>
      <c r="F285" s="227" t="s">
        <v>206</v>
      </c>
      <c r="G285" s="227"/>
      <c r="H285" s="19"/>
      <c r="I285" s="19"/>
      <c r="J285" s="19"/>
    </row>
    <row r="286" spans="1:14" s="18" customFormat="1" x14ac:dyDescent="0.25">
      <c r="A286" s="32" t="s">
        <v>93</v>
      </c>
      <c r="B286" s="210">
        <f>VLOOKUP("fbs", Table5[],2)</f>
        <v>0.8</v>
      </c>
      <c r="C286" s="228">
        <f>VLOOKUP(splicePlateHoleMethod,holeMethodReductionFactorTable, COLUMN(Table58[[#Headers],[Rp]]))</f>
        <v>1</v>
      </c>
      <c r="D286" s="104">
        <f>VLOOKUP(leftTopFlangeMaterialEnum,steelGradeTable, COLUMN(Table2[[#Headers],[Fu (ksi)]]))</f>
        <v>58</v>
      </c>
      <c r="E286" s="210">
        <f>VLOOKUP("Tension Members",Table589[],2)</f>
        <v>1</v>
      </c>
      <c r="F286" s="225">
        <f>B286*C286*((0.58*D286*H274)+(E286*D286*H268))</f>
        <v>1116.1085</v>
      </c>
      <c r="G286" s="210"/>
      <c r="H286" s="36"/>
      <c r="I286" s="36"/>
      <c r="J286" s="120"/>
      <c r="K286" s="120"/>
      <c r="L286" s="120"/>
      <c r="M286" s="120"/>
      <c r="N286" s="120"/>
    </row>
    <row r="287" spans="1:14" s="18" customFormat="1" x14ac:dyDescent="0.25">
      <c r="A287" s="32" t="s">
        <v>94</v>
      </c>
      <c r="B287" s="210"/>
      <c r="C287" s="228"/>
      <c r="D287" s="104">
        <f>VLOOKUP(rightTopFlangeMaterialEnum,steelGradeTable, COLUMN(Table2[[#Headers],[Fu (ksi)]]))</f>
        <v>58</v>
      </c>
      <c r="E287" s="210"/>
      <c r="F287" s="225">
        <f>B286*C286*((0.58*D287*H275)+(E286*D287*H269))</f>
        <v>1116.1085</v>
      </c>
      <c r="G287" s="210"/>
      <c r="H287" s="36"/>
      <c r="I287" s="36"/>
      <c r="J287" s="120"/>
      <c r="K287" s="120"/>
      <c r="L287" s="120"/>
      <c r="M287" s="120"/>
      <c r="N287" s="120"/>
    </row>
    <row r="288" spans="1:14" s="18" customFormat="1" x14ac:dyDescent="0.25">
      <c r="A288" s="32" t="s">
        <v>109</v>
      </c>
      <c r="B288" s="210"/>
      <c r="C288" s="228"/>
      <c r="D288" s="104">
        <f>VLOOKUP(leftBottomFlangeMaterialEnum,steelGradeTable, COLUMN(Table2[[#Headers],[Fu (ksi)]]))</f>
        <v>58</v>
      </c>
      <c r="E288" s="210"/>
      <c r="F288" s="225">
        <f>B286*C286*((0.58*D288*H276)+(E286*D288*H270))</f>
        <v>1323.8355000000001</v>
      </c>
      <c r="G288" s="210"/>
      <c r="H288" s="36"/>
      <c r="I288" s="36"/>
      <c r="J288" s="120"/>
    </row>
    <row r="289" spans="1:11" s="18" customFormat="1" x14ac:dyDescent="0.25">
      <c r="A289" s="32" t="s">
        <v>110</v>
      </c>
      <c r="B289" s="210"/>
      <c r="C289" s="228"/>
      <c r="D289" s="104">
        <f>VLOOKUP(rightBottomFlangeMaterialEnum,steelGradeTable, COLUMN(Table2[[#Headers],[Fu (ksi)]]))</f>
        <v>58</v>
      </c>
      <c r="E289" s="210"/>
      <c r="F289" s="225">
        <f>B286*C286*((0.58*D289*H277)+(E286*D289*H271))</f>
        <v>1323.8355000000001</v>
      </c>
      <c r="G289" s="210"/>
      <c r="H289" s="36"/>
      <c r="I289" s="36"/>
      <c r="J289" s="120"/>
    </row>
    <row r="290" spans="1:11" s="18" customFormat="1" x14ac:dyDescent="0.25">
      <c r="B290" s="83"/>
      <c r="C290" s="80"/>
      <c r="D290" s="83"/>
      <c r="E290" s="119"/>
      <c r="F290" s="120"/>
      <c r="G290" s="120"/>
      <c r="H290" s="120"/>
      <c r="I290" s="120"/>
      <c r="J290" s="120"/>
    </row>
    <row r="291" spans="1:11" s="18" customFormat="1" ht="39.75" customHeight="1" x14ac:dyDescent="0.35">
      <c r="A291" s="28" t="s">
        <v>74</v>
      </c>
      <c r="B291" s="144" t="s">
        <v>439</v>
      </c>
      <c r="C291" s="28" t="s">
        <v>148</v>
      </c>
      <c r="D291" s="28" t="s">
        <v>136</v>
      </c>
      <c r="E291" s="28" t="s">
        <v>137</v>
      </c>
      <c r="F291" s="28" t="s">
        <v>212</v>
      </c>
      <c r="G291" s="226"/>
      <c r="H291" s="226"/>
    </row>
    <row r="292" spans="1:11" s="18" customFormat="1" x14ac:dyDescent="0.25">
      <c r="A292" s="32" t="s">
        <v>93</v>
      </c>
      <c r="B292" s="210">
        <f>VLOOKUP("fbs", Table5[],2)</f>
        <v>0.8</v>
      </c>
      <c r="C292" s="228">
        <f>VLOOKUP(splicePlateHoleMethod,holeMethodReductionFactorTable, COLUMN(Table58[[#Headers],[Rp]]))</f>
        <v>1</v>
      </c>
      <c r="D292" s="104">
        <f>VLOOKUP(leftTopFlangeMaterialEnum,steelGradeTable, COLUMN(Table2[[#Headers],[Fy (ksi)]]))</f>
        <v>36</v>
      </c>
      <c r="E292" s="104">
        <f>VLOOKUP(leftTopFlangeMaterialEnum,steelGradeTable, COLUMN(Table2[[#Headers],[Fu (ksi)]]))</f>
        <v>58</v>
      </c>
      <c r="F292" s="210">
        <f>VLOOKUP("Tension Members",Table589[],2)</f>
        <v>1</v>
      </c>
      <c r="G292" s="225">
        <f>B292*C292*((0.58*D292*E280)+(F292*E292*H268))</f>
        <v>1063.5170000000001</v>
      </c>
      <c r="H292" s="210"/>
      <c r="I292" s="120"/>
      <c r="J292" s="120"/>
      <c r="K292" s="120"/>
    </row>
    <row r="293" spans="1:11" s="18" customFormat="1" x14ac:dyDescent="0.25">
      <c r="A293" s="32" t="s">
        <v>94</v>
      </c>
      <c r="B293" s="210"/>
      <c r="C293" s="228"/>
      <c r="D293" s="104">
        <f>VLOOKUP(rightTopFlangeMaterialEnum,steelGradeTable, COLUMN(Table2[[#Headers],[Fy (ksi)]]))</f>
        <v>36</v>
      </c>
      <c r="E293" s="104">
        <f>VLOOKUP(rightTopFlangeMaterialEnum,steelGradeTable, COLUMN(Table2[[#Headers],[Fu (ksi)]]))</f>
        <v>58</v>
      </c>
      <c r="F293" s="210"/>
      <c r="G293" s="225">
        <f>B292*C292*((0.58*D293*E281)+(F292*E293*H269))</f>
        <v>1063.5170000000001</v>
      </c>
      <c r="H293" s="210"/>
      <c r="I293" s="120"/>
      <c r="J293" s="120"/>
      <c r="K293" s="120"/>
    </row>
    <row r="294" spans="1:11" s="18" customFormat="1" x14ac:dyDescent="0.25">
      <c r="A294" s="32" t="s">
        <v>109</v>
      </c>
      <c r="B294" s="210"/>
      <c r="C294" s="228"/>
      <c r="D294" s="104">
        <f>VLOOKUP(leftBottomFlangeMaterialEnum,steelGradeTable, COLUMN(Table2[[#Headers],[Fy (ksi)]]))</f>
        <v>36</v>
      </c>
      <c r="E294" s="104">
        <f>VLOOKUP(leftBottomFlangeMaterialEnum,steelGradeTable, COLUMN(Table2[[#Headers],[Fu (ksi)]]))</f>
        <v>58</v>
      </c>
      <c r="F294" s="210"/>
      <c r="G294" s="225">
        <f>B292*C292*((0.58*D294*E282)+(F292*E294*H270))</f>
        <v>1253.5250000000001</v>
      </c>
      <c r="H294" s="210"/>
      <c r="I294" s="120"/>
      <c r="J294" s="120"/>
      <c r="K294" s="120"/>
    </row>
    <row r="295" spans="1:11" s="18" customFormat="1" x14ac:dyDescent="0.25">
      <c r="A295" s="32" t="s">
        <v>110</v>
      </c>
      <c r="B295" s="210"/>
      <c r="C295" s="228"/>
      <c r="D295" s="104">
        <f>VLOOKUP(rightBottomFlangeMaterialEnum,steelGradeTable, COLUMN(Table2[[#Headers],[Fy (ksi)]]))</f>
        <v>36</v>
      </c>
      <c r="E295" s="104">
        <f>VLOOKUP(rightBottomFlangeMaterialEnum,steelGradeTable, COLUMN(Table2[[#Headers],[Fu (ksi)]]))</f>
        <v>58</v>
      </c>
      <c r="F295" s="210"/>
      <c r="G295" s="225">
        <f>B292*C292*((0.58*D295*E283)+(F292*E295*H271))</f>
        <v>1253.5250000000001</v>
      </c>
      <c r="H295" s="210"/>
      <c r="I295" s="120"/>
      <c r="J295" s="120"/>
      <c r="K295" s="120"/>
    </row>
    <row r="296" spans="1:11" s="18" customFormat="1" x14ac:dyDescent="0.25">
      <c r="B296" s="83"/>
      <c r="C296" s="80"/>
      <c r="D296" s="83"/>
      <c r="E296" s="119"/>
      <c r="F296" s="120"/>
      <c r="G296" s="120"/>
      <c r="H296" s="120"/>
      <c r="I296" s="120"/>
      <c r="J296" s="120"/>
    </row>
    <row r="297" spans="1:11" s="18" customFormat="1" ht="39.75" customHeight="1" x14ac:dyDescent="0.35">
      <c r="A297" s="28" t="s">
        <v>74</v>
      </c>
      <c r="B297" s="229"/>
      <c r="C297" s="229"/>
      <c r="D297" s="28" t="s">
        <v>142</v>
      </c>
      <c r="E297" s="28" t="s">
        <v>436</v>
      </c>
      <c r="F297" s="120"/>
      <c r="G297" s="120"/>
      <c r="H297" s="120"/>
      <c r="I297" s="120"/>
      <c r="J297" s="120"/>
    </row>
    <row r="298" spans="1:11" s="18" customFormat="1" x14ac:dyDescent="0.25">
      <c r="A298" s="32" t="s">
        <v>93</v>
      </c>
      <c r="B298" s="210">
        <f>MIN(F286,G292)</f>
        <v>1063.5170000000001</v>
      </c>
      <c r="C298" s="210"/>
      <c r="D298" s="218">
        <f>MIN(G35:G36)</f>
        <v>910.45499999999993</v>
      </c>
      <c r="E298" s="104" t="str">
        <f>IF(B298&gt;=D298,"OK", "NG")</f>
        <v>OK</v>
      </c>
      <c r="F298" s="120"/>
      <c r="G298" s="36"/>
      <c r="H298" s="120"/>
      <c r="I298" s="120"/>
      <c r="J298" s="120"/>
    </row>
    <row r="299" spans="1:11" s="18" customFormat="1" x14ac:dyDescent="0.25">
      <c r="A299" s="32" t="s">
        <v>94</v>
      </c>
      <c r="B299" s="210">
        <f t="shared" ref="B299:B301" si="11">MIN(F287,G293)</f>
        <v>1063.5170000000001</v>
      </c>
      <c r="C299" s="210"/>
      <c r="D299" s="211"/>
      <c r="E299" s="104" t="str">
        <f>IF(B299&gt;=D298,"OK", "NG")</f>
        <v>OK</v>
      </c>
      <c r="F299" s="120"/>
      <c r="G299" s="120"/>
      <c r="H299" s="120"/>
      <c r="I299" s="120"/>
      <c r="J299" s="120"/>
    </row>
    <row r="300" spans="1:11" s="18" customFormat="1" x14ac:dyDescent="0.25">
      <c r="A300" s="32" t="s">
        <v>109</v>
      </c>
      <c r="B300" s="210">
        <f t="shared" si="11"/>
        <v>1253.5250000000001</v>
      </c>
      <c r="C300" s="210"/>
      <c r="D300" s="218">
        <f>MIN(G37:G38)</f>
        <v>910.45499999999993</v>
      </c>
      <c r="E300" s="104" t="str">
        <f>IF(B300&gt;=D300,"OK", "NG")</f>
        <v>OK</v>
      </c>
      <c r="F300" s="120"/>
      <c r="G300" s="120"/>
      <c r="H300" s="120"/>
      <c r="I300" s="120"/>
      <c r="J300" s="120"/>
    </row>
    <row r="301" spans="1:11" s="18" customFormat="1" x14ac:dyDescent="0.25">
      <c r="A301" s="32" t="s">
        <v>110</v>
      </c>
      <c r="B301" s="210">
        <f t="shared" si="11"/>
        <v>1253.5250000000001</v>
      </c>
      <c r="C301" s="210"/>
      <c r="D301" s="211"/>
      <c r="E301" s="104" t="str">
        <f>IF(B301&gt;=D300,"OK", "NG")</f>
        <v>OK</v>
      </c>
      <c r="F301" s="36"/>
      <c r="G301" s="36"/>
      <c r="H301" s="120"/>
      <c r="I301" s="120"/>
      <c r="J301" s="120"/>
    </row>
    <row r="302" spans="1:11" s="18" customFormat="1" x14ac:dyDescent="0.25">
      <c r="B302" s="83"/>
      <c r="C302" s="80"/>
      <c r="D302" s="83"/>
      <c r="E302" s="119"/>
      <c r="F302" s="120"/>
      <c r="G302" s="120"/>
      <c r="H302" s="120"/>
      <c r="I302" s="120"/>
      <c r="J302" s="120"/>
    </row>
    <row r="303" spans="1:11" s="18" customFormat="1" ht="18.75" x14ac:dyDescent="0.25">
      <c r="A303" s="220" t="s">
        <v>220</v>
      </c>
      <c r="B303" s="220">
        <f>VLOOKUP(boltDiameterEnum, boltPropertiesTable,IF(EXACT(boltTypeEnum,"A325"), COLUMN(Table1[[#Headers],[Pt - A325 (kip)]]), COLUMN(Table1[[#Headers],[Pt - A490 (kip)]])))</f>
        <v>51</v>
      </c>
      <c r="C303" s="220"/>
      <c r="D303" s="83"/>
      <c r="E303" s="119"/>
      <c r="F303" s="120"/>
      <c r="G303" s="120"/>
      <c r="H303" s="120"/>
      <c r="I303" s="120"/>
      <c r="J303" s="120"/>
    </row>
    <row r="304" spans="1:11" s="18" customFormat="1" x14ac:dyDescent="0.25">
      <c r="B304" s="83"/>
      <c r="C304" s="80"/>
      <c r="D304" s="83"/>
      <c r="E304" s="119"/>
      <c r="F304" s="120"/>
      <c r="G304" s="120"/>
      <c r="H304" s="120"/>
      <c r="I304" s="120"/>
      <c r="J304" s="120"/>
    </row>
    <row r="305" spans="1:11" ht="18.75" x14ac:dyDescent="0.35">
      <c r="A305" s="28" t="s">
        <v>74</v>
      </c>
      <c r="B305" s="28" t="s">
        <v>16</v>
      </c>
      <c r="C305" s="28" t="s">
        <v>137</v>
      </c>
      <c r="D305" s="121" t="s">
        <v>223</v>
      </c>
      <c r="E305" s="28" t="s">
        <v>114</v>
      </c>
      <c r="H305" s="36"/>
      <c r="I305" s="36"/>
      <c r="J305" s="36"/>
    </row>
    <row r="306" spans="1:11" ht="18.75" customHeight="1" x14ac:dyDescent="0.25">
      <c r="A306" s="32" t="s">
        <v>429</v>
      </c>
      <c r="B306" s="33">
        <f>outerTopFlangeSplicePlateThickness+innerTopFlangeSplicePlateThickness</f>
        <v>0</v>
      </c>
      <c r="C306" s="28" t="e">
        <f>VLOOKUP(topFlangeSpliceMaterialEnum,steelGradeTable, COLUMN(Table2[[#Headers],[Fu (ksi)]]))</f>
        <v>#N/A</v>
      </c>
      <c r="D306" s="33" t="e">
        <f>B306*C306</f>
        <v>#N/A</v>
      </c>
      <c r="E306" s="28"/>
      <c r="H306" s="36"/>
      <c r="I306" s="36"/>
      <c r="J306" s="36"/>
    </row>
    <row r="307" spans="1:11" s="18" customFormat="1" ht="18.75" customHeight="1" x14ac:dyDescent="0.25">
      <c r="A307" s="32" t="s">
        <v>93</v>
      </c>
      <c r="B307" s="33">
        <f>leftTopFlangeThickness</f>
        <v>1.625</v>
      </c>
      <c r="C307" s="105">
        <f>VLOOKUP(leftTopFlangeMaterialEnum,steelGradeTable, COLUMN(Table2[[#Headers],[Fu (ksi)]]))</f>
        <v>58</v>
      </c>
      <c r="D307" s="33">
        <f>C307*B307</f>
        <v>94.25</v>
      </c>
      <c r="E307" s="104" t="str">
        <f>IF(MIN(D307,D308)=D307,"CONTROLS","")</f>
        <v>CONTROLS</v>
      </c>
    </row>
    <row r="308" spans="1:11" s="18" customFormat="1" ht="18.75" customHeight="1" x14ac:dyDescent="0.25">
      <c r="A308" s="32" t="s">
        <v>94</v>
      </c>
      <c r="B308" s="33">
        <f>rightTopFlangeThickness</f>
        <v>1.625</v>
      </c>
      <c r="C308" s="105">
        <f>VLOOKUP(rightTopFlangeMaterialEnum,steelGradeTable, COLUMN(Table2[[#Headers],[Fu (ksi)]]))</f>
        <v>58</v>
      </c>
      <c r="D308" s="33">
        <f t="shared" ref="D308:D311" si="12">C308*B308</f>
        <v>94.25</v>
      </c>
      <c r="E308" s="104" t="str">
        <f>IF(MIN(D307,D308)=D308,"CONTROLS","")</f>
        <v>CONTROLS</v>
      </c>
    </row>
    <row r="309" spans="1:11" s="18" customFormat="1" ht="18.75" customHeight="1" x14ac:dyDescent="0.25">
      <c r="A309" s="32" t="s">
        <v>430</v>
      </c>
      <c r="B309" s="33">
        <f>innerBottomFlangeSplicePlateThickness+outerBottomFlangeSplicePlateThickness</f>
        <v>1.6875</v>
      </c>
      <c r="C309" s="105">
        <f>VLOOKUP(bottomFlangeSpliceMaterialEnum,steelGradeTable, COLUMN(Table2[[#Headers],[Fu (ksi)]]))</f>
        <v>65</v>
      </c>
      <c r="D309" s="33">
        <f>B309*C309</f>
        <v>109.6875</v>
      </c>
      <c r="E309" s="104"/>
    </row>
    <row r="310" spans="1:11" s="18" customFormat="1" ht="18.75" customHeight="1" x14ac:dyDescent="0.25">
      <c r="A310" s="32" t="s">
        <v>109</v>
      </c>
      <c r="B310" s="33">
        <f>leftBottomFlangeThickness</f>
        <v>1.625</v>
      </c>
      <c r="C310" s="105">
        <f>VLOOKUP(leftBottomFlangeMaterialEnum,steelGradeTable, COLUMN(Table2[[#Headers],[Fu (ksi)]]))</f>
        <v>58</v>
      </c>
      <c r="D310" s="33">
        <f t="shared" si="12"/>
        <v>94.25</v>
      </c>
      <c r="E310" s="104" t="str">
        <f>IF(MIN(D310,D311)=D310,"CONTROLS","")</f>
        <v>CONTROLS</v>
      </c>
    </row>
    <row r="311" spans="1:11" s="18" customFormat="1" ht="18.75" customHeight="1" x14ac:dyDescent="0.25">
      <c r="A311" s="32" t="s">
        <v>110</v>
      </c>
      <c r="B311" s="33">
        <f>rightBottomFlangeThickness</f>
        <v>1.625</v>
      </c>
      <c r="C311" s="105">
        <f>VLOOKUP(rightBottomFlangeMaterialEnum,steelGradeTable, COLUMN(Table2[[#Headers],[Fu (ksi)]]))</f>
        <v>58</v>
      </c>
      <c r="D311" s="33">
        <f t="shared" si="12"/>
        <v>94.25</v>
      </c>
      <c r="E311" s="104" t="str">
        <f>IF(MIN(D310,D311)=D311,"CONTROLS","")</f>
        <v>CONTROLS</v>
      </c>
    </row>
    <row r="312" spans="1:11" s="18" customFormat="1" x14ac:dyDescent="0.25">
      <c r="B312" s="83"/>
      <c r="C312" s="80"/>
      <c r="D312" s="83"/>
      <c r="E312" s="119"/>
      <c r="F312" s="120"/>
      <c r="G312" s="120"/>
      <c r="H312" s="120"/>
      <c r="I312" s="120"/>
      <c r="J312" s="120"/>
    </row>
    <row r="313" spans="1:11" s="18" customFormat="1" ht="31.5" x14ac:dyDescent="0.25">
      <c r="A313" s="28" t="s">
        <v>74</v>
      </c>
      <c r="B313" s="28" t="s">
        <v>208</v>
      </c>
      <c r="C313" s="28" t="s">
        <v>226</v>
      </c>
      <c r="D313" s="28" t="s">
        <v>227</v>
      </c>
      <c r="E313" s="28" t="s">
        <v>353</v>
      </c>
      <c r="F313" s="28" t="s">
        <v>367</v>
      </c>
      <c r="G313" s="28" t="s">
        <v>219</v>
      </c>
      <c r="H313" s="28" t="s">
        <v>249</v>
      </c>
      <c r="I313" s="83"/>
      <c r="J313" s="83"/>
    </row>
    <row r="314" spans="1:11" s="18" customFormat="1" x14ac:dyDescent="0.25">
      <c r="A314" s="32" t="s">
        <v>93</v>
      </c>
      <c r="B314" s="221">
        <f>VLOOKUP(boltDiameterEnum,boltPropertiesTable, IF(EXACT(holeSizeFactorEnum,"Standard"),COLUMN(Table1[[#Headers],[Standard Hole Diameter (in)]]),COLUMN(Table1[[#Headers],[Oversized Hole Diameter (in)]])))</f>
        <v>1.125</v>
      </c>
      <c r="C314" s="221">
        <f>boltDiameterEnum</f>
        <v>1</v>
      </c>
      <c r="D314" s="204">
        <f>C314*2</f>
        <v>2</v>
      </c>
      <c r="E314" s="221">
        <f>minimumEndDistanceFlangeCalculated</f>
        <v>2</v>
      </c>
      <c r="F314" s="221">
        <f>flangeBoltLongPitchCalculated</f>
        <v>3.5</v>
      </c>
      <c r="G314" s="226">
        <f>topFlangeTotalBoltCalculatedFinal</f>
        <v>12</v>
      </c>
      <c r="H314" s="226">
        <f>topFlangeBoltRowsCalculated</f>
        <v>4</v>
      </c>
      <c r="I314" s="83"/>
      <c r="J314" s="83"/>
    </row>
    <row r="315" spans="1:11" s="18" customFormat="1" x14ac:dyDescent="0.25">
      <c r="A315" s="32" t="s">
        <v>94</v>
      </c>
      <c r="B315" s="222"/>
      <c r="C315" s="222"/>
      <c r="D315" s="205"/>
      <c r="E315" s="222"/>
      <c r="F315" s="222"/>
      <c r="G315" s="226"/>
      <c r="H315" s="226"/>
      <c r="I315" s="83"/>
      <c r="J315" s="83"/>
    </row>
    <row r="316" spans="1:11" s="18" customFormat="1" x14ac:dyDescent="0.25">
      <c r="A316" s="32" t="s">
        <v>109</v>
      </c>
      <c r="B316" s="222"/>
      <c r="C316" s="222"/>
      <c r="D316" s="205"/>
      <c r="E316" s="222"/>
      <c r="F316" s="222"/>
      <c r="G316" s="226">
        <f>bottomFlangeTotalBoltCalculatedFinal</f>
        <v>16</v>
      </c>
      <c r="H316" s="226">
        <f>bottomFlangeBoltRowsCalculated</f>
        <v>4</v>
      </c>
      <c r="I316" s="83"/>
      <c r="J316" s="83"/>
    </row>
    <row r="317" spans="1:11" s="18" customFormat="1" x14ac:dyDescent="0.25">
      <c r="A317" s="32" t="s">
        <v>110</v>
      </c>
      <c r="B317" s="223"/>
      <c r="C317" s="223"/>
      <c r="D317" s="206"/>
      <c r="E317" s="223"/>
      <c r="F317" s="223"/>
      <c r="G317" s="226"/>
      <c r="H317" s="226"/>
      <c r="I317" s="83"/>
      <c r="J317" s="83"/>
    </row>
    <row r="318" spans="1:11" s="18" customFormat="1" x14ac:dyDescent="0.25">
      <c r="B318" s="83"/>
      <c r="C318" s="83"/>
      <c r="D318" s="80"/>
      <c r="E318" s="83"/>
      <c r="F318" s="119"/>
      <c r="G318" s="120"/>
      <c r="H318" s="120"/>
      <c r="I318" s="120"/>
      <c r="J318" s="120"/>
      <c r="K318" s="120"/>
    </row>
    <row r="319" spans="1:11" s="18" customFormat="1" x14ac:dyDescent="0.25">
      <c r="B319" s="83"/>
      <c r="C319" s="83"/>
      <c r="D319" s="80"/>
      <c r="E319" s="207" t="s">
        <v>354</v>
      </c>
      <c r="F319" s="208"/>
      <c r="G319" s="208"/>
      <c r="H319" s="209"/>
      <c r="I319" s="131"/>
    </row>
    <row r="320" spans="1:11" s="18" customFormat="1" ht="36" x14ac:dyDescent="0.35">
      <c r="A320" s="28" t="s">
        <v>74</v>
      </c>
      <c r="B320" s="28" t="s">
        <v>16</v>
      </c>
      <c r="C320" s="28" t="s">
        <v>137</v>
      </c>
      <c r="D320" s="144" t="s">
        <v>440</v>
      </c>
      <c r="E320" s="28" t="s">
        <v>228</v>
      </c>
      <c r="F320" s="28" t="s">
        <v>443</v>
      </c>
      <c r="G320" s="28" t="s">
        <v>443</v>
      </c>
      <c r="H320" s="108" t="s">
        <v>206</v>
      </c>
    </row>
    <row r="321" spans="1:9" s="18" customFormat="1" ht="30.95" customHeight="1" x14ac:dyDescent="0.25">
      <c r="A321" s="99" t="s">
        <v>266</v>
      </c>
      <c r="B321" s="137">
        <f>outerTopFlangeSplicePlateThickness</f>
        <v>0</v>
      </c>
      <c r="C321" s="110" t="e">
        <f>VLOOKUP(topFlangeSpliceMaterialEnum,steelGradeTable, COLUMN(Table2[[#Headers],[Fu (ksi)]]))</f>
        <v>#N/A</v>
      </c>
      <c r="D321" s="204">
        <f>VLOOKUP("fbb", Table5[],2)</f>
        <v>0.8</v>
      </c>
      <c r="E321" s="204">
        <f>E314-B314/2</f>
        <v>1.4375</v>
      </c>
      <c r="F321" s="137" t="str">
        <f>IF(E321&lt;D314,"DNA",topFlangeBoltRowsCalculated* 2.4*C314*B321*C321)</f>
        <v>DNA</v>
      </c>
      <c r="G321" s="137" t="e">
        <f>IF(E321&lt;D314,topFlangeBoltRowsCalculated*1.2*E321*B321*C321, "DNA")</f>
        <v>#N/A</v>
      </c>
      <c r="H321" s="33">
        <f>D321*(IF(ISNUMBER(G321),G321,0)+IF(ISNUMBER(F321),F321,0))</f>
        <v>0</v>
      </c>
    </row>
    <row r="322" spans="1:9" s="18" customFormat="1" ht="30.95" customHeight="1" x14ac:dyDescent="0.25">
      <c r="A322" s="32" t="s">
        <v>93</v>
      </c>
      <c r="B322" s="204">
        <f>CHOOSE(MATCH("CONTROLS",E307:E308,0),B307,B308)</f>
        <v>1.625</v>
      </c>
      <c r="C322" s="224">
        <f>CHOOSE(MATCH("CONTROLS",E307:E308,0),C307,C308)</f>
        <v>58</v>
      </c>
      <c r="D322" s="205"/>
      <c r="E322" s="205"/>
      <c r="F322" s="210" t="str">
        <f>IF(E321&lt;D314,"DNA",topFlangeBoltRowsCalculated* 2.4*C314*B322*C322)</f>
        <v>DNA</v>
      </c>
      <c r="G322" s="210">
        <f>IF(E321&lt;D314,topFlangeBoltRowsCalculated*1.2*E321*B322*C322, "DNA")</f>
        <v>650.32499999999993</v>
      </c>
      <c r="H322" s="210">
        <f>D321*(IF(ISNUMBER(G322),G322,0)+IF(ISNUMBER(F322),F322,0))</f>
        <v>520.26</v>
      </c>
    </row>
    <row r="323" spans="1:9" s="18" customFormat="1" ht="30.95" customHeight="1" x14ac:dyDescent="0.25">
      <c r="A323" s="32" t="s">
        <v>94</v>
      </c>
      <c r="B323" s="206"/>
      <c r="C323" s="224"/>
      <c r="D323" s="205"/>
      <c r="E323" s="205"/>
      <c r="F323" s="210"/>
      <c r="G323" s="210"/>
      <c r="H323" s="210"/>
    </row>
    <row r="324" spans="1:9" s="18" customFormat="1" ht="30.95" customHeight="1" x14ac:dyDescent="0.25">
      <c r="A324" s="99" t="s">
        <v>267</v>
      </c>
      <c r="B324" s="33">
        <f>innerTopFlangeSplicePlateThickness</f>
        <v>0</v>
      </c>
      <c r="C324" s="105" t="e">
        <f>VLOOKUP(topFlangeSpliceMaterialEnum,steelGradeTable, COLUMN(Table2[[#Headers],[Fu (ksi)]]))</f>
        <v>#N/A</v>
      </c>
      <c r="D324" s="205"/>
      <c r="E324" s="205"/>
      <c r="F324" s="33" t="str">
        <f>IF(E321&lt;D314,"DNA",topFlangeBoltRowsCalculated* 2.4*C314*B324*C324)</f>
        <v>DNA</v>
      </c>
      <c r="G324" s="33" t="e">
        <f>IF(E321&lt;D314,topFlangeBoltRowsCalculated*1.2*E321*B324*C324, "DNA")</f>
        <v>#N/A</v>
      </c>
      <c r="H324" s="141">
        <f>D321*(IF(ISNUMBER(G324),G324,0)+IF(ISNUMBER(F324),F324,0))</f>
        <v>0</v>
      </c>
    </row>
    <row r="325" spans="1:9" s="18" customFormat="1" ht="30.95" customHeight="1" x14ac:dyDescent="0.25">
      <c r="A325" s="99" t="s">
        <v>268</v>
      </c>
      <c r="B325" s="33">
        <f>innerBottomFlangeSplicePlateThickness</f>
        <v>1</v>
      </c>
      <c r="C325" s="105">
        <f>VLOOKUP(bottomFlangeSpliceMaterialEnum,steelGradeTable, COLUMN(Table2[[#Headers],[Fu (ksi)]]))</f>
        <v>65</v>
      </c>
      <c r="D325" s="205"/>
      <c r="E325" s="205"/>
      <c r="F325" s="33" t="str">
        <f>IF(E321&lt;D314,"DNA",bottomFlangeBoltRowsCalculated* 2.4*C314*B325*C325)</f>
        <v>DNA</v>
      </c>
      <c r="G325" s="33">
        <f>IF(E321&lt;D314,bottomFlangeBoltRowsCalculated*1.2*E321*B325*C325, "DNA")</f>
        <v>448.49999999999994</v>
      </c>
      <c r="H325" s="141">
        <f>D321*(IF(ISNUMBER(G325),G325,0)+IF(ISNUMBER(F325),F325,0))</f>
        <v>358.79999999999995</v>
      </c>
    </row>
    <row r="326" spans="1:9" s="18" customFormat="1" ht="30.95" customHeight="1" x14ac:dyDescent="0.25">
      <c r="A326" s="32" t="s">
        <v>109</v>
      </c>
      <c r="B326" s="204">
        <f>CHOOSE(MATCH("CONTROLS",E310:E311,0),B310,B311)</f>
        <v>1.625</v>
      </c>
      <c r="C326" s="224">
        <f>CHOOSE(MATCH("CONTROLS",E310:E311,0),C310,C311)</f>
        <v>58</v>
      </c>
      <c r="D326" s="205"/>
      <c r="E326" s="205"/>
      <c r="F326" s="210" t="str">
        <f>IF(E321&lt;D314,"DNA",bottomFlangeBoltRowsCalculated* 2.4*C314*B326*C326)</f>
        <v>DNA</v>
      </c>
      <c r="G326" s="210">
        <f>IF(E321&lt;D314,bottomFlangeBoltRowsCalculated*1.2*E321*B326*C326, "DNA")</f>
        <v>650.32499999999993</v>
      </c>
      <c r="H326" s="210">
        <f>D321*(IF(ISNUMBER(G326),G326,0)+IF(ISNUMBER(F326),F326,0))</f>
        <v>520.26</v>
      </c>
    </row>
    <row r="327" spans="1:9" s="18" customFormat="1" ht="30.95" customHeight="1" x14ac:dyDescent="0.25">
      <c r="A327" s="32" t="s">
        <v>110</v>
      </c>
      <c r="B327" s="206"/>
      <c r="C327" s="224"/>
      <c r="D327" s="205"/>
      <c r="E327" s="205"/>
      <c r="F327" s="210"/>
      <c r="G327" s="210"/>
      <c r="H327" s="210"/>
    </row>
    <row r="328" spans="1:9" s="18" customFormat="1" ht="30.95" customHeight="1" x14ac:dyDescent="0.25">
      <c r="A328" s="99" t="s">
        <v>269</v>
      </c>
      <c r="B328" s="33">
        <f>outerBottomFlangeSplicePlateThickness</f>
        <v>0.6875</v>
      </c>
      <c r="C328" s="105">
        <f>VLOOKUP(bottomFlangeSpliceMaterialEnum,steelGradeTable, COLUMN(Table2[[#Headers],[Fu (ksi)]]))</f>
        <v>65</v>
      </c>
      <c r="D328" s="206"/>
      <c r="E328" s="206"/>
      <c r="F328" s="33" t="str">
        <f>IF(E321&lt;D314,"DNA",bottomFlangeBoltRowsCalculated* 2.4*C314*B328*C328)</f>
        <v>DNA</v>
      </c>
      <c r="G328" s="33">
        <f>IF(E321&lt;D314,bottomFlangeBoltRowsCalculated*1.2*E321*B328*C328, "DNA")</f>
        <v>308.34374999999994</v>
      </c>
      <c r="H328" s="33">
        <f>D321*(IF(ISNUMBER(G328),G328,0)+IF(ISNUMBER(F328),F328,0))</f>
        <v>246.67499999999995</v>
      </c>
    </row>
    <row r="329" spans="1:9" s="18" customFormat="1" x14ac:dyDescent="0.25">
      <c r="B329" s="83"/>
      <c r="C329" s="80"/>
      <c r="D329" s="83"/>
      <c r="E329" s="119"/>
      <c r="F329" s="120"/>
      <c r="G329" s="120"/>
      <c r="H329" s="120"/>
      <c r="I329" s="120"/>
    </row>
    <row r="330" spans="1:9" s="18" customFormat="1" x14ac:dyDescent="0.25">
      <c r="B330" s="83"/>
      <c r="C330" s="83"/>
      <c r="D330" s="80"/>
      <c r="E330" s="213" t="s">
        <v>355</v>
      </c>
      <c r="F330" s="214"/>
      <c r="G330" s="214"/>
      <c r="H330" s="215"/>
    </row>
    <row r="331" spans="1:9" s="18" customFormat="1" ht="36" x14ac:dyDescent="0.35">
      <c r="A331" s="28" t="s">
        <v>74</v>
      </c>
      <c r="B331" s="28" t="s">
        <v>16</v>
      </c>
      <c r="C331" s="28" t="s">
        <v>137</v>
      </c>
      <c r="D331" s="144" t="s">
        <v>440</v>
      </c>
      <c r="E331" s="28" t="s">
        <v>228</v>
      </c>
      <c r="F331" s="28" t="s">
        <v>443</v>
      </c>
      <c r="G331" s="28" t="s">
        <v>443</v>
      </c>
      <c r="H331" s="108" t="s">
        <v>206</v>
      </c>
    </row>
    <row r="332" spans="1:9" s="18" customFormat="1" ht="30.95" customHeight="1" x14ac:dyDescent="0.25">
      <c r="A332" s="99" t="s">
        <v>266</v>
      </c>
      <c r="B332" s="137">
        <f>outerTopFlangeSplicePlateThickness</f>
        <v>0</v>
      </c>
      <c r="C332" s="110" t="e">
        <f>VLOOKUP(topFlangeSpliceMaterialEnum,steelGradeTable, COLUMN(Table2[[#Headers],[Fu (ksi)]]))</f>
        <v>#N/A</v>
      </c>
      <c r="D332" s="204">
        <f>VLOOKUP("fbb", Table5[],2)</f>
        <v>0.8</v>
      </c>
      <c r="E332" s="204">
        <f>F314-B314</f>
        <v>2.375</v>
      </c>
      <c r="F332" s="138" t="e">
        <f>IF(E332&lt;D314,"DNA", (G314-H314)*2.4*C314*C332*B332)</f>
        <v>#N/A</v>
      </c>
      <c r="G332" s="138" t="str">
        <f>IF(E332&lt;D314, (G314-H314)*1.2*E332*B332*C332, "DNA")</f>
        <v>DNA</v>
      </c>
      <c r="H332" s="33">
        <f>D332*(IF(ISNUMBER(F332),F332,0)+IF(ISNUMBER(G332),G332,0))</f>
        <v>0</v>
      </c>
    </row>
    <row r="333" spans="1:9" s="18" customFormat="1" ht="30.95" customHeight="1" x14ac:dyDescent="0.25">
      <c r="A333" s="32" t="s">
        <v>93</v>
      </c>
      <c r="B333" s="204">
        <f>CHOOSE(MATCH("CONTROLS",E307:E308,0),B307,B308)</f>
        <v>1.625</v>
      </c>
      <c r="C333" s="224">
        <f>CHOOSE(MATCH("CONTROLS",E307:E308,0),C307,C308)</f>
        <v>58</v>
      </c>
      <c r="D333" s="205"/>
      <c r="E333" s="205"/>
      <c r="F333" s="204">
        <f>IF(E332&lt;D314,"DNA", (G314-H314)*2.4*C314*C333*B333)</f>
        <v>1809.6</v>
      </c>
      <c r="G333" s="216" t="str">
        <f>IF(E332&lt;D314, (G314-H314)*1.2*E332*B333*C333, "DNA")</f>
        <v>DNA</v>
      </c>
      <c r="H333" s="210">
        <f>D332*(IF(ISNUMBER(F333),F333,0)+IF(ISNUMBER(G333),G333,0))</f>
        <v>1447.68</v>
      </c>
    </row>
    <row r="334" spans="1:9" s="18" customFormat="1" ht="30.95" customHeight="1" x14ac:dyDescent="0.25">
      <c r="A334" s="32" t="s">
        <v>94</v>
      </c>
      <c r="B334" s="206"/>
      <c r="C334" s="224"/>
      <c r="D334" s="205"/>
      <c r="E334" s="205"/>
      <c r="F334" s="206"/>
      <c r="G334" s="217"/>
      <c r="H334" s="210"/>
    </row>
    <row r="335" spans="1:9" s="18" customFormat="1" ht="30.95" customHeight="1" x14ac:dyDescent="0.25">
      <c r="A335" s="99" t="s">
        <v>267</v>
      </c>
      <c r="B335" s="33">
        <f>innerTopFlangeSplicePlateThickness</f>
        <v>0</v>
      </c>
      <c r="C335" s="105" t="e">
        <f>VLOOKUP(topFlangeSpliceMaterialEnum,steelGradeTable, COLUMN(Table2[[#Headers],[Fu (ksi)]]))</f>
        <v>#N/A</v>
      </c>
      <c r="D335" s="205"/>
      <c r="E335" s="205"/>
      <c r="F335" s="33" t="e">
        <f>IF(E332&lt;D314,"DNA", (G314-H314)*2.4*C314*C335*B335)</f>
        <v>#N/A</v>
      </c>
      <c r="G335" s="103" t="str">
        <f>IF(E332&lt;D314, (G314-H314)*1.2*E332*B335*C335, "DNA")</f>
        <v>DNA</v>
      </c>
      <c r="H335" s="33">
        <f>D332*(IF(ISNUMBER(F335),F335,0)+IF(ISNUMBER(G335),G335,0))</f>
        <v>0</v>
      </c>
    </row>
    <row r="336" spans="1:9" s="18" customFormat="1" ht="30.95" customHeight="1" x14ac:dyDescent="0.25">
      <c r="A336" s="99" t="s">
        <v>268</v>
      </c>
      <c r="B336" s="33">
        <f>innerBottomFlangeSplicePlateThickness</f>
        <v>1</v>
      </c>
      <c r="C336" s="105">
        <f>VLOOKUP(bottomFlangeSpliceMaterialEnum,steelGradeTable, COLUMN(Table2[[#Headers],[Fu (ksi)]]))</f>
        <v>65</v>
      </c>
      <c r="D336" s="205"/>
      <c r="E336" s="205"/>
      <c r="F336" s="33">
        <f>IF(E332&lt;D314,"DNA",  (G316-H316)*2.4*C314*C336*B336)</f>
        <v>1871.9999999999998</v>
      </c>
      <c r="G336" s="103" t="str">
        <f>IF(E332&lt;D314, (G316-H316)*1.2*E332*B336*C336, "DNA")</f>
        <v>DNA</v>
      </c>
      <c r="H336" s="33">
        <f>D332*(IF(ISNUMBER(F336),F336,0)+IF(ISNUMBER(G336),G336,0))</f>
        <v>1497.6</v>
      </c>
    </row>
    <row r="337" spans="1:10" s="18" customFormat="1" ht="30.95" customHeight="1" x14ac:dyDescent="0.25">
      <c r="A337" s="32" t="s">
        <v>109</v>
      </c>
      <c r="B337" s="204">
        <f>CHOOSE(MATCH("CONTROLS",E310:E311,0),B310,B311)</f>
        <v>1.625</v>
      </c>
      <c r="C337" s="224">
        <f>CHOOSE(MATCH("CONTROLS",E310:E311,0),C310,C311)</f>
        <v>58</v>
      </c>
      <c r="D337" s="205"/>
      <c r="E337" s="205"/>
      <c r="F337" s="204">
        <f>IF(E332&lt;D314,"DNA",  (G316-H316)*2.4*C314*C337*B337)</f>
        <v>2714.3999999999996</v>
      </c>
      <c r="G337" s="216" t="str">
        <f>IF(E332&lt;D314, (G316-H316)*1.2*E332*B337*C337, "DNA")</f>
        <v>DNA</v>
      </c>
      <c r="H337" s="210">
        <f>D332*(IF(ISNUMBER(F337),F337,0)+IF(ISNUMBER(G337),G337,0))</f>
        <v>2171.52</v>
      </c>
    </row>
    <row r="338" spans="1:10" s="18" customFormat="1" ht="30.95" customHeight="1" x14ac:dyDescent="0.25">
      <c r="A338" s="32" t="s">
        <v>110</v>
      </c>
      <c r="B338" s="206"/>
      <c r="C338" s="224"/>
      <c r="D338" s="205"/>
      <c r="E338" s="205"/>
      <c r="F338" s="206"/>
      <c r="G338" s="217"/>
      <c r="H338" s="210"/>
    </row>
    <row r="339" spans="1:10" s="18" customFormat="1" ht="30.95" customHeight="1" x14ac:dyDescent="0.25">
      <c r="A339" s="99" t="s">
        <v>269</v>
      </c>
      <c r="B339" s="33">
        <f>outerBottomFlangeSplicePlateThickness</f>
        <v>0.6875</v>
      </c>
      <c r="C339" s="105">
        <f>VLOOKUP(bottomFlangeSpliceMaterialEnum,steelGradeTable, COLUMN(Table2[[#Headers],[Fu (ksi)]]))</f>
        <v>65</v>
      </c>
      <c r="D339" s="206"/>
      <c r="E339" s="206"/>
      <c r="F339" s="33">
        <f>IF(E332&lt;D314,"DNA",  (G316-H316)*2.4*C314*C339*B339)</f>
        <v>1286.9999999999998</v>
      </c>
      <c r="G339" s="103" t="str">
        <f>IF(E332&lt;D314, (G316-H316)*1.2*E332*B339*C339, "DNA")</f>
        <v>DNA</v>
      </c>
      <c r="H339" s="33">
        <f>D332*(IF(ISNUMBER(F339),F339,0)+IF(ISNUMBER(G339),G339,0))</f>
        <v>1029.5999999999999</v>
      </c>
    </row>
    <row r="340" spans="1:10" s="18" customFormat="1" x14ac:dyDescent="0.25">
      <c r="B340" s="43"/>
      <c r="C340" s="91"/>
      <c r="D340" s="43"/>
      <c r="E340" s="43"/>
      <c r="F340" s="43"/>
      <c r="G340" s="83"/>
      <c r="H340" s="43"/>
    </row>
    <row r="341" spans="1:10" s="18" customFormat="1" x14ac:dyDescent="0.25">
      <c r="B341" s="207" t="s">
        <v>364</v>
      </c>
      <c r="C341" s="209"/>
      <c r="E341" s="119"/>
      <c r="F341" s="120"/>
      <c r="G341" s="120"/>
      <c r="H341" s="120"/>
      <c r="I341" s="120"/>
      <c r="J341" s="120"/>
    </row>
    <row r="342" spans="1:10" s="18" customFormat="1" ht="36" x14ac:dyDescent="0.35">
      <c r="A342" s="28" t="s">
        <v>74</v>
      </c>
      <c r="B342" s="124" t="s">
        <v>484</v>
      </c>
      <c r="C342" s="124" t="s">
        <v>485</v>
      </c>
      <c r="D342" s="127" t="s">
        <v>486</v>
      </c>
      <c r="E342" s="119"/>
      <c r="F342" s="120"/>
      <c r="G342" s="120"/>
      <c r="H342" s="120"/>
      <c r="I342" s="120"/>
      <c r="J342" s="120"/>
    </row>
    <row r="343" spans="1:10" s="18" customFormat="1" ht="30.95" customHeight="1" x14ac:dyDescent="0.25">
      <c r="A343" s="99" t="s">
        <v>266</v>
      </c>
      <c r="B343" s="33">
        <f>H314*flangeBoltSingleShearCapacity*topFlangeFillerReduction</f>
        <v>168.89202105698729</v>
      </c>
      <c r="C343" s="139">
        <f>H321</f>
        <v>0</v>
      </c>
      <c r="D343" s="138">
        <f>MIN(B343,C343)</f>
        <v>0</v>
      </c>
      <c r="E343" s="119"/>
      <c r="F343" s="120"/>
      <c r="G343" s="120"/>
      <c r="H343" s="120"/>
      <c r="I343" s="120"/>
      <c r="J343" s="120"/>
    </row>
    <row r="344" spans="1:10" s="18" customFormat="1" ht="30.95" customHeight="1" x14ac:dyDescent="0.25">
      <c r="A344" s="32" t="s">
        <v>93</v>
      </c>
      <c r="B344" s="210">
        <f>H314*flangeBoltDoubleShearCapacity*topFlangeFillerReduction</f>
        <v>337.78404211397458</v>
      </c>
      <c r="C344" s="204">
        <f>H322</f>
        <v>520.26</v>
      </c>
      <c r="D344" s="204">
        <f>MIN(B344,C344)</f>
        <v>337.78404211397458</v>
      </c>
      <c r="E344" s="119"/>
      <c r="F344" s="120"/>
      <c r="G344" s="120"/>
      <c r="H344" s="120"/>
      <c r="I344" s="120"/>
      <c r="J344" s="120"/>
    </row>
    <row r="345" spans="1:10" s="18" customFormat="1" ht="30.95" customHeight="1" x14ac:dyDescent="0.25">
      <c r="A345" s="32" t="s">
        <v>94</v>
      </c>
      <c r="B345" s="210"/>
      <c r="C345" s="206"/>
      <c r="D345" s="206"/>
      <c r="E345" s="119"/>
      <c r="F345" s="120"/>
      <c r="G345" s="120"/>
      <c r="H345" s="120"/>
      <c r="I345" s="120"/>
      <c r="J345" s="120"/>
    </row>
    <row r="346" spans="1:10" s="18" customFormat="1" ht="30.95" customHeight="1" x14ac:dyDescent="0.25">
      <c r="A346" s="99" t="s">
        <v>267</v>
      </c>
      <c r="B346" s="33">
        <f>H314*flangeBoltSingleShearCapacity*topFlangeFillerReduction</f>
        <v>168.89202105698729</v>
      </c>
      <c r="C346" s="33">
        <f>H324</f>
        <v>0</v>
      </c>
      <c r="D346" s="33">
        <f>MIN(B346,C346)</f>
        <v>0</v>
      </c>
      <c r="E346" s="119"/>
      <c r="F346" s="120"/>
      <c r="G346" s="120"/>
      <c r="H346" s="120"/>
      <c r="I346" s="120"/>
      <c r="J346" s="120"/>
    </row>
    <row r="347" spans="1:10" s="18" customFormat="1" ht="30.95" customHeight="1" x14ac:dyDescent="0.25">
      <c r="A347" s="99" t="s">
        <v>268</v>
      </c>
      <c r="B347" s="33">
        <f>H316*flangeBoltSingleShearCapacity*bottomFlangeFillerReduction</f>
        <v>168.89202105698729</v>
      </c>
      <c r="C347" s="33">
        <f>H325</f>
        <v>358.79999999999995</v>
      </c>
      <c r="D347" s="33">
        <f>MIN(B347,C347)</f>
        <v>168.89202105698729</v>
      </c>
      <c r="E347" s="119"/>
      <c r="F347" s="120"/>
      <c r="G347" s="120"/>
      <c r="H347" s="120"/>
      <c r="I347" s="120"/>
      <c r="J347" s="120"/>
    </row>
    <row r="348" spans="1:10" s="18" customFormat="1" ht="30.95" customHeight="1" x14ac:dyDescent="0.25">
      <c r="A348" s="32" t="s">
        <v>109</v>
      </c>
      <c r="B348" s="210">
        <f>H316*flangeBoltDoubleShearCapacity*bottomFlangeFillerReduction</f>
        <v>337.78404211397458</v>
      </c>
      <c r="C348" s="205">
        <f>H326</f>
        <v>520.26</v>
      </c>
      <c r="D348" s="205">
        <f>MIN(B348,C348)</f>
        <v>337.78404211397458</v>
      </c>
      <c r="E348" s="119"/>
      <c r="F348" s="120"/>
      <c r="G348" s="120"/>
      <c r="H348" s="120"/>
      <c r="I348" s="120"/>
      <c r="J348" s="120"/>
    </row>
    <row r="349" spans="1:10" s="18" customFormat="1" ht="30.95" customHeight="1" x14ac:dyDescent="0.25">
      <c r="A349" s="32" t="s">
        <v>110</v>
      </c>
      <c r="B349" s="210"/>
      <c r="C349" s="206"/>
      <c r="D349" s="206"/>
      <c r="E349" s="119"/>
      <c r="F349" s="120"/>
      <c r="G349" s="120"/>
      <c r="H349" s="120"/>
      <c r="I349" s="120"/>
      <c r="J349" s="120"/>
    </row>
    <row r="350" spans="1:10" s="18" customFormat="1" ht="30.95" customHeight="1" x14ac:dyDescent="0.25">
      <c r="A350" s="99" t="s">
        <v>269</v>
      </c>
      <c r="B350" s="33">
        <f>H316*flangeBoltSingleShearCapacity*bottomFlangeFillerReduction</f>
        <v>168.89202105698729</v>
      </c>
      <c r="C350" s="33">
        <f>H328</f>
        <v>246.67499999999995</v>
      </c>
      <c r="D350" s="33">
        <f>MIN(B350,C350)</f>
        <v>168.89202105698729</v>
      </c>
      <c r="E350" s="119"/>
      <c r="F350" s="120"/>
      <c r="G350" s="120"/>
      <c r="H350" s="120"/>
      <c r="I350" s="120"/>
      <c r="J350" s="120"/>
    </row>
    <row r="351" spans="1:10" s="18" customFormat="1" x14ac:dyDescent="0.25">
      <c r="B351" s="83"/>
      <c r="C351" s="80"/>
      <c r="D351" s="83"/>
      <c r="E351" s="119"/>
      <c r="F351" s="120"/>
      <c r="G351" s="120"/>
      <c r="H351" s="120"/>
      <c r="I351" s="120"/>
      <c r="J351" s="120"/>
    </row>
    <row r="352" spans="1:10" s="18" customFormat="1" x14ac:dyDescent="0.25">
      <c r="B352" s="207" t="s">
        <v>363</v>
      </c>
      <c r="C352" s="209"/>
      <c r="D352" s="83"/>
      <c r="E352" s="119"/>
      <c r="F352" s="120"/>
      <c r="G352" s="120"/>
      <c r="H352" s="120"/>
      <c r="I352" s="120"/>
      <c r="J352" s="120"/>
    </row>
    <row r="353" spans="1:12" s="18" customFormat="1" ht="36" x14ac:dyDescent="0.35">
      <c r="A353" s="28" t="s">
        <v>74</v>
      </c>
      <c r="B353" s="124" t="s">
        <v>487</v>
      </c>
      <c r="C353" s="124" t="s">
        <v>485</v>
      </c>
      <c r="D353" s="127" t="s">
        <v>486</v>
      </c>
      <c r="E353" s="119"/>
      <c r="F353" s="120"/>
      <c r="G353" s="120"/>
      <c r="H353" s="120"/>
      <c r="I353" s="120"/>
      <c r="J353" s="120"/>
    </row>
    <row r="354" spans="1:12" s="18" customFormat="1" ht="30.95" customHeight="1" x14ac:dyDescent="0.25">
      <c r="A354" s="99" t="s">
        <v>266</v>
      </c>
      <c r="B354" s="33">
        <f>(G314-H314)*flangeBoltSingleShearCapacity*topFlangeFillerReduction</f>
        <v>337.78404211397458</v>
      </c>
      <c r="C354" s="139">
        <f>H332</f>
        <v>0</v>
      </c>
      <c r="D354" s="138">
        <f>MIN(B354,C354)</f>
        <v>0</v>
      </c>
      <c r="E354" s="119"/>
      <c r="F354" s="120"/>
      <c r="G354" s="120"/>
      <c r="H354" s="120"/>
      <c r="I354" s="120"/>
      <c r="J354" s="120"/>
    </row>
    <row r="355" spans="1:12" s="18" customFormat="1" ht="30.95" customHeight="1" x14ac:dyDescent="0.25">
      <c r="A355" s="32" t="s">
        <v>93</v>
      </c>
      <c r="B355" s="210">
        <f>(G314-H314)*flangeBoltDoubleShearCapacity*topFlangeFillerReduction</f>
        <v>675.56808422794916</v>
      </c>
      <c r="C355" s="204">
        <f>H333</f>
        <v>1447.68</v>
      </c>
      <c r="D355" s="204">
        <f>MIN(B355,C355)</f>
        <v>675.56808422794916</v>
      </c>
      <c r="E355" s="119"/>
      <c r="F355" s="120"/>
      <c r="G355" s="120"/>
      <c r="H355" s="120"/>
      <c r="I355" s="120"/>
      <c r="J355" s="120"/>
    </row>
    <row r="356" spans="1:12" s="18" customFormat="1" ht="30.95" customHeight="1" x14ac:dyDescent="0.25">
      <c r="A356" s="32" t="s">
        <v>94</v>
      </c>
      <c r="B356" s="210"/>
      <c r="C356" s="206"/>
      <c r="D356" s="206"/>
      <c r="E356" s="119"/>
      <c r="F356" s="120"/>
      <c r="G356" s="120"/>
      <c r="H356" s="120"/>
      <c r="I356" s="120"/>
      <c r="J356" s="120"/>
    </row>
    <row r="357" spans="1:12" s="18" customFormat="1" ht="30.95" customHeight="1" x14ac:dyDescent="0.25">
      <c r="A357" s="99" t="s">
        <v>267</v>
      </c>
      <c r="B357" s="33">
        <f>(G314-H314)*flangeBoltSingleShearCapacity*topFlangeFillerReduction</f>
        <v>337.78404211397458</v>
      </c>
      <c r="C357" s="33">
        <f>H335</f>
        <v>0</v>
      </c>
      <c r="D357" s="33">
        <f>MIN(B357,C357)</f>
        <v>0</v>
      </c>
      <c r="E357" s="119"/>
      <c r="F357" s="120"/>
      <c r="G357" s="120"/>
      <c r="H357" s="120"/>
      <c r="I357" s="120"/>
      <c r="J357" s="120"/>
    </row>
    <row r="358" spans="1:12" s="18" customFormat="1" ht="30.95" customHeight="1" x14ac:dyDescent="0.25">
      <c r="A358" s="99" t="s">
        <v>268</v>
      </c>
      <c r="B358" s="33">
        <f>(G316-H316)*flangeBoltSingleShearCapacity*bottomFlangeFillerReduction</f>
        <v>506.67606317096187</v>
      </c>
      <c r="C358" s="33">
        <f>H336</f>
        <v>1497.6</v>
      </c>
      <c r="D358" s="33">
        <f>MIN(B358,C358)</f>
        <v>506.67606317096187</v>
      </c>
      <c r="E358" s="119"/>
      <c r="F358" s="120"/>
      <c r="G358" s="120"/>
      <c r="H358" s="120"/>
      <c r="I358" s="120"/>
      <c r="J358" s="120"/>
    </row>
    <row r="359" spans="1:12" s="18" customFormat="1" ht="30.95" customHeight="1" x14ac:dyDescent="0.25">
      <c r="A359" s="32" t="s">
        <v>109</v>
      </c>
      <c r="B359" s="210">
        <f>(G316-H316)*flangeBoltDoubleShearCapacity*bottomFlangeFillerReduction</f>
        <v>1013.3521263419237</v>
      </c>
      <c r="C359" s="204">
        <f>H337</f>
        <v>2171.52</v>
      </c>
      <c r="D359" s="204">
        <f>MIN(B359,C359)</f>
        <v>1013.3521263419237</v>
      </c>
      <c r="E359" s="119"/>
      <c r="F359" s="120"/>
      <c r="G359" s="120"/>
      <c r="H359" s="120"/>
      <c r="I359" s="120"/>
      <c r="J359" s="120"/>
    </row>
    <row r="360" spans="1:12" s="18" customFormat="1" ht="30.95" customHeight="1" x14ac:dyDescent="0.25">
      <c r="A360" s="32" t="s">
        <v>110</v>
      </c>
      <c r="B360" s="210"/>
      <c r="C360" s="206"/>
      <c r="D360" s="206"/>
      <c r="E360" s="119"/>
      <c r="F360" s="120"/>
      <c r="G360" s="120"/>
      <c r="H360" s="120"/>
      <c r="I360" s="120"/>
      <c r="J360" s="120"/>
    </row>
    <row r="361" spans="1:12" s="18" customFormat="1" ht="30.95" customHeight="1" x14ac:dyDescent="0.25">
      <c r="A361" s="99" t="s">
        <v>269</v>
      </c>
      <c r="B361" s="33">
        <f>(G316-H316)*flangeBoltSingleShearCapacity*bottomFlangeFillerReduction</f>
        <v>506.67606317096187</v>
      </c>
      <c r="C361" s="33">
        <f>H339</f>
        <v>1029.5999999999999</v>
      </c>
      <c r="D361" s="33">
        <f>MIN(B361,C361)</f>
        <v>506.67606317096187</v>
      </c>
      <c r="E361" s="119"/>
      <c r="F361" s="120"/>
      <c r="G361" s="120"/>
      <c r="H361" s="120"/>
      <c r="I361" s="120"/>
      <c r="J361" s="120"/>
    </row>
    <row r="362" spans="1:12" s="18" customFormat="1" x14ac:dyDescent="0.25">
      <c r="B362" s="83"/>
      <c r="C362" s="83"/>
      <c r="D362" s="126"/>
      <c r="E362" s="119"/>
      <c r="F362" s="83"/>
      <c r="G362" s="119"/>
      <c r="H362" s="119"/>
      <c r="I362" s="143"/>
      <c r="J362" s="120"/>
      <c r="K362" s="120"/>
      <c r="L362" s="120"/>
    </row>
    <row r="363" spans="1:12" s="18" customFormat="1" ht="50.25" x14ac:dyDescent="0.25">
      <c r="A363" s="28" t="s">
        <v>74</v>
      </c>
      <c r="B363" s="127" t="s">
        <v>488</v>
      </c>
      <c r="C363" s="28" t="s">
        <v>431</v>
      </c>
      <c r="D363" s="28" t="s">
        <v>220</v>
      </c>
      <c r="E363" s="119"/>
      <c r="F363" s="119"/>
      <c r="G363" s="143"/>
      <c r="H363" s="120"/>
      <c r="I363" s="120"/>
      <c r="J363" s="120"/>
    </row>
    <row r="364" spans="1:12" s="18" customFormat="1" ht="30.95" customHeight="1" x14ac:dyDescent="0.25">
      <c r="A364" s="99" t="s">
        <v>266</v>
      </c>
      <c r="B364" s="138">
        <f>D343+D354</f>
        <v>0</v>
      </c>
      <c r="C364" s="140" t="e">
        <f>B168</f>
        <v>#DIV/0!</v>
      </c>
      <c r="D364" s="104" t="e">
        <f>IF(B364&gt;=C364,"OK","NG")</f>
        <v>#DIV/0!</v>
      </c>
      <c r="E364" s="119"/>
      <c r="F364" s="119"/>
      <c r="G364" s="143"/>
      <c r="H364" s="120"/>
      <c r="I364" s="120"/>
      <c r="J364" s="120"/>
    </row>
    <row r="365" spans="1:12" s="18" customFormat="1" ht="30.95" customHeight="1" x14ac:dyDescent="0.25">
      <c r="A365" s="32" t="s">
        <v>93</v>
      </c>
      <c r="B365" s="204">
        <f>D344+D355</f>
        <v>1013.3521263419237</v>
      </c>
      <c r="C365" s="218">
        <f>MIN(G35:G36)</f>
        <v>910.45499999999993</v>
      </c>
      <c r="D365" s="212" t="str">
        <f>IF(B365&gt;=C365,"OK","NG")</f>
        <v>OK</v>
      </c>
      <c r="E365" s="119"/>
      <c r="F365" s="119"/>
      <c r="G365" s="143"/>
      <c r="H365" s="120"/>
      <c r="I365" s="120"/>
      <c r="J365" s="120"/>
    </row>
    <row r="366" spans="1:12" s="18" customFormat="1" ht="30.95" customHeight="1" x14ac:dyDescent="0.25">
      <c r="A366" s="32" t="s">
        <v>94</v>
      </c>
      <c r="B366" s="211"/>
      <c r="C366" s="219"/>
      <c r="D366" s="219"/>
      <c r="E366" s="119"/>
      <c r="F366" s="119"/>
      <c r="G366" s="143"/>
      <c r="H366" s="120"/>
      <c r="I366" s="120"/>
      <c r="J366" s="120"/>
    </row>
    <row r="367" spans="1:12" s="18" customFormat="1" ht="30.95" customHeight="1" x14ac:dyDescent="0.25">
      <c r="A367" s="99" t="s">
        <v>267</v>
      </c>
      <c r="B367" s="33">
        <f>D346+D357</f>
        <v>0</v>
      </c>
      <c r="C367" s="82" t="e">
        <f>B169</f>
        <v>#DIV/0!</v>
      </c>
      <c r="D367" s="104" t="e">
        <f>IF(B367&gt;=C367,"OK","NG")</f>
        <v>#DIV/0!</v>
      </c>
      <c r="E367" s="119"/>
      <c r="F367" s="119"/>
      <c r="G367" s="143"/>
      <c r="H367" s="120"/>
      <c r="I367" s="120"/>
      <c r="J367" s="120"/>
    </row>
    <row r="368" spans="1:12" s="18" customFormat="1" ht="30.95" customHeight="1" x14ac:dyDescent="0.25">
      <c r="A368" s="99" t="s">
        <v>268</v>
      </c>
      <c r="B368" s="33">
        <f>D347+D358</f>
        <v>675.56808422794916</v>
      </c>
      <c r="C368" s="82">
        <f>B170</f>
        <v>517.70970588235286</v>
      </c>
      <c r="D368" s="104" t="str">
        <f>IF(B368&gt;=C368,"OK","NG")</f>
        <v>OK</v>
      </c>
      <c r="E368" s="119"/>
      <c r="F368" s="119"/>
      <c r="G368" s="143"/>
      <c r="H368" s="120"/>
      <c r="I368" s="120"/>
      <c r="J368" s="120"/>
    </row>
    <row r="369" spans="1:12" s="18" customFormat="1" ht="30.95" customHeight="1" x14ac:dyDescent="0.25">
      <c r="A369" s="32" t="s">
        <v>109</v>
      </c>
      <c r="B369" s="204">
        <f>D348+D359</f>
        <v>1351.1361684558983</v>
      </c>
      <c r="C369" s="218">
        <f>MIN(G37:G38)</f>
        <v>910.45499999999993</v>
      </c>
      <c r="D369" s="212" t="str">
        <f>IF(B369&gt;=C369,"OK","NG")</f>
        <v>OK</v>
      </c>
      <c r="E369" s="119"/>
      <c r="F369" s="119"/>
      <c r="G369" s="143"/>
      <c r="H369" s="120"/>
      <c r="I369" s="120"/>
      <c r="J369" s="120"/>
    </row>
    <row r="370" spans="1:12" s="18" customFormat="1" ht="30.95" customHeight="1" x14ac:dyDescent="0.25">
      <c r="A370" s="32" t="s">
        <v>110</v>
      </c>
      <c r="B370" s="211"/>
      <c r="C370" s="211"/>
      <c r="D370" s="211"/>
      <c r="E370" s="119"/>
      <c r="F370" s="119"/>
      <c r="G370" s="143"/>
      <c r="H370" s="120"/>
      <c r="I370" s="120"/>
      <c r="J370" s="120"/>
    </row>
    <row r="371" spans="1:12" s="18" customFormat="1" ht="30.95" customHeight="1" x14ac:dyDescent="0.25">
      <c r="A371" s="99" t="s">
        <v>269</v>
      </c>
      <c r="B371" s="33">
        <f>D350+D361</f>
        <v>675.56808422794916</v>
      </c>
      <c r="C371" s="82">
        <f>B171</f>
        <v>392.74529411764706</v>
      </c>
      <c r="D371" s="104" t="str">
        <f>IF(B371&gt;=C371,"OK","NG")</f>
        <v>OK</v>
      </c>
      <c r="E371" s="119"/>
      <c r="F371" s="119"/>
      <c r="G371" s="143"/>
      <c r="H371" s="120"/>
      <c r="I371" s="120"/>
      <c r="J371" s="120"/>
    </row>
    <row r="372" spans="1:12" s="18" customFormat="1" x14ac:dyDescent="0.25">
      <c r="B372" s="83"/>
      <c r="C372" s="83"/>
      <c r="D372" s="126"/>
      <c r="E372" s="119"/>
      <c r="F372" s="83"/>
      <c r="G372" s="119"/>
      <c r="H372" s="119"/>
      <c r="I372" s="143"/>
      <c r="J372" s="120"/>
      <c r="K372" s="120"/>
      <c r="L372" s="120"/>
    </row>
    <row r="373" spans="1:12" ht="18.75" x14ac:dyDescent="0.25">
      <c r="A373" s="220" t="s">
        <v>127</v>
      </c>
      <c r="B373" s="220">
        <f>VLOOKUP(boltDiameterEnum, boltPropertiesTable,IF(EXACT(boltTypeEnum,"A325"), COLUMN(Table1[[#Headers],[Pt - A325 (kip)]]), COLUMN(Table1[[#Headers],[Pt - A490 (kip)]])))</f>
        <v>51</v>
      </c>
      <c r="C373" s="220"/>
    </row>
    <row r="375" spans="1:12" x14ac:dyDescent="0.25">
      <c r="A375" s="23" t="s">
        <v>162</v>
      </c>
      <c r="C375" s="36"/>
    </row>
    <row r="376" spans="1:12" x14ac:dyDescent="0.25">
      <c r="A376" s="37" t="s">
        <v>108</v>
      </c>
      <c r="B376" s="40">
        <f>B136</f>
        <v>73.625</v>
      </c>
      <c r="C376" s="36"/>
    </row>
    <row r="377" spans="1:12" x14ac:dyDescent="0.25">
      <c r="A377" s="41" t="s">
        <v>163</v>
      </c>
      <c r="B377" s="42">
        <f>serviceIIPositiveMoment</f>
        <v>1439.8949999999998</v>
      </c>
    </row>
    <row r="378" spans="1:12" x14ac:dyDescent="0.25">
      <c r="A378" s="41" t="s">
        <v>102</v>
      </c>
      <c r="B378" s="18">
        <f>bottomFlangeTotalBoltCalculatedFinal</f>
        <v>16</v>
      </c>
    </row>
    <row r="379" spans="1:12" ht="18.75" x14ac:dyDescent="0.25">
      <c r="A379" s="41" t="s">
        <v>166</v>
      </c>
      <c r="B379" s="42">
        <f>D23</f>
        <v>30.599999999999998</v>
      </c>
    </row>
    <row r="380" spans="1:12" ht="18.75" x14ac:dyDescent="0.25">
      <c r="A380" s="41" t="s">
        <v>167</v>
      </c>
      <c r="B380" s="42">
        <f>B378*B379</f>
        <v>489.59999999999997</v>
      </c>
    </row>
    <row r="381" spans="1:12" x14ac:dyDescent="0.25">
      <c r="A381" s="41" t="s">
        <v>12</v>
      </c>
      <c r="B381" s="42">
        <f>positiveMomentBoltTensionTotal*B376/12</f>
        <v>3003.8999999999996</v>
      </c>
    </row>
    <row r="382" spans="1:12" x14ac:dyDescent="0.25">
      <c r="A382" s="41" t="s">
        <v>174</v>
      </c>
      <c r="B382" s="38" t="str">
        <f>IF(B381&gt;B377, "OK", "NOTICE")</f>
        <v>OK</v>
      </c>
    </row>
    <row r="383" spans="1:12" ht="18.75" x14ac:dyDescent="0.35">
      <c r="A383" s="37" t="s">
        <v>288</v>
      </c>
      <c r="B383" s="38" t="str">
        <f>IF(EXACT(statusPositiveMomentSlipCheck,"NOTICE"), ((B377-B381)*12)/(IF(EXACT(deckIsCompositeEnum,"Composite"),(webDepth/2+IF(haunchLeft=0,leftTopFlangeThickness,haunchLeft)+deckThickness/2),webDepth/4)), "DNA")</f>
        <v>DNA</v>
      </c>
      <c r="C383" s="19" t="e">
        <f>IF(MAX(B383,B393,B403)=positiveMomentSlipHorizontalWebForce,"CONTROLS", "")</f>
        <v>#DIV/0!</v>
      </c>
    </row>
    <row r="385" spans="1:3" x14ac:dyDescent="0.25">
      <c r="A385" s="23" t="s">
        <v>165</v>
      </c>
    </row>
    <row r="386" spans="1:3" x14ac:dyDescent="0.25">
      <c r="A386" s="37" t="s">
        <v>108</v>
      </c>
      <c r="B386" s="40" t="e">
        <f>B144</f>
        <v>#DIV/0!</v>
      </c>
    </row>
    <row r="387" spans="1:3" x14ac:dyDescent="0.25">
      <c r="A387" s="41" t="s">
        <v>164</v>
      </c>
      <c r="B387" s="42">
        <f>serviceIINegativeMoment</f>
        <v>-1062.9040000000002</v>
      </c>
    </row>
    <row r="388" spans="1:3" x14ac:dyDescent="0.25">
      <c r="A388" s="41" t="s">
        <v>102</v>
      </c>
      <c r="B388" s="18">
        <f>MIN(topFlangeTotalBoltCalculatedFinal,bottomFlangeTotalBoltCalculatedFinal)</f>
        <v>12</v>
      </c>
    </row>
    <row r="389" spans="1:3" ht="18.75" x14ac:dyDescent="0.25">
      <c r="A389" s="41" t="s">
        <v>166</v>
      </c>
      <c r="B389" s="42">
        <f>D23</f>
        <v>30.599999999999998</v>
      </c>
    </row>
    <row r="390" spans="1:3" ht="18.75" x14ac:dyDescent="0.25">
      <c r="A390" s="41" t="s">
        <v>167</v>
      </c>
      <c r="B390" s="42">
        <f>B388*B389</f>
        <v>367.2</v>
      </c>
    </row>
    <row r="391" spans="1:3" x14ac:dyDescent="0.25">
      <c r="A391" s="41" t="s">
        <v>12</v>
      </c>
      <c r="B391" s="42" t="e">
        <f>negativeMomentBoltTensionTotal*B386/12</f>
        <v>#DIV/0!</v>
      </c>
    </row>
    <row r="392" spans="1:3" x14ac:dyDescent="0.25">
      <c r="A392" s="41" t="s">
        <v>174</v>
      </c>
      <c r="B392" s="37" t="e">
        <f>IF(B391&gt;ABS(B387), "OK", "NOTICE")</f>
        <v>#DIV/0!</v>
      </c>
    </row>
    <row r="393" spans="1:3" ht="18.75" x14ac:dyDescent="0.35">
      <c r="A393" s="37" t="s">
        <v>288</v>
      </c>
      <c r="B393" s="87" t="e">
        <f>IF(EXACT(statusNegativeMomentSlipCheck,"NOTICE"), ((ABS(B387)-B391)*12)/(webDepth/4), "DNA")</f>
        <v>#DIV/0!</v>
      </c>
      <c r="C393" s="19" t="e">
        <f>IF(MAX(B383,B393,B403)=negativeMomentSlipHorizontalWebForce,"CONTROLS", "")</f>
        <v>#DIV/0!</v>
      </c>
    </row>
    <row r="395" spans="1:3" x14ac:dyDescent="0.25">
      <c r="A395" s="23" t="s">
        <v>325</v>
      </c>
    </row>
    <row r="396" spans="1:3" x14ac:dyDescent="0.25">
      <c r="A396" s="37" t="s">
        <v>108</v>
      </c>
      <c r="B396" s="40" t="e">
        <f>B144</f>
        <v>#DIV/0!</v>
      </c>
      <c r="C396" s="36"/>
    </row>
    <row r="397" spans="1:3" x14ac:dyDescent="0.25">
      <c r="A397" s="41" t="s">
        <v>326</v>
      </c>
      <c r="B397" s="42">
        <f>deckCastingFactoredMoment</f>
        <v>0</v>
      </c>
    </row>
    <row r="398" spans="1:3" x14ac:dyDescent="0.25">
      <c r="A398" s="41" t="s">
        <v>102</v>
      </c>
      <c r="B398" s="18">
        <f>MIN(topFlangeTotalBoltCalculatedFinal,bottomFlangeTotalBoltCalculatedFinal)</f>
        <v>12</v>
      </c>
    </row>
    <row r="399" spans="1:3" ht="18.75" x14ac:dyDescent="0.25">
      <c r="A399" s="41" t="s">
        <v>166</v>
      </c>
      <c r="B399" s="42">
        <f>D23</f>
        <v>30.599999999999998</v>
      </c>
    </row>
    <row r="400" spans="1:3" ht="18.75" x14ac:dyDescent="0.25">
      <c r="A400" s="41" t="s">
        <v>167</v>
      </c>
      <c r="B400" s="42">
        <f>B398*B399</f>
        <v>367.2</v>
      </c>
    </row>
    <row r="401" spans="1:3" x14ac:dyDescent="0.25">
      <c r="A401" s="41" t="s">
        <v>12</v>
      </c>
      <c r="B401" s="42" t="e">
        <f>B400*B396/12</f>
        <v>#DIV/0!</v>
      </c>
    </row>
    <row r="402" spans="1:3" x14ac:dyDescent="0.25">
      <c r="A402" s="41" t="s">
        <v>174</v>
      </c>
      <c r="B402" s="37" t="e">
        <f>IF(B401&gt;ABS(B397), "OK", "NOTICE")</f>
        <v>#DIV/0!</v>
      </c>
    </row>
    <row r="403" spans="1:3" ht="18.75" x14ac:dyDescent="0.35">
      <c r="A403" s="37" t="s">
        <v>288</v>
      </c>
      <c r="B403" s="87" t="e">
        <f>IF(EXACT(statusDeckCastingSlipCheck,"NOTICE"), ((ABS(B397)-B401)*12)/(webDepth/4), "DNA")</f>
        <v>#DIV/0!</v>
      </c>
      <c r="C403" s="19" t="e">
        <f>IF(MAX(B383,B393,B403)=deckCastingSlipHorizontalWebForce,"CONTROLS", "")</f>
        <v>#DIV/0!</v>
      </c>
    </row>
  </sheetData>
  <sheetProtection sheet="1" objects="1" scenarios="1"/>
  <mergeCells count="226">
    <mergeCell ref="D79:D81"/>
    <mergeCell ref="H80:H81"/>
    <mergeCell ref="F285:G285"/>
    <mergeCell ref="B221:C221"/>
    <mergeCell ref="D280:D283"/>
    <mergeCell ref="F210:G210"/>
    <mergeCell ref="G215:H215"/>
    <mergeCell ref="F213:G213"/>
    <mergeCell ref="D204:D207"/>
    <mergeCell ref="E198:E201"/>
    <mergeCell ref="E192:E195"/>
    <mergeCell ref="E230:E233"/>
    <mergeCell ref="E122:E125"/>
    <mergeCell ref="E102:E103"/>
    <mergeCell ref="F102:F103"/>
    <mergeCell ref="F216:F219"/>
    <mergeCell ref="E96:E97"/>
    <mergeCell ref="D130:D131"/>
    <mergeCell ref="E130:E131"/>
    <mergeCell ref="E116:E117"/>
    <mergeCell ref="B259:C259"/>
    <mergeCell ref="C210:C213"/>
    <mergeCell ref="I124:I125"/>
    <mergeCell ref="F122:F125"/>
    <mergeCell ref="G253:H253"/>
    <mergeCell ref="G219:H219"/>
    <mergeCell ref="D198:D201"/>
    <mergeCell ref="D192:D195"/>
    <mergeCell ref="D122:D125"/>
    <mergeCell ref="D170:D171"/>
    <mergeCell ref="G216:H216"/>
    <mergeCell ref="D168:D169"/>
    <mergeCell ref="F211:G211"/>
    <mergeCell ref="G218:H218"/>
    <mergeCell ref="D242:D245"/>
    <mergeCell ref="E236:E239"/>
    <mergeCell ref="I122:I123"/>
    <mergeCell ref="D218:D219"/>
    <mergeCell ref="F248:G248"/>
    <mergeCell ref="F249:G249"/>
    <mergeCell ref="F250:G250"/>
    <mergeCell ref="F251:G251"/>
    <mergeCell ref="D230:D233"/>
    <mergeCell ref="D216:D217"/>
    <mergeCell ref="D210:D211"/>
    <mergeCell ref="D212:D213"/>
    <mergeCell ref="F43:F44"/>
    <mergeCell ref="F45:F46"/>
    <mergeCell ref="D268:D271"/>
    <mergeCell ref="D116:D117"/>
    <mergeCell ref="F69:F70"/>
    <mergeCell ref="F209:G209"/>
    <mergeCell ref="B130:B131"/>
    <mergeCell ref="C94:C95"/>
    <mergeCell ref="C96:C97"/>
    <mergeCell ref="B216:B219"/>
    <mergeCell ref="C216:C219"/>
    <mergeCell ref="D94:D97"/>
    <mergeCell ref="E94:E95"/>
    <mergeCell ref="F116:F117"/>
    <mergeCell ref="E216:E217"/>
    <mergeCell ref="E218:E219"/>
    <mergeCell ref="D222:D223"/>
    <mergeCell ref="D224:D225"/>
    <mergeCell ref="F254:F257"/>
    <mergeCell ref="G257:H257"/>
    <mergeCell ref="D43:D44"/>
    <mergeCell ref="D45:D46"/>
    <mergeCell ref="E43:E44"/>
    <mergeCell ref="E45:E46"/>
    <mergeCell ref="A4:C4"/>
    <mergeCell ref="A15:C15"/>
    <mergeCell ref="B69:B70"/>
    <mergeCell ref="B6:G6"/>
    <mergeCell ref="E33:F33"/>
    <mergeCell ref="I13:J13"/>
    <mergeCell ref="C130:C131"/>
    <mergeCell ref="F96:F97"/>
    <mergeCell ref="D102:D103"/>
    <mergeCell ref="E28:E29"/>
    <mergeCell ref="F28:F29"/>
    <mergeCell ref="E30:E31"/>
    <mergeCell ref="F30:F31"/>
    <mergeCell ref="B122:B123"/>
    <mergeCell ref="C122:C123"/>
    <mergeCell ref="B124:B125"/>
    <mergeCell ref="C124:C125"/>
    <mergeCell ref="A89:C89"/>
    <mergeCell ref="C69:C70"/>
    <mergeCell ref="D55:D56"/>
    <mergeCell ref="D57:D58"/>
    <mergeCell ref="A43:A44"/>
    <mergeCell ref="A45:A46"/>
    <mergeCell ref="C43:C46"/>
    <mergeCell ref="B43:B46"/>
    <mergeCell ref="A2:I2"/>
    <mergeCell ref="A1:I1"/>
    <mergeCell ref="D184:D185"/>
    <mergeCell ref="D186:D187"/>
    <mergeCell ref="B71:B72"/>
    <mergeCell ref="C71:C72"/>
    <mergeCell ref="D71:D72"/>
    <mergeCell ref="E71:E72"/>
    <mergeCell ref="F71:F72"/>
    <mergeCell ref="A133:C133"/>
    <mergeCell ref="A157:C157"/>
    <mergeCell ref="C168:C171"/>
    <mergeCell ref="C184:C187"/>
    <mergeCell ref="F184:F187"/>
    <mergeCell ref="G184:G187"/>
    <mergeCell ref="A20:C20"/>
    <mergeCell ref="A25:C25"/>
    <mergeCell ref="G102:G103"/>
    <mergeCell ref="D69:D70"/>
    <mergeCell ref="E69:E70"/>
    <mergeCell ref="B116:B117"/>
    <mergeCell ref="C116:C117"/>
    <mergeCell ref="F94:F95"/>
    <mergeCell ref="D365:D366"/>
    <mergeCell ref="G256:H256"/>
    <mergeCell ref="G217:H217"/>
    <mergeCell ref="E286:E289"/>
    <mergeCell ref="F287:G287"/>
    <mergeCell ref="F286:G286"/>
    <mergeCell ref="G314:G315"/>
    <mergeCell ref="B286:B289"/>
    <mergeCell ref="C286:C289"/>
    <mergeCell ref="B224:C224"/>
    <mergeCell ref="B225:C225"/>
    <mergeCell ref="B254:B257"/>
    <mergeCell ref="C254:C257"/>
    <mergeCell ref="B260:C260"/>
    <mergeCell ref="B261:C261"/>
    <mergeCell ref="B262:C262"/>
    <mergeCell ref="B263:C263"/>
    <mergeCell ref="B222:C222"/>
    <mergeCell ref="B223:C223"/>
    <mergeCell ref="D260:D261"/>
    <mergeCell ref="E274:E277"/>
    <mergeCell ref="E268:E271"/>
    <mergeCell ref="D262:D263"/>
    <mergeCell ref="D274:D277"/>
    <mergeCell ref="A373:C373"/>
    <mergeCell ref="B292:B295"/>
    <mergeCell ref="C292:C295"/>
    <mergeCell ref="B298:C298"/>
    <mergeCell ref="G291:H291"/>
    <mergeCell ref="D298:D299"/>
    <mergeCell ref="B299:C299"/>
    <mergeCell ref="B297:C297"/>
    <mergeCell ref="C326:C327"/>
    <mergeCell ref="H326:H327"/>
    <mergeCell ref="B326:B327"/>
    <mergeCell ref="H322:H323"/>
    <mergeCell ref="E314:E317"/>
    <mergeCell ref="E321:E328"/>
    <mergeCell ref="G316:G317"/>
    <mergeCell ref="G294:H294"/>
    <mergeCell ref="G322:G323"/>
    <mergeCell ref="G326:G327"/>
    <mergeCell ref="F322:F323"/>
    <mergeCell ref="F326:F327"/>
    <mergeCell ref="C322:C323"/>
    <mergeCell ref="B333:B334"/>
    <mergeCell ref="C333:C334"/>
    <mergeCell ref="B365:B366"/>
    <mergeCell ref="F288:G288"/>
    <mergeCell ref="F289:G289"/>
    <mergeCell ref="G293:H293"/>
    <mergeCell ref="F292:F295"/>
    <mergeCell ref="G292:H292"/>
    <mergeCell ref="H314:H315"/>
    <mergeCell ref="H316:H317"/>
    <mergeCell ref="F314:F317"/>
    <mergeCell ref="A74:C74"/>
    <mergeCell ref="A83:C83"/>
    <mergeCell ref="G254:H254"/>
    <mergeCell ref="G255:H255"/>
    <mergeCell ref="G295:H295"/>
    <mergeCell ref="B300:C300"/>
    <mergeCell ref="B301:C301"/>
    <mergeCell ref="D300:D301"/>
    <mergeCell ref="B210:B213"/>
    <mergeCell ref="E210:E213"/>
    <mergeCell ref="F212:G212"/>
    <mergeCell ref="D236:D239"/>
    <mergeCell ref="F247:G247"/>
    <mergeCell ref="B248:B251"/>
    <mergeCell ref="C248:C251"/>
    <mergeCell ref="E248:E251"/>
    <mergeCell ref="B348:B349"/>
    <mergeCell ref="B355:B356"/>
    <mergeCell ref="B359:B360"/>
    <mergeCell ref="D359:D360"/>
    <mergeCell ref="D314:D317"/>
    <mergeCell ref="A303:C303"/>
    <mergeCell ref="C314:C317"/>
    <mergeCell ref="B314:B317"/>
    <mergeCell ref="D321:D328"/>
    <mergeCell ref="B344:B345"/>
    <mergeCell ref="B337:B338"/>
    <mergeCell ref="C337:C338"/>
    <mergeCell ref="E332:E339"/>
    <mergeCell ref="B322:B323"/>
    <mergeCell ref="E319:H319"/>
    <mergeCell ref="H333:H334"/>
    <mergeCell ref="H337:H338"/>
    <mergeCell ref="D332:D339"/>
    <mergeCell ref="B369:B370"/>
    <mergeCell ref="D369:D370"/>
    <mergeCell ref="F333:F334"/>
    <mergeCell ref="F337:F338"/>
    <mergeCell ref="E330:H330"/>
    <mergeCell ref="D344:D345"/>
    <mergeCell ref="B352:C352"/>
    <mergeCell ref="B341:C341"/>
    <mergeCell ref="C344:C345"/>
    <mergeCell ref="C348:C349"/>
    <mergeCell ref="G333:G334"/>
    <mergeCell ref="G337:G338"/>
    <mergeCell ref="C355:C356"/>
    <mergeCell ref="D355:D356"/>
    <mergeCell ref="C365:C366"/>
    <mergeCell ref="C369:C370"/>
    <mergeCell ref="D348:D349"/>
    <mergeCell ref="C359:C360"/>
  </mergeCells>
  <conditionalFormatting sqref="B155">
    <cfRule type="containsText" dxfId="69" priority="4" operator="containsText" text="NOTICE">
      <formula>NOT(ISERROR(SEARCH("NOTICE",B155)))</formula>
    </cfRule>
    <cfRule type="containsText" dxfId="68" priority="5" operator="containsText" text="OK">
      <formula>NOT(ISERROR(SEARCH("OK",B155)))</formula>
    </cfRule>
  </conditionalFormatting>
  <conditionalFormatting sqref="B382 B392 B402">
    <cfRule type="containsText" dxfId="67" priority="75" operator="containsText" text="OK">
      <formula>NOT(ISERROR(SEARCH("OK",B382)))</formula>
    </cfRule>
  </conditionalFormatting>
  <conditionalFormatting sqref="B382 B392">
    <cfRule type="containsText" dxfId="66" priority="74" operator="containsText" text="NOTICE">
      <formula>NOT(ISERROR(SEARCH("NOTICE",B382)))</formula>
    </cfRule>
  </conditionalFormatting>
  <conditionalFormatting sqref="B110:F111">
    <cfRule type="cellIs" dxfId="65" priority="25" operator="equal">
      <formula>"OK"</formula>
    </cfRule>
    <cfRule type="cellIs" dxfId="64" priority="26" operator="equal">
      <formula>"NG"</formula>
    </cfRule>
  </conditionalFormatting>
  <conditionalFormatting sqref="C63:C64 B140 B148">
    <cfRule type="containsText" dxfId="63" priority="85" operator="containsText" text="Notice">
      <formula>NOT(ISERROR(SEARCH("Notice",B63)))</formula>
    </cfRule>
  </conditionalFormatting>
  <conditionalFormatting sqref="C63:C64">
    <cfRule type="containsText" dxfId="62" priority="3" operator="containsText" text="OK">
      <formula>NOT(ISERROR(SEARCH("OK",C63)))</formula>
    </cfRule>
  </conditionalFormatting>
  <conditionalFormatting sqref="C141 C149">
    <cfRule type="containsText" dxfId="61" priority="78" operator="containsText" text="CONTROLS">
      <formula>NOT(ISERROR(SEARCH("CONTROLS",C141)))</formula>
    </cfRule>
  </conditionalFormatting>
  <conditionalFormatting sqref="C383">
    <cfRule type="containsText" dxfId="60" priority="20" operator="containsText" text="CONTROLS">
      <formula>NOT(ISERROR(SEARCH("CONTROLS",C383)))</formula>
    </cfRule>
  </conditionalFormatting>
  <conditionalFormatting sqref="C393">
    <cfRule type="containsText" dxfId="59" priority="17" operator="containsText" text="CONTROLS">
      <formula>NOT(ISERROR(SEARCH("CONTROLS",C393)))</formula>
    </cfRule>
  </conditionalFormatting>
  <conditionalFormatting sqref="C403">
    <cfRule type="containsText" dxfId="58" priority="18" operator="containsText" text="CONTROLS">
      <formula>NOT(ISERROR(SEARCH("CONTROLS",C403)))</formula>
    </cfRule>
  </conditionalFormatting>
  <conditionalFormatting sqref="D364:D371">
    <cfRule type="cellIs" dxfId="57" priority="14" operator="equal">
      <formula>"NG"</formula>
    </cfRule>
    <cfRule type="cellIs" dxfId="56" priority="15" operator="equal">
      <formula>"OK"</formula>
    </cfRule>
  </conditionalFormatting>
  <conditionalFormatting sqref="E130">
    <cfRule type="cellIs" dxfId="55" priority="21" operator="equal">
      <formula>"OK"</formula>
    </cfRule>
    <cfRule type="cellIs" dxfId="54" priority="22" operator="equal">
      <formula>"NG"</formula>
    </cfRule>
  </conditionalFormatting>
  <conditionalFormatting sqref="E176:E179 I184:I187">
    <cfRule type="containsText" dxfId="53" priority="81" operator="containsText" text="NG">
      <formula>NOT(ISERROR(SEARCH("NG",E176)))</formula>
    </cfRule>
    <cfRule type="containsText" dxfId="52" priority="82" operator="containsText" text="OK">
      <formula>NOT(ISERROR(SEARCH("OK",E176)))</formula>
    </cfRule>
  </conditionalFormatting>
  <conditionalFormatting sqref="E222:E225 B226:C226 B264:C264">
    <cfRule type="cellIs" dxfId="51" priority="68" operator="equal">
      <formula>"OK"</formula>
    </cfRule>
    <cfRule type="containsText" dxfId="50" priority="69" operator="containsText" text="NG">
      <formula>NOT(ISERROR(SEARCH("NG",B222)))</formula>
    </cfRule>
  </conditionalFormatting>
  <conditionalFormatting sqref="E260:E263">
    <cfRule type="cellIs" dxfId="49" priority="33" operator="equal">
      <formula>"OK"</formula>
    </cfRule>
    <cfRule type="containsText" dxfId="48" priority="34" operator="containsText" text="NG">
      <formula>NOT(ISERROR(SEARCH("NG",E260)))</formula>
    </cfRule>
  </conditionalFormatting>
  <conditionalFormatting sqref="E298:E301">
    <cfRule type="cellIs" dxfId="47" priority="31" operator="equal">
      <formula>"OK"</formula>
    </cfRule>
    <cfRule type="containsText" dxfId="46" priority="32" operator="containsText" text="NG">
      <formula>NOT(ISERROR(SEARCH("NG",E298)))</formula>
    </cfRule>
  </conditionalFormatting>
  <conditionalFormatting sqref="F35:G38">
    <cfRule type="cellIs" dxfId="45" priority="62" operator="equal">
      <formula>"OK"</formula>
    </cfRule>
    <cfRule type="cellIs" dxfId="44" priority="63" operator="equal">
      <formula>"NG"</formula>
    </cfRule>
  </conditionalFormatting>
  <conditionalFormatting sqref="G86:G87">
    <cfRule type="cellIs" dxfId="43" priority="7" operator="equal">
      <formula>TRUE</formula>
    </cfRule>
  </conditionalFormatting>
  <conditionalFormatting sqref="G116:G118">
    <cfRule type="cellIs" dxfId="42" priority="36" operator="equal">
      <formula>"NG"</formula>
    </cfRule>
    <cfRule type="cellIs" dxfId="41" priority="35" operator="equal">
      <formula>"OK"</formula>
    </cfRule>
  </conditionalFormatting>
  <conditionalFormatting sqref="G168:G171 F172">
    <cfRule type="containsText" dxfId="40" priority="83" operator="containsText" text="NG">
      <formula>NOT(ISERROR(SEARCH("NG",F168)))</formula>
    </cfRule>
    <cfRule type="containsText" dxfId="39" priority="84" operator="containsText" text="OK">
      <formula>NOT(ISERROR(SEARCH("OK",F168)))</formula>
    </cfRule>
  </conditionalFormatting>
  <conditionalFormatting sqref="H35:H40 H67 H77 E307:E311">
    <cfRule type="containsText" dxfId="38" priority="87" operator="containsText" text="CONTROLS">
      <formula>NOT(ISERROR(SEARCH("CONTROLS",E35)))</formula>
    </cfRule>
  </conditionalFormatting>
  <conditionalFormatting sqref="H86:H87">
    <cfRule type="containsText" dxfId="37" priority="2" operator="containsText" text="OK">
      <formula>NOT(ISERROR(SEARCH("OK",H86)))</formula>
    </cfRule>
    <cfRule type="containsText" dxfId="36" priority="1" operator="containsText" text="NG">
      <formula>NOT(ISERROR(SEARCH("NG",H86)))</formula>
    </cfRule>
  </conditionalFormatting>
  <conditionalFormatting sqref="H102:H103">
    <cfRule type="cellIs" dxfId="35" priority="57" operator="equal">
      <formula>"OK"</formula>
    </cfRule>
    <cfRule type="cellIs" dxfId="34" priority="58" operator="equal">
      <formula>"NG"</formula>
    </cfRule>
  </conditionalFormatting>
  <conditionalFormatting sqref="J129:J131">
    <cfRule type="cellIs" dxfId="33" priority="24" operator="equal">
      <formula>"NG"</formula>
    </cfRule>
    <cfRule type="cellIs" dxfId="32" priority="23" operator="equal">
      <formula>"OK"</formula>
    </cfRule>
  </conditionalFormatting>
  <printOptions verticalCentered="1"/>
  <pageMargins left="0.7" right="0.7" top="0.75" bottom="0.75" header="0.3" footer="0.3"/>
  <pageSetup scale="57" fitToHeight="0" orientation="landscape" horizontalDpi="4294967293" verticalDpi="4294967293" r:id="rId1"/>
  <headerFooter>
    <oddFooter>&amp;LNational Steel Bridge Alliance&amp;Cv3.14&amp;R&amp;P of &amp;N</oddFooter>
  </headerFooter>
  <rowBreaks count="12" manualBreakCount="12">
    <brk id="31" max="16383" man="1"/>
    <brk id="72" max="16383" man="1"/>
    <brk id="111" max="16383" man="1"/>
    <brk id="132" max="16383" man="1"/>
    <brk id="171" max="16383" man="1"/>
    <brk id="201" max="16383" man="1"/>
    <brk id="225" max="16383" man="1"/>
    <brk id="263" max="16383" man="1"/>
    <brk id="301" max="16383" man="1"/>
    <brk id="328" max="16383" man="1"/>
    <brk id="350" max="16383" man="1"/>
    <brk id="371" max="9" man="1"/>
  </rowBreaks>
  <ignoredErrors>
    <ignoredError sqref="E310 E110:E111 E261:E262 E299:E300 I36:I37 E308 D309 H36:H37 G29:G30 E223:E224 B170 B186 F56:F57" formula="1"/>
  </ignoredErrors>
  <drawing r:id="rId2"/>
  <legacyDrawing r:id="rId3"/>
  <oleObjects>
    <mc:AlternateContent xmlns:mc="http://schemas.openxmlformats.org/markup-compatibility/2006">
      <mc:Choice Requires="x14">
        <oleObject progId="Equation.3" shapeId="8196" r:id="rId4">
          <objectPr defaultSize="0" autoPict="0" r:id="rId5">
            <anchor moveWithCells="1" sizeWithCells="1">
              <from>
                <xdr:col>5</xdr:col>
                <xdr:colOff>409575</xdr:colOff>
                <xdr:row>166</xdr:row>
                <xdr:rowOff>28575</xdr:rowOff>
              </from>
              <to>
                <xdr:col>5</xdr:col>
                <xdr:colOff>1209675</xdr:colOff>
                <xdr:row>166</xdr:row>
                <xdr:rowOff>257175</xdr:rowOff>
              </to>
            </anchor>
          </objectPr>
        </oleObject>
      </mc:Choice>
      <mc:Fallback>
        <oleObject progId="Equation.3" shapeId="8196" r:id="rId4"/>
      </mc:Fallback>
    </mc:AlternateContent>
    <mc:AlternateContent xmlns:mc="http://schemas.openxmlformats.org/markup-compatibility/2006">
      <mc:Choice Requires="x14">
        <oleObject progId="Equation.3" shapeId="8203" r:id="rId6">
          <objectPr defaultSize="0" autoPict="0" r:id="rId7">
            <anchor moveWithCells="1" sizeWithCells="1">
              <from>
                <xdr:col>4</xdr:col>
                <xdr:colOff>152400</xdr:colOff>
                <xdr:row>32</xdr:row>
                <xdr:rowOff>28575</xdr:rowOff>
              </from>
              <to>
                <xdr:col>5</xdr:col>
                <xdr:colOff>1171575</xdr:colOff>
                <xdr:row>32</xdr:row>
                <xdr:rowOff>581025</xdr:rowOff>
              </to>
            </anchor>
          </objectPr>
        </oleObject>
      </mc:Choice>
      <mc:Fallback>
        <oleObject progId="Equation.3" shapeId="8203" r:id="rId6"/>
      </mc:Fallback>
    </mc:AlternateContent>
    <mc:AlternateContent xmlns:mc="http://schemas.openxmlformats.org/markup-compatibility/2006">
      <mc:Choice Requires="x14">
        <oleObject progId="Equation.3" shapeId="8204" r:id="rId8">
          <objectPr defaultSize="0" autoPict="0" r:id="rId9">
            <anchor moveWithCells="1" sizeWithCells="1">
              <from>
                <xdr:col>5</xdr:col>
                <xdr:colOff>28575</xdr:colOff>
                <xdr:row>92</xdr:row>
                <xdr:rowOff>66675</xdr:rowOff>
              </from>
              <to>
                <xdr:col>5</xdr:col>
                <xdr:colOff>1514475</xdr:colOff>
                <xdr:row>92</xdr:row>
                <xdr:rowOff>266700</xdr:rowOff>
              </to>
            </anchor>
          </objectPr>
        </oleObject>
      </mc:Choice>
      <mc:Fallback>
        <oleObject progId="Equation.3" shapeId="8204" r:id="rId8"/>
      </mc:Fallback>
    </mc:AlternateContent>
    <mc:AlternateContent xmlns:mc="http://schemas.openxmlformats.org/markup-compatibility/2006">
      <mc:Choice Requires="x14">
        <oleObject progId="Equation.3" shapeId="8205" r:id="rId10">
          <objectPr defaultSize="0" autoPict="0" r:id="rId11">
            <anchor moveWithCells="1" sizeWithCells="1">
              <from>
                <xdr:col>7</xdr:col>
                <xdr:colOff>200025</xdr:colOff>
                <xdr:row>182</xdr:row>
                <xdr:rowOff>28575</xdr:rowOff>
              </from>
              <to>
                <xdr:col>7</xdr:col>
                <xdr:colOff>1257300</xdr:colOff>
                <xdr:row>182</xdr:row>
                <xdr:rowOff>238125</xdr:rowOff>
              </to>
            </anchor>
          </objectPr>
        </oleObject>
      </mc:Choice>
      <mc:Fallback>
        <oleObject progId="Equation.3" shapeId="8205" r:id="rId10"/>
      </mc:Fallback>
    </mc:AlternateContent>
    <mc:AlternateContent xmlns:mc="http://schemas.openxmlformats.org/markup-compatibility/2006">
      <mc:Choice Requires="x14">
        <oleObject progId="Equation.3" shapeId="8207" r:id="rId12">
          <objectPr defaultSize="0" autoPict="0" r:id="rId13">
            <anchor moveWithCells="1" sizeWithCells="1">
              <from>
                <xdr:col>5</xdr:col>
                <xdr:colOff>228600</xdr:colOff>
                <xdr:row>208</xdr:row>
                <xdr:rowOff>66675</xdr:rowOff>
              </from>
              <to>
                <xdr:col>6</xdr:col>
                <xdr:colOff>1076325</xdr:colOff>
                <xdr:row>208</xdr:row>
                <xdr:rowOff>295275</xdr:rowOff>
              </to>
            </anchor>
          </objectPr>
        </oleObject>
      </mc:Choice>
      <mc:Fallback>
        <oleObject progId="Equation.3" shapeId="8207" r:id="rId12"/>
      </mc:Fallback>
    </mc:AlternateContent>
    <mc:AlternateContent xmlns:mc="http://schemas.openxmlformats.org/markup-compatibility/2006">
      <mc:Choice Requires="x14">
        <oleObject progId="Equation.3" shapeId="8210" r:id="rId14">
          <objectPr defaultSize="0" autoPict="0" r:id="rId13">
            <anchor moveWithCells="1" sizeWithCells="1">
              <from>
                <xdr:col>1</xdr:col>
                <xdr:colOff>9525</xdr:colOff>
                <xdr:row>220</xdr:row>
                <xdr:rowOff>9525</xdr:rowOff>
              </from>
              <to>
                <xdr:col>2</xdr:col>
                <xdr:colOff>866775</xdr:colOff>
                <xdr:row>220</xdr:row>
                <xdr:rowOff>257175</xdr:rowOff>
              </to>
            </anchor>
          </objectPr>
        </oleObject>
      </mc:Choice>
      <mc:Fallback>
        <oleObject progId="Equation.3" shapeId="8210" r:id="rId14"/>
      </mc:Fallback>
    </mc:AlternateContent>
    <mc:AlternateContent xmlns:mc="http://schemas.openxmlformats.org/markup-compatibility/2006">
      <mc:Choice Requires="x14">
        <oleObject progId="Equation.3" shapeId="8211" r:id="rId15">
          <objectPr defaultSize="0" autoPict="0" r:id="rId13">
            <anchor moveWithCells="1" sizeWithCells="1">
              <from>
                <xdr:col>5</xdr:col>
                <xdr:colOff>228600</xdr:colOff>
                <xdr:row>246</xdr:row>
                <xdr:rowOff>66675</xdr:rowOff>
              </from>
              <to>
                <xdr:col>6</xdr:col>
                <xdr:colOff>1076325</xdr:colOff>
                <xdr:row>246</xdr:row>
                <xdr:rowOff>295275</xdr:rowOff>
              </to>
            </anchor>
          </objectPr>
        </oleObject>
      </mc:Choice>
      <mc:Fallback>
        <oleObject progId="Equation.3" shapeId="8211" r:id="rId15"/>
      </mc:Fallback>
    </mc:AlternateContent>
    <mc:AlternateContent xmlns:mc="http://schemas.openxmlformats.org/markup-compatibility/2006">
      <mc:Choice Requires="x14">
        <oleObject progId="Equation.3" shapeId="8213" r:id="rId16">
          <objectPr defaultSize="0" autoPict="0" r:id="rId13">
            <anchor moveWithCells="1" sizeWithCells="1">
              <from>
                <xdr:col>1</xdr:col>
                <xdr:colOff>38100</xdr:colOff>
                <xdr:row>258</xdr:row>
                <xdr:rowOff>38100</xdr:rowOff>
              </from>
              <to>
                <xdr:col>2</xdr:col>
                <xdr:colOff>885825</xdr:colOff>
                <xdr:row>258</xdr:row>
                <xdr:rowOff>276225</xdr:rowOff>
              </to>
            </anchor>
          </objectPr>
        </oleObject>
      </mc:Choice>
      <mc:Fallback>
        <oleObject progId="Equation.3" shapeId="8213" r:id="rId16"/>
      </mc:Fallback>
    </mc:AlternateContent>
    <mc:AlternateContent xmlns:mc="http://schemas.openxmlformats.org/markup-compatibility/2006">
      <mc:Choice Requires="x14">
        <oleObject progId="Equation.3" shapeId="8214" r:id="rId17">
          <objectPr defaultSize="0" autoPict="0" r:id="rId13">
            <anchor moveWithCells="1" sizeWithCells="1">
              <from>
                <xdr:col>5</xdr:col>
                <xdr:colOff>228600</xdr:colOff>
                <xdr:row>284</xdr:row>
                <xdr:rowOff>66675</xdr:rowOff>
              </from>
              <to>
                <xdr:col>6</xdr:col>
                <xdr:colOff>1076325</xdr:colOff>
                <xdr:row>284</xdr:row>
                <xdr:rowOff>295275</xdr:rowOff>
              </to>
            </anchor>
          </objectPr>
        </oleObject>
      </mc:Choice>
      <mc:Fallback>
        <oleObject progId="Equation.3" shapeId="8214" r:id="rId17"/>
      </mc:Fallback>
    </mc:AlternateContent>
    <mc:AlternateContent xmlns:mc="http://schemas.openxmlformats.org/markup-compatibility/2006">
      <mc:Choice Requires="x14">
        <oleObject progId="Equation.3" shapeId="8216" r:id="rId18">
          <objectPr defaultSize="0" autoPict="0" r:id="rId13">
            <anchor moveWithCells="1" sizeWithCells="1">
              <from>
                <xdr:col>1</xdr:col>
                <xdr:colOff>38100</xdr:colOff>
                <xdr:row>296</xdr:row>
                <xdr:rowOff>38100</xdr:rowOff>
              </from>
              <to>
                <xdr:col>2</xdr:col>
                <xdr:colOff>885825</xdr:colOff>
                <xdr:row>296</xdr:row>
                <xdr:rowOff>276225</xdr:rowOff>
              </to>
            </anchor>
          </objectPr>
        </oleObject>
      </mc:Choice>
      <mc:Fallback>
        <oleObject progId="Equation.3" shapeId="8216" r:id="rId18"/>
      </mc:Fallback>
    </mc:AlternateContent>
    <mc:AlternateContent xmlns:mc="http://schemas.openxmlformats.org/markup-compatibility/2006">
      <mc:Choice Requires="x14">
        <oleObject progId="Equation.3" shapeId="8217" r:id="rId19">
          <objectPr defaultSize="0" autoPict="0" altText="capital R equals capital N sub capital L over capital N sub lower case b plus capital X sub e x t times summation to capital N sub capital L of lower case e over summation to capital N sub lower case b of lower case x squared" r:id="rId20">
            <anchor moveWithCells="1" sizeWithCells="1">
              <from>
                <xdr:col>5</xdr:col>
                <xdr:colOff>390525</xdr:colOff>
                <xdr:row>319</xdr:row>
                <xdr:rowOff>47625</xdr:rowOff>
              </from>
              <to>
                <xdr:col>5</xdr:col>
                <xdr:colOff>1190625</xdr:colOff>
                <xdr:row>319</xdr:row>
                <xdr:rowOff>266700</xdr:rowOff>
              </to>
            </anchor>
          </objectPr>
        </oleObject>
      </mc:Choice>
      <mc:Fallback>
        <oleObject progId="Equation.3" shapeId="8217" r:id="rId19"/>
      </mc:Fallback>
    </mc:AlternateContent>
    <mc:AlternateContent xmlns:mc="http://schemas.openxmlformats.org/markup-compatibility/2006">
      <mc:Choice Requires="x14">
        <oleObject progId="Equation.3" shapeId="8218" r:id="rId21">
          <objectPr defaultSize="0" autoPict="0" altText="capital R equals capital N sub capital L over capital N sub lower case b plus capital X sub e x t times summation to capital N sub capital L of lower case e over summation to capital N sub lower case b of lower case x squared" r:id="rId22">
            <anchor moveWithCells="1" sizeWithCells="1">
              <from>
                <xdr:col>6</xdr:col>
                <xdr:colOff>257175</xdr:colOff>
                <xdr:row>319</xdr:row>
                <xdr:rowOff>47625</xdr:rowOff>
              </from>
              <to>
                <xdr:col>6</xdr:col>
                <xdr:colOff>1095375</xdr:colOff>
                <xdr:row>319</xdr:row>
                <xdr:rowOff>266700</xdr:rowOff>
              </to>
            </anchor>
          </objectPr>
        </oleObject>
      </mc:Choice>
      <mc:Fallback>
        <oleObject progId="Equation.3" shapeId="8218" r:id="rId21"/>
      </mc:Fallback>
    </mc:AlternateContent>
    <mc:AlternateContent xmlns:mc="http://schemas.openxmlformats.org/markup-compatibility/2006">
      <mc:Choice Requires="x14">
        <oleObject progId="Equation.3" shapeId="8219" r:id="rId23">
          <objectPr defaultSize="0" autoPict="0" altText="capital R equals capital N sub capital L over capital N sub lower case b plus capital X sub e x t times summation to capital N sub capital L of lower case e over summation to capital N sub lower case b of lower case x squared" r:id="rId20">
            <anchor moveWithCells="1" sizeWithCells="1">
              <from>
                <xdr:col>5</xdr:col>
                <xdr:colOff>409575</xdr:colOff>
                <xdr:row>330</xdr:row>
                <xdr:rowOff>47625</xdr:rowOff>
              </from>
              <to>
                <xdr:col>5</xdr:col>
                <xdr:colOff>1209675</xdr:colOff>
                <xdr:row>330</xdr:row>
                <xdr:rowOff>266700</xdr:rowOff>
              </to>
            </anchor>
          </objectPr>
        </oleObject>
      </mc:Choice>
      <mc:Fallback>
        <oleObject progId="Equation.3" shapeId="8219" r:id="rId23"/>
      </mc:Fallback>
    </mc:AlternateContent>
    <mc:AlternateContent xmlns:mc="http://schemas.openxmlformats.org/markup-compatibility/2006">
      <mc:Choice Requires="x14">
        <oleObject progId="Equation.3" shapeId="8220" r:id="rId24">
          <objectPr defaultSize="0" autoPict="0" altText="capital R equals capital N sub capital L over capital N sub lower case b plus capital X sub e x t times summation to capital N sub capital L of lower case e over summation to capital N sub lower case b of lower case x squared" r:id="rId22">
            <anchor moveWithCells="1" sizeWithCells="1">
              <from>
                <xdr:col>6</xdr:col>
                <xdr:colOff>295275</xdr:colOff>
                <xdr:row>330</xdr:row>
                <xdr:rowOff>47625</xdr:rowOff>
              </from>
              <to>
                <xdr:col>6</xdr:col>
                <xdr:colOff>1133475</xdr:colOff>
                <xdr:row>330</xdr:row>
                <xdr:rowOff>266700</xdr:rowOff>
              </to>
            </anchor>
          </objectPr>
        </oleObject>
      </mc:Choice>
      <mc:Fallback>
        <oleObject progId="Equation.3" shapeId="8220" r:id="rId24"/>
      </mc:Fallback>
    </mc:AlternateContent>
    <mc:AlternateContent xmlns:mc="http://schemas.openxmlformats.org/markup-compatibility/2006">
      <mc:Choice Requires="x14">
        <oleObject progId="Equation.3" shapeId="8266" r:id="rId25">
          <objectPr defaultSize="0" autoPict="0" r:id="rId26">
            <anchor moveWithCells="1" sizeWithCells="1">
              <from>
                <xdr:col>7</xdr:col>
                <xdr:colOff>314325</xdr:colOff>
                <xdr:row>319</xdr:row>
                <xdr:rowOff>47625</xdr:rowOff>
              </from>
              <to>
                <xdr:col>7</xdr:col>
                <xdr:colOff>1019175</xdr:colOff>
                <xdr:row>319</xdr:row>
                <xdr:rowOff>266700</xdr:rowOff>
              </to>
            </anchor>
          </objectPr>
        </oleObject>
      </mc:Choice>
      <mc:Fallback>
        <oleObject progId="Equation.3" shapeId="8266" r:id="rId25"/>
      </mc:Fallback>
    </mc:AlternateContent>
    <mc:AlternateContent xmlns:mc="http://schemas.openxmlformats.org/markup-compatibility/2006">
      <mc:Choice Requires="x14">
        <oleObject progId="Equation.3" shapeId="8267" r:id="rId27">
          <objectPr defaultSize="0" autoPict="0" r:id="rId26">
            <anchor moveWithCells="1" sizeWithCells="1">
              <from>
                <xdr:col>7</xdr:col>
                <xdr:colOff>333375</xdr:colOff>
                <xdr:row>330</xdr:row>
                <xdr:rowOff>38100</xdr:rowOff>
              </from>
              <to>
                <xdr:col>7</xdr:col>
                <xdr:colOff>1028700</xdr:colOff>
                <xdr:row>330</xdr:row>
                <xdr:rowOff>257175</xdr:rowOff>
              </to>
            </anchor>
          </objectPr>
        </oleObject>
      </mc:Choice>
      <mc:Fallback>
        <oleObject progId="Equation.3" shapeId="8267" r:id="rId27"/>
      </mc:Fallback>
    </mc:AlternateContent>
    <mc:AlternateContent xmlns:mc="http://schemas.openxmlformats.org/markup-compatibility/2006">
      <mc:Choice Requires="x14">
        <oleObject progId="Equation.3" shapeId="8268" r:id="rId28">
          <objectPr defaultSize="0" autoPict="0" r:id="rId29">
            <anchor moveWithCells="1" sizeWithCells="1">
              <from>
                <xdr:col>1</xdr:col>
                <xdr:colOff>638175</xdr:colOff>
                <xdr:row>296</xdr:row>
                <xdr:rowOff>257175</xdr:rowOff>
              </from>
              <to>
                <xdr:col>2</xdr:col>
                <xdr:colOff>1285875</xdr:colOff>
                <xdr:row>296</xdr:row>
                <xdr:rowOff>495300</xdr:rowOff>
              </to>
            </anchor>
          </objectPr>
        </oleObject>
      </mc:Choice>
      <mc:Fallback>
        <oleObject progId="Equation.3" shapeId="8268" r:id="rId28"/>
      </mc:Fallback>
    </mc:AlternateContent>
    <mc:AlternateContent xmlns:mc="http://schemas.openxmlformats.org/markup-compatibility/2006">
      <mc:Choice Requires="x14">
        <oleObject progId="Equation.3" shapeId="8269" r:id="rId30">
          <objectPr defaultSize="0" autoPict="0" r:id="rId29">
            <anchor moveWithCells="1" sizeWithCells="1">
              <from>
                <xdr:col>1</xdr:col>
                <xdr:colOff>638175</xdr:colOff>
                <xdr:row>258</xdr:row>
                <xdr:rowOff>257175</xdr:rowOff>
              </from>
              <to>
                <xdr:col>2</xdr:col>
                <xdr:colOff>1266825</xdr:colOff>
                <xdr:row>258</xdr:row>
                <xdr:rowOff>495300</xdr:rowOff>
              </to>
            </anchor>
          </objectPr>
        </oleObject>
      </mc:Choice>
      <mc:Fallback>
        <oleObject progId="Equation.3" shapeId="8269" r:id="rId30"/>
      </mc:Fallback>
    </mc:AlternateContent>
    <mc:AlternateContent xmlns:mc="http://schemas.openxmlformats.org/markup-compatibility/2006">
      <mc:Choice Requires="x14">
        <oleObject progId="Equation.3" shapeId="8270" r:id="rId31">
          <objectPr defaultSize="0" autoPict="0" r:id="rId32">
            <anchor moveWithCells="1" sizeWithCells="1">
              <from>
                <xdr:col>1</xdr:col>
                <xdr:colOff>390525</xdr:colOff>
                <xdr:row>220</xdr:row>
                <xdr:rowOff>257175</xdr:rowOff>
              </from>
              <to>
                <xdr:col>2</xdr:col>
                <xdr:colOff>1285875</xdr:colOff>
                <xdr:row>220</xdr:row>
                <xdr:rowOff>523875</xdr:rowOff>
              </to>
            </anchor>
          </objectPr>
        </oleObject>
      </mc:Choice>
      <mc:Fallback>
        <oleObject progId="Equation.3" shapeId="8270" r:id="rId31"/>
      </mc:Fallback>
    </mc:AlternateContent>
    <mc:AlternateContent xmlns:mc="http://schemas.openxmlformats.org/markup-compatibility/2006">
      <mc:Choice Requires="x14">
        <oleObject progId="Equation.3" shapeId="8271" r:id="rId33">
          <objectPr defaultSize="0" autoPict="0" r:id="rId34">
            <anchor moveWithCells="1" sizeWithCells="1">
              <from>
                <xdr:col>6</xdr:col>
                <xdr:colOff>638175</xdr:colOff>
                <xdr:row>290</xdr:row>
                <xdr:rowOff>219075</xdr:rowOff>
              </from>
              <to>
                <xdr:col>7</xdr:col>
                <xdr:colOff>1066800</xdr:colOff>
                <xdr:row>290</xdr:row>
                <xdr:rowOff>457200</xdr:rowOff>
              </to>
            </anchor>
          </objectPr>
        </oleObject>
      </mc:Choice>
      <mc:Fallback>
        <oleObject progId="Equation.3" shapeId="8271" r:id="rId33"/>
      </mc:Fallback>
    </mc:AlternateContent>
    <mc:AlternateContent xmlns:mc="http://schemas.openxmlformats.org/markup-compatibility/2006">
      <mc:Choice Requires="x14">
        <oleObject progId="Equation.3" shapeId="8273" r:id="rId35">
          <objectPr defaultSize="0" autoPict="0" r:id="rId34">
            <anchor moveWithCells="1" sizeWithCells="1">
              <from>
                <xdr:col>6</xdr:col>
                <xdr:colOff>638175</xdr:colOff>
                <xdr:row>252</xdr:row>
                <xdr:rowOff>219075</xdr:rowOff>
              </from>
              <to>
                <xdr:col>7</xdr:col>
                <xdr:colOff>1066800</xdr:colOff>
                <xdr:row>252</xdr:row>
                <xdr:rowOff>457200</xdr:rowOff>
              </to>
            </anchor>
          </objectPr>
        </oleObject>
      </mc:Choice>
      <mc:Fallback>
        <oleObject progId="Equation.3" shapeId="8273" r:id="rId35"/>
      </mc:Fallback>
    </mc:AlternateContent>
    <mc:AlternateContent xmlns:mc="http://schemas.openxmlformats.org/markup-compatibility/2006">
      <mc:Choice Requires="x14">
        <oleObject progId="Equation.3" shapeId="8274" r:id="rId36">
          <objectPr defaultSize="0" autoPict="0" r:id="rId34">
            <anchor moveWithCells="1" sizeWithCells="1">
              <from>
                <xdr:col>6</xdr:col>
                <xdr:colOff>638175</xdr:colOff>
                <xdr:row>214</xdr:row>
                <xdr:rowOff>219075</xdr:rowOff>
              </from>
              <to>
                <xdr:col>7</xdr:col>
                <xdr:colOff>1066800</xdr:colOff>
                <xdr:row>214</xdr:row>
                <xdr:rowOff>457200</xdr:rowOff>
              </to>
            </anchor>
          </objectPr>
        </oleObject>
      </mc:Choice>
      <mc:Fallback>
        <oleObject progId="Equation.3" shapeId="8274" r:id="rId36"/>
      </mc:Fallback>
    </mc:AlternateContent>
    <mc:AlternateContent xmlns:mc="http://schemas.openxmlformats.org/markup-compatibility/2006">
      <mc:Choice Requires="x14">
        <oleObject progId="Equation.3" shapeId="8197" r:id="rId37">
          <objectPr defaultSize="0" autoPict="0" r:id="rId38">
            <anchor moveWithCells="1" sizeWithCells="1">
              <from>
                <xdr:col>2</xdr:col>
                <xdr:colOff>200025</xdr:colOff>
                <xdr:row>67</xdr:row>
                <xdr:rowOff>85725</xdr:rowOff>
              </from>
              <to>
                <xdr:col>2</xdr:col>
                <xdr:colOff>1019175</xdr:colOff>
                <xdr:row>67</xdr:row>
                <xdr:rowOff>561975</xdr:rowOff>
              </to>
            </anchor>
          </objectPr>
        </oleObject>
      </mc:Choice>
      <mc:Fallback>
        <oleObject progId="Equation.3" shapeId="8197" r:id="rId37"/>
      </mc:Fallback>
    </mc:AlternateContent>
    <mc:AlternateContent xmlns:mc="http://schemas.openxmlformats.org/markup-compatibility/2006">
      <mc:Choice Requires="x14">
        <oleObject progId="Equation.3" shapeId="8276" r:id="rId39">
          <objectPr defaultSize="0" autoPict="0" r:id="rId40">
            <anchor moveWithCells="1" sizeWithCells="1">
              <from>
                <xdr:col>5</xdr:col>
                <xdr:colOff>381000</xdr:colOff>
                <xdr:row>53</xdr:row>
                <xdr:rowOff>28575</xdr:rowOff>
              </from>
              <to>
                <xdr:col>5</xdr:col>
                <xdr:colOff>942975</xdr:colOff>
                <xdr:row>54</xdr:row>
                <xdr:rowOff>0</xdr:rowOff>
              </to>
            </anchor>
          </objectPr>
        </oleObject>
      </mc:Choice>
      <mc:Fallback>
        <oleObject progId="Equation.3" shapeId="8276" r:id="rId39"/>
      </mc:Fallback>
    </mc:AlternateContent>
    <mc:AlternateContent xmlns:mc="http://schemas.openxmlformats.org/markup-compatibility/2006">
      <mc:Choice Requires="x14">
        <oleObject progId="Equation.3" shapeId="8282" r:id="rId41">
          <objectPr defaultSize="0" autoPict="0" altText="capital R equals capital N sub capital L over capital N sub lower case b plus capital X sub e x t times summation to capital N sub capital L of lower case e over summation to capital N sub lower case b of lower case x squared" r:id="rId42">
            <anchor moveWithCells="1" sizeWithCells="1">
              <from>
                <xdr:col>6</xdr:col>
                <xdr:colOff>371475</xdr:colOff>
                <xdr:row>33</xdr:row>
                <xdr:rowOff>123825</xdr:rowOff>
              </from>
              <to>
                <xdr:col>6</xdr:col>
                <xdr:colOff>1019175</xdr:colOff>
                <xdr:row>33</xdr:row>
                <xdr:rowOff>371475</xdr:rowOff>
              </to>
            </anchor>
          </objectPr>
        </oleObject>
      </mc:Choice>
      <mc:Fallback>
        <oleObject progId="Equation.3" shapeId="8282" r:id="rId4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6" tint="-0.499984740745262"/>
    <pageSetUpPr fitToPage="1"/>
  </sheetPr>
  <dimension ref="A1:M269"/>
  <sheetViews>
    <sheetView showGridLines="0" zoomScaleNormal="100" workbookViewId="0">
      <selection activeCell="B8" sqref="B8"/>
    </sheetView>
  </sheetViews>
  <sheetFormatPr defaultColWidth="9.140625" defaultRowHeight="15.75" x14ac:dyDescent="0.25"/>
  <cols>
    <col min="1" max="1" width="30" style="19" customWidth="1"/>
    <col min="2" max="11" width="21.5703125" style="19" customWidth="1"/>
    <col min="12" max="14" width="13.140625" style="19" customWidth="1"/>
    <col min="15" max="16" width="15.85546875" style="19" customWidth="1"/>
    <col min="17" max="16384" width="9.140625" style="19"/>
  </cols>
  <sheetData>
    <row r="1" spans="1:9" ht="58.5" customHeight="1" x14ac:dyDescent="0.25">
      <c r="A1" s="235" t="s">
        <v>229</v>
      </c>
      <c r="B1" s="235"/>
      <c r="C1" s="235"/>
      <c r="D1" s="235"/>
      <c r="E1" s="235"/>
      <c r="F1" s="235"/>
      <c r="G1" s="235"/>
      <c r="H1" s="235"/>
      <c r="I1" s="235"/>
    </row>
    <row r="2" spans="1:9" s="24" customFormat="1" ht="21.75" thickBot="1" x14ac:dyDescent="0.4">
      <c r="A2" s="234" t="s">
        <v>254</v>
      </c>
      <c r="B2" s="234"/>
      <c r="C2" s="234"/>
      <c r="D2" s="234"/>
      <c r="E2" s="234"/>
      <c r="F2" s="234"/>
      <c r="G2" s="234"/>
      <c r="H2" s="234"/>
      <c r="I2" s="234"/>
    </row>
    <row r="3" spans="1:9" ht="16.5" thickTop="1" x14ac:dyDescent="0.25"/>
    <row r="4" spans="1:9" ht="18.75" x14ac:dyDescent="0.25">
      <c r="A4" s="220" t="s">
        <v>68</v>
      </c>
      <c r="B4" s="220"/>
      <c r="C4" s="220"/>
      <c r="E4" s="25"/>
      <c r="F4" s="25"/>
      <c r="G4" s="25"/>
    </row>
    <row r="5" spans="1:9" ht="15" customHeight="1" x14ac:dyDescent="0.25">
      <c r="A5" s="26"/>
      <c r="B5" s="26"/>
      <c r="C5" s="26"/>
      <c r="E5" s="25"/>
      <c r="F5" s="25"/>
      <c r="G5" s="25"/>
    </row>
    <row r="6" spans="1:9" ht="15" customHeight="1" x14ac:dyDescent="0.25">
      <c r="A6" s="25"/>
      <c r="B6" s="238" t="s">
        <v>13</v>
      </c>
      <c r="C6" s="238"/>
      <c r="D6" s="238"/>
      <c r="E6" s="238"/>
      <c r="F6" s="238"/>
      <c r="G6" s="238"/>
      <c r="H6" s="25"/>
    </row>
    <row r="7" spans="1:9" s="29" customFormat="1" ht="47.25" x14ac:dyDescent="0.25">
      <c r="A7" s="27"/>
      <c r="B7" s="124" t="str">
        <f>noncompositeDeadLoadLabel</f>
        <v>Noncomposite Dead Load (DC1)</v>
      </c>
      <c r="C7" s="124" t="str">
        <f>superCompositeDeadLoadLabel</f>
        <v>Superimposed Composite Dead Load (DC2)</v>
      </c>
      <c r="D7" s="124" t="str">
        <f>futureWearingSurfaceLabel</f>
        <v>Future Wearing Surface (DW)</v>
      </c>
      <c r="E7" s="124" t="str">
        <f>positiveLiveLoadImpactLabel</f>
        <v>Positive Live Load plus Impact (LL+ + I)</v>
      </c>
      <c r="F7" s="124" t="str">
        <f>negativeLiveLoadImpactLabel</f>
        <v>Negative Live Load plus Impact (LL- + I)</v>
      </c>
      <c r="G7" s="28" t="s">
        <v>112</v>
      </c>
      <c r="H7" s="27"/>
    </row>
    <row r="8" spans="1:9" s="18" customFormat="1" x14ac:dyDescent="0.25">
      <c r="A8" s="104" t="s">
        <v>62</v>
      </c>
      <c r="B8" s="33">
        <f>noncompositeDeadLoadShear</f>
        <v>-78.64</v>
      </c>
      <c r="C8" s="33">
        <f>superCompositeDeadLoadShear</f>
        <v>0</v>
      </c>
      <c r="D8" s="33">
        <f>futureWearingSurfaceShear</f>
        <v>0</v>
      </c>
      <c r="E8" s="33">
        <f>positiveLiveLoadImpactShear</f>
        <v>14.81</v>
      </c>
      <c r="F8" s="33">
        <f>negativeLiveLoadImpactShear</f>
        <v>-83.84</v>
      </c>
      <c r="G8" s="33">
        <f>deckCastingShear</f>
        <v>0</v>
      </c>
      <c r="H8" s="104" t="s">
        <v>69</v>
      </c>
    </row>
    <row r="9" spans="1:9" s="18" customFormat="1" x14ac:dyDescent="0.25">
      <c r="A9" s="30" t="s">
        <v>112</v>
      </c>
      <c r="B9" s="33">
        <v>0</v>
      </c>
      <c r="C9" s="33">
        <v>0</v>
      </c>
      <c r="D9" s="33">
        <v>0</v>
      </c>
      <c r="E9" s="33">
        <v>0</v>
      </c>
      <c r="F9" s="33">
        <v>0</v>
      </c>
      <c r="G9" s="33">
        <v>1.4</v>
      </c>
      <c r="H9" s="82">
        <f>$G$8*G9</f>
        <v>0</v>
      </c>
      <c r="I9" s="126" t="str">
        <f>IF(MAX(ABS(deckCastingFactoredShear),ABS(serviceIIPositiveShear),ABS(serviceIINegativeShear))=ABS(deckCastingFactoredShear),"CONTROLS","")</f>
        <v/>
      </c>
    </row>
    <row r="10" spans="1:9" s="18" customFormat="1" x14ac:dyDescent="0.25">
      <c r="A10" s="30" t="s">
        <v>65</v>
      </c>
      <c r="B10" s="33">
        <v>1</v>
      </c>
      <c r="C10" s="33">
        <v>1</v>
      </c>
      <c r="D10" s="33">
        <v>1</v>
      </c>
      <c r="E10" s="33">
        <v>1.3</v>
      </c>
      <c r="F10" s="33">
        <v>0</v>
      </c>
      <c r="G10" s="33">
        <v>0</v>
      </c>
      <c r="H10" s="82">
        <f>SUM($B$8*B10,$C$8*C10,$D$8*D10,$E$8*E10, $F$8*F10)</f>
        <v>-59.387</v>
      </c>
      <c r="I10" s="126" t="str">
        <f>IF(MAX(ABS(deckCastingFactoredShear),ABS(serviceIIPositiveShear),ABS(serviceIINegativeShear))=ABS(serviceIIPositiveShear),"CONTROLS","")</f>
        <v/>
      </c>
    </row>
    <row r="11" spans="1:9" s="18" customFormat="1" x14ac:dyDescent="0.25">
      <c r="A11" s="30" t="s">
        <v>66</v>
      </c>
      <c r="B11" s="33">
        <v>1</v>
      </c>
      <c r="C11" s="33">
        <v>1</v>
      </c>
      <c r="D11" s="33">
        <v>1</v>
      </c>
      <c r="E11" s="33">
        <v>0</v>
      </c>
      <c r="F11" s="33">
        <v>1.3</v>
      </c>
      <c r="G11" s="33">
        <v>0</v>
      </c>
      <c r="H11" s="82">
        <f>SUM($B$8*B11,$C$8*C11,$D$8*D11,$E$8*E11, $F$8*F11)</f>
        <v>-187.63200000000001</v>
      </c>
      <c r="I11" s="126" t="str">
        <f>IF(MAX(ABS(deckCastingFactoredShear),ABS(serviceIIPositiveShear),ABS(serviceIINegativeShear))=ABS(serviceIINegativeShear),"CONTROLS","")</f>
        <v>CONTROLS</v>
      </c>
    </row>
    <row r="13" spans="1:9" ht="18.75" x14ac:dyDescent="0.25">
      <c r="A13" s="220" t="s">
        <v>270</v>
      </c>
      <c r="B13" s="220"/>
      <c r="C13" s="220"/>
    </row>
    <row r="15" spans="1:9" s="31" customFormat="1" ht="36" x14ac:dyDescent="0.35">
      <c r="A15" s="108" t="s">
        <v>74</v>
      </c>
      <c r="B15" s="108" t="s">
        <v>19</v>
      </c>
      <c r="C15" s="108" t="s">
        <v>91</v>
      </c>
      <c r="D15" s="108" t="s">
        <v>131</v>
      </c>
      <c r="E15" s="115" t="s">
        <v>320</v>
      </c>
      <c r="F15" s="108" t="s">
        <v>132</v>
      </c>
      <c r="G15" s="108" t="s">
        <v>133</v>
      </c>
      <c r="H15" s="28" t="s">
        <v>273</v>
      </c>
      <c r="I15" s="28" t="s">
        <v>274</v>
      </c>
    </row>
    <row r="16" spans="1:9" s="18" customFormat="1" x14ac:dyDescent="0.25">
      <c r="A16" s="32" t="s">
        <v>40</v>
      </c>
      <c r="B16" s="104" t="str">
        <f>CONCATENATE(boltTypeEnum," - ",webThreadStateEnum)</f>
        <v>A325 - Included</v>
      </c>
      <c r="C16" s="103">
        <f>VLOOKUP(boltDiameterEnum, boltPropertiesTable,3)</f>
        <v>0.78539816339744828</v>
      </c>
      <c r="D16" s="137" t="str">
        <f>holeSizeFactorEnum</f>
        <v>Standard</v>
      </c>
      <c r="E16" s="33">
        <f>VLOOKUP("fu",Table5[#Data],2)</f>
        <v>0.8</v>
      </c>
      <c r="F16" s="105">
        <f>VLOOKUP(boltTypeEnum, boltGradeTable,COLUMN(Table6[[#Headers],[Fu (ksi)]]))</f>
        <v>120</v>
      </c>
      <c r="G16" s="33">
        <f>VLOOKUP(boltDiameterEnum, boltPropertiesTable, IF(EXACT(boltTypeEnum,"A325"), COLUMN(Table1[[#Headers],[Pt - A325 (kip)]]), COLUMN(Table1[[#Headers],[Pt - A490 (kip)]])))</f>
        <v>51</v>
      </c>
      <c r="H16" s="33">
        <f>IF(EXACT(webThreadStateEnum,"Excluded"),E16*0.56*C16*F16,E16*0.45*C16*F16)</f>
        <v>33.929200658769766</v>
      </c>
      <c r="I16" s="33">
        <f>H16*2</f>
        <v>67.858401317539531</v>
      </c>
    </row>
    <row r="18" spans="1:4" ht="18.75" x14ac:dyDescent="0.25">
      <c r="A18" s="220" t="s">
        <v>72</v>
      </c>
      <c r="B18" s="220">
        <f>VLOOKUP(boltDiameterEnum, boltPropertiesTable,IF(EXACT(boltTypeEnum,"A325"), COLUMN(Table1[[#Headers],[Pt - A325 (kip)]]), COLUMN(Table1[[#Headers],[Pt - A490 (kip)]])))</f>
        <v>51</v>
      </c>
      <c r="C18" s="220"/>
    </row>
    <row r="20" spans="1:4" ht="33" x14ac:dyDescent="0.35">
      <c r="A20" s="108" t="s">
        <v>134</v>
      </c>
      <c r="B20" s="28" t="s">
        <v>135</v>
      </c>
      <c r="C20" s="108" t="s">
        <v>133</v>
      </c>
      <c r="D20" s="28" t="s">
        <v>92</v>
      </c>
    </row>
    <row r="21" spans="1:4" x14ac:dyDescent="0.25">
      <c r="A21" s="33">
        <f>VLOOKUP(fayingSurfaceClassEnum,Table3[],2)</f>
        <v>0.3</v>
      </c>
      <c r="B21" s="33">
        <f>VLOOKUP(holeSizeFactorEnum,Table4[], 2)</f>
        <v>1</v>
      </c>
      <c r="C21" s="33">
        <f>VLOOKUP(boltDiameterEnum, boltPropertiesTable,IF(EXACT(boltTypeEnum,"A325"), COLUMN(Table1[[#Headers],[Pt - A325 (kip)]]), COLUMN(Table1[[#Headers],[Pt - A490 (kip)]])))</f>
        <v>51</v>
      </c>
      <c r="D21" s="33">
        <f>2*(A21*B21*C21)</f>
        <v>30.599999999999998</v>
      </c>
    </row>
    <row r="22" spans="1:4" x14ac:dyDescent="0.25">
      <c r="A22" s="43"/>
      <c r="B22" s="43"/>
      <c r="C22" s="43"/>
      <c r="D22" s="43"/>
    </row>
    <row r="23" spans="1:4" ht="18.75" x14ac:dyDescent="0.25">
      <c r="A23" s="220" t="s">
        <v>173</v>
      </c>
      <c r="B23" s="220"/>
      <c r="C23" s="220"/>
    </row>
    <row r="25" spans="1:4" x14ac:dyDescent="0.25">
      <c r="A25" s="23" t="s">
        <v>170</v>
      </c>
      <c r="B25" s="23"/>
      <c r="C25" s="23"/>
    </row>
    <row r="26" spans="1:4" ht="18.75" x14ac:dyDescent="0.35">
      <c r="A26" s="47"/>
      <c r="B26" s="108" t="s">
        <v>288</v>
      </c>
      <c r="C26" s="112" t="s">
        <v>114</v>
      </c>
      <c r="D26" s="36"/>
    </row>
    <row r="27" spans="1:4" x14ac:dyDescent="0.25">
      <c r="A27" s="47" t="s">
        <v>171</v>
      </c>
      <c r="B27" s="82" t="str">
        <f>positiveMomentHorizontalWebForce</f>
        <v>DNA</v>
      </c>
      <c r="C27" s="113" t="e">
        <f>IF(MAX(B27:B28) = B27, "CONTROLS", "")</f>
        <v>#DIV/0!</v>
      </c>
      <c r="D27" s="36"/>
    </row>
    <row r="28" spans="1:4" x14ac:dyDescent="0.25">
      <c r="A28" s="47" t="s">
        <v>172</v>
      </c>
      <c r="B28" s="82" t="e">
        <f>negativeMomentHorizontalWebForce</f>
        <v>#DIV/0!</v>
      </c>
      <c r="C28" s="113" t="e">
        <f>IF(MAX(B27:B28) = B28, "CONTROLS", "")</f>
        <v>#DIV/0!</v>
      </c>
      <c r="D28" s="36"/>
    </row>
    <row r="29" spans="1:4" x14ac:dyDescent="0.25">
      <c r="C29" s="36"/>
      <c r="D29" s="36"/>
    </row>
    <row r="30" spans="1:4" x14ac:dyDescent="0.25">
      <c r="A30" s="23" t="s">
        <v>284</v>
      </c>
      <c r="B30" s="23"/>
      <c r="C30" s="23"/>
    </row>
    <row r="31" spans="1:4" ht="18.75" x14ac:dyDescent="0.35">
      <c r="A31" s="47"/>
      <c r="B31" s="108" t="s">
        <v>288</v>
      </c>
      <c r="C31" s="112" t="s">
        <v>114</v>
      </c>
      <c r="D31" s="36"/>
    </row>
    <row r="32" spans="1:4" x14ac:dyDescent="0.25">
      <c r="A32" s="47" t="s">
        <v>171</v>
      </c>
      <c r="B32" s="82" t="str">
        <f>positiveMomentSlipHorizontalWebForce</f>
        <v>DNA</v>
      </c>
      <c r="C32" s="113" t="e">
        <f>IF(MAX(B32:B34) = B32, "CONTROLS", "")</f>
        <v>#DIV/0!</v>
      </c>
      <c r="D32" s="36"/>
    </row>
    <row r="33" spans="1:12" x14ac:dyDescent="0.25">
      <c r="A33" s="47" t="s">
        <v>172</v>
      </c>
      <c r="B33" s="82" t="e">
        <f>negativeMomentSlipHorizontalWebForce</f>
        <v>#DIV/0!</v>
      </c>
      <c r="C33" s="113" t="e">
        <f>IF(MAX(B32:B34) = B33, "CONTROLS", "")</f>
        <v>#DIV/0!</v>
      </c>
      <c r="D33" s="36"/>
    </row>
    <row r="34" spans="1:12" x14ac:dyDescent="0.25">
      <c r="A34" s="47" t="s">
        <v>112</v>
      </c>
      <c r="B34" s="82" t="e">
        <f>deckCastingSlipHorizontalWebForce</f>
        <v>#DIV/0!</v>
      </c>
      <c r="C34" s="113" t="e">
        <f>IF(MAX(B32:B34) = B34, "CONTROLS", "")</f>
        <v>#DIV/0!</v>
      </c>
      <c r="D34" s="36"/>
    </row>
    <row r="35" spans="1:12" x14ac:dyDescent="0.25">
      <c r="C35" s="36"/>
      <c r="D35" s="36"/>
    </row>
    <row r="36" spans="1:12" ht="18.75" x14ac:dyDescent="0.25">
      <c r="A36" s="220" t="s">
        <v>113</v>
      </c>
      <c r="B36" s="220">
        <f>VLOOKUP(boltDiameterEnum, boltPropertiesTable,IF(EXACT(boltTypeEnum,"A325"), COLUMN(Table1[[#Headers],[Pt - A325 (kip)]]), COLUMN(Table1[[#Headers],[Pt - A490 (kip)]])))</f>
        <v>51</v>
      </c>
      <c r="C36" s="220"/>
    </row>
    <row r="37" spans="1:12" x14ac:dyDescent="0.25">
      <c r="A37" s="18"/>
    </row>
    <row r="38" spans="1:12" x14ac:dyDescent="0.25">
      <c r="A38" s="23" t="s">
        <v>111</v>
      </c>
    </row>
    <row r="39" spans="1:12" ht="18.75" x14ac:dyDescent="0.35">
      <c r="A39" s="108" t="s">
        <v>74</v>
      </c>
      <c r="B39" s="108" t="s">
        <v>136</v>
      </c>
      <c r="C39" s="108" t="s">
        <v>104</v>
      </c>
      <c r="D39" s="108" t="s">
        <v>137</v>
      </c>
      <c r="E39" s="108" t="s">
        <v>138</v>
      </c>
    </row>
    <row r="40" spans="1:12" s="18" customFormat="1" x14ac:dyDescent="0.25">
      <c r="A40" s="32" t="s">
        <v>41</v>
      </c>
      <c r="B40" s="104">
        <f>VLOOKUP(leftWebMaterialEnum,steelGradeTable, COLUMN(Table2[[#Headers],[Fy (ksi)]]))</f>
        <v>36</v>
      </c>
      <c r="C40" s="104">
        <f>VLOOKUP(leftWebMaterialEnum,steelGradeTable, COLUMN(Table2[[#Headers],[E (ksi)]]))</f>
        <v>29000</v>
      </c>
      <c r="D40" s="104">
        <f>VLOOKUP(leftWebMaterialEnum,steelGradeTable, COLUMN(Table2[[#Headers],[Fu (ksi)]]))</f>
        <v>58</v>
      </c>
      <c r="E40" s="33">
        <f>VLOOKUP(leftWebMaterialEnum,steelGradeTable, COLUMN(Table2[[#Headers],[0.84 (Fu/Fy)]]))</f>
        <v>1.3533333333333333</v>
      </c>
    </row>
    <row r="41" spans="1:12" s="18" customFormat="1" x14ac:dyDescent="0.25">
      <c r="A41" s="32" t="s">
        <v>42</v>
      </c>
      <c r="B41" s="104">
        <f>VLOOKUP(rightWebMaterialEnum,steelGradeTable, COLUMN(Table2[[#Headers],[Fy (ksi)]]))</f>
        <v>36</v>
      </c>
      <c r="C41" s="104">
        <f>VLOOKUP(rightWebMaterialEnum,steelGradeTable, COLUMN(Table2[[#Headers],[E (ksi)]]))</f>
        <v>29000</v>
      </c>
      <c r="D41" s="104">
        <f>VLOOKUP(rightWebMaterialEnum,steelGradeTable, COLUMN(Table2[[#Headers],[Fu (ksi)]]))</f>
        <v>58</v>
      </c>
      <c r="E41" s="33">
        <f>VLOOKUP(rightWebMaterialEnum,steelGradeTable, COLUMN(Table2[[#Headers],[0.84 (Fu/Fy)]]))</f>
        <v>1.3533333333333333</v>
      </c>
    </row>
    <row r="43" spans="1:12" ht="33" x14ac:dyDescent="0.35">
      <c r="A43" s="28" t="s">
        <v>74</v>
      </c>
      <c r="B43" s="108" t="s">
        <v>100</v>
      </c>
      <c r="C43" s="108" t="s">
        <v>16</v>
      </c>
      <c r="D43" s="28" t="s">
        <v>307</v>
      </c>
      <c r="E43" s="28" t="s">
        <v>524</v>
      </c>
      <c r="F43" s="28" t="s">
        <v>525</v>
      </c>
      <c r="G43" s="28" t="s">
        <v>522</v>
      </c>
    </row>
    <row r="44" spans="1:12" x14ac:dyDescent="0.25">
      <c r="A44" s="32" t="s">
        <v>41</v>
      </c>
      <c r="B44" s="107">
        <f>webDepth</f>
        <v>72</v>
      </c>
      <c r="C44" s="94">
        <f>leftWebThickness</f>
        <v>0.4375</v>
      </c>
      <c r="D44" s="33">
        <f>leftWebThickness*webDepth</f>
        <v>31.5</v>
      </c>
      <c r="E44" s="221">
        <f>IF(ABS(C44-C45)&lt;=0.0625,0,ABS(C44-C45))</f>
        <v>1</v>
      </c>
      <c r="F44" s="221">
        <f>IF(webFillerPlateThicknessTotal&gt;1/8,webFillerPlateThicknessTotal/2,webFillerPlateThicknessTotal)</f>
        <v>0.5</v>
      </c>
      <c r="G44" s="231">
        <f>IF(webFillerPlateThicknessTotal&gt;0,IF(webFillerPlateThicknessTotal&gt;1/8,2,1),0)</f>
        <v>2</v>
      </c>
    </row>
    <row r="45" spans="1:12" x14ac:dyDescent="0.25">
      <c r="A45" s="32" t="s">
        <v>42</v>
      </c>
      <c r="B45" s="107">
        <f>webDepth</f>
        <v>72</v>
      </c>
      <c r="C45" s="94">
        <f>rightWebThickness</f>
        <v>1.4375</v>
      </c>
      <c r="D45" s="33">
        <f>rightWebThickness*webDepth</f>
        <v>103.5</v>
      </c>
      <c r="E45" s="223"/>
      <c r="F45" s="223"/>
      <c r="G45" s="233"/>
    </row>
    <row r="47" spans="1:12" ht="48.75" x14ac:dyDescent="0.35">
      <c r="A47" s="28" t="s">
        <v>74</v>
      </c>
      <c r="B47" s="171" t="s">
        <v>529</v>
      </c>
      <c r="C47" s="28" t="s">
        <v>308</v>
      </c>
      <c r="D47" s="28" t="s">
        <v>309</v>
      </c>
      <c r="E47" s="28" t="s">
        <v>106</v>
      </c>
      <c r="F47" s="28" t="s">
        <v>334</v>
      </c>
      <c r="G47" s="28" t="s">
        <v>333</v>
      </c>
      <c r="H47" s="160" t="s">
        <v>107</v>
      </c>
      <c r="I47" s="163"/>
      <c r="J47" s="163"/>
      <c r="K47" s="163"/>
      <c r="L47" s="163"/>
    </row>
    <row r="48" spans="1:12" x14ac:dyDescent="0.25">
      <c r="A48" s="32" t="s">
        <v>41</v>
      </c>
      <c r="B48" s="114" t="str">
        <f>stiffenedStatusLeft</f>
        <v>Stiffened</v>
      </c>
      <c r="C48" s="114">
        <f>webDepth/leftWebThickness</f>
        <v>164.57142857142858</v>
      </c>
      <c r="D48" s="114">
        <f>IFERROR(IF(EXACT(B48,"Stiffened"),(stffenerSpacingLeft*12)/webDepth,"DNA"),0)</f>
        <v>0.55903333333333327</v>
      </c>
      <c r="E48" s="33">
        <f>IFERROR(IF(EXACT(B48,"Stiffened"),5+5/POWER(D48,2),5),0)</f>
        <v>20.99906474444991</v>
      </c>
      <c r="F48" s="33">
        <f>1.12*SQRT(C40*E48/B40)</f>
        <v>145.66853332592126</v>
      </c>
      <c r="G48" s="33">
        <f>1.4*SQRT(C40*E48/B40)</f>
        <v>182.08566665740156</v>
      </c>
      <c r="H48" s="33">
        <f>IF(C48&lt;F48,1,IF(C48&gt;G48,(1.57/C48^2)*SQRT(E48*C40/B40)^2,(1.12/C48)*SQRT(E48*C40/B40)))</f>
        <v>0.88513865736236885</v>
      </c>
      <c r="I48" s="163"/>
      <c r="J48" s="163"/>
      <c r="K48" s="163"/>
      <c r="L48" s="163"/>
    </row>
    <row r="49" spans="1:12" x14ac:dyDescent="0.25">
      <c r="A49" s="32" t="s">
        <v>42</v>
      </c>
      <c r="B49" s="114" t="str">
        <f>stiffenedStatusRight</f>
        <v>Stiffened</v>
      </c>
      <c r="C49" s="114">
        <f>webDepth/rightWebThickness</f>
        <v>50.086956521739133</v>
      </c>
      <c r="D49" s="114">
        <f>IFERROR(IF(EXACT(B49,"Stiffened"),(stffenerSpacingRight*12)/webDepth,"DNA"),0)</f>
        <v>0.27429999999999999</v>
      </c>
      <c r="E49" s="33">
        <f>IFERROR(IF(EXACT(B49,"Stiffened"),5+5/POWER(D49,2),5),0)</f>
        <v>71.453581043929944</v>
      </c>
      <c r="F49" s="33">
        <f>1.12*SQRT(C41*E49/B41)</f>
        <v>268.70625172521193</v>
      </c>
      <c r="G49" s="33">
        <f>1.4*SQRT(C41*E49/B41)</f>
        <v>335.88281465651488</v>
      </c>
      <c r="H49" s="33">
        <f>IF(C49&lt;F49,1,IF(C49&gt;G49,(1.57/C49^2)*SQRT(E49*C41/B41)^2,(1.12/C49)*SQRT(E49*C41/B41)))</f>
        <v>1</v>
      </c>
      <c r="I49" s="163"/>
      <c r="J49" s="163"/>
      <c r="K49" s="163"/>
      <c r="L49" s="163"/>
    </row>
    <row r="50" spans="1:12" x14ac:dyDescent="0.25">
      <c r="A50" s="18"/>
      <c r="B50" s="163"/>
      <c r="C50" s="163"/>
      <c r="D50" s="163"/>
      <c r="E50" s="43"/>
      <c r="F50" s="43"/>
      <c r="G50" s="43"/>
      <c r="H50" s="43"/>
      <c r="I50" s="163"/>
      <c r="J50" s="163"/>
      <c r="K50" s="163"/>
      <c r="L50" s="163"/>
    </row>
    <row r="51" spans="1:12" ht="49.5" customHeight="1" x14ac:dyDescent="0.35">
      <c r="A51" s="28" t="s">
        <v>74</v>
      </c>
      <c r="B51" s="28" t="s">
        <v>310</v>
      </c>
      <c r="C51" s="28" t="s">
        <v>311</v>
      </c>
      <c r="D51" s="28"/>
      <c r="E51" s="28" t="s">
        <v>312</v>
      </c>
      <c r="F51" s="43"/>
      <c r="G51" s="43"/>
      <c r="H51" s="43"/>
      <c r="I51" s="163"/>
      <c r="J51" s="163"/>
      <c r="K51" s="163"/>
      <c r="L51" s="163"/>
    </row>
    <row r="52" spans="1:12" x14ac:dyDescent="0.25">
      <c r="A52" s="32" t="s">
        <v>41</v>
      </c>
      <c r="B52" s="114">
        <f>0.58*B40*D44</f>
        <v>657.71999999999991</v>
      </c>
      <c r="C52" s="114">
        <f>H48*B52</f>
        <v>582.17339772037712</v>
      </c>
      <c r="D52" s="114" t="b">
        <f>IFERROR(IF(EXACT(B48,"Stiffened"),IF((2*webDepth*leftWebThickness)/(leftTopFlangeThickness*leftTopFlangeWidth+leftBottomFlangeThickness*leftBottomFlangeWidth)&lt;=2.5,TRUE,FALSE),"DNA"),0)</f>
        <v>1</v>
      </c>
      <c r="E52" s="33">
        <f>IFERROR(IF(EXACT(B48,"Stiffened"),IF(D52,B52*(H48+(0.87*(1-H48))/SQRT(1+D48^2)),B52*(H48+(0.87*(1-H48))/(SQRT(1+D48^2)+D48))),C52),0)</f>
        <v>639.54295664877304</v>
      </c>
      <c r="F52" s="43"/>
      <c r="G52" s="43"/>
      <c r="H52" s="43"/>
      <c r="I52" s="163"/>
      <c r="J52" s="163"/>
      <c r="K52" s="163"/>
      <c r="L52" s="163"/>
    </row>
    <row r="53" spans="1:12" x14ac:dyDescent="0.25">
      <c r="A53" s="32" t="s">
        <v>42</v>
      </c>
      <c r="B53" s="114">
        <f>0.58*B41*D45</f>
        <v>2161.08</v>
      </c>
      <c r="C53" s="114">
        <f>H49*B53</f>
        <v>2161.08</v>
      </c>
      <c r="D53" s="114" t="b">
        <f>IFERROR(IF(EXACT(B49,"Stiffened"),IF((2*webDepth*rightWebThickness)/(rightTopFlangeThickness*rightTopFlangeWidth+rightBottomFlangeThickness*rightBottomFlangeWidth)&lt;=2.5,TRUE,FALSE),"DNA"),0)</f>
        <v>0</v>
      </c>
      <c r="E53" s="33">
        <f>IFERROR(IF(EXACT(B49,"Stiffened"),IF(D53,B53*(H49+(0.87*(1-H49))/SQRT(1+D49^2)),B53*(H49+(0.87*(1-H49))/(SQRT(1+D49^2)+D49))),C53),0)</f>
        <v>2161.08</v>
      </c>
      <c r="F53" s="43"/>
      <c r="G53" s="43"/>
      <c r="H53" s="43"/>
      <c r="I53" s="163"/>
      <c r="J53" s="163"/>
      <c r="K53" s="163"/>
      <c r="L53" s="163"/>
    </row>
    <row r="55" spans="1:12" x14ac:dyDescent="0.25">
      <c r="A55" s="23" t="s">
        <v>305</v>
      </c>
    </row>
    <row r="56" spans="1:12" x14ac:dyDescent="0.25">
      <c r="A56" s="23"/>
    </row>
    <row r="57" spans="1:12" ht="47.25" customHeight="1" x14ac:dyDescent="0.35">
      <c r="A57" s="28" t="s">
        <v>74</v>
      </c>
      <c r="B57" s="108" t="s">
        <v>382</v>
      </c>
      <c r="C57" s="28" t="s">
        <v>312</v>
      </c>
      <c r="D57" s="115" t="s">
        <v>315</v>
      </c>
      <c r="E57" s="28" t="s">
        <v>313</v>
      </c>
    </row>
    <row r="58" spans="1:12" x14ac:dyDescent="0.25">
      <c r="A58" s="246" t="s">
        <v>40</v>
      </c>
      <c r="B58" s="218" t="e">
        <f>MAX(B27:B28)</f>
        <v>#DIV/0!</v>
      </c>
      <c r="C58" s="204">
        <f>MIN(E52:E53)</f>
        <v>639.54295664877304</v>
      </c>
      <c r="D58" s="204">
        <f>VLOOKUP("fv",Table5[#Data],2)</f>
        <v>1</v>
      </c>
      <c r="E58" s="204">
        <f>C58*D58</f>
        <v>639.54295664877304</v>
      </c>
    </row>
    <row r="59" spans="1:12" x14ac:dyDescent="0.25">
      <c r="A59" s="247"/>
      <c r="B59" s="211"/>
      <c r="C59" s="211"/>
      <c r="D59" s="206"/>
      <c r="E59" s="206"/>
    </row>
    <row r="61" spans="1:12" ht="55.5" customHeight="1" x14ac:dyDescent="0.25">
      <c r="A61" s="28" t="s">
        <v>74</v>
      </c>
      <c r="B61" s="108" t="s">
        <v>168</v>
      </c>
      <c r="C61" s="28" t="s">
        <v>101</v>
      </c>
      <c r="D61" s="28" t="s">
        <v>249</v>
      </c>
      <c r="E61" s="28" t="s">
        <v>235</v>
      </c>
    </row>
    <row r="62" spans="1:12" x14ac:dyDescent="0.25">
      <c r="A62" s="246" t="s">
        <v>40</v>
      </c>
      <c r="B62" s="218" t="e">
        <f>SQRT(B58^2+E58^2)</f>
        <v>#DIV/0!</v>
      </c>
      <c r="C62" s="218" t="e">
        <f>B62/webBoltShearCapacity</f>
        <v>#DIV/0!</v>
      </c>
      <c r="D62" s="231">
        <f>webBoltRowQuantity</f>
        <v>4</v>
      </c>
      <c r="E62" s="231" t="e">
        <f>CEILING(C62,webBoltRowsCalculated)</f>
        <v>#DIV/0!</v>
      </c>
    </row>
    <row r="63" spans="1:12" x14ac:dyDescent="0.25">
      <c r="A63" s="247"/>
      <c r="B63" s="237"/>
      <c r="C63" s="237"/>
      <c r="D63" s="233"/>
      <c r="E63" s="233"/>
    </row>
    <row r="64" spans="1:12" x14ac:dyDescent="0.25">
      <c r="A64" s="116"/>
      <c r="B64" s="134"/>
      <c r="C64" s="134"/>
      <c r="D64" s="91"/>
      <c r="E64" s="91"/>
    </row>
    <row r="65" spans="1:10" ht="18.75" x14ac:dyDescent="0.25">
      <c r="A65" s="220" t="s">
        <v>513</v>
      </c>
      <c r="B65" s="220">
        <f>VLOOKUP(boltDiameterEnum, boltPropertiesTable,IF(EXACT(boltTypeEnum,"A325"), COLUMN(Table1[[#Headers],[Pt - A325 (kip)]]), COLUMN(Table1[[#Headers],[Pt - A490 (kip)]])))</f>
        <v>51</v>
      </c>
      <c r="C65" s="220"/>
      <c r="D65" s="91"/>
      <c r="E65" s="91"/>
    </row>
    <row r="66" spans="1:10" ht="18.75" x14ac:dyDescent="0.25">
      <c r="A66" s="106"/>
      <c r="B66" s="106"/>
      <c r="C66" s="106"/>
      <c r="D66" s="91"/>
      <c r="E66" s="91"/>
    </row>
    <row r="67" spans="1:10" ht="18.75" x14ac:dyDescent="0.25">
      <c r="A67" s="23" t="s">
        <v>305</v>
      </c>
      <c r="B67" s="106"/>
      <c r="C67" s="106"/>
      <c r="D67" s="91"/>
      <c r="E67" s="91"/>
    </row>
    <row r="68" spans="1:10" x14ac:dyDescent="0.25">
      <c r="A68" s="116"/>
      <c r="B68" s="134"/>
      <c r="C68" s="134"/>
      <c r="D68" s="91"/>
      <c r="E68" s="91"/>
    </row>
    <row r="69" spans="1:10" ht="48.75" x14ac:dyDescent="0.35">
      <c r="A69" s="29"/>
      <c r="B69" s="108" t="s">
        <v>13</v>
      </c>
      <c r="C69" s="108" t="s">
        <v>288</v>
      </c>
      <c r="D69" s="108" t="s">
        <v>382</v>
      </c>
      <c r="E69" s="108" t="s">
        <v>387</v>
      </c>
      <c r="F69" s="28" t="s">
        <v>166</v>
      </c>
      <c r="G69" s="28" t="s">
        <v>101</v>
      </c>
      <c r="H69" s="28" t="s">
        <v>249</v>
      </c>
      <c r="I69" s="28" t="s">
        <v>235</v>
      </c>
      <c r="J69" s="28" t="s">
        <v>510</v>
      </c>
    </row>
    <row r="70" spans="1:10" x14ac:dyDescent="0.25">
      <c r="A70" s="246" t="s">
        <v>384</v>
      </c>
      <c r="B70" s="210">
        <f>deckCastingFactoredShear</f>
        <v>0</v>
      </c>
      <c r="C70" s="210" t="e">
        <f>deckCastingSlipHorizontalWebForce</f>
        <v>#DIV/0!</v>
      </c>
      <c r="D70" s="210" t="e">
        <f>deckCastingSlipHorizontalWebForce</f>
        <v>#DIV/0!</v>
      </c>
      <c r="E70" s="210">
        <f>IF(ISNUMBER(deckCastingSlipHorizontalWebForce),SQRT(deckCastingFactoredShear^2+C70^2),deckCastingFactoredShear)</f>
        <v>0</v>
      </c>
      <c r="F70" s="204">
        <f>D21</f>
        <v>30.599999999999998</v>
      </c>
      <c r="G70" s="210">
        <f>ABS(E70)/F70</f>
        <v>0</v>
      </c>
      <c r="H70" s="226">
        <f>webBoltRowQuantity</f>
        <v>4</v>
      </c>
      <c r="I70" s="263">
        <f>CEILING(G70,H70)</f>
        <v>0</v>
      </c>
      <c r="J70" s="224">
        <f>MAX(I70:I75)</f>
        <v>8</v>
      </c>
    </row>
    <row r="71" spans="1:10" x14ac:dyDescent="0.25">
      <c r="A71" s="247"/>
      <c r="B71" s="210"/>
      <c r="C71" s="210"/>
      <c r="D71" s="210"/>
      <c r="E71" s="210"/>
      <c r="F71" s="205"/>
      <c r="G71" s="210"/>
      <c r="H71" s="226"/>
      <c r="I71" s="264"/>
      <c r="J71" s="226"/>
    </row>
    <row r="72" spans="1:10" x14ac:dyDescent="0.25">
      <c r="A72" s="246" t="s">
        <v>385</v>
      </c>
      <c r="B72" s="210">
        <f>serviceIIPositiveShear</f>
        <v>-59.387</v>
      </c>
      <c r="C72" s="210" t="str">
        <f>positiveMomentSlipHorizontalWebForce</f>
        <v>DNA</v>
      </c>
      <c r="D72" s="204" t="str">
        <f>IF(OR(ISNUMBER(positiveMomentSlipHorizontalWebForce),ISNUMBER(negativeMomentSlipHorizontalWebForce)),MAX(positiveMomentSlipHorizontalWebForce,negativeMomentSlipHorizontalWebForce),"DNA")</f>
        <v>DNA</v>
      </c>
      <c r="E72" s="210">
        <f>IF(ISNUMBER(D72),SQRT(serviceIIPositiveShear^2+D72^2),serviceIIPositiveShear)</f>
        <v>-59.387</v>
      </c>
      <c r="F72" s="205"/>
      <c r="G72" s="210">
        <f>ABS(E72)/F70</f>
        <v>1.9407516339869282</v>
      </c>
      <c r="H72" s="226"/>
      <c r="I72" s="263">
        <f>CEILING(G72,H70)</f>
        <v>4</v>
      </c>
      <c r="J72" s="226"/>
    </row>
    <row r="73" spans="1:10" x14ac:dyDescent="0.25">
      <c r="A73" s="247"/>
      <c r="B73" s="210"/>
      <c r="C73" s="210"/>
      <c r="D73" s="205"/>
      <c r="E73" s="210"/>
      <c r="F73" s="205"/>
      <c r="G73" s="210"/>
      <c r="H73" s="226"/>
      <c r="I73" s="264"/>
      <c r="J73" s="226"/>
    </row>
    <row r="74" spans="1:10" x14ac:dyDescent="0.25">
      <c r="A74" s="246" t="s">
        <v>386</v>
      </c>
      <c r="B74" s="210">
        <f>serviceIINegativeShear</f>
        <v>-187.63200000000001</v>
      </c>
      <c r="C74" s="210" t="e">
        <f>negativeMomentSlipHorizontalWebForce</f>
        <v>#DIV/0!</v>
      </c>
      <c r="D74" s="205"/>
      <c r="E74" s="210">
        <f>IF(ISNUMBER(D72),SQRT(serviceIINegativeShear^2+D72^2),serviceIINegativeShear)</f>
        <v>-187.63200000000001</v>
      </c>
      <c r="F74" s="205"/>
      <c r="G74" s="210">
        <f>ABS(E74)/F70</f>
        <v>6.1317647058823539</v>
      </c>
      <c r="H74" s="226"/>
      <c r="I74" s="263">
        <f>CEILING(G74,H70)</f>
        <v>8</v>
      </c>
      <c r="J74" s="226"/>
    </row>
    <row r="75" spans="1:10" x14ac:dyDescent="0.25">
      <c r="A75" s="247"/>
      <c r="B75" s="210"/>
      <c r="C75" s="210"/>
      <c r="D75" s="206"/>
      <c r="E75" s="210"/>
      <c r="F75" s="206"/>
      <c r="G75" s="210"/>
      <c r="H75" s="226"/>
      <c r="I75" s="264"/>
      <c r="J75" s="226"/>
    </row>
    <row r="77" spans="1:10" ht="18.75" x14ac:dyDescent="0.25">
      <c r="A77" s="220" t="s">
        <v>246</v>
      </c>
      <c r="B77" s="220">
        <f>VLOOKUP(boltDiameterEnum, boltPropertiesTable,IF(EXACT(boltTypeEnum,"A325"), COLUMN(Table1[[#Headers],[Pt - A325 (kip)]]), COLUMN(Table1[[#Headers],[Pt - A490 (kip)]])))</f>
        <v>51</v>
      </c>
      <c r="C77" s="220"/>
    </row>
    <row r="78" spans="1:10" ht="18.75" x14ac:dyDescent="0.25">
      <c r="A78" s="106"/>
      <c r="B78" s="106"/>
      <c r="C78" s="106"/>
    </row>
    <row r="79" spans="1:10" x14ac:dyDescent="0.25">
      <c r="A79" s="23" t="s">
        <v>196</v>
      </c>
      <c r="H79" s="36"/>
    </row>
    <row r="81" spans="1:8" ht="37.5" customHeight="1" x14ac:dyDescent="0.35">
      <c r="A81" s="28" t="s">
        <v>74</v>
      </c>
      <c r="B81" s="28" t="s">
        <v>121</v>
      </c>
      <c r="C81" s="28" t="s">
        <v>194</v>
      </c>
      <c r="D81" s="108" t="s">
        <v>195</v>
      </c>
      <c r="E81" s="36"/>
      <c r="F81" s="36"/>
    </row>
    <row r="82" spans="1:8" x14ac:dyDescent="0.25">
      <c r="A82" s="246" t="s">
        <v>40</v>
      </c>
      <c r="B82" s="241">
        <f>webSplicePlateThickness</f>
        <v>0</v>
      </c>
      <c r="C82" s="241">
        <f>4+4*webSplicePlateThickness</f>
        <v>4</v>
      </c>
      <c r="D82" s="241">
        <f>IF((4+4*B82)&gt;=7,7,(4+4*B82))</f>
        <v>4</v>
      </c>
      <c r="E82" s="36"/>
      <c r="F82" s="36"/>
    </row>
    <row r="83" spans="1:8" x14ac:dyDescent="0.25">
      <c r="A83" s="247"/>
      <c r="B83" s="241"/>
      <c r="C83" s="241"/>
      <c r="D83" s="241"/>
      <c r="E83" s="36"/>
      <c r="F83" s="36"/>
      <c r="H83" s="36"/>
    </row>
    <row r="84" spans="1:8" x14ac:dyDescent="0.25">
      <c r="A84" s="18"/>
      <c r="B84" s="80"/>
      <c r="C84" s="80"/>
      <c r="D84" s="80"/>
      <c r="E84" s="80"/>
      <c r="F84" s="80"/>
      <c r="G84" s="36"/>
      <c r="H84" s="36"/>
    </row>
    <row r="85" spans="1:8" x14ac:dyDescent="0.25">
      <c r="A85" s="23" t="s">
        <v>400</v>
      </c>
      <c r="B85" s="80"/>
      <c r="C85" s="80"/>
    </row>
    <row r="86" spans="1:8" ht="18.75" x14ac:dyDescent="0.25">
      <c r="A86" s="23"/>
      <c r="B86" s="106"/>
      <c r="C86" s="106"/>
    </row>
    <row r="87" spans="1:8" ht="47.25" x14ac:dyDescent="0.25">
      <c r="A87" s="28" t="s">
        <v>74</v>
      </c>
      <c r="B87" s="28" t="s">
        <v>278</v>
      </c>
      <c r="C87" s="28" t="s">
        <v>362</v>
      </c>
      <c r="D87" s="28" t="s">
        <v>231</v>
      </c>
      <c r="E87" s="28" t="s">
        <v>232</v>
      </c>
      <c r="F87" s="28" t="s">
        <v>396</v>
      </c>
      <c r="G87" s="28" t="s">
        <v>398</v>
      </c>
    </row>
    <row r="88" spans="1:8" x14ac:dyDescent="0.25">
      <c r="A88" s="32" t="s">
        <v>491</v>
      </c>
      <c r="B88" s="221">
        <f>IF(minimumEndDistanceWebInitial&gt;0, minimumEndDistanceWebInitial, VLOOKUP(boltDiameterEnum, boltPropertiesTable, COLUMN(Table1[[#Headers],[Standard Min Edge &amp; End Distance (in)]])))</f>
        <v>1.25</v>
      </c>
      <c r="C88" s="241">
        <f>webWeldSize</f>
        <v>0</v>
      </c>
      <c r="D88" s="241">
        <f>webWeldClearence</f>
        <v>0</v>
      </c>
      <c r="E88" s="221">
        <f>IF(enteringTighteningClearenceInitial&gt;0, enteringTighteningClearenceInitial, VLOOKUP(boltDiameterEnum, boltClearencesTable, COLUMN(Table9[[#Headers],[H2]]))+MAX(VLOOKUP(boltDiameterEnum, boltClearencesTable, COLUMN(Table9[[#Headers],[C1]])), VLOOKUP(boltDiameterEnum, boltClearencesTable, COLUMN(Table9[[#Headers],[C2]]))))</f>
        <v>3.125</v>
      </c>
      <c r="F88" s="94">
        <f>IF((webWeldSize+webWeldClearence+minimumEndDistanceWebCalculated)&gt;(enteringTighteningClearenceCalculated+innerTopFlangeSplicePlateThickness),B88,(enteringTighteningClearenceCalculated+innerTopFlangeSplicePlateThickness)-webWeldSize-webWeldClearence)</f>
        <v>3.125</v>
      </c>
      <c r="G88" s="94">
        <f>minimumEndDistanceWebCalculated-F88</f>
        <v>-1.875</v>
      </c>
    </row>
    <row r="89" spans="1:8" x14ac:dyDescent="0.25">
      <c r="A89" s="32" t="s">
        <v>492</v>
      </c>
      <c r="B89" s="223"/>
      <c r="C89" s="241"/>
      <c r="D89" s="241"/>
      <c r="E89" s="223"/>
      <c r="F89" s="94">
        <f>IF((webWeldSize+webWeldClearence+minimumEndDistanceWebCalculated)&gt;(enteringTighteningClearenceCalculated+innerBottomFlangeSplicePlateThickness),B88,(enteringTighteningClearenceCalculated+innerBottomFlangeSplicePlateThickness)-webWeldSize-webWeldClearence)</f>
        <v>4.125</v>
      </c>
      <c r="G89" s="94">
        <f>minimumEndDistanceWebCalculated-F89</f>
        <v>-2.875</v>
      </c>
    </row>
    <row r="90" spans="1:8" ht="18.75" x14ac:dyDescent="0.25">
      <c r="A90" s="23"/>
      <c r="B90" s="106"/>
      <c r="C90" s="106"/>
    </row>
    <row r="91" spans="1:8" ht="18.75" x14ac:dyDescent="0.25">
      <c r="A91" s="23" t="s">
        <v>395</v>
      </c>
      <c r="B91" s="106"/>
      <c r="C91" s="106"/>
    </row>
    <row r="92" spans="1:8" ht="18.75" x14ac:dyDescent="0.25">
      <c r="A92" s="23"/>
      <c r="B92" s="106"/>
      <c r="C92" s="106"/>
    </row>
    <row r="93" spans="1:8" ht="31.5" x14ac:dyDescent="0.25">
      <c r="A93" s="28" t="s">
        <v>74</v>
      </c>
      <c r="B93" s="28" t="s">
        <v>10</v>
      </c>
      <c r="C93" s="28" t="s">
        <v>378</v>
      </c>
      <c r="D93" s="28" t="s">
        <v>493</v>
      </c>
      <c r="E93" s="28" t="s">
        <v>490</v>
      </c>
    </row>
    <row r="94" spans="1:8" x14ac:dyDescent="0.25">
      <c r="A94" s="32" t="s">
        <v>491</v>
      </c>
      <c r="B94" s="221">
        <f>webDepth</f>
        <v>72</v>
      </c>
      <c r="C94" s="221">
        <f>webDepth-2*(webWeldSize+webWeldClearence)</f>
        <v>72</v>
      </c>
      <c r="D94" s="221">
        <f>IF(G88&lt;G89,G88,G89)</f>
        <v>-2.875</v>
      </c>
      <c r="E94" s="221">
        <f>(webSplicePlateMaximumHeight+2*D94)</f>
        <v>66.25</v>
      </c>
    </row>
    <row r="95" spans="1:8" x14ac:dyDescent="0.25">
      <c r="A95" s="32" t="s">
        <v>492</v>
      </c>
      <c r="B95" s="223"/>
      <c r="C95" s="223"/>
      <c r="D95" s="223"/>
      <c r="E95" s="223"/>
    </row>
    <row r="96" spans="1:8" x14ac:dyDescent="0.25">
      <c r="A96" s="116"/>
      <c r="B96" s="80"/>
      <c r="C96" s="80"/>
    </row>
    <row r="97" spans="1:7" x14ac:dyDescent="0.25">
      <c r="A97" s="23" t="s">
        <v>305</v>
      </c>
    </row>
    <row r="98" spans="1:7" x14ac:dyDescent="0.25">
      <c r="A98" s="23"/>
    </row>
    <row r="99" spans="1:7" ht="64.5" x14ac:dyDescent="0.35">
      <c r="A99" s="28" t="s">
        <v>74</v>
      </c>
      <c r="B99" s="28" t="s">
        <v>249</v>
      </c>
      <c r="C99" s="28" t="s">
        <v>378</v>
      </c>
      <c r="D99" s="28" t="s">
        <v>278</v>
      </c>
      <c r="E99" s="108" t="s">
        <v>195</v>
      </c>
      <c r="F99" s="28" t="s">
        <v>289</v>
      </c>
    </row>
    <row r="100" spans="1:7" x14ac:dyDescent="0.25">
      <c r="A100" s="212" t="s">
        <v>40</v>
      </c>
      <c r="B100" s="231">
        <f>webBoltRowQuantity</f>
        <v>4</v>
      </c>
      <c r="C100" s="221">
        <f>webSplicePlateMaximumHeightAdjusted</f>
        <v>66.25</v>
      </c>
      <c r="D100" s="221">
        <f>minimumEndDistanceWebCalculated</f>
        <v>1.25</v>
      </c>
      <c r="E100" s="241">
        <f>webMaximumBoltSpacingCalculated</f>
        <v>4</v>
      </c>
      <c r="F100" s="224">
        <f>(webBoltRowQuantity*ROUNDUP((1+(webSplicePlateMaximumHeightAdjusted-2*minimumEndDistanceWebCalculated)/webMaximumBoltSpacingCalculated),0))</f>
        <v>68</v>
      </c>
    </row>
    <row r="101" spans="1:7" x14ac:dyDescent="0.25">
      <c r="A101" s="211"/>
      <c r="B101" s="233"/>
      <c r="C101" s="223"/>
      <c r="D101" s="223"/>
      <c r="E101" s="241"/>
      <c r="F101" s="224"/>
    </row>
    <row r="102" spans="1:7" x14ac:dyDescent="0.25">
      <c r="A102" s="23"/>
    </row>
    <row r="103" spans="1:7" ht="18.75" x14ac:dyDescent="0.25">
      <c r="A103" s="220" t="s">
        <v>518</v>
      </c>
      <c r="B103" s="220">
        <f>VLOOKUP(boltDiameterEnum, boltPropertiesTable,IF(EXACT(boltTypeEnum,"A325"), COLUMN(Table1[[#Headers],[Pt - A325 (kip)]]), COLUMN(Table1[[#Headers],[Pt - A490 (kip)]])))</f>
        <v>51</v>
      </c>
      <c r="C103" s="220"/>
    </row>
    <row r="104" spans="1:7" ht="18.75" x14ac:dyDescent="0.25">
      <c r="A104" s="106"/>
      <c r="B104" s="106"/>
      <c r="C104" s="106"/>
    </row>
    <row r="105" spans="1:7" x14ac:dyDescent="0.25">
      <c r="B105" s="108" t="s">
        <v>512</v>
      </c>
      <c r="C105" s="108" t="s">
        <v>514</v>
      </c>
      <c r="D105" s="108" t="s">
        <v>517</v>
      </c>
      <c r="E105" s="108" t="s">
        <v>515</v>
      </c>
      <c r="F105" s="108" t="s">
        <v>114</v>
      </c>
      <c r="G105" s="28" t="s">
        <v>499</v>
      </c>
    </row>
    <row r="106" spans="1:7" s="18" customFormat="1" ht="31.7" customHeight="1" x14ac:dyDescent="0.25">
      <c r="A106" s="99" t="s">
        <v>40</v>
      </c>
      <c r="B106" s="105" t="e">
        <f>webTotalBoltCalculatedStrength</f>
        <v>#DIV/0!</v>
      </c>
      <c r="C106" s="105">
        <f>webTotalBoltCalculatedSlip</f>
        <v>8</v>
      </c>
      <c r="D106" s="105">
        <f>webTotalBoltCalculatedPitch</f>
        <v>68</v>
      </c>
      <c r="E106" s="105" t="str">
        <f>IF(EXACT(webBoltOverrideStatus,"User Specified"),webTotalBoltCalculatedOverride, "DNA")</f>
        <v>DNA</v>
      </c>
      <c r="F106" s="105" t="e">
        <f>IF(EXACT(webBoltOverrideStatus,"User Specified"),webTotalBoltCalculatedOverride,MAX(webTotalBoltCalculatedStrength, webTotalBoltCalculatedSlip, webTotalBoltCalculatedPitch))</f>
        <v>#DIV/0!</v>
      </c>
      <c r="G106" s="99" t="b">
        <f>IF(EXACT(webBoltOverrideStatus,"User Specified"),TRUE,FALSE)</f>
        <v>0</v>
      </c>
    </row>
    <row r="107" spans="1:7" x14ac:dyDescent="0.25">
      <c r="F107"/>
    </row>
    <row r="108" spans="1:7" ht="18.75" x14ac:dyDescent="0.25">
      <c r="A108" s="220" t="s">
        <v>519</v>
      </c>
      <c r="B108" s="220">
        <f>VLOOKUP(boltDiameterEnum, boltPropertiesTable,IF(EXACT(boltTypeEnum,"A325"), COLUMN(Table1[[#Headers],[Pt - A325 (kip)]]), COLUMN(Table1[[#Headers],[Pt - A490 (kip)]])))</f>
        <v>51</v>
      </c>
      <c r="C108" s="220"/>
      <c r="F108"/>
    </row>
    <row r="109" spans="1:7" x14ac:dyDescent="0.25">
      <c r="F109"/>
    </row>
    <row r="110" spans="1:7" x14ac:dyDescent="0.25">
      <c r="A110" s="23" t="s">
        <v>516</v>
      </c>
      <c r="B110" s="91"/>
      <c r="C110" s="91"/>
      <c r="D110" s="153"/>
    </row>
    <row r="111" spans="1:7" x14ac:dyDescent="0.25">
      <c r="A111" s="18"/>
    </row>
    <row r="112" spans="1:7" ht="31.5" x14ac:dyDescent="0.25">
      <c r="A112" s="28" t="s">
        <v>74</v>
      </c>
      <c r="B112" s="28" t="s">
        <v>338</v>
      </c>
      <c r="C112" s="28" t="s">
        <v>369</v>
      </c>
      <c r="D112" s="28" t="s">
        <v>374</v>
      </c>
    </row>
    <row r="113" spans="1:10" x14ac:dyDescent="0.25">
      <c r="A113" s="246" t="s">
        <v>40</v>
      </c>
      <c r="B113" s="241">
        <f>minimumEndDistanceWebCalculated</f>
        <v>1.25</v>
      </c>
      <c r="C113" s="241" t="e">
        <f>MIN(ROUNDDOWN(8*((webSplicePlateMaximumHeightAdjusted-2*B113)/(webTotalBoltCalculatedFinal/webBoltRowQuantity-1)),0)/8,webMaximumBoltSpacingCalculated)</f>
        <v>#DIV/0!</v>
      </c>
      <c r="D113" s="221" t="e">
        <f>(webBoltTransPitchCalculatedFinal)*((webTotalBoltCalculatedFinal/webBoltRowQuantity)-1)+2*minimumEndDistanceWebCalculated</f>
        <v>#DIV/0!</v>
      </c>
    </row>
    <row r="114" spans="1:10" x14ac:dyDescent="0.25">
      <c r="A114" s="247"/>
      <c r="B114" s="241"/>
      <c r="C114" s="241"/>
      <c r="D114" s="223"/>
    </row>
    <row r="115" spans="1:10" x14ac:dyDescent="0.25">
      <c r="A115" s="18"/>
    </row>
    <row r="116" spans="1:10" ht="31.5" x14ac:dyDescent="0.25">
      <c r="A116" s="28" t="s">
        <v>74</v>
      </c>
      <c r="B116" s="28" t="s">
        <v>370</v>
      </c>
      <c r="C116" s="28" t="s">
        <v>291</v>
      </c>
      <c r="D116" s="28" t="s">
        <v>379</v>
      </c>
      <c r="E116" s="80"/>
      <c r="F116" s="36"/>
    </row>
    <row r="117" spans="1:10" x14ac:dyDescent="0.25">
      <c r="A117" s="246" t="s">
        <v>40</v>
      </c>
      <c r="B117" s="249" t="e">
        <f>IF(AND(webBoltTransPitchCalculatedFinal&gt;=minimumBoltSpacingCalculated, webBoltTransPitchCalculatedFinal&lt;=webMaximumBoltSpacingCalculated),"OK","NG")</f>
        <v>#DIV/0!</v>
      </c>
      <c r="C117" s="249" t="str">
        <f>IF(AND(minimumEndDistanceWebCalculated&gt;=VLOOKUP(boltDiameterEnum, boltPropertiesTable, COLUMN(Table1[[#Headers],[Standard Min Edge &amp; End Distance (in)]])), minimumEndDistanceWebCalculated&lt;=webMaximumBoltSpacingCalculated),"OK","NG")</f>
        <v>OK</v>
      </c>
      <c r="D117" s="249" t="e">
        <f>IF(webSplicePlateHeightFinal&lt;=webSplicePlateMaximumHeight, "OK", "NG")</f>
        <v>#DIV/0!</v>
      </c>
      <c r="E117" s="80"/>
      <c r="F117" s="36"/>
    </row>
    <row r="118" spans="1:10" x14ac:dyDescent="0.25">
      <c r="A118" s="247"/>
      <c r="B118" s="250"/>
      <c r="C118" s="250"/>
      <c r="D118" s="250"/>
      <c r="E118" s="80"/>
      <c r="F118" s="36"/>
    </row>
    <row r="119" spans="1:10" x14ac:dyDescent="0.25">
      <c r="A119" s="18"/>
      <c r="B119" s="98"/>
      <c r="C119" s="98"/>
      <c r="D119" s="98"/>
      <c r="E119" s="80"/>
      <c r="F119" s="80"/>
      <c r="G119" s="36"/>
    </row>
    <row r="120" spans="1:10" x14ac:dyDescent="0.25">
      <c r="A120" s="23" t="s">
        <v>383</v>
      </c>
    </row>
    <row r="121" spans="1:10" x14ac:dyDescent="0.25">
      <c r="A121" s="23"/>
    </row>
    <row r="122" spans="1:10" ht="31.5" x14ac:dyDescent="0.25">
      <c r="A122" s="28" t="s">
        <v>74</v>
      </c>
      <c r="B122" s="28" t="s">
        <v>175</v>
      </c>
      <c r="C122" s="28" t="s">
        <v>339</v>
      </c>
      <c r="D122" s="28" t="s">
        <v>399</v>
      </c>
      <c r="E122" s="28" t="s">
        <v>328</v>
      </c>
      <c r="F122" s="28" t="s">
        <v>371</v>
      </c>
      <c r="G122" s="36"/>
      <c r="H122" s="36"/>
      <c r="I122" s="36"/>
    </row>
    <row r="123" spans="1:10" x14ac:dyDescent="0.25">
      <c r="A123" s="246" t="s">
        <v>40</v>
      </c>
      <c r="B123" s="221">
        <f>giderGapClearence</f>
        <v>0</v>
      </c>
      <c r="C123" s="241">
        <f>IF(minimumBoltSpacingInitial&gt;0,minimumBoltSpacingInitial,boltDiameterEnum*3)</f>
        <v>3.5</v>
      </c>
      <c r="D123" s="221">
        <f>IF(minimumEdgeDistanceWebInitial&gt;0, minimumEdgeDistanceWebInitial, VLOOKUP(boltDiameterEnum, boltPropertiesTable, COLUMN(Table1[[#Headers],[Standard Min Edge &amp; End Distance (in)]])))</f>
        <v>1.25</v>
      </c>
      <c r="E123" s="241">
        <f>2*minimumWebLongEdgeDistanceCalculated+giderGapClearence</f>
        <v>2.5</v>
      </c>
      <c r="F123" s="249" t="str">
        <f>IF(AND(minimumWebBoltGroupLongGageCalculated&gt;=minimumBoltSpacingCalculated, minimumWebBoltGroupLongGageCalculated&lt;=webMaximumBoltSpacingCalculated), "OK","NG")</f>
        <v>NG</v>
      </c>
    </row>
    <row r="124" spans="1:10" x14ac:dyDescent="0.25">
      <c r="A124" s="247"/>
      <c r="B124" s="223"/>
      <c r="C124" s="241"/>
      <c r="D124" s="223"/>
      <c r="E124" s="241"/>
      <c r="F124" s="250"/>
    </row>
    <row r="125" spans="1:10" x14ac:dyDescent="0.25">
      <c r="A125" s="18"/>
      <c r="B125" s="80"/>
      <c r="C125" s="80"/>
      <c r="D125" s="80"/>
      <c r="E125" s="80"/>
      <c r="F125" s="51"/>
      <c r="G125" s="98"/>
    </row>
    <row r="126" spans="1:10" x14ac:dyDescent="0.25">
      <c r="A126" s="23" t="s">
        <v>303</v>
      </c>
    </row>
    <row r="127" spans="1:10" x14ac:dyDescent="0.25">
      <c r="A127" s="23"/>
    </row>
    <row r="128" spans="1:10" ht="31.5" x14ac:dyDescent="0.25">
      <c r="A128" s="28" t="s">
        <v>74</v>
      </c>
      <c r="B128" s="28" t="s">
        <v>278</v>
      </c>
      <c r="C128" s="28" t="s">
        <v>280</v>
      </c>
      <c r="D128" s="28" t="s">
        <v>302</v>
      </c>
      <c r="E128" s="28" t="s">
        <v>301</v>
      </c>
      <c r="F128" s="80"/>
      <c r="G128" s="80"/>
      <c r="H128" s="80"/>
      <c r="I128" s="51"/>
      <c r="J128" s="98"/>
    </row>
    <row r="129" spans="1:10" x14ac:dyDescent="0.25">
      <c r="A129" s="246" t="s">
        <v>40</v>
      </c>
      <c r="B129" s="216">
        <f>minimumEndDistanceWebCalculated</f>
        <v>1.25</v>
      </c>
      <c r="C129" s="216">
        <f>minimumWebLongEdgeDistanceCalculated</f>
        <v>1.25</v>
      </c>
      <c r="D129" s="229">
        <f>SQRT(B129^2+C129^2)</f>
        <v>1.7677669529663689</v>
      </c>
      <c r="E129" s="249" t="str">
        <f>IF(D129&gt;=VLOOKUP(boltDiameterEnum, boltPropertiesTable, COLUMN(Table1[[#Headers],[Standard Min Edge &amp; End Distance (in)]])),"OK","NG")</f>
        <v>OK</v>
      </c>
      <c r="F129" s="80"/>
      <c r="G129" s="80"/>
      <c r="H129" s="80"/>
      <c r="I129" s="51"/>
      <c r="J129" s="98"/>
    </row>
    <row r="130" spans="1:10" x14ac:dyDescent="0.25">
      <c r="A130" s="247"/>
      <c r="B130" s="217"/>
      <c r="C130" s="217"/>
      <c r="D130" s="229"/>
      <c r="E130" s="250"/>
      <c r="F130" s="80"/>
      <c r="G130" s="80"/>
      <c r="H130" s="80"/>
      <c r="I130" s="51"/>
      <c r="J130" s="98"/>
    </row>
    <row r="131" spans="1:10" x14ac:dyDescent="0.25">
      <c r="A131" s="18"/>
      <c r="B131" s="80"/>
      <c r="C131" s="80"/>
      <c r="D131" s="80"/>
      <c r="E131" s="80"/>
      <c r="F131" s="51"/>
      <c r="G131" s="98"/>
    </row>
    <row r="132" spans="1:10" x14ac:dyDescent="0.25">
      <c r="A132" s="23" t="s">
        <v>203</v>
      </c>
    </row>
    <row r="133" spans="1:10" x14ac:dyDescent="0.25">
      <c r="A133" s="23"/>
      <c r="F133" s="36"/>
    </row>
    <row r="134" spans="1:10" ht="31.5" x14ac:dyDescent="0.25">
      <c r="A134" s="28" t="s">
        <v>74</v>
      </c>
      <c r="B134" s="28" t="s">
        <v>197</v>
      </c>
      <c r="C134" s="28" t="s">
        <v>102</v>
      </c>
      <c r="D134" s="28" t="s">
        <v>339</v>
      </c>
      <c r="E134" s="28" t="s">
        <v>328</v>
      </c>
      <c r="F134" s="28" t="s">
        <v>280</v>
      </c>
      <c r="G134" s="28" t="s">
        <v>258</v>
      </c>
      <c r="H134" s="28" t="s">
        <v>201</v>
      </c>
      <c r="I134" s="28" t="s">
        <v>200</v>
      </c>
    </row>
    <row r="135" spans="1:10" x14ac:dyDescent="0.25">
      <c r="A135" s="246" t="s">
        <v>293</v>
      </c>
      <c r="B135" s="231">
        <f>webBoltRowsCalculated</f>
        <v>4</v>
      </c>
      <c r="C135" s="231" t="e">
        <f>webTotalBoltCalculatedFinal</f>
        <v>#DIV/0!</v>
      </c>
      <c r="D135" s="221">
        <f>minimumWebBoltLongGageCalculated</f>
        <v>3.5</v>
      </c>
      <c r="E135" s="221">
        <f>minimumWebBoltGroupLongGageCalculated</f>
        <v>2.5</v>
      </c>
      <c r="F135" s="221">
        <f>minimumWebLongEdgeDistanceCalculated</f>
        <v>1.25</v>
      </c>
      <c r="G135" s="221" t="e">
        <f>webSplicePlateHeightFinal</f>
        <v>#DIV/0!</v>
      </c>
      <c r="H135" s="241">
        <f>webSplicePlateThickness</f>
        <v>0</v>
      </c>
      <c r="I135" s="221">
        <f>2*(minimumWebLongEdgeDistanceCalculated+(webBoltRowsCalculated-1)*minimumWebBoltLongGageCalculated)+minimumWebBoltGroupLongGageCalculated</f>
        <v>26</v>
      </c>
    </row>
    <row r="136" spans="1:10" x14ac:dyDescent="0.25">
      <c r="A136" s="247"/>
      <c r="B136" s="232"/>
      <c r="C136" s="232"/>
      <c r="D136" s="222"/>
      <c r="E136" s="222"/>
      <c r="F136" s="222"/>
      <c r="G136" s="222"/>
      <c r="H136" s="241"/>
      <c r="I136" s="223"/>
    </row>
    <row r="137" spans="1:10" x14ac:dyDescent="0.25">
      <c r="A137" s="32" t="s">
        <v>287</v>
      </c>
      <c r="B137" s="233"/>
      <c r="C137" s="233"/>
      <c r="D137" s="223"/>
      <c r="E137" s="223"/>
      <c r="F137" s="223"/>
      <c r="G137" s="94" t="e">
        <f>IF(webFillerPlateThicknessTotal&gt;0,webSplicePlateHeightFinal,0)</f>
        <v>#DIV/0!</v>
      </c>
      <c r="H137" s="94">
        <f>webFillerPlateThicknessTotal</f>
        <v>1</v>
      </c>
      <c r="I137" s="94">
        <f>IF(webFillerPlateThicknessTotal&gt;0,(widthPlateWidthCaculated-giderGapClearence)/2,0)</f>
        <v>13</v>
      </c>
    </row>
    <row r="139" spans="1:10" ht="18.75" x14ac:dyDescent="0.25">
      <c r="A139" s="220" t="s">
        <v>118</v>
      </c>
      <c r="B139" s="220">
        <f>VLOOKUP(boltDiameterEnum, boltPropertiesTable,IF(EXACT(boltTypeEnum,"A325"), COLUMN(Table1[[#Headers],[Pt - A325 (kip)]]), COLUMN(Table1[[#Headers],[Pt - A490 (kip)]])))</f>
        <v>51</v>
      </c>
      <c r="C139" s="220"/>
    </row>
    <row r="140" spans="1:10" ht="18.75" x14ac:dyDescent="0.25">
      <c r="A140" s="106"/>
      <c r="B140" s="106"/>
      <c r="C140" s="106"/>
      <c r="H140" s="36"/>
    </row>
    <row r="141" spans="1:10" x14ac:dyDescent="0.25">
      <c r="A141" s="23" t="s">
        <v>335</v>
      </c>
      <c r="E141" s="36"/>
    </row>
    <row r="142" spans="1:10" x14ac:dyDescent="0.25">
      <c r="B142" s="36"/>
    </row>
    <row r="143" spans="1:10" ht="33" x14ac:dyDescent="0.35">
      <c r="A143" s="28" t="s">
        <v>74</v>
      </c>
      <c r="B143" s="115" t="s">
        <v>315</v>
      </c>
      <c r="C143" s="28" t="s">
        <v>136</v>
      </c>
      <c r="D143" s="28" t="s">
        <v>375</v>
      </c>
      <c r="E143" s="28" t="s">
        <v>121</v>
      </c>
      <c r="F143" s="28" t="s">
        <v>294</v>
      </c>
      <c r="G143" s="108" t="s">
        <v>442</v>
      </c>
      <c r="H143" s="28" t="s">
        <v>337</v>
      </c>
    </row>
    <row r="144" spans="1:10" ht="18.75" customHeight="1" x14ac:dyDescent="0.25">
      <c r="A144" s="246" t="s">
        <v>293</v>
      </c>
      <c r="B144" s="204">
        <f>VLOOKUP("fv",Table5[#Data],2)</f>
        <v>1</v>
      </c>
      <c r="C144" s="224" t="e">
        <f>VLOOKUP(webSpliceMaterialEnum,steelGradeTable, COLUMN(Table2[[#Headers],[Fy (ksi)]]))</f>
        <v>#N/A</v>
      </c>
      <c r="D144" s="221" t="e">
        <f>webSplicePlateHeightFinal</f>
        <v>#DIV/0!</v>
      </c>
      <c r="E144" s="216">
        <f>webSplicePlateThickness</f>
        <v>0</v>
      </c>
      <c r="F144" s="204" t="e">
        <f>2*webSplicePlateHeightFinal*webSplicePlateThickness</f>
        <v>#DIV/0!</v>
      </c>
      <c r="G144" s="210" t="e">
        <f>PRODUCT(B144,0.58,C144,F144)</f>
        <v>#N/A</v>
      </c>
      <c r="H144" s="249" t="e">
        <f>IF(G144&gt;E58, "OK", "NG")</f>
        <v>#N/A</v>
      </c>
    </row>
    <row r="145" spans="1:13" ht="18.75" customHeight="1" x14ac:dyDescent="0.25">
      <c r="A145" s="247"/>
      <c r="B145" s="206"/>
      <c r="C145" s="224"/>
      <c r="D145" s="223"/>
      <c r="E145" s="217"/>
      <c r="F145" s="206"/>
      <c r="G145" s="210"/>
      <c r="H145" s="250"/>
    </row>
    <row r="146" spans="1:13" ht="18.75" x14ac:dyDescent="0.25">
      <c r="A146" s="106"/>
      <c r="B146" s="106"/>
      <c r="C146" s="106"/>
    </row>
    <row r="147" spans="1:13" x14ac:dyDescent="0.25">
      <c r="A147" s="23" t="s">
        <v>336</v>
      </c>
    </row>
    <row r="148" spans="1:13" x14ac:dyDescent="0.25">
      <c r="A148" s="36"/>
    </row>
    <row r="149" spans="1:13" ht="33" x14ac:dyDescent="0.35">
      <c r="A149" s="28" t="s">
        <v>74</v>
      </c>
      <c r="B149" s="28" t="s">
        <v>375</v>
      </c>
      <c r="C149" s="28" t="s">
        <v>121</v>
      </c>
      <c r="D149" s="28" t="s">
        <v>102</v>
      </c>
      <c r="E149" s="28" t="s">
        <v>249</v>
      </c>
      <c r="F149" s="28" t="s">
        <v>208</v>
      </c>
      <c r="G149" s="28" t="s">
        <v>292</v>
      </c>
    </row>
    <row r="150" spans="1:13" x14ac:dyDescent="0.25">
      <c r="A150" s="246" t="s">
        <v>293</v>
      </c>
      <c r="B150" s="221" t="e">
        <f>webSplicePlateHeightFinal</f>
        <v>#DIV/0!</v>
      </c>
      <c r="C150" s="216">
        <f>webSplicePlateThickness</f>
        <v>0</v>
      </c>
      <c r="D150" s="231" t="e">
        <f>webTotalBoltCalculatedFinal</f>
        <v>#DIV/0!</v>
      </c>
      <c r="E150" s="231">
        <f>webBoltRowsCalculated</f>
        <v>4</v>
      </c>
      <c r="F150" s="259">
        <f>VLOOKUP(boltDiameterEnum,boltPropertiesTable, IF(EXACT(holeSizeFactorEnum,"Standard"),COLUMN(Table1[[#Headers],[Standard Hole Diameter (in)]]),COLUMN(Table1[[#Headers],[Oversized Hole Diameter (in)]])))</f>
        <v>1.125</v>
      </c>
      <c r="G150" s="210" t="e">
        <f>2*(B150-D150/E150*F150)*C150</f>
        <v>#DIV/0!</v>
      </c>
    </row>
    <row r="151" spans="1:13" x14ac:dyDescent="0.25">
      <c r="A151" s="247"/>
      <c r="B151" s="223"/>
      <c r="C151" s="217"/>
      <c r="D151" s="233"/>
      <c r="E151" s="233"/>
      <c r="F151" s="260"/>
      <c r="G151" s="210"/>
    </row>
    <row r="152" spans="1:13" x14ac:dyDescent="0.25">
      <c r="A152" s="116"/>
      <c r="B152" s="117"/>
      <c r="C152" s="117"/>
      <c r="D152" s="118"/>
      <c r="E152" s="118"/>
      <c r="F152" s="119"/>
      <c r="G152" s="117"/>
      <c r="H152" s="117"/>
      <c r="I152" s="117"/>
    </row>
    <row r="153" spans="1:13" ht="48.75" x14ac:dyDescent="0.35">
      <c r="A153" s="28" t="s">
        <v>74</v>
      </c>
      <c r="B153" s="115" t="s">
        <v>316</v>
      </c>
      <c r="C153" s="115" t="s">
        <v>148</v>
      </c>
      <c r="D153" s="28" t="s">
        <v>137</v>
      </c>
      <c r="E153" s="108" t="s">
        <v>442</v>
      </c>
      <c r="F153" s="28" t="s">
        <v>313</v>
      </c>
      <c r="G153" s="28" t="s">
        <v>425</v>
      </c>
      <c r="H153" s="118"/>
      <c r="I153" s="118"/>
      <c r="J153" s="119"/>
      <c r="K153" s="117"/>
      <c r="L153" s="117"/>
      <c r="M153" s="117"/>
    </row>
    <row r="154" spans="1:13" x14ac:dyDescent="0.25">
      <c r="A154" s="246" t="s">
        <v>293</v>
      </c>
      <c r="B154" s="204">
        <f>VLOOKUP("fvu",Table5[#Data],2)</f>
        <v>0.8</v>
      </c>
      <c r="C154" s="210">
        <f>VLOOKUP(splicePlateHoleMethod,holeMethodReductionFactorTable, COLUMN(Table58[[#Headers],[Rp]]))</f>
        <v>1</v>
      </c>
      <c r="D154" s="224" t="e">
        <f>VLOOKUP(webSpliceMaterialEnum,steelGradeTable, COLUMN(Table2[[#Headers],[Fu (ksi)]]))</f>
        <v>#N/A</v>
      </c>
      <c r="E154" s="210" t="e">
        <f>PRODUCT(B154,C154,0.58, D154,G150)</f>
        <v>#N/A</v>
      </c>
      <c r="F154" s="204">
        <f>E58</f>
        <v>639.54295664877304</v>
      </c>
      <c r="G154" s="249" t="e">
        <f>IF(E154&gt;F154, "OK", "NG")</f>
        <v>#N/A</v>
      </c>
      <c r="H154" s="118"/>
      <c r="I154" s="118"/>
      <c r="J154" s="119"/>
      <c r="K154" s="117"/>
      <c r="L154" s="117"/>
      <c r="M154" s="117"/>
    </row>
    <row r="155" spans="1:13" x14ac:dyDescent="0.25">
      <c r="A155" s="247"/>
      <c r="B155" s="206"/>
      <c r="C155" s="210"/>
      <c r="D155" s="224"/>
      <c r="E155" s="210"/>
      <c r="F155" s="206"/>
      <c r="G155" s="250"/>
      <c r="H155" s="118"/>
      <c r="I155" s="118"/>
      <c r="J155" s="119"/>
      <c r="K155" s="117"/>
      <c r="L155" s="117"/>
      <c r="M155" s="117"/>
    </row>
    <row r="156" spans="1:13" x14ac:dyDescent="0.25">
      <c r="A156" s="116"/>
      <c r="B156" s="117"/>
      <c r="C156" s="117"/>
      <c r="D156" s="118"/>
      <c r="E156" s="118"/>
      <c r="F156" s="119"/>
      <c r="G156" s="117"/>
      <c r="H156" s="117"/>
      <c r="I156" s="117"/>
    </row>
    <row r="157" spans="1:13" x14ac:dyDescent="0.25">
      <c r="A157" s="23" t="s">
        <v>213</v>
      </c>
    </row>
    <row r="158" spans="1:13" x14ac:dyDescent="0.25">
      <c r="A158" s="23"/>
    </row>
    <row r="159" spans="1:13" ht="48.75" x14ac:dyDescent="0.35">
      <c r="A159" s="28" t="s">
        <v>74</v>
      </c>
      <c r="B159" s="28" t="s">
        <v>279</v>
      </c>
      <c r="C159" s="28" t="s">
        <v>207</v>
      </c>
      <c r="D159" s="28" t="s">
        <v>208</v>
      </c>
      <c r="E159" s="28" t="s">
        <v>282</v>
      </c>
      <c r="F159" s="28" t="s">
        <v>352</v>
      </c>
      <c r="G159" s="28" t="s">
        <v>201</v>
      </c>
      <c r="H159" s="28" t="s">
        <v>204</v>
      </c>
      <c r="I159" s="36"/>
      <c r="J159" s="36"/>
      <c r="K159" s="36"/>
      <c r="L159" s="36"/>
      <c r="M159" s="36"/>
    </row>
    <row r="160" spans="1:13" s="18" customFormat="1" x14ac:dyDescent="0.25">
      <c r="A160" s="246" t="s">
        <v>293</v>
      </c>
      <c r="B160" s="210">
        <f>((webBoltRowsCalculated-1) * minimumWebBoltLongGageCalculated)+minimumWebLongEdgeDistanceCalculated</f>
        <v>11.75</v>
      </c>
      <c r="C160" s="226">
        <f>webBoltRowsCalculated-0.5</f>
        <v>3.5</v>
      </c>
      <c r="D160" s="229">
        <f>VLOOKUP(boltDiameterEnum,boltPropertiesTable, IF(EXACT(holeSizeFactorEnum,"Standard"),COLUMN(Table1[[#Headers],[Standard Hole Diameter (in)]]),COLUMN(Table1[[#Headers],[Oversized Hole Diameter (in)]])))</f>
        <v>1.125</v>
      </c>
      <c r="E160" s="224">
        <v>2</v>
      </c>
      <c r="F160" s="210">
        <f>E160*(B160-C160*D160)</f>
        <v>15.625</v>
      </c>
      <c r="G160" s="241">
        <f>webSplicePlateThickness</f>
        <v>0</v>
      </c>
      <c r="H160" s="210">
        <f>F160*G160</f>
        <v>0</v>
      </c>
      <c r="I160" s="19"/>
    </row>
    <row r="161" spans="1:13" s="18" customFormat="1" x14ac:dyDescent="0.25">
      <c r="A161" s="247"/>
      <c r="B161" s="210"/>
      <c r="C161" s="226"/>
      <c r="D161" s="229"/>
      <c r="E161" s="224"/>
      <c r="F161" s="210"/>
      <c r="G161" s="241"/>
      <c r="H161" s="210"/>
      <c r="I161" s="19"/>
    </row>
    <row r="163" spans="1:13" ht="48.75" x14ac:dyDescent="0.35">
      <c r="A163" s="28" t="s">
        <v>74</v>
      </c>
      <c r="B163" s="28" t="s">
        <v>423</v>
      </c>
      <c r="C163" s="28" t="s">
        <v>207</v>
      </c>
      <c r="D163" s="28" t="s">
        <v>208</v>
      </c>
      <c r="E163" s="28" t="s">
        <v>282</v>
      </c>
      <c r="F163" s="28" t="s">
        <v>424</v>
      </c>
      <c r="G163" s="28" t="s">
        <v>201</v>
      </c>
      <c r="H163" s="28" t="s">
        <v>205</v>
      </c>
      <c r="I163" s="36"/>
      <c r="J163" s="36"/>
      <c r="K163" s="36"/>
      <c r="L163" s="36"/>
      <c r="M163" s="36"/>
    </row>
    <row r="164" spans="1:13" x14ac:dyDescent="0.25">
      <c r="A164" s="246" t="s">
        <v>293</v>
      </c>
      <c r="B164" s="210" t="e">
        <f>((webTotalBoltCalculatedFinal/webBoltRowQuantity-1)*webBoltTransPitchCalculatedFinal)+minimumEndDistanceWebCalculated</f>
        <v>#DIV/0!</v>
      </c>
      <c r="C164" s="258" t="e">
        <f>(webTotalBoltCalculatedFinal/webBoltRowQuantity)-0.5</f>
        <v>#DIV/0!</v>
      </c>
      <c r="D164" s="229">
        <f>VLOOKUP(boltDiameterEnum,boltPropertiesTable, IF(EXACT(holeSizeFactorEnum,"Standard"),COLUMN(Table1[[#Headers],[Standard Hole Diameter (in)]]),COLUMN(Table1[[#Headers],[Oversized Hole Diameter (in)]])))</f>
        <v>1.125</v>
      </c>
      <c r="E164" s="224">
        <v>2</v>
      </c>
      <c r="F164" s="210" t="e">
        <f>E164*(B164-C164*D164)</f>
        <v>#DIV/0!</v>
      </c>
      <c r="G164" s="241">
        <f>webSplicePlateThickness</f>
        <v>0</v>
      </c>
      <c r="H164" s="210" t="e">
        <f>F164*G164</f>
        <v>#DIV/0!</v>
      </c>
    </row>
    <row r="165" spans="1:13" x14ac:dyDescent="0.25">
      <c r="A165" s="247"/>
      <c r="B165" s="210"/>
      <c r="C165" s="258"/>
      <c r="D165" s="229"/>
      <c r="E165" s="224"/>
      <c r="F165" s="210"/>
      <c r="G165" s="241"/>
      <c r="H165" s="210"/>
    </row>
    <row r="166" spans="1:13" x14ac:dyDescent="0.25">
      <c r="A166" s="18"/>
      <c r="B166" s="18"/>
      <c r="C166" s="18"/>
      <c r="H166" s="81"/>
    </row>
    <row r="167" spans="1:13" ht="48.75" x14ac:dyDescent="0.35">
      <c r="A167" s="28" t="s">
        <v>74</v>
      </c>
      <c r="B167" s="28" t="s">
        <v>423</v>
      </c>
      <c r="C167" s="28" t="s">
        <v>201</v>
      </c>
      <c r="D167" s="28" t="s">
        <v>282</v>
      </c>
      <c r="E167" s="28" t="s">
        <v>209</v>
      </c>
      <c r="F167" s="36"/>
      <c r="G167" s="36"/>
      <c r="H167" s="36"/>
      <c r="I167" s="36"/>
      <c r="J167" s="36"/>
    </row>
    <row r="168" spans="1:13" s="18" customFormat="1" x14ac:dyDescent="0.25">
      <c r="A168" s="246" t="s">
        <v>293</v>
      </c>
      <c r="B168" s="210" t="e">
        <f>((webTotalBoltCalculatedFinal/webBoltRowQuantity-1)*webBoltTransPitchCalculatedFinal)+minimumEndDistanceWebCalculated</f>
        <v>#DIV/0!</v>
      </c>
      <c r="C168" s="241">
        <f>webSplicePlateThickness</f>
        <v>0</v>
      </c>
      <c r="D168" s="224">
        <v>2</v>
      </c>
      <c r="E168" s="210" t="e">
        <f>D168*(C168*B168)</f>
        <v>#DIV/0!</v>
      </c>
    </row>
    <row r="169" spans="1:13" s="18" customFormat="1" x14ac:dyDescent="0.25">
      <c r="A169" s="247"/>
      <c r="B169" s="210"/>
      <c r="C169" s="241"/>
      <c r="D169" s="224"/>
      <c r="E169" s="210"/>
    </row>
    <row r="170" spans="1:13" s="18" customFormat="1" x14ac:dyDescent="0.25">
      <c r="B170" s="83"/>
      <c r="C170" s="80"/>
      <c r="D170" s="83"/>
      <c r="E170" s="119"/>
      <c r="F170" s="120"/>
      <c r="G170" s="120"/>
      <c r="H170" s="120"/>
      <c r="I170" s="120"/>
      <c r="J170" s="120"/>
    </row>
    <row r="171" spans="1:13" s="18" customFormat="1" ht="39.75" customHeight="1" x14ac:dyDescent="0.35">
      <c r="A171" s="28" t="s">
        <v>74</v>
      </c>
      <c r="B171" s="115" t="s">
        <v>319</v>
      </c>
      <c r="C171" s="28" t="s">
        <v>148</v>
      </c>
      <c r="D171" s="28" t="s">
        <v>137</v>
      </c>
      <c r="E171" s="28" t="s">
        <v>212</v>
      </c>
      <c r="F171" s="227" t="s">
        <v>206</v>
      </c>
      <c r="G171" s="227"/>
      <c r="H171" s="19"/>
      <c r="I171" s="19"/>
      <c r="J171" s="19"/>
    </row>
    <row r="172" spans="1:13" s="18" customFormat="1" x14ac:dyDescent="0.25">
      <c r="A172" s="246" t="s">
        <v>293</v>
      </c>
      <c r="B172" s="210">
        <f>VLOOKUP("fbs", Table5[],2)</f>
        <v>0.8</v>
      </c>
      <c r="C172" s="228">
        <f>VLOOKUP(splicePlateHoleMethod,holeMethodReductionFactorTable, COLUMN(Table58[[#Headers],[Rp]]))</f>
        <v>1</v>
      </c>
      <c r="D172" s="231" t="e">
        <f>VLOOKUP(webSpliceMaterialEnum,steelGradeTable, COLUMN(Table2[[#Headers],[Fu (ksi)]]))</f>
        <v>#N/A</v>
      </c>
      <c r="E172" s="210">
        <f>VLOOKUP("Tension Members",Table589[],2)</f>
        <v>1</v>
      </c>
      <c r="F172" s="251" t="e">
        <f>B172*C172*((0.58*D172*H164)+(E172*D172*H160))</f>
        <v>#N/A</v>
      </c>
      <c r="G172" s="252"/>
      <c r="H172" s="19"/>
      <c r="I172" s="19"/>
    </row>
    <row r="173" spans="1:13" s="18" customFormat="1" x14ac:dyDescent="0.25">
      <c r="A173" s="247"/>
      <c r="B173" s="210"/>
      <c r="C173" s="228"/>
      <c r="D173" s="233"/>
      <c r="E173" s="210"/>
      <c r="F173" s="253"/>
      <c r="G173" s="254"/>
      <c r="H173" s="19"/>
      <c r="I173" s="19"/>
    </row>
    <row r="174" spans="1:13" s="18" customFormat="1" x14ac:dyDescent="0.25">
      <c r="B174" s="83"/>
      <c r="C174" s="80"/>
      <c r="D174" s="83"/>
      <c r="E174" s="119"/>
      <c r="F174" s="120"/>
      <c r="G174" s="120"/>
      <c r="H174" s="120"/>
      <c r="I174" s="120"/>
      <c r="J174" s="120"/>
    </row>
    <row r="175" spans="1:13" s="18" customFormat="1" ht="39.75" customHeight="1" x14ac:dyDescent="0.35">
      <c r="A175" s="28" t="s">
        <v>74</v>
      </c>
      <c r="B175" s="115" t="s">
        <v>319</v>
      </c>
      <c r="C175" s="28" t="s">
        <v>148</v>
      </c>
      <c r="D175" s="28" t="s">
        <v>314</v>
      </c>
      <c r="E175" s="28" t="s">
        <v>137</v>
      </c>
      <c r="F175" s="28" t="s">
        <v>212</v>
      </c>
      <c r="G175" s="248"/>
      <c r="H175" s="248"/>
      <c r="I175" s="120"/>
      <c r="J175" s="120"/>
      <c r="K175" s="120"/>
    </row>
    <row r="176" spans="1:13" s="18" customFormat="1" x14ac:dyDescent="0.25">
      <c r="A176" s="246" t="s">
        <v>293</v>
      </c>
      <c r="B176" s="210">
        <f>VLOOKUP("fbs", Table5[],2)</f>
        <v>0.8</v>
      </c>
      <c r="C176" s="228">
        <f>VLOOKUP(splicePlateHoleMethod,holeMethodReductionFactorTable, COLUMN(Table58[[#Headers],[Rp]]))</f>
        <v>1</v>
      </c>
      <c r="D176" s="224" t="e">
        <f>VLOOKUP(webSpliceMaterialEnum,steelGradeTable, COLUMN(Table2[[#Headers],[Fy (ksi)]]))</f>
        <v>#N/A</v>
      </c>
      <c r="E176" s="231" t="e">
        <f>VLOOKUP(webSpliceMaterialEnum,steelGradeTable, COLUMN(Table2[[#Headers],[Fu (ksi)]]))</f>
        <v>#N/A</v>
      </c>
      <c r="F176" s="210">
        <f>VLOOKUP("Tension Members",Table589[],2)</f>
        <v>1</v>
      </c>
      <c r="G176" s="251" t="e">
        <f>B176*C176*((0.58*D176*E168)+(F176*E176*H160))</f>
        <v>#N/A</v>
      </c>
      <c r="H176" s="252"/>
    </row>
    <row r="177" spans="1:11" s="18" customFormat="1" x14ac:dyDescent="0.25">
      <c r="A177" s="247"/>
      <c r="B177" s="210"/>
      <c r="C177" s="228"/>
      <c r="D177" s="224"/>
      <c r="E177" s="233"/>
      <c r="F177" s="210"/>
      <c r="G177" s="253"/>
      <c r="H177" s="254"/>
    </row>
    <row r="178" spans="1:11" s="18" customFormat="1" x14ac:dyDescent="0.25">
      <c r="B178" s="83"/>
      <c r="C178" s="80"/>
      <c r="D178" s="83"/>
      <c r="E178" s="119"/>
      <c r="F178" s="120"/>
      <c r="G178" s="120"/>
      <c r="H178" s="120"/>
      <c r="I178" s="120"/>
      <c r="J178" s="120"/>
    </row>
    <row r="179" spans="1:11" s="18" customFormat="1" ht="39.75" customHeight="1" x14ac:dyDescent="0.35">
      <c r="A179" s="28" t="s">
        <v>74</v>
      </c>
      <c r="B179" s="229"/>
      <c r="C179" s="229"/>
      <c r="D179" s="28" t="s">
        <v>313</v>
      </c>
      <c r="E179" s="28" t="s">
        <v>304</v>
      </c>
      <c r="F179" s="119"/>
      <c r="G179" s="120"/>
      <c r="H179" s="120"/>
      <c r="I179" s="120"/>
      <c r="J179" s="120"/>
      <c r="K179" s="120"/>
    </row>
    <row r="180" spans="1:11" s="18" customFormat="1" x14ac:dyDescent="0.25">
      <c r="A180" s="246" t="s">
        <v>293</v>
      </c>
      <c r="B180" s="251" t="e">
        <f>MIN(F172,G176)</f>
        <v>#N/A</v>
      </c>
      <c r="C180" s="252"/>
      <c r="D180" s="204">
        <f>C58*D58</f>
        <v>639.54295664877304</v>
      </c>
      <c r="E180" s="212" t="e">
        <f>IF(B180&gt;=D180,"OK", "NG")</f>
        <v>#N/A</v>
      </c>
      <c r="F180" s="36"/>
    </row>
    <row r="181" spans="1:11" s="18" customFormat="1" x14ac:dyDescent="0.25">
      <c r="A181" s="247"/>
      <c r="B181" s="253"/>
      <c r="C181" s="254"/>
      <c r="D181" s="206"/>
      <c r="E181" s="211"/>
      <c r="F181" s="36"/>
    </row>
    <row r="182" spans="1:11" x14ac:dyDescent="0.25">
      <c r="G182"/>
    </row>
    <row r="183" spans="1:11" s="18" customFormat="1" ht="18.75" x14ac:dyDescent="0.25">
      <c r="A183" s="220" t="s">
        <v>220</v>
      </c>
      <c r="B183" s="220">
        <f>VLOOKUP(boltDiameterEnum, boltPropertiesTable,IF(EXACT(boltTypeEnum,"A325"), COLUMN(Table1[[#Headers],[Pt - A325 (kip)]]), COLUMN(Table1[[#Headers],[Pt - A490 (kip)]])))</f>
        <v>51</v>
      </c>
      <c r="C183" s="220"/>
      <c r="D183" s="83"/>
      <c r="E183" s="119"/>
      <c r="F183" s="120"/>
      <c r="G183" s="120"/>
      <c r="H183" s="120"/>
      <c r="I183" s="120"/>
      <c r="J183" s="120"/>
    </row>
    <row r="184" spans="1:11" s="18" customFormat="1" ht="18.75" x14ac:dyDescent="0.25">
      <c r="A184" s="106"/>
      <c r="B184" s="106"/>
      <c r="C184" s="106"/>
      <c r="D184" s="83"/>
      <c r="E184" s="119"/>
      <c r="F184" s="120"/>
      <c r="G184" s="120"/>
      <c r="H184" s="120"/>
      <c r="I184" s="120"/>
      <c r="J184" s="120"/>
    </row>
    <row r="185" spans="1:11" s="18" customFormat="1" ht="33" customHeight="1" x14ac:dyDescent="0.35">
      <c r="A185" s="28" t="s">
        <v>74</v>
      </c>
      <c r="B185" s="28" t="s">
        <v>411</v>
      </c>
      <c r="C185" s="28" t="s">
        <v>137</v>
      </c>
      <c r="D185" s="121" t="s">
        <v>412</v>
      </c>
      <c r="E185" s="28" t="s">
        <v>306</v>
      </c>
    </row>
    <row r="186" spans="1:11" s="18" customFormat="1" ht="18.75" customHeight="1" x14ac:dyDescent="0.25">
      <c r="A186" s="32" t="s">
        <v>41</v>
      </c>
      <c r="B186" s="94">
        <f>leftWebThickness</f>
        <v>0.4375</v>
      </c>
      <c r="C186" s="104">
        <f>VLOOKUP(leftWebMaterialEnum,steelGradeTable, COLUMN(Table2[[#Headers],[Fu (ksi)]]))</f>
        <v>58</v>
      </c>
      <c r="D186" s="33">
        <f>B186*C186</f>
        <v>25.375</v>
      </c>
      <c r="E186" s="104" t="str">
        <f>IF(MIN(B186*C186,B187*C187)=(B186*C186),"CONTROLS","")</f>
        <v>CONTROLS</v>
      </c>
    </row>
    <row r="187" spans="1:11" s="18" customFormat="1" ht="18.75" customHeight="1" x14ac:dyDescent="0.25">
      <c r="A187" s="32" t="s">
        <v>42</v>
      </c>
      <c r="B187" s="94">
        <f>rightWebThickness</f>
        <v>1.4375</v>
      </c>
      <c r="C187" s="104">
        <f>VLOOKUP(rightWebMaterialEnum,steelGradeTable, COLUMN(Table2[[#Headers],[Fu (ksi)]]))</f>
        <v>58</v>
      </c>
      <c r="D187" s="33">
        <f>B187*C187</f>
        <v>83.375</v>
      </c>
      <c r="E187" s="104" t="str">
        <f>IF(MIN(B186*C186,B187*C187)=(B187*C187),"CONTROLS","")</f>
        <v/>
      </c>
    </row>
    <row r="188" spans="1:11" s="18" customFormat="1" ht="18.75" x14ac:dyDescent="0.25">
      <c r="A188" s="106"/>
      <c r="B188" s="106"/>
      <c r="C188" s="106"/>
      <c r="D188" s="83"/>
      <c r="E188" s="119"/>
      <c r="F188" s="120"/>
      <c r="G188" s="120"/>
      <c r="H188" s="120"/>
      <c r="I188" s="120"/>
      <c r="J188" s="120"/>
    </row>
    <row r="189" spans="1:11" s="18" customFormat="1" ht="34.5" x14ac:dyDescent="0.35">
      <c r="A189" s="28" t="s">
        <v>74</v>
      </c>
      <c r="B189" s="28" t="s">
        <v>413</v>
      </c>
      <c r="C189" s="28" t="s">
        <v>410</v>
      </c>
      <c r="D189" s="121" t="s">
        <v>414</v>
      </c>
    </row>
    <row r="190" spans="1:11" s="18" customFormat="1" x14ac:dyDescent="0.25">
      <c r="A190" s="246" t="s">
        <v>40</v>
      </c>
      <c r="B190" s="221">
        <f>webSplicePlateThickness</f>
        <v>0</v>
      </c>
      <c r="C190" s="231" t="e">
        <f>VLOOKUP(webSpliceMaterialEnum,steelGradeTable, COLUMN(Table2[[#Headers],[Fu (ksi)]]))</f>
        <v>#N/A</v>
      </c>
      <c r="D190" s="204" t="e">
        <f>2*webSplicePlateThickness*C190</f>
        <v>#N/A</v>
      </c>
    </row>
    <row r="191" spans="1:11" s="18" customFormat="1" x14ac:dyDescent="0.25">
      <c r="A191" s="247"/>
      <c r="B191" s="223"/>
      <c r="C191" s="233"/>
      <c r="D191" s="206"/>
    </row>
    <row r="192" spans="1:11" s="18" customFormat="1" ht="18.75" x14ac:dyDescent="0.25">
      <c r="A192" s="106"/>
      <c r="B192" s="106"/>
      <c r="C192" s="106"/>
      <c r="D192" s="83"/>
      <c r="E192" s="119"/>
      <c r="F192" s="120"/>
      <c r="G192" s="120"/>
      <c r="H192" s="120"/>
      <c r="I192" s="120"/>
      <c r="J192" s="120"/>
    </row>
    <row r="193" spans="1:10" s="18" customFormat="1" ht="18.75" x14ac:dyDescent="0.35">
      <c r="A193" s="28" t="s">
        <v>74</v>
      </c>
      <c r="B193" s="28" t="s">
        <v>313</v>
      </c>
      <c r="C193" s="108" t="s">
        <v>168</v>
      </c>
      <c r="D193" s="83"/>
      <c r="E193" s="119"/>
      <c r="F193" s="120"/>
      <c r="G193" s="120"/>
      <c r="H193" s="120"/>
      <c r="I193" s="120"/>
      <c r="J193" s="120"/>
    </row>
    <row r="194" spans="1:10" s="18" customFormat="1" x14ac:dyDescent="0.25">
      <c r="A194" s="246" t="s">
        <v>40</v>
      </c>
      <c r="B194" s="204">
        <f>E58</f>
        <v>639.54295664877304</v>
      </c>
      <c r="C194" s="218" t="e">
        <f>B62</f>
        <v>#DIV/0!</v>
      </c>
      <c r="D194" s="83"/>
      <c r="E194" s="119"/>
      <c r="F194" s="120"/>
      <c r="G194" s="120"/>
      <c r="H194" s="120"/>
      <c r="I194" s="120"/>
      <c r="J194" s="120"/>
    </row>
    <row r="195" spans="1:10" s="18" customFormat="1" x14ac:dyDescent="0.25">
      <c r="A195" s="247"/>
      <c r="B195" s="206"/>
      <c r="C195" s="237"/>
      <c r="D195" s="83"/>
      <c r="E195" s="119"/>
      <c r="F195" s="120"/>
      <c r="G195" s="120"/>
      <c r="H195" s="120"/>
      <c r="I195" s="120"/>
      <c r="J195" s="120"/>
    </row>
    <row r="196" spans="1:10" s="18" customFormat="1" x14ac:dyDescent="0.25">
      <c r="A196" s="116"/>
      <c r="B196" s="43"/>
      <c r="C196" s="134"/>
      <c r="D196" s="83"/>
      <c r="E196" s="119"/>
      <c r="F196" s="120"/>
      <c r="G196" s="120"/>
      <c r="H196" s="120"/>
      <c r="I196" s="120"/>
      <c r="J196" s="120"/>
    </row>
    <row r="197" spans="1:10" ht="31.5" x14ac:dyDescent="0.25">
      <c r="A197" s="28" t="s">
        <v>74</v>
      </c>
      <c r="B197" s="28" t="s">
        <v>226</v>
      </c>
      <c r="C197" s="28" t="s">
        <v>227</v>
      </c>
      <c r="D197" s="28" t="s">
        <v>219</v>
      </c>
      <c r="E197" s="28" t="s">
        <v>249</v>
      </c>
    </row>
    <row r="198" spans="1:10" x14ac:dyDescent="0.25">
      <c r="A198" s="246" t="s">
        <v>285</v>
      </c>
      <c r="B198" s="241">
        <f>boltDiameterEnum</f>
        <v>1</v>
      </c>
      <c r="C198" s="210">
        <f>B198*2</f>
        <v>2</v>
      </c>
      <c r="D198" s="226" t="e">
        <f>webTotalBoltCalculatedFinal</f>
        <v>#DIV/0!</v>
      </c>
      <c r="E198" s="212">
        <f>webBoltRowsCalculated</f>
        <v>4</v>
      </c>
    </row>
    <row r="199" spans="1:10" x14ac:dyDescent="0.25">
      <c r="A199" s="247"/>
      <c r="B199" s="241"/>
      <c r="C199" s="210"/>
      <c r="D199" s="226"/>
      <c r="E199" s="211"/>
    </row>
    <row r="200" spans="1:10" s="18" customFormat="1" x14ac:dyDescent="0.25">
      <c r="A200" s="116"/>
      <c r="B200" s="43"/>
      <c r="C200" s="134"/>
      <c r="D200" s="83"/>
      <c r="E200" s="119"/>
      <c r="F200" s="120"/>
      <c r="G200" s="120"/>
      <c r="H200" s="120"/>
      <c r="I200" s="120"/>
      <c r="J200" s="120"/>
    </row>
    <row r="201" spans="1:10" ht="37.5" x14ac:dyDescent="0.35">
      <c r="A201" s="28" t="s">
        <v>74</v>
      </c>
      <c r="B201" s="28" t="s">
        <v>415</v>
      </c>
      <c r="C201" s="28" t="s">
        <v>417</v>
      </c>
    </row>
    <row r="202" spans="1:10" x14ac:dyDescent="0.25">
      <c r="A202" s="246" t="s">
        <v>40</v>
      </c>
      <c r="B202" s="212" t="e">
        <f>IF(B194=C194,TRUE,FALSE)</f>
        <v>#DIV/0!</v>
      </c>
      <c r="C202" s="212" t="e">
        <f>IF(D190&lt;CHOOSE(MATCH("CONTROLS",E186:E187,0),D186,D187),TRUE,FALSE)</f>
        <v>#N/A</v>
      </c>
    </row>
    <row r="203" spans="1:10" x14ac:dyDescent="0.25">
      <c r="A203" s="247"/>
      <c r="B203" s="211"/>
      <c r="C203" s="211"/>
    </row>
    <row r="205" spans="1:10" ht="18.75" x14ac:dyDescent="0.35">
      <c r="A205" s="28" t="s">
        <v>74</v>
      </c>
      <c r="B205" s="28" t="s">
        <v>416</v>
      </c>
      <c r="C205" s="28" t="s">
        <v>234</v>
      </c>
    </row>
    <row r="206" spans="1:10" x14ac:dyDescent="0.25">
      <c r="A206" s="246" t="s">
        <v>40</v>
      </c>
      <c r="B206" s="221" t="e">
        <f>IF(AND(B202,C202),2*B190,IF(AND(B202,NOT(C202)),CHOOSE(MATCH("CONTROLS",E186:E187,0),B186,B187),IF(AND(NOT(B202),C202),2*B190,CHOOSE(MATCH("CONTROLS",E186:E187,0),B186,B187))))</f>
        <v>#DIV/0!</v>
      </c>
      <c r="C206" s="231" t="e">
        <f>IF(AND(B202,C202),C190,IF(AND(B202,NOT(C202)),CHOOSE(MATCH("CONTROLS",E186:E187,0),C186,C187),IF(AND(NOT(B202),C202),C190,CHOOSE(MATCH("CONTROLS",E186:E187,0),C186,C187))))</f>
        <v>#DIV/0!</v>
      </c>
    </row>
    <row r="207" spans="1:10" x14ac:dyDescent="0.25">
      <c r="A207" s="247"/>
      <c r="B207" s="223"/>
      <c r="C207" s="233"/>
    </row>
    <row r="208" spans="1:10" s="18" customFormat="1" ht="18.75" x14ac:dyDescent="0.25">
      <c r="A208" s="106"/>
      <c r="B208" s="106"/>
      <c r="C208" s="106"/>
      <c r="D208" s="83"/>
      <c r="E208" s="119"/>
      <c r="F208" s="120"/>
      <c r="G208" s="120"/>
      <c r="H208" s="120"/>
      <c r="I208" s="120"/>
      <c r="J208" s="120"/>
    </row>
    <row r="209" spans="1:13" s="18" customFormat="1" ht="18.75" x14ac:dyDescent="0.25">
      <c r="A209" s="106"/>
      <c r="B209" s="106"/>
      <c r="C209" s="106"/>
      <c r="D209" s="106"/>
      <c r="E209" s="106"/>
      <c r="F209" s="106"/>
      <c r="G209" s="103" t="s">
        <v>354</v>
      </c>
      <c r="H209" s="135" t="s">
        <v>355</v>
      </c>
      <c r="I209" s="120"/>
      <c r="J209" s="120"/>
      <c r="K209" s="120"/>
      <c r="L209" s="120"/>
      <c r="M209" s="120"/>
    </row>
    <row r="210" spans="1:13" s="18" customFormat="1" ht="34.5" customHeight="1" x14ac:dyDescent="0.25">
      <c r="A210" s="28" t="s">
        <v>74</v>
      </c>
      <c r="B210" s="28" t="s">
        <v>208</v>
      </c>
      <c r="C210" s="28" t="s">
        <v>418</v>
      </c>
      <c r="D210" s="28" t="s">
        <v>419</v>
      </c>
      <c r="E210" s="28" t="s">
        <v>420</v>
      </c>
      <c r="F210" s="28" t="s">
        <v>421</v>
      </c>
      <c r="G210" s="261" t="s">
        <v>228</v>
      </c>
      <c r="H210" s="262"/>
      <c r="I210" s="120"/>
      <c r="J210" s="120"/>
      <c r="K210" s="120"/>
      <c r="L210" s="120"/>
      <c r="M210" s="120"/>
    </row>
    <row r="211" spans="1:13" s="18" customFormat="1" x14ac:dyDescent="0.25">
      <c r="A211" s="246" t="s">
        <v>40</v>
      </c>
      <c r="B211" s="241">
        <f>VLOOKUP(boltDiameterEnum,boltPropertiesTable, IF(EXACT(holeSizeFactorEnum,"Standard"),COLUMN(Table1[[#Headers],[Standard Hole Diameter (in)]]),COLUMN(Table1[[#Headers],[Oversized Hole Diameter (in)]])))</f>
        <v>1.125</v>
      </c>
      <c r="C211" s="210" t="e">
        <f>(webDepth-webBoltTransPitchCalculatedFinal*(webTotalBoltCalculatedFinal/webBoltRowsCalculated-1))/2-B211/2</f>
        <v>#DIV/0!</v>
      </c>
      <c r="D211" s="210">
        <f>minimumEndDistanceWebCalculated-B211/2</f>
        <v>0.6875</v>
      </c>
      <c r="E211" s="210">
        <f>minimumWebLongEdgeDistanceCalculated-B211/2</f>
        <v>0.6875</v>
      </c>
      <c r="F211" s="210" t="e">
        <f>webBoltTransPitchCalculatedFinal-B211</f>
        <v>#DIV/0!</v>
      </c>
      <c r="G211" s="204" t="e">
        <f>IF(AND(B202=TRUE,C202=TRUE),D211,IF(AND(B202=TRUE,C202=FALSE),C211,IF(AND(B202=FALSE,C202=TRUE),MIN(D211:E212),E211)))</f>
        <v>#DIV/0!</v>
      </c>
      <c r="H211" s="204" t="e">
        <f>IF(AND(B202=TRUE,C202=TRUE),F211,IF(AND(B202=TRUE,C202=FALSE),F211,IF(AND(B202=FALSE,C202=TRUE),MIN(D211:E212),E211)))</f>
        <v>#DIV/0!</v>
      </c>
      <c r="I211" s="120"/>
      <c r="J211" s="120"/>
      <c r="K211" s="120"/>
      <c r="L211" s="120"/>
      <c r="M211" s="120"/>
    </row>
    <row r="212" spans="1:13" s="18" customFormat="1" x14ac:dyDescent="0.25">
      <c r="A212" s="247"/>
      <c r="B212" s="241"/>
      <c r="C212" s="210"/>
      <c r="D212" s="210"/>
      <c r="E212" s="210"/>
      <c r="F212" s="210"/>
      <c r="G212" s="206"/>
      <c r="H212" s="206"/>
      <c r="I212"/>
      <c r="J212" s="120"/>
      <c r="K212" s="120"/>
      <c r="L212" s="120"/>
      <c r="M212" s="120"/>
    </row>
    <row r="213" spans="1:13" s="18" customFormat="1" x14ac:dyDescent="0.25"/>
    <row r="214" spans="1:13" customFormat="1" ht="18.75" customHeight="1" x14ac:dyDescent="0.25">
      <c r="E214" s="207" t="s">
        <v>354</v>
      </c>
      <c r="F214" s="208"/>
      <c r="G214" s="208"/>
      <c r="H214" s="209"/>
    </row>
    <row r="215" spans="1:13" ht="36" x14ac:dyDescent="0.35">
      <c r="A215" s="28" t="s">
        <v>74</v>
      </c>
      <c r="B215" s="28" t="s">
        <v>409</v>
      </c>
      <c r="C215" s="28" t="s">
        <v>234</v>
      </c>
      <c r="D215" s="108" t="s">
        <v>318</v>
      </c>
      <c r="E215" s="28" t="s">
        <v>228</v>
      </c>
      <c r="F215" s="28" t="s">
        <v>443</v>
      </c>
      <c r="G215" s="28" t="s">
        <v>443</v>
      </c>
      <c r="H215" s="108" t="s">
        <v>206</v>
      </c>
      <c r="I215"/>
    </row>
    <row r="216" spans="1:13" ht="18.75" customHeight="1" x14ac:dyDescent="0.25">
      <c r="A216" s="246" t="s">
        <v>285</v>
      </c>
      <c r="B216" s="241" t="e">
        <f>B206</f>
        <v>#DIV/0!</v>
      </c>
      <c r="C216" s="224" t="e">
        <f>C206</f>
        <v>#DIV/0!</v>
      </c>
      <c r="D216" s="210">
        <f>VLOOKUP("fbb", Table5[],2)</f>
        <v>0.8</v>
      </c>
      <c r="E216" s="204" t="e">
        <f>G211</f>
        <v>#DIV/0!</v>
      </c>
      <c r="F216" s="210" t="e">
        <f>IF(E216&lt;C198,"DNA",webBoltRowsCalculated* 2.4*B198*B216*C216)</f>
        <v>#DIV/0!</v>
      </c>
      <c r="G216" s="210" t="e">
        <f>IF(E216&lt; C198, webBoltRowsCalculated* 1.2*E216*B216*C216, "DNA")</f>
        <v>#DIV/0!</v>
      </c>
      <c r="H216" s="258">
        <f>D216*(IF(ISNUMBER(G216),G216,0)+IF(ISNUMBER(F216),F216,0))</f>
        <v>0</v>
      </c>
      <c r="I216"/>
    </row>
    <row r="217" spans="1:13" ht="18.75" customHeight="1" x14ac:dyDescent="0.25">
      <c r="A217" s="247"/>
      <c r="B217" s="241"/>
      <c r="C217" s="224"/>
      <c r="D217" s="210"/>
      <c r="E217" s="206"/>
      <c r="F217" s="210"/>
      <c r="G217" s="210"/>
      <c r="H217" s="210"/>
      <c r="I217"/>
    </row>
    <row r="218" spans="1:13" ht="18.75" customHeight="1" x14ac:dyDescent="0.25">
      <c r="A218" s="116"/>
      <c r="B218" s="80"/>
      <c r="C218" s="43"/>
      <c r="D218" s="130"/>
      <c r="E218" s="130"/>
      <c r="F218" s="130"/>
    </row>
    <row r="219" spans="1:13" ht="18.75" customHeight="1" x14ac:dyDescent="0.25">
      <c r="A219" s="116"/>
      <c r="B219" s="80"/>
      <c r="C219" s="80"/>
      <c r="D219" s="43"/>
      <c r="E219" s="255" t="s">
        <v>355</v>
      </c>
      <c r="F219" s="256"/>
      <c r="G219" s="256"/>
      <c r="H219" s="257"/>
      <c r="I219"/>
      <c r="J219" s="43"/>
    </row>
    <row r="220" spans="1:13" ht="36" customHeight="1" x14ac:dyDescent="0.35">
      <c r="A220" s="28" t="s">
        <v>74</v>
      </c>
      <c r="B220" s="28" t="s">
        <v>409</v>
      </c>
      <c r="C220" s="28" t="s">
        <v>234</v>
      </c>
      <c r="D220" s="108" t="s">
        <v>318</v>
      </c>
      <c r="E220" s="28" t="s">
        <v>228</v>
      </c>
      <c r="F220" s="28" t="s">
        <v>443</v>
      </c>
      <c r="G220" s="28" t="s">
        <v>443</v>
      </c>
      <c r="H220" s="108" t="s">
        <v>206</v>
      </c>
      <c r="I220"/>
      <c r="J220" s="43"/>
    </row>
    <row r="221" spans="1:13" ht="18.75" customHeight="1" x14ac:dyDescent="0.25">
      <c r="A221" s="246" t="s">
        <v>285</v>
      </c>
      <c r="B221" s="241" t="e">
        <f>B206</f>
        <v>#DIV/0!</v>
      </c>
      <c r="C221" s="224" t="e">
        <f>C206</f>
        <v>#DIV/0!</v>
      </c>
      <c r="D221" s="210">
        <f>VLOOKUP("fbb", Table5[],2)</f>
        <v>0.8</v>
      </c>
      <c r="E221" s="204" t="e">
        <f>H211</f>
        <v>#DIV/0!</v>
      </c>
      <c r="F221" s="210" t="e">
        <f>IF(E221&lt;C198,"DNA", (D198-E198)*2.4*B198*B216*C216)</f>
        <v>#DIV/0!</v>
      </c>
      <c r="G221" s="210" t="e">
        <f>IF(E221&lt; C198, (D198-E198)* 1.2*E221*B221*C221, "DNA")</f>
        <v>#DIV/0!</v>
      </c>
      <c r="H221" s="210">
        <f>D221*(IF(ISNUMBER(F221),F221,0)+IF(ISNUMBER(G221),G221,0))</f>
        <v>0</v>
      </c>
      <c r="I221"/>
      <c r="J221" s="43"/>
    </row>
    <row r="222" spans="1:13" ht="18.75" customHeight="1" x14ac:dyDescent="0.25">
      <c r="A222" s="247"/>
      <c r="B222" s="241"/>
      <c r="C222" s="224"/>
      <c r="D222" s="210"/>
      <c r="E222" s="206"/>
      <c r="F222" s="210"/>
      <c r="G222" s="210"/>
      <c r="H222" s="210"/>
      <c r="I222"/>
      <c r="J222" s="43"/>
    </row>
    <row r="223" spans="1:13" ht="18.75" customHeight="1" x14ac:dyDescent="0.25">
      <c r="A223" s="116"/>
      <c r="B223" s="80"/>
      <c r="C223" s="43"/>
      <c r="D223" s="43"/>
      <c r="E223" s="43"/>
      <c r="F223" s="43"/>
      <c r="G223" s="43"/>
      <c r="H223" s="43"/>
      <c r="I223" s="43"/>
    </row>
    <row r="224" spans="1:13" ht="18.75" customHeight="1" x14ac:dyDescent="0.25">
      <c r="A224" s="116"/>
      <c r="B224" s="207" t="s">
        <v>364</v>
      </c>
      <c r="C224" s="209"/>
      <c r="D224" s="43"/>
      <c r="E224" s="43"/>
      <c r="F224" s="43"/>
      <c r="G224" s="43"/>
      <c r="H224" s="43"/>
      <c r="I224" s="43"/>
    </row>
    <row r="225" spans="1:9" ht="31.5" x14ac:dyDescent="0.25">
      <c r="A225" s="28" t="s">
        <v>74</v>
      </c>
      <c r="B225" s="28" t="s">
        <v>446</v>
      </c>
      <c r="C225" s="124" t="s">
        <v>447</v>
      </c>
      <c r="D225" s="127" t="s">
        <v>444</v>
      </c>
      <c r="E225" s="43"/>
      <c r="F225" s="43"/>
      <c r="G225" s="43"/>
      <c r="H225" s="43"/>
      <c r="I225" s="43"/>
    </row>
    <row r="226" spans="1:9" ht="18.75" customHeight="1" x14ac:dyDescent="0.25">
      <c r="A226" s="246" t="s">
        <v>285</v>
      </c>
      <c r="B226" s="210">
        <f>webBoltShearCapacity*E198</f>
        <v>271.43360527015813</v>
      </c>
      <c r="C226" s="210">
        <f>H216</f>
        <v>0</v>
      </c>
      <c r="D226" s="204">
        <f>MIN(B226:C227)</f>
        <v>0</v>
      </c>
      <c r="E226" s="43"/>
      <c r="F226" s="43"/>
      <c r="G226" s="43"/>
      <c r="H226" s="43"/>
      <c r="I226" s="43"/>
    </row>
    <row r="227" spans="1:9" ht="18.75" customHeight="1" x14ac:dyDescent="0.25">
      <c r="A227" s="247"/>
      <c r="B227" s="210"/>
      <c r="C227" s="210"/>
      <c r="D227" s="206"/>
      <c r="E227" s="43"/>
      <c r="F227" s="43"/>
      <c r="G227" s="43"/>
      <c r="H227" s="43"/>
      <c r="I227" s="43"/>
    </row>
    <row r="228" spans="1:9" ht="18.75" customHeight="1" x14ac:dyDescent="0.25">
      <c r="A228" s="116"/>
      <c r="B228" s="80"/>
      <c r="C228" s="43"/>
      <c r="D228" s="43"/>
      <c r="E228" s="43"/>
      <c r="F228" s="43"/>
      <c r="G228" s="43"/>
      <c r="H228" s="43"/>
      <c r="I228" s="43"/>
    </row>
    <row r="229" spans="1:9" ht="18.75" customHeight="1" x14ac:dyDescent="0.25">
      <c r="A229" s="116"/>
      <c r="B229" s="207" t="s">
        <v>363</v>
      </c>
      <c r="C229" s="209"/>
      <c r="D229" s="43"/>
      <c r="E229" s="43"/>
      <c r="F229" s="43"/>
      <c r="G229" s="43"/>
      <c r="H229" s="43"/>
      <c r="I229" s="43"/>
    </row>
    <row r="230" spans="1:9" ht="31.5" x14ac:dyDescent="0.25">
      <c r="A230" s="28" t="s">
        <v>74</v>
      </c>
      <c r="B230" s="28" t="s">
        <v>446</v>
      </c>
      <c r="C230" s="124" t="s">
        <v>447</v>
      </c>
      <c r="D230" s="127" t="s">
        <v>444</v>
      </c>
      <c r="E230" s="43"/>
      <c r="F230" s="43"/>
      <c r="G230" s="43"/>
      <c r="H230" s="43"/>
      <c r="I230" s="43"/>
    </row>
    <row r="231" spans="1:9" ht="18.75" customHeight="1" x14ac:dyDescent="0.25">
      <c r="A231" s="246" t="s">
        <v>285</v>
      </c>
      <c r="B231" s="210" t="e">
        <f>(D198-E198)*webBoltShearCapacity</f>
        <v>#DIV/0!</v>
      </c>
      <c r="C231" s="210">
        <f>H221</f>
        <v>0</v>
      </c>
      <c r="D231" s="204" t="e">
        <f>MIN(B231:C232)</f>
        <v>#DIV/0!</v>
      </c>
      <c r="E231" s="43"/>
      <c r="F231" s="43"/>
      <c r="G231" s="43"/>
      <c r="H231" s="43"/>
      <c r="I231" s="43"/>
    </row>
    <row r="232" spans="1:9" ht="18.75" customHeight="1" x14ac:dyDescent="0.25">
      <c r="A232" s="247"/>
      <c r="B232" s="210"/>
      <c r="C232" s="210"/>
      <c r="D232" s="206"/>
      <c r="E232" s="43"/>
      <c r="F232" s="43"/>
      <c r="G232" s="43"/>
      <c r="H232" s="43"/>
      <c r="I232" s="43"/>
    </row>
    <row r="233" spans="1:9" ht="18.75" customHeight="1" x14ac:dyDescent="0.25">
      <c r="A233" s="116"/>
      <c r="B233" s="80"/>
      <c r="C233" s="43"/>
      <c r="D233" s="43"/>
      <c r="E233" s="43"/>
      <c r="F233" s="43"/>
      <c r="G233" s="43"/>
      <c r="H233" s="43"/>
      <c r="I233" s="43"/>
    </row>
    <row r="234" spans="1:9" ht="33" x14ac:dyDescent="0.35">
      <c r="A234" s="28" t="s">
        <v>74</v>
      </c>
      <c r="B234" s="127" t="s">
        <v>445</v>
      </c>
      <c r="C234" s="28" t="s">
        <v>168</v>
      </c>
      <c r="D234" s="28" t="s">
        <v>408</v>
      </c>
    </row>
    <row r="235" spans="1:9" ht="18.75" customHeight="1" x14ac:dyDescent="0.25">
      <c r="A235" s="246" t="s">
        <v>285</v>
      </c>
      <c r="B235" s="204" t="e">
        <f>D226+D231</f>
        <v>#DIV/0!</v>
      </c>
      <c r="C235" s="204" t="e">
        <f>C194</f>
        <v>#DIV/0!</v>
      </c>
      <c r="D235" s="212" t="e">
        <f>IF(B235&gt;=C235,"OK", "NG")</f>
        <v>#DIV/0!</v>
      </c>
    </row>
    <row r="236" spans="1:9" ht="18.75" customHeight="1" x14ac:dyDescent="0.25">
      <c r="A236" s="247"/>
      <c r="B236" s="211"/>
      <c r="C236" s="206"/>
      <c r="D236" s="211"/>
    </row>
    <row r="237" spans="1:9" s="36" customFormat="1" ht="18.75" customHeight="1" x14ac:dyDescent="0.25"/>
    <row r="238" spans="1:9" ht="18.75" x14ac:dyDescent="0.25">
      <c r="A238" s="220" t="s">
        <v>127</v>
      </c>
      <c r="B238" s="220">
        <f>VLOOKUP(boltDiameterEnum, boltPropertiesTable,IF(EXACT(boltTypeEnum,"A325"), COLUMN(Table1[[#Headers],[Pt - A325 (kip)]]), COLUMN(Table1[[#Headers],[Pt - A490 (kip)]])))</f>
        <v>51</v>
      </c>
      <c r="C238" s="220"/>
    </row>
    <row r="240" spans="1:9" x14ac:dyDescent="0.25">
      <c r="A240" s="23" t="s">
        <v>361</v>
      </c>
      <c r="C240" s="36"/>
    </row>
    <row r="241" spans="1:3" x14ac:dyDescent="0.25">
      <c r="A241" s="41" t="s">
        <v>384</v>
      </c>
      <c r="B241" s="38">
        <f>deckCastingFactoredShear</f>
        <v>0</v>
      </c>
      <c r="C241" s="36"/>
    </row>
    <row r="242" spans="1:3" ht="18.75" x14ac:dyDescent="0.35">
      <c r="A242" s="37" t="s">
        <v>288</v>
      </c>
      <c r="B242" s="38" t="e">
        <f>deckCastingSlipHorizontalWebForce</f>
        <v>#DIV/0!</v>
      </c>
      <c r="C242" s="36"/>
    </row>
    <row r="243" spans="1:3" x14ac:dyDescent="0.25">
      <c r="A243" s="37" t="s">
        <v>387</v>
      </c>
      <c r="B243" s="38">
        <f>IF(ISNUMBER(deckCastingSlipHorizontalWebForce),SQRT(B241^2+B242^2),0)</f>
        <v>0</v>
      </c>
      <c r="C243" s="36"/>
    </row>
    <row r="244" spans="1:3" x14ac:dyDescent="0.25">
      <c r="A244" s="41" t="s">
        <v>102</v>
      </c>
      <c r="B244" s="158" t="e">
        <f>webTotalBoltCalculatedFinal</f>
        <v>#DIV/0!</v>
      </c>
    </row>
    <row r="245" spans="1:3" ht="18.75" x14ac:dyDescent="0.25">
      <c r="A245" s="41" t="s">
        <v>166</v>
      </c>
      <c r="B245" s="159">
        <f>D21</f>
        <v>30.599999999999998</v>
      </c>
    </row>
    <row r="246" spans="1:3" ht="18.75" x14ac:dyDescent="0.25">
      <c r="A246" s="41" t="s">
        <v>167</v>
      </c>
      <c r="B246" s="159" t="e">
        <f>B244*B245</f>
        <v>#DIV/0!</v>
      </c>
    </row>
    <row r="247" spans="1:3" x14ac:dyDescent="0.25">
      <c r="A247" s="41" t="s">
        <v>174</v>
      </c>
      <c r="B247" s="38" t="e">
        <f>IF(ABS(B246)&gt;ABS(IF(ISNUMBER(deckCastingSlipHorizontalWebForce),B243,B241)), "OK", "NG")</f>
        <v>#DIV/0!</v>
      </c>
    </row>
    <row r="249" spans="1:3" x14ac:dyDescent="0.25">
      <c r="A249" s="23" t="s">
        <v>321</v>
      </c>
      <c r="C249" s="36"/>
    </row>
    <row r="250" spans="1:3" x14ac:dyDescent="0.25">
      <c r="A250" s="41" t="s">
        <v>385</v>
      </c>
      <c r="B250" s="38">
        <f>serviceIIPositiveShear</f>
        <v>-59.387</v>
      </c>
      <c r="C250" s="36"/>
    </row>
    <row r="251" spans="1:3" ht="18.75" x14ac:dyDescent="0.35">
      <c r="A251" s="37" t="s">
        <v>288</v>
      </c>
      <c r="B251" s="38" t="str">
        <f>positiveMomentSlipHorizontalWebForce</f>
        <v>DNA</v>
      </c>
      <c r="C251" s="36"/>
    </row>
    <row r="252" spans="1:3" ht="18.75" x14ac:dyDescent="0.35">
      <c r="A252" s="37" t="s">
        <v>382</v>
      </c>
      <c r="B252" s="38" t="str">
        <f>IF(OR(ISNUMBER(positiveMomentSlipHorizontalWebForce),ISNUMBER(negativeMomentSlipHorizontalWebForce)),MAX(positiveMomentSlipHorizontalWebForce,negativeMomentSlipHorizontalWebForce),"DNA")</f>
        <v>DNA</v>
      </c>
      <c r="C252" s="36"/>
    </row>
    <row r="253" spans="1:3" x14ac:dyDescent="0.25">
      <c r="A253" s="37" t="s">
        <v>387</v>
      </c>
      <c r="B253" s="38">
        <f>IF(ISNUMBER(B252),SQRT(serviceIIPositiveShear^2+B252^2),serviceIIPositiveShear)</f>
        <v>-59.387</v>
      </c>
      <c r="C253" s="36"/>
    </row>
    <row r="254" spans="1:3" x14ac:dyDescent="0.25">
      <c r="A254" s="41" t="s">
        <v>102</v>
      </c>
      <c r="B254" s="158" t="e">
        <f>webTotalBoltCalculatedFinal</f>
        <v>#DIV/0!</v>
      </c>
    </row>
    <row r="255" spans="1:3" ht="18.75" x14ac:dyDescent="0.25">
      <c r="A255" s="41" t="s">
        <v>166</v>
      </c>
      <c r="B255" s="159">
        <f>D21</f>
        <v>30.599999999999998</v>
      </c>
    </row>
    <row r="256" spans="1:3" ht="18.75" x14ac:dyDescent="0.25">
      <c r="A256" s="41" t="s">
        <v>167</v>
      </c>
      <c r="B256" s="159" t="e">
        <f>B254*B255</f>
        <v>#DIV/0!</v>
      </c>
    </row>
    <row r="257" spans="1:2" x14ac:dyDescent="0.25">
      <c r="A257" s="41" t="s">
        <v>174</v>
      </c>
      <c r="B257" s="38" t="e">
        <f>IF(ABS(B256)&gt;ABS(IF(ISNUMBER(positiveMomentSlipHorizontalWebForce),B253,B250)), "OK", "NG")</f>
        <v>#DIV/0!</v>
      </c>
    </row>
    <row r="259" spans="1:2" x14ac:dyDescent="0.25">
      <c r="A259" s="23" t="s">
        <v>322</v>
      </c>
    </row>
    <row r="260" spans="1:2" x14ac:dyDescent="0.25">
      <c r="A260" s="41" t="s">
        <v>386</v>
      </c>
      <c r="B260" s="38">
        <f>serviceIINegativeShear</f>
        <v>-187.63200000000001</v>
      </c>
    </row>
    <row r="261" spans="1:2" ht="18.75" x14ac:dyDescent="0.35">
      <c r="A261" s="37" t="s">
        <v>288</v>
      </c>
      <c r="B261" s="38" t="e">
        <f>negativeMomentSlipHorizontalWebForce</f>
        <v>#DIV/0!</v>
      </c>
    </row>
    <row r="262" spans="1:2" ht="18.75" x14ac:dyDescent="0.35">
      <c r="A262" s="37" t="s">
        <v>382</v>
      </c>
      <c r="B262" s="38" t="str">
        <f>IF(OR(ISNUMBER(positiveMomentSlipHorizontalWebForce),ISNUMBER(negativeMomentSlipHorizontalWebForce)),MAX(positiveMomentSlipHorizontalWebForce,negativeMomentSlipHorizontalWebForce),"DNA")</f>
        <v>DNA</v>
      </c>
    </row>
    <row r="263" spans="1:2" x14ac:dyDescent="0.25">
      <c r="A263" s="37" t="s">
        <v>387</v>
      </c>
      <c r="B263" s="38">
        <f>IF(ISNUMBER(B262),SQRT(serviceIINegativeShear^2+B262^2),serviceIINegativeShear)</f>
        <v>-187.63200000000001</v>
      </c>
    </row>
    <row r="264" spans="1:2" x14ac:dyDescent="0.25">
      <c r="A264" s="41" t="s">
        <v>102</v>
      </c>
      <c r="B264" s="158" t="e">
        <f>webTotalBoltCalculatedFinal</f>
        <v>#DIV/0!</v>
      </c>
    </row>
    <row r="265" spans="1:2" ht="18.75" x14ac:dyDescent="0.25">
      <c r="A265" s="41" t="s">
        <v>166</v>
      </c>
      <c r="B265" s="159">
        <f>D21</f>
        <v>30.599999999999998</v>
      </c>
    </row>
    <row r="266" spans="1:2" ht="18.75" x14ac:dyDescent="0.25">
      <c r="A266" s="41" t="s">
        <v>167</v>
      </c>
      <c r="B266" s="159" t="e">
        <f>B264*B265</f>
        <v>#DIV/0!</v>
      </c>
    </row>
    <row r="267" spans="1:2" x14ac:dyDescent="0.25">
      <c r="A267" s="41" t="s">
        <v>174</v>
      </c>
      <c r="B267" s="37" t="e">
        <f>IF(ABS(B266)&gt;ABS(IF(ISNUMBER(negativeMomentSlipHorizontalWebForce),B263,B260)), "OK", "NG")</f>
        <v>#DIV/0!</v>
      </c>
    </row>
    <row r="268" spans="1:2" x14ac:dyDescent="0.25">
      <c r="A268" s="41"/>
      <c r="B268" s="40"/>
    </row>
    <row r="269" spans="1:2" x14ac:dyDescent="0.25">
      <c r="A269" s="41"/>
      <c r="B269" s="37"/>
    </row>
  </sheetData>
  <sheetProtection sheet="1" objects="1" scenarios="1"/>
  <mergeCells count="219">
    <mergeCell ref="G44:G45"/>
    <mergeCell ref="F44:F45"/>
    <mergeCell ref="J70:J75"/>
    <mergeCell ref="B72:B73"/>
    <mergeCell ref="G72:G73"/>
    <mergeCell ref="I72:I73"/>
    <mergeCell ref="B74:B75"/>
    <mergeCell ref="G74:G75"/>
    <mergeCell ref="I74:I75"/>
    <mergeCell ref="A65:C65"/>
    <mergeCell ref="A70:A71"/>
    <mergeCell ref="A72:A73"/>
    <mergeCell ref="A74:A75"/>
    <mergeCell ref="B70:B71"/>
    <mergeCell ref="F70:F75"/>
    <mergeCell ref="G70:G71"/>
    <mergeCell ref="H70:H75"/>
    <mergeCell ref="I70:I71"/>
    <mergeCell ref="C70:C71"/>
    <mergeCell ref="C72:C73"/>
    <mergeCell ref="C74:C75"/>
    <mergeCell ref="E72:E73"/>
    <mergeCell ref="E74:E75"/>
    <mergeCell ref="D70:D71"/>
    <mergeCell ref="D72:D75"/>
    <mergeCell ref="E70:E71"/>
    <mergeCell ref="E198:E199"/>
    <mergeCell ref="E211:E212"/>
    <mergeCell ref="A198:A199"/>
    <mergeCell ref="C198:C199"/>
    <mergeCell ref="B211:B212"/>
    <mergeCell ref="A117:A118"/>
    <mergeCell ref="A123:A124"/>
    <mergeCell ref="D176:D177"/>
    <mergeCell ref="A211:A212"/>
    <mergeCell ref="E160:E161"/>
    <mergeCell ref="E176:E177"/>
    <mergeCell ref="B164:B165"/>
    <mergeCell ref="C164:C165"/>
    <mergeCell ref="A172:A173"/>
    <mergeCell ref="A154:A155"/>
    <mergeCell ref="A180:A181"/>
    <mergeCell ref="D180:D181"/>
    <mergeCell ref="B150:B151"/>
    <mergeCell ref="C154:C155"/>
    <mergeCell ref="D154:D155"/>
    <mergeCell ref="B179:C179"/>
    <mergeCell ref="B168:B169"/>
    <mergeCell ref="B190:B191"/>
    <mergeCell ref="C190:C191"/>
    <mergeCell ref="D190:D191"/>
    <mergeCell ref="A202:A203"/>
    <mergeCell ref="B202:B203"/>
    <mergeCell ref="C202:C203"/>
    <mergeCell ref="A206:A207"/>
    <mergeCell ref="B206:B207"/>
    <mergeCell ref="C206:C207"/>
    <mergeCell ref="A190:A191"/>
    <mergeCell ref="C211:C212"/>
    <mergeCell ref="A194:A195"/>
    <mergeCell ref="B194:B195"/>
    <mergeCell ref="C194:C195"/>
    <mergeCell ref="D211:D212"/>
    <mergeCell ref="D235:D236"/>
    <mergeCell ref="H144:H145"/>
    <mergeCell ref="F150:F151"/>
    <mergeCell ref="G216:G217"/>
    <mergeCell ref="E221:E222"/>
    <mergeCell ref="F221:F222"/>
    <mergeCell ref="G221:G222"/>
    <mergeCell ref="B226:B227"/>
    <mergeCell ref="B180:C181"/>
    <mergeCell ref="E180:E181"/>
    <mergeCell ref="F160:F161"/>
    <mergeCell ref="G160:G161"/>
    <mergeCell ref="G175:H175"/>
    <mergeCell ref="B176:B177"/>
    <mergeCell ref="C176:C177"/>
    <mergeCell ref="F211:F212"/>
    <mergeCell ref="B198:B199"/>
    <mergeCell ref="C221:C222"/>
    <mergeCell ref="G210:H210"/>
    <mergeCell ref="H211:H212"/>
    <mergeCell ref="G176:H177"/>
    <mergeCell ref="F176:F177"/>
    <mergeCell ref="G211:G212"/>
    <mergeCell ref="C172:C173"/>
    <mergeCell ref="A238:C238"/>
    <mergeCell ref="A226:A227"/>
    <mergeCell ref="A231:A232"/>
    <mergeCell ref="D216:D217"/>
    <mergeCell ref="B224:C224"/>
    <mergeCell ref="B229:C229"/>
    <mergeCell ref="E219:H219"/>
    <mergeCell ref="E214:H214"/>
    <mergeCell ref="H216:H217"/>
    <mergeCell ref="H221:H222"/>
    <mergeCell ref="C226:C227"/>
    <mergeCell ref="C231:C232"/>
    <mergeCell ref="A216:A217"/>
    <mergeCell ref="B231:B232"/>
    <mergeCell ref="D231:D232"/>
    <mergeCell ref="D226:D227"/>
    <mergeCell ref="E216:E217"/>
    <mergeCell ref="B235:B236"/>
    <mergeCell ref="A221:A222"/>
    <mergeCell ref="B221:B222"/>
    <mergeCell ref="A235:A236"/>
    <mergeCell ref="F216:F217"/>
    <mergeCell ref="D221:D222"/>
    <mergeCell ref="C235:C236"/>
    <mergeCell ref="I135:I136"/>
    <mergeCell ref="C123:C124"/>
    <mergeCell ref="C135:C137"/>
    <mergeCell ref="E135:E137"/>
    <mergeCell ref="F135:F137"/>
    <mergeCell ref="H135:H136"/>
    <mergeCell ref="A176:A177"/>
    <mergeCell ref="B154:B155"/>
    <mergeCell ref="B216:B217"/>
    <mergeCell ref="C216:C217"/>
    <mergeCell ref="D198:D199"/>
    <mergeCell ref="H164:H165"/>
    <mergeCell ref="C168:C169"/>
    <mergeCell ref="D160:D161"/>
    <mergeCell ref="A160:A161"/>
    <mergeCell ref="A164:A165"/>
    <mergeCell ref="H160:H161"/>
    <mergeCell ref="B160:B161"/>
    <mergeCell ref="C160:C161"/>
    <mergeCell ref="B94:B95"/>
    <mergeCell ref="C88:C89"/>
    <mergeCell ref="D88:D89"/>
    <mergeCell ref="C94:C95"/>
    <mergeCell ref="G135:G136"/>
    <mergeCell ref="B100:B101"/>
    <mergeCell ref="B113:B114"/>
    <mergeCell ref="F123:F124"/>
    <mergeCell ref="C113:C114"/>
    <mergeCell ref="E123:E124"/>
    <mergeCell ref="B135:B137"/>
    <mergeCell ref="D135:D137"/>
    <mergeCell ref="D117:D118"/>
    <mergeCell ref="E129:E130"/>
    <mergeCell ref="C129:C130"/>
    <mergeCell ref="D123:D124"/>
    <mergeCell ref="D113:D114"/>
    <mergeCell ref="F100:F101"/>
    <mergeCell ref="E88:E89"/>
    <mergeCell ref="B88:B89"/>
    <mergeCell ref="A1:I1"/>
    <mergeCell ref="A2:I2"/>
    <mergeCell ref="A4:C4"/>
    <mergeCell ref="A18:C18"/>
    <mergeCell ref="D82:D83"/>
    <mergeCell ref="E62:E63"/>
    <mergeCell ref="C82:C83"/>
    <mergeCell ref="A36:C36"/>
    <mergeCell ref="A13:C13"/>
    <mergeCell ref="A23:C23"/>
    <mergeCell ref="B62:B63"/>
    <mergeCell ref="C62:C63"/>
    <mergeCell ref="A58:A59"/>
    <mergeCell ref="A62:A63"/>
    <mergeCell ref="B82:B83"/>
    <mergeCell ref="A82:A83"/>
    <mergeCell ref="E44:E45"/>
    <mergeCell ref="B6:G6"/>
    <mergeCell ref="A77:C77"/>
    <mergeCell ref="B58:B59"/>
    <mergeCell ref="C58:C59"/>
    <mergeCell ref="D58:D59"/>
    <mergeCell ref="E58:E59"/>
    <mergeCell ref="D62:D63"/>
    <mergeCell ref="A168:A169"/>
    <mergeCell ref="E168:E169"/>
    <mergeCell ref="D164:D165"/>
    <mergeCell ref="E164:E165"/>
    <mergeCell ref="D168:D169"/>
    <mergeCell ref="F171:G171"/>
    <mergeCell ref="F164:F165"/>
    <mergeCell ref="G164:G165"/>
    <mergeCell ref="A183:C183"/>
    <mergeCell ref="B172:B173"/>
    <mergeCell ref="F172:G173"/>
    <mergeCell ref="A139:C139"/>
    <mergeCell ref="A150:A151"/>
    <mergeCell ref="A144:A145"/>
    <mergeCell ref="D150:D151"/>
    <mergeCell ref="D94:D95"/>
    <mergeCell ref="D172:D173"/>
    <mergeCell ref="E172:E173"/>
    <mergeCell ref="G144:G145"/>
    <mergeCell ref="F144:F145"/>
    <mergeCell ref="E144:E145"/>
    <mergeCell ref="D144:D145"/>
    <mergeCell ref="C144:C145"/>
    <mergeCell ref="B144:B145"/>
    <mergeCell ref="F154:F155"/>
    <mergeCell ref="E150:E151"/>
    <mergeCell ref="G150:G151"/>
    <mergeCell ref="E154:E155"/>
    <mergeCell ref="G154:G155"/>
    <mergeCell ref="C150:C151"/>
    <mergeCell ref="E100:E101"/>
    <mergeCell ref="D100:D101"/>
    <mergeCell ref="E94:E95"/>
    <mergeCell ref="A113:A114"/>
    <mergeCell ref="A135:A136"/>
    <mergeCell ref="A129:A130"/>
    <mergeCell ref="B117:B118"/>
    <mergeCell ref="C117:C118"/>
    <mergeCell ref="B123:B124"/>
    <mergeCell ref="B129:B130"/>
    <mergeCell ref="D129:D130"/>
    <mergeCell ref="A103:C103"/>
    <mergeCell ref="A108:C108"/>
    <mergeCell ref="A100:A101"/>
    <mergeCell ref="C100:C101"/>
  </mergeCells>
  <conditionalFormatting sqref="B37:B38">
    <cfRule type="containsText" dxfId="31" priority="55" operator="containsText" text="NG">
      <formula>NOT(ISERROR(SEARCH("NG",B37)))</formula>
    </cfRule>
    <cfRule type="containsText" dxfId="30" priority="56" operator="containsText" text="OK">
      <formula>NOT(ISERROR(SEARCH("OK",B37)))</formula>
    </cfRule>
  </conditionalFormatting>
  <conditionalFormatting sqref="B48:B49">
    <cfRule type="cellIs" dxfId="29" priority="1" operator="equal">
      <formula>"NG"</formula>
    </cfRule>
  </conditionalFormatting>
  <conditionalFormatting sqref="B247">
    <cfRule type="containsText" dxfId="28" priority="14" operator="containsText" text="NG">
      <formula>NOT(ISERROR(SEARCH("NG",B247)))</formula>
    </cfRule>
    <cfRule type="containsText" dxfId="27" priority="15" operator="containsText" text="OK">
      <formula>NOT(ISERROR(SEARCH("OK",B247)))</formula>
    </cfRule>
  </conditionalFormatting>
  <conditionalFormatting sqref="B257">
    <cfRule type="containsText" dxfId="26" priority="19" operator="containsText" text="NG">
      <formula>NOT(ISERROR(SEARCH("NG",B257)))</formula>
    </cfRule>
    <cfRule type="containsText" dxfId="25" priority="20" operator="containsText" text="OK">
      <formula>NOT(ISERROR(SEARCH("OK",B257)))</formula>
    </cfRule>
  </conditionalFormatting>
  <conditionalFormatting sqref="B267">
    <cfRule type="containsText" dxfId="24" priority="21" operator="containsText" text="NG">
      <formula>NOT(ISERROR(SEARCH("NG",B267)))</formula>
    </cfRule>
    <cfRule type="containsText" dxfId="23" priority="22" operator="containsText" text="OK">
      <formula>NOT(ISERROR(SEARCH("OK",B267)))</formula>
    </cfRule>
  </conditionalFormatting>
  <conditionalFormatting sqref="B269">
    <cfRule type="containsText" dxfId="22" priority="51" operator="containsText" text="NG">
      <formula>NOT(ISERROR(SEARCH("NG",B269)))</formula>
    </cfRule>
    <cfRule type="containsText" dxfId="21" priority="52" operator="containsText" text="OK">
      <formula>NOT(ISERROR(SEARCH("OK",B269)))</formula>
    </cfRule>
  </conditionalFormatting>
  <conditionalFormatting sqref="B117:D119">
    <cfRule type="cellIs" dxfId="20" priority="12" operator="equal">
      <formula>"OK"</formula>
    </cfRule>
    <cfRule type="cellIs" dxfId="19" priority="13" operator="equal">
      <formula>"NG"</formula>
    </cfRule>
  </conditionalFormatting>
  <conditionalFormatting sqref="C27:C28">
    <cfRule type="containsText" dxfId="18" priority="50" operator="containsText" text="CONTROLS">
      <formula>NOT(ISERROR(SEARCH("CONTROLS",C27)))</formula>
    </cfRule>
  </conditionalFormatting>
  <conditionalFormatting sqref="C32:C34">
    <cfRule type="containsText" dxfId="17" priority="38" operator="containsText" text="CONTROLS">
      <formula>NOT(ISERROR(SEARCH("CONTROLS",C32)))</formula>
    </cfRule>
  </conditionalFormatting>
  <conditionalFormatting sqref="D235">
    <cfRule type="cellIs" dxfId="16" priority="23" operator="equal">
      <formula>"OK"</formula>
    </cfRule>
    <cfRule type="cellIs" dxfId="15" priority="33" operator="equal">
      <formula>"NG"</formula>
    </cfRule>
  </conditionalFormatting>
  <conditionalFormatting sqref="E129">
    <cfRule type="cellIs" dxfId="14" priority="26" operator="equal">
      <formula>"OK"</formula>
    </cfRule>
    <cfRule type="cellIs" dxfId="13" priority="27" operator="equal">
      <formula>"NG"</formula>
    </cfRule>
  </conditionalFormatting>
  <conditionalFormatting sqref="E180">
    <cfRule type="cellIs" dxfId="12" priority="32" operator="equal">
      <formula>"OK"</formula>
    </cfRule>
    <cfRule type="cellIs" dxfId="11" priority="101" operator="equal">
      <formula>"NG"</formula>
    </cfRule>
  </conditionalFormatting>
  <conditionalFormatting sqref="E186:E187">
    <cfRule type="containsText" dxfId="10" priority="25" operator="containsText" text="CONTROLS">
      <formula>NOT(ISERROR(SEARCH("CONTROLS",E186)))</formula>
    </cfRule>
  </conditionalFormatting>
  <conditionalFormatting sqref="F123">
    <cfRule type="cellIs" dxfId="9" priority="40" operator="equal">
      <formula>"OK"</formula>
    </cfRule>
    <cfRule type="cellIs" dxfId="8" priority="41" operator="equal">
      <formula>"NG"</formula>
    </cfRule>
  </conditionalFormatting>
  <conditionalFormatting sqref="G106">
    <cfRule type="cellIs" dxfId="7" priority="3" operator="equal">
      <formula>TRUE</formula>
    </cfRule>
  </conditionalFormatting>
  <conditionalFormatting sqref="G125 J128:J130 G131">
    <cfRule type="cellIs" dxfId="6" priority="46" operator="equal">
      <formula>"OK"</formula>
    </cfRule>
    <cfRule type="cellIs" dxfId="5" priority="47" operator="equal">
      <formula>"NG"</formula>
    </cfRule>
  </conditionalFormatting>
  <conditionalFormatting sqref="G154">
    <cfRule type="cellIs" dxfId="4" priority="28" operator="equal">
      <formula>"OK"</formula>
    </cfRule>
    <cfRule type="cellIs" dxfId="3" priority="29" operator="equal">
      <formula>"NG"</formula>
    </cfRule>
  </conditionalFormatting>
  <conditionalFormatting sqref="H144">
    <cfRule type="cellIs" dxfId="2" priority="30" operator="equal">
      <formula>"OK"</formula>
    </cfRule>
    <cfRule type="cellIs" dxfId="1" priority="31" operator="equal">
      <formula>"NG"</formula>
    </cfRule>
  </conditionalFormatting>
  <conditionalFormatting sqref="I9:I11">
    <cfRule type="containsText" dxfId="0" priority="16" operator="containsText" text="CONTROLS">
      <formula>NOT(ISERROR(SEARCH("CONTROLS",I9)))</formula>
    </cfRule>
  </conditionalFormatting>
  <printOptions verticalCentered="1"/>
  <pageMargins left="0.7" right="0.7" top="0.75" bottom="0.75" header="0.3" footer="0.3"/>
  <pageSetup scale="54" fitToHeight="0" orientation="landscape" horizontalDpi="4294967293" verticalDpi="4294967293" r:id="rId1"/>
  <headerFooter>
    <oddFooter>&amp;LNational Steel Bridge Alliance&amp;Cv3.15&amp;R&amp;P of &amp;N</oddFooter>
  </headerFooter>
  <rowBreaks count="6" manualBreakCount="6">
    <brk id="35" max="16383" man="1"/>
    <brk id="64" max="16383" man="1"/>
    <brk id="107" max="16383" man="1"/>
    <brk id="155" max="16383" man="1"/>
    <brk id="181" max="16383" man="1"/>
    <brk id="222" max="16383" man="1"/>
  </rowBreaks>
  <ignoredErrors>
    <ignoredError sqref="F106" evalError="1"/>
  </ignoredErrors>
  <drawing r:id="rId2"/>
  <legacyDrawing r:id="rId3"/>
  <oleObjects>
    <mc:AlternateContent xmlns:mc="http://schemas.openxmlformats.org/markup-compatibility/2006">
      <mc:Choice Requires="x14">
        <oleObject progId="Equation.3" shapeId="15361" r:id="rId4">
          <objectPr defaultSize="0" autoPict="0" r:id="rId5">
            <anchor moveWithCells="1" sizeWithCells="1">
              <from>
                <xdr:col>3</xdr:col>
                <xdr:colOff>28575</xdr:colOff>
                <xdr:row>80</xdr:row>
                <xdr:rowOff>66675</xdr:rowOff>
              </from>
              <to>
                <xdr:col>4</xdr:col>
                <xdr:colOff>0</xdr:colOff>
                <xdr:row>80</xdr:row>
                <xdr:rowOff>266700</xdr:rowOff>
              </to>
            </anchor>
          </objectPr>
        </oleObject>
      </mc:Choice>
      <mc:Fallback>
        <oleObject progId="Equation.3" shapeId="15361" r:id="rId4"/>
      </mc:Fallback>
    </mc:AlternateContent>
    <mc:AlternateContent xmlns:mc="http://schemas.openxmlformats.org/markup-compatibility/2006">
      <mc:Choice Requires="x14">
        <oleObject progId="Equation.3" shapeId="15429" r:id="rId6">
          <objectPr defaultSize="0" autoPict="0" r:id="rId7">
            <anchor moveWithCells="1" sizeWithCells="1">
              <from>
                <xdr:col>4</xdr:col>
                <xdr:colOff>47625</xdr:colOff>
                <xdr:row>152</xdr:row>
                <xdr:rowOff>9525</xdr:rowOff>
              </from>
              <to>
                <xdr:col>5</xdr:col>
                <xdr:colOff>0</xdr:colOff>
                <xdr:row>152</xdr:row>
                <xdr:rowOff>257175</xdr:rowOff>
              </to>
            </anchor>
          </objectPr>
        </oleObject>
      </mc:Choice>
      <mc:Fallback>
        <oleObject progId="Equation.3" shapeId="15429" r:id="rId6"/>
      </mc:Fallback>
    </mc:AlternateContent>
    <mc:AlternateContent xmlns:mc="http://schemas.openxmlformats.org/markup-compatibility/2006">
      <mc:Choice Requires="x14">
        <oleObject progId="Equation.3" shapeId="15430" r:id="rId8">
          <objectPr defaultSize="0" autoPict="0" r:id="rId9">
            <anchor moveWithCells="1" sizeWithCells="1">
              <from>
                <xdr:col>5</xdr:col>
                <xdr:colOff>228600</xdr:colOff>
                <xdr:row>170</xdr:row>
                <xdr:rowOff>66675</xdr:rowOff>
              </from>
              <to>
                <xdr:col>6</xdr:col>
                <xdr:colOff>1076325</xdr:colOff>
                <xdr:row>170</xdr:row>
                <xdr:rowOff>295275</xdr:rowOff>
              </to>
            </anchor>
          </objectPr>
        </oleObject>
      </mc:Choice>
      <mc:Fallback>
        <oleObject progId="Equation.3" shapeId="15430" r:id="rId8"/>
      </mc:Fallback>
    </mc:AlternateContent>
    <mc:AlternateContent xmlns:mc="http://schemas.openxmlformats.org/markup-compatibility/2006">
      <mc:Choice Requires="x14">
        <oleObject progId="Equation.3" shapeId="15431" r:id="rId10">
          <objectPr defaultSize="0" autoPict="0" r:id="rId11">
            <anchor moveWithCells="1" sizeWithCells="1">
              <from>
                <xdr:col>6</xdr:col>
                <xdr:colOff>638175</xdr:colOff>
                <xdr:row>174</xdr:row>
                <xdr:rowOff>219075</xdr:rowOff>
              </from>
              <to>
                <xdr:col>7</xdr:col>
                <xdr:colOff>790575</xdr:colOff>
                <xdr:row>174</xdr:row>
                <xdr:rowOff>457200</xdr:rowOff>
              </to>
            </anchor>
          </objectPr>
        </oleObject>
      </mc:Choice>
      <mc:Fallback>
        <oleObject progId="Equation.3" shapeId="15431" r:id="rId10"/>
      </mc:Fallback>
    </mc:AlternateContent>
    <mc:AlternateContent xmlns:mc="http://schemas.openxmlformats.org/markup-compatibility/2006">
      <mc:Choice Requires="x14">
        <oleObject progId="Equation.3" shapeId="15432" r:id="rId12">
          <objectPr defaultSize="0" autoPict="0" r:id="rId9">
            <anchor moveWithCells="1" sizeWithCells="1">
              <from>
                <xdr:col>1</xdr:col>
                <xdr:colOff>38100</xdr:colOff>
                <xdr:row>178</xdr:row>
                <xdr:rowOff>38100</xdr:rowOff>
              </from>
              <to>
                <xdr:col>2</xdr:col>
                <xdr:colOff>885825</xdr:colOff>
                <xdr:row>178</xdr:row>
                <xdr:rowOff>276225</xdr:rowOff>
              </to>
            </anchor>
          </objectPr>
        </oleObject>
      </mc:Choice>
      <mc:Fallback>
        <oleObject progId="Equation.3" shapeId="15432" r:id="rId12"/>
      </mc:Fallback>
    </mc:AlternateContent>
    <mc:AlternateContent xmlns:mc="http://schemas.openxmlformats.org/markup-compatibility/2006">
      <mc:Choice Requires="x14">
        <oleObject progId="Equation.3" shapeId="15434" r:id="rId13">
          <objectPr defaultSize="0" autoPict="0" r:id="rId14">
            <anchor moveWithCells="1" sizeWithCells="1">
              <from>
                <xdr:col>6</xdr:col>
                <xdr:colOff>295275</xdr:colOff>
                <xdr:row>142</xdr:row>
                <xdr:rowOff>28575</xdr:rowOff>
              </from>
              <to>
                <xdr:col>6</xdr:col>
                <xdr:colOff>1438275</xdr:colOff>
                <xdr:row>142</xdr:row>
                <xdr:rowOff>257175</xdr:rowOff>
              </to>
            </anchor>
          </objectPr>
        </oleObject>
      </mc:Choice>
      <mc:Fallback>
        <oleObject progId="Equation.3" shapeId="15434" r:id="rId13"/>
      </mc:Fallback>
    </mc:AlternateContent>
    <mc:AlternateContent xmlns:mc="http://schemas.openxmlformats.org/markup-compatibility/2006">
      <mc:Choice Requires="x14">
        <oleObject progId="Equation.3" shapeId="15449" r:id="rId15">
          <objectPr defaultSize="0" autoPict="0" altText="capital R equals capital N sub capital L over capital N sub lower case b plus capital X sub e x t times summation to capital N sub capital L of lower case e over summation to capital N sub lower case b of lower case x squared" r:id="rId16">
            <anchor moveWithCells="1" sizeWithCells="1">
              <from>
                <xdr:col>5</xdr:col>
                <xdr:colOff>266700</xdr:colOff>
                <xdr:row>214</xdr:row>
                <xdr:rowOff>47625</xdr:rowOff>
              </from>
              <to>
                <xdr:col>5</xdr:col>
                <xdr:colOff>1066800</xdr:colOff>
                <xdr:row>214</xdr:row>
                <xdr:rowOff>266700</xdr:rowOff>
              </to>
            </anchor>
          </objectPr>
        </oleObject>
      </mc:Choice>
      <mc:Fallback>
        <oleObject progId="Equation.3" shapeId="15449" r:id="rId15"/>
      </mc:Fallback>
    </mc:AlternateContent>
    <mc:AlternateContent xmlns:mc="http://schemas.openxmlformats.org/markup-compatibility/2006">
      <mc:Choice Requires="x14">
        <oleObject progId="Equation.3" shapeId="15450" r:id="rId17">
          <objectPr defaultSize="0" autoPict="0" altText="capital R equals capital N sub capital L over capital N sub lower case b plus capital X sub e x t times summation to capital N sub capital L of lower case e over summation to capital N sub lower case b of lower case x squared" r:id="rId18">
            <anchor moveWithCells="1" sizeWithCells="1">
              <from>
                <xdr:col>6</xdr:col>
                <xdr:colOff>457200</xdr:colOff>
                <xdr:row>214</xdr:row>
                <xdr:rowOff>38100</xdr:rowOff>
              </from>
              <to>
                <xdr:col>6</xdr:col>
                <xdr:colOff>1295400</xdr:colOff>
                <xdr:row>214</xdr:row>
                <xdr:rowOff>257175</xdr:rowOff>
              </to>
            </anchor>
          </objectPr>
        </oleObject>
      </mc:Choice>
      <mc:Fallback>
        <oleObject progId="Equation.3" shapeId="15450" r:id="rId17"/>
      </mc:Fallback>
    </mc:AlternateContent>
    <mc:AlternateContent xmlns:mc="http://schemas.openxmlformats.org/markup-compatibility/2006">
      <mc:Choice Requires="x14">
        <oleObject progId="Equation.3" shapeId="15451" r:id="rId19">
          <objectPr defaultSize="0" autoPict="0" altText="capital R equals capital N sub capital L over capital N sub lower case b plus capital X sub e x t times summation to capital N sub capital L of lower case e over summation to capital N sub lower case b of lower case x squared" r:id="rId16">
            <anchor moveWithCells="1" sizeWithCells="1">
              <from>
                <xdr:col>5</xdr:col>
                <xdr:colOff>266700</xdr:colOff>
                <xdr:row>219</xdr:row>
                <xdr:rowOff>47625</xdr:rowOff>
              </from>
              <to>
                <xdr:col>5</xdr:col>
                <xdr:colOff>1066800</xdr:colOff>
                <xdr:row>219</xdr:row>
                <xdr:rowOff>266700</xdr:rowOff>
              </to>
            </anchor>
          </objectPr>
        </oleObject>
      </mc:Choice>
      <mc:Fallback>
        <oleObject progId="Equation.3" shapeId="15451" r:id="rId19"/>
      </mc:Fallback>
    </mc:AlternateContent>
    <mc:AlternateContent xmlns:mc="http://schemas.openxmlformats.org/markup-compatibility/2006">
      <mc:Choice Requires="x14">
        <oleObject progId="Equation.3" shapeId="15452" r:id="rId20">
          <objectPr defaultSize="0" autoPict="0" altText="capital R equals capital N sub capital L over capital N sub lower case b plus capital X sub e x t times summation to capital N sub capital L of lower case e over summation to capital N sub lower case b of lower case x squared" r:id="rId18">
            <anchor moveWithCells="1" sizeWithCells="1">
              <from>
                <xdr:col>6</xdr:col>
                <xdr:colOff>447675</xdr:colOff>
                <xdr:row>219</xdr:row>
                <xdr:rowOff>38100</xdr:rowOff>
              </from>
              <to>
                <xdr:col>6</xdr:col>
                <xdr:colOff>1285875</xdr:colOff>
                <xdr:row>219</xdr:row>
                <xdr:rowOff>257175</xdr:rowOff>
              </to>
            </anchor>
          </objectPr>
        </oleObject>
      </mc:Choice>
      <mc:Fallback>
        <oleObject progId="Equation.3" shapeId="15452" r:id="rId20"/>
      </mc:Fallback>
    </mc:AlternateContent>
    <mc:AlternateContent xmlns:mc="http://schemas.openxmlformats.org/markup-compatibility/2006">
      <mc:Choice Requires="x14">
        <oleObject progId="Equation.3" shapeId="15453" r:id="rId21">
          <objectPr defaultSize="0" autoPict="0" r:id="rId22">
            <anchor moveWithCells="1" sizeWithCells="1">
              <from>
                <xdr:col>7</xdr:col>
                <xdr:colOff>314325</xdr:colOff>
                <xdr:row>214</xdr:row>
                <xdr:rowOff>47625</xdr:rowOff>
              </from>
              <to>
                <xdr:col>7</xdr:col>
                <xdr:colOff>1019175</xdr:colOff>
                <xdr:row>214</xdr:row>
                <xdr:rowOff>266700</xdr:rowOff>
              </to>
            </anchor>
          </objectPr>
        </oleObject>
      </mc:Choice>
      <mc:Fallback>
        <oleObject progId="Equation.3" shapeId="15453" r:id="rId21"/>
      </mc:Fallback>
    </mc:AlternateContent>
    <mc:AlternateContent xmlns:mc="http://schemas.openxmlformats.org/markup-compatibility/2006">
      <mc:Choice Requires="x14">
        <oleObject progId="Equation.3" shapeId="15454" r:id="rId23">
          <objectPr defaultSize="0" autoPict="0" r:id="rId22">
            <anchor moveWithCells="1" sizeWithCells="1">
              <from>
                <xdr:col>7</xdr:col>
                <xdr:colOff>314325</xdr:colOff>
                <xdr:row>219</xdr:row>
                <xdr:rowOff>47625</xdr:rowOff>
              </from>
              <to>
                <xdr:col>7</xdr:col>
                <xdr:colOff>1019175</xdr:colOff>
                <xdr:row>219</xdr:row>
                <xdr:rowOff>266700</xdr:rowOff>
              </to>
            </anchor>
          </objectPr>
        </oleObject>
      </mc:Choice>
      <mc:Fallback>
        <oleObject progId="Equation.3" shapeId="15454" r:id="rId23"/>
      </mc:Fallback>
    </mc:AlternateContent>
    <mc:AlternateContent xmlns:mc="http://schemas.openxmlformats.org/markup-compatibility/2006">
      <mc:Choice Requires="x14">
        <oleObject progId="Equation.3" shapeId="15455" r:id="rId24">
          <objectPr defaultSize="0" autoPict="0" r:id="rId25">
            <anchor moveWithCells="1" sizeWithCells="1">
              <from>
                <xdr:col>1</xdr:col>
                <xdr:colOff>714375</xdr:colOff>
                <xdr:row>178</xdr:row>
                <xdr:rowOff>257175</xdr:rowOff>
              </from>
              <to>
                <xdr:col>2</xdr:col>
                <xdr:colOff>1171575</xdr:colOff>
                <xdr:row>178</xdr:row>
                <xdr:rowOff>495300</xdr:rowOff>
              </to>
            </anchor>
          </objectPr>
        </oleObject>
      </mc:Choice>
      <mc:Fallback>
        <oleObject progId="Equation.3" shapeId="15455" r:id="rId2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0000"/>
  </sheetPr>
  <dimension ref="A1:I86"/>
  <sheetViews>
    <sheetView showGridLines="0" zoomScaleNormal="100" workbookViewId="0">
      <selection activeCell="A6" sqref="A6"/>
    </sheetView>
  </sheetViews>
  <sheetFormatPr defaultColWidth="9.140625" defaultRowHeight="14.25" x14ac:dyDescent="0.2"/>
  <cols>
    <col min="1" max="1" width="32.5703125" style="1" bestFit="1" customWidth="1"/>
    <col min="2" max="9" width="18.85546875" style="1" customWidth="1"/>
    <col min="10" max="16384" width="9.140625" style="1"/>
  </cols>
  <sheetData>
    <row r="1" spans="1:9" ht="58.5" customHeight="1" x14ac:dyDescent="0.2">
      <c r="A1" s="265" t="s">
        <v>260</v>
      </c>
      <c r="B1" s="265"/>
      <c r="C1" s="265"/>
      <c r="D1" s="265"/>
      <c r="E1" s="265"/>
      <c r="F1" s="265"/>
      <c r="G1" s="265"/>
    </row>
    <row r="2" spans="1:9" ht="21" thickBot="1" x14ac:dyDescent="0.25">
      <c r="A2" s="267" t="s">
        <v>47</v>
      </c>
      <c r="B2" s="267"/>
      <c r="C2" s="267"/>
      <c r="D2" s="267"/>
      <c r="E2" s="267"/>
      <c r="F2" s="267"/>
      <c r="G2" s="267"/>
      <c r="H2" s="267"/>
      <c r="I2" s="267"/>
    </row>
    <row r="3" spans="1:9" ht="15" customHeight="1" thickTop="1" x14ac:dyDescent="0.2">
      <c r="A3" s="266" t="s">
        <v>18</v>
      </c>
      <c r="B3" s="266"/>
      <c r="C3" s="266"/>
      <c r="E3" s="13"/>
      <c r="F3" s="13"/>
      <c r="G3" s="13"/>
    </row>
    <row r="4" spans="1:9" ht="15" customHeight="1" x14ac:dyDescent="0.2">
      <c r="A4" s="8"/>
      <c r="B4" s="8"/>
      <c r="C4" s="8"/>
      <c r="E4" s="13"/>
      <c r="F4" s="13"/>
      <c r="G4" s="13"/>
    </row>
    <row r="5" spans="1:9" s="16" customFormat="1" ht="44.25" x14ac:dyDescent="0.3">
      <c r="A5" s="15" t="s">
        <v>50</v>
      </c>
      <c r="B5" s="15" t="s">
        <v>49</v>
      </c>
      <c r="C5" s="15" t="s">
        <v>51</v>
      </c>
      <c r="D5" s="145" t="s">
        <v>70</v>
      </c>
      <c r="E5" s="145" t="s">
        <v>71</v>
      </c>
      <c r="F5" s="145" t="s">
        <v>479</v>
      </c>
      <c r="G5" s="145" t="s">
        <v>474</v>
      </c>
      <c r="H5" s="145" t="s">
        <v>480</v>
      </c>
      <c r="I5" s="146" t="s">
        <v>475</v>
      </c>
    </row>
    <row r="6" spans="1:9" s="4" customFormat="1" x14ac:dyDescent="0.25">
      <c r="A6" s="2">
        <f t="shared" ref="A6:A12" si="0">B6</f>
        <v>0.625</v>
      </c>
      <c r="B6" s="3">
        <f>5/8</f>
        <v>0.625</v>
      </c>
      <c r="C6" s="3">
        <f t="shared" ref="C6:C12" si="1">PI()*B6^2/4</f>
        <v>0.30679615757712825</v>
      </c>
      <c r="D6" s="12">
        <v>19</v>
      </c>
      <c r="E6" s="12">
        <v>24</v>
      </c>
      <c r="F6" s="14">
        <v>0.875</v>
      </c>
      <c r="G6" s="3">
        <f>Table1[[#This Row],[Diameter - Decimal (in)]]+1/16</f>
        <v>0.6875</v>
      </c>
      <c r="H6" s="14">
        <v>0.875</v>
      </c>
      <c r="I6" s="3">
        <f>Table1[[#This Row],[Diameter - Decimal (in)]]+3/16</f>
        <v>0.8125</v>
      </c>
    </row>
    <row r="7" spans="1:9" s="4" customFormat="1" x14ac:dyDescent="0.25">
      <c r="A7" s="2">
        <f t="shared" si="0"/>
        <v>0.75</v>
      </c>
      <c r="B7" s="3">
        <f t="shared" ref="B7:B12" si="2">B6+1/8</f>
        <v>0.75</v>
      </c>
      <c r="C7" s="3">
        <f t="shared" si="1"/>
        <v>0.44178646691106466</v>
      </c>
      <c r="D7" s="12">
        <v>28</v>
      </c>
      <c r="E7" s="12">
        <v>35</v>
      </c>
      <c r="F7" s="14">
        <v>1</v>
      </c>
      <c r="G7" s="3">
        <f>Table1[[#This Row],[Diameter - Decimal (in)]]+1/16</f>
        <v>0.8125</v>
      </c>
      <c r="H7" s="14">
        <v>1</v>
      </c>
      <c r="I7" s="3">
        <f>Table1[[#This Row],[Diameter - Decimal (in)]]+3/16</f>
        <v>0.9375</v>
      </c>
    </row>
    <row r="8" spans="1:9" s="4" customFormat="1" x14ac:dyDescent="0.25">
      <c r="A8" s="2">
        <f t="shared" si="0"/>
        <v>0.875</v>
      </c>
      <c r="B8" s="3">
        <f t="shared" si="2"/>
        <v>0.875</v>
      </c>
      <c r="C8" s="3">
        <f t="shared" si="1"/>
        <v>0.6013204688511713</v>
      </c>
      <c r="D8" s="12">
        <v>39</v>
      </c>
      <c r="E8" s="12">
        <v>49</v>
      </c>
      <c r="F8" s="14">
        <v>1.125</v>
      </c>
      <c r="G8" s="3">
        <f>Table1[[#This Row],[Diameter - Decimal (in)]]+1/16</f>
        <v>0.9375</v>
      </c>
      <c r="H8" s="14">
        <v>1.125</v>
      </c>
      <c r="I8" s="3">
        <f>Table1[[#This Row],[Diameter - Decimal (in)]]+3/16</f>
        <v>1.0625</v>
      </c>
    </row>
    <row r="9" spans="1:9" s="4" customFormat="1" x14ac:dyDescent="0.25">
      <c r="A9" s="2">
        <f t="shared" si="0"/>
        <v>1</v>
      </c>
      <c r="B9" s="3">
        <f t="shared" si="2"/>
        <v>1</v>
      </c>
      <c r="C9" s="3">
        <f t="shared" si="1"/>
        <v>0.78539816339744828</v>
      </c>
      <c r="D9" s="12">
        <v>51</v>
      </c>
      <c r="E9" s="12">
        <v>64</v>
      </c>
      <c r="F9" s="14">
        <v>1.25</v>
      </c>
      <c r="G9" s="3">
        <f>Table1[[#This Row],[Diameter - Decimal (in)]]+2/16</f>
        <v>1.125</v>
      </c>
      <c r="H9" s="14">
        <v>1.25</v>
      </c>
      <c r="I9" s="3">
        <f>Table1[[#This Row],[Diameter - Decimal (in)]]+4/16</f>
        <v>1.25</v>
      </c>
    </row>
    <row r="10" spans="1:9" s="4" customFormat="1" x14ac:dyDescent="0.25">
      <c r="A10" s="2">
        <f t="shared" si="0"/>
        <v>1.125</v>
      </c>
      <c r="B10" s="3">
        <f t="shared" si="2"/>
        <v>1.125</v>
      </c>
      <c r="C10" s="3">
        <f t="shared" si="1"/>
        <v>0.99401955054989544</v>
      </c>
      <c r="D10" s="12">
        <v>64</v>
      </c>
      <c r="E10" s="12">
        <v>80</v>
      </c>
      <c r="F10" s="14">
        <v>1.5</v>
      </c>
      <c r="G10" s="3">
        <f>Table1[[#This Row],[Diameter - Decimal (in)]]+2/16</f>
        <v>1.25</v>
      </c>
      <c r="H10" s="14">
        <v>1.5</v>
      </c>
      <c r="I10" s="3">
        <f>Table1[[#This Row],[Diameter - Decimal (in)]]+5/16</f>
        <v>1.4375</v>
      </c>
    </row>
    <row r="11" spans="1:9" s="4" customFormat="1" x14ac:dyDescent="0.25">
      <c r="A11" s="2">
        <f t="shared" si="0"/>
        <v>1.25</v>
      </c>
      <c r="B11" s="3">
        <f t="shared" si="2"/>
        <v>1.25</v>
      </c>
      <c r="C11" s="3">
        <f t="shared" si="1"/>
        <v>1.227184630308513</v>
      </c>
      <c r="D11" s="12">
        <v>81</v>
      </c>
      <c r="E11" s="12">
        <v>102</v>
      </c>
      <c r="F11" s="14">
        <v>1.625</v>
      </c>
      <c r="G11" s="3">
        <f>Table1[[#This Row],[Diameter - Decimal (in)]]+2/16</f>
        <v>1.375</v>
      </c>
      <c r="H11" s="14">
        <v>1.625</v>
      </c>
      <c r="I11" s="3">
        <f>Table1[[#This Row],[Diameter - Decimal (in)]]+5/16</f>
        <v>1.5625</v>
      </c>
    </row>
    <row r="12" spans="1:9" s="4" customFormat="1" x14ac:dyDescent="0.25">
      <c r="A12" s="2">
        <f t="shared" si="0"/>
        <v>1.375</v>
      </c>
      <c r="B12" s="3">
        <f t="shared" si="2"/>
        <v>1.375</v>
      </c>
      <c r="C12" s="3">
        <f t="shared" si="1"/>
        <v>1.4848934026733007</v>
      </c>
      <c r="D12" s="12">
        <v>97</v>
      </c>
      <c r="E12" s="12">
        <v>121</v>
      </c>
      <c r="F12" s="48">
        <f>1.25*Table1[[#This Row],[Diameter - Fraction (in)]]</f>
        <v>1.71875</v>
      </c>
      <c r="G12" s="3">
        <f>Table1[[#This Row],[Diameter - Decimal (in)]]+2/16</f>
        <v>1.5</v>
      </c>
      <c r="H12" s="48">
        <f>1.25*Table1[[#This Row],[Diameter - Fraction (in)]]</f>
        <v>1.71875</v>
      </c>
      <c r="I12" s="3">
        <f>Table1[[#This Row],[Diameter - Decimal (in)]]+5/16</f>
        <v>1.6875</v>
      </c>
    </row>
    <row r="13" spans="1:9" s="4" customFormat="1" x14ac:dyDescent="0.2">
      <c r="A13" s="1"/>
      <c r="B13" s="1"/>
      <c r="C13" s="1"/>
      <c r="D13" s="1"/>
      <c r="E13" s="1"/>
      <c r="F13" s="1"/>
      <c r="G13" s="1"/>
    </row>
    <row r="14" spans="1:9" s="4" customFormat="1" x14ac:dyDescent="0.2">
      <c r="A14" s="266" t="s">
        <v>261</v>
      </c>
      <c r="B14" s="266"/>
      <c r="C14" s="266"/>
      <c r="D14" s="1"/>
      <c r="E14" s="1"/>
      <c r="F14" s="1"/>
      <c r="G14" s="1"/>
    </row>
    <row r="15" spans="1:9" s="4" customFormat="1" x14ac:dyDescent="0.2">
      <c r="A15" s="1"/>
      <c r="B15" s="1"/>
      <c r="C15" s="1"/>
      <c r="D15" s="1"/>
      <c r="E15" s="1"/>
      <c r="F15" s="1"/>
      <c r="G15" s="1"/>
    </row>
    <row r="16" spans="1:9" s="10" customFormat="1" ht="28.5" x14ac:dyDescent="0.2">
      <c r="A16" s="15" t="s">
        <v>50</v>
      </c>
      <c r="B16" s="15" t="s">
        <v>49</v>
      </c>
      <c r="C16" s="15" t="s">
        <v>189</v>
      </c>
      <c r="D16" s="15" t="s">
        <v>190</v>
      </c>
      <c r="E16" s="15" t="s">
        <v>191</v>
      </c>
      <c r="F16" s="15" t="s">
        <v>192</v>
      </c>
      <c r="G16" s="15" t="s">
        <v>193</v>
      </c>
    </row>
    <row r="17" spans="1:7" s="4" customFormat="1" ht="15" x14ac:dyDescent="0.25">
      <c r="A17" s="78">
        <f t="shared" ref="A17:A23" si="3">B17</f>
        <v>0.625</v>
      </c>
      <c r="B17" s="3">
        <v>0.625</v>
      </c>
      <c r="C17" s="48">
        <v>2.125</v>
      </c>
      <c r="D17" s="48">
        <v>0.390625</v>
      </c>
      <c r="E17" s="48">
        <v>1.25</v>
      </c>
      <c r="F17" s="48">
        <v>1.1875</v>
      </c>
      <c r="G17" s="48">
        <v>0.6875</v>
      </c>
    </row>
    <row r="18" spans="1:7" s="4" customFormat="1" ht="15" x14ac:dyDescent="0.25">
      <c r="A18" s="78">
        <f t="shared" si="3"/>
        <v>0.75</v>
      </c>
      <c r="B18" s="3">
        <v>0.75</v>
      </c>
      <c r="C18" s="48">
        <v>2.125</v>
      </c>
      <c r="D18" s="48">
        <v>0.46875</v>
      </c>
      <c r="E18" s="48">
        <v>1.375</v>
      </c>
      <c r="F18" s="48">
        <v>1.1875</v>
      </c>
      <c r="G18" s="48">
        <v>0.75</v>
      </c>
    </row>
    <row r="19" spans="1:7" s="4" customFormat="1" ht="15" x14ac:dyDescent="0.25">
      <c r="A19" s="78">
        <f t="shared" si="3"/>
        <v>0.875</v>
      </c>
      <c r="B19" s="3">
        <v>0.875</v>
      </c>
      <c r="C19" s="48">
        <v>2.25</v>
      </c>
      <c r="D19" s="48">
        <v>0.546875</v>
      </c>
      <c r="E19" s="48">
        <v>1.5</v>
      </c>
      <c r="F19" s="48">
        <v>1.25</v>
      </c>
      <c r="G19" s="48">
        <v>0.875</v>
      </c>
    </row>
    <row r="20" spans="1:7" s="4" customFormat="1" ht="15" x14ac:dyDescent="0.25">
      <c r="A20" s="78">
        <f t="shared" si="3"/>
        <v>1</v>
      </c>
      <c r="B20" s="3">
        <v>1</v>
      </c>
      <c r="C20" s="48">
        <v>2.5</v>
      </c>
      <c r="D20" s="48">
        <v>0.609375</v>
      </c>
      <c r="E20" s="48">
        <v>1.75</v>
      </c>
      <c r="F20" s="48">
        <v>1.375</v>
      </c>
      <c r="G20" s="48">
        <v>0.9375</v>
      </c>
    </row>
    <row r="21" spans="1:7" s="4" customFormat="1" ht="15" x14ac:dyDescent="0.25">
      <c r="A21" s="78">
        <f t="shared" si="3"/>
        <v>1.125</v>
      </c>
      <c r="B21" s="3">
        <v>1.125</v>
      </c>
      <c r="C21" s="48">
        <v>2.75</v>
      </c>
      <c r="D21" s="48">
        <v>0.6875</v>
      </c>
      <c r="E21" s="48">
        <v>2</v>
      </c>
      <c r="F21" s="48">
        <v>1.5</v>
      </c>
      <c r="G21" s="48">
        <v>1.0625</v>
      </c>
    </row>
    <row r="22" spans="1:7" s="4" customFormat="1" ht="15" x14ac:dyDescent="0.25">
      <c r="A22" s="78">
        <f t="shared" si="3"/>
        <v>1.25</v>
      </c>
      <c r="B22" s="3">
        <v>1.25</v>
      </c>
      <c r="C22" s="48">
        <v>3.375</v>
      </c>
      <c r="D22" s="48">
        <v>0.78125</v>
      </c>
      <c r="E22" s="48">
        <v>2</v>
      </c>
      <c r="F22" s="48">
        <v>1.8125</v>
      </c>
      <c r="G22" s="48">
        <v>1.125</v>
      </c>
    </row>
    <row r="23" spans="1:7" s="4" customFormat="1" ht="15" x14ac:dyDescent="0.25">
      <c r="A23" s="78">
        <f t="shared" si="3"/>
        <v>1.375</v>
      </c>
      <c r="B23" s="3">
        <v>1.375</v>
      </c>
      <c r="C23" s="48">
        <v>3.5</v>
      </c>
      <c r="D23" s="48">
        <f>27/32</f>
        <v>0.84375</v>
      </c>
      <c r="E23" s="48">
        <v>2.25</v>
      </c>
      <c r="F23" s="48">
        <v>1.875</v>
      </c>
      <c r="G23" s="48">
        <v>1.25</v>
      </c>
    </row>
    <row r="24" spans="1:7" s="4" customFormat="1" x14ac:dyDescent="0.2">
      <c r="A24" s="1"/>
      <c r="B24" s="1"/>
      <c r="C24" s="1"/>
      <c r="D24" s="1"/>
      <c r="E24" s="1"/>
      <c r="F24" s="1"/>
      <c r="G24" s="1"/>
    </row>
    <row r="25" spans="1:7" s="4" customFormat="1" x14ac:dyDescent="0.2">
      <c r="A25" s="266" t="s">
        <v>89</v>
      </c>
      <c r="B25" s="266"/>
      <c r="C25" s="266"/>
      <c r="D25" s="1"/>
      <c r="E25" s="1"/>
      <c r="F25" s="1"/>
      <c r="G25" s="1"/>
    </row>
    <row r="26" spans="1:7" s="4" customFormat="1" x14ac:dyDescent="0.2">
      <c r="A26" s="8"/>
      <c r="B26" s="8"/>
      <c r="C26" s="8"/>
      <c r="D26" s="1"/>
      <c r="E26" s="1"/>
      <c r="F26" s="1"/>
      <c r="G26" s="1"/>
    </row>
    <row r="27" spans="1:7" s="4" customFormat="1" ht="17.25" x14ac:dyDescent="0.3">
      <c r="A27" s="6" t="s">
        <v>90</v>
      </c>
      <c r="B27" s="6" t="s">
        <v>61</v>
      </c>
      <c r="C27" s="1"/>
      <c r="D27" s="1"/>
      <c r="E27" s="1"/>
      <c r="F27" s="1"/>
      <c r="G27" s="1"/>
    </row>
    <row r="28" spans="1:7" s="4" customFormat="1" x14ac:dyDescent="0.2">
      <c r="A28" s="1" t="s">
        <v>24</v>
      </c>
      <c r="B28" s="5">
        <v>120</v>
      </c>
      <c r="C28" s="1"/>
      <c r="D28" s="1"/>
      <c r="E28" s="1"/>
      <c r="F28" s="1"/>
      <c r="G28" s="1"/>
    </row>
    <row r="29" spans="1:7" s="4" customFormat="1" x14ac:dyDescent="0.2">
      <c r="A29" s="1" t="s">
        <v>25</v>
      </c>
      <c r="B29" s="5">
        <v>150</v>
      </c>
      <c r="C29" s="1"/>
      <c r="D29" s="1"/>
      <c r="E29" s="1"/>
      <c r="F29" s="1"/>
      <c r="G29" s="1"/>
    </row>
    <row r="30" spans="1:7" s="4" customFormat="1" x14ac:dyDescent="0.2">
      <c r="A30" s="1"/>
      <c r="B30" s="1"/>
      <c r="C30" s="1"/>
      <c r="D30" s="1"/>
      <c r="E30" s="1"/>
      <c r="F30" s="1"/>
      <c r="G30" s="1"/>
    </row>
    <row r="31" spans="1:7" x14ac:dyDescent="0.2">
      <c r="A31" s="266" t="s">
        <v>55</v>
      </c>
      <c r="B31" s="266"/>
      <c r="C31" s="266"/>
    </row>
    <row r="32" spans="1:7" x14ac:dyDescent="0.2">
      <c r="A32" s="8"/>
      <c r="B32" s="8"/>
      <c r="C32" s="8"/>
    </row>
    <row r="33" spans="1:5" ht="18" thickBot="1" x14ac:dyDescent="0.35">
      <c r="A33" s="6" t="s">
        <v>48</v>
      </c>
      <c r="B33" s="6" t="s">
        <v>60</v>
      </c>
      <c r="C33" s="6" t="s">
        <v>61</v>
      </c>
      <c r="D33" s="9" t="s">
        <v>81</v>
      </c>
      <c r="E33" s="20" t="s">
        <v>104</v>
      </c>
    </row>
    <row r="34" spans="1:5" ht="15.95" customHeight="1" x14ac:dyDescent="0.2">
      <c r="A34" s="1" t="s">
        <v>31</v>
      </c>
      <c r="B34" s="5">
        <v>36</v>
      </c>
      <c r="C34" s="5">
        <v>58</v>
      </c>
      <c r="D34" s="11">
        <f>0.84*(Table2[[#This Row],[Fu (ksi)]]/Table2[[#This Row],[Fy (ksi)]])</f>
        <v>1.3533333333333333</v>
      </c>
      <c r="E34" s="21">
        <v>29000</v>
      </c>
    </row>
    <row r="35" spans="1:5" x14ac:dyDescent="0.2">
      <c r="A35" s="1" t="s">
        <v>32</v>
      </c>
      <c r="B35" s="5">
        <v>50</v>
      </c>
      <c r="C35" s="5">
        <v>65</v>
      </c>
      <c r="D35" s="11">
        <f>0.84*(Table2[[#This Row],[Fu (ksi)]]/Table2[[#This Row],[Fy (ksi)]])</f>
        <v>1.0920000000000001</v>
      </c>
      <c r="E35" s="21">
        <v>29000</v>
      </c>
    </row>
    <row r="36" spans="1:5" x14ac:dyDescent="0.2">
      <c r="A36" s="164" t="s">
        <v>528</v>
      </c>
      <c r="B36" s="165">
        <v>50</v>
      </c>
      <c r="C36" s="165">
        <v>70</v>
      </c>
      <c r="D36" s="166">
        <f>0.84*(Table2[[#This Row],[Fu (ksi)]]/Table2[[#This Row],[Fy (ksi)]])</f>
        <v>1.1759999999999999</v>
      </c>
      <c r="E36" s="167">
        <v>29000</v>
      </c>
    </row>
    <row r="37" spans="1:5" x14ac:dyDescent="0.2">
      <c r="A37" s="1" t="s">
        <v>33</v>
      </c>
      <c r="B37" s="5">
        <v>50</v>
      </c>
      <c r="C37" s="5">
        <v>70</v>
      </c>
      <c r="D37" s="11">
        <f>0.84*(Table2[[#This Row],[Fu (ksi)]]/Table2[[#This Row],[Fy (ksi)]])</f>
        <v>1.1759999999999999</v>
      </c>
      <c r="E37" s="21">
        <v>29000</v>
      </c>
    </row>
    <row r="38" spans="1:5" x14ac:dyDescent="0.2">
      <c r="A38" s="1" t="s">
        <v>36</v>
      </c>
      <c r="B38" s="5">
        <v>100</v>
      </c>
      <c r="C38" s="5">
        <v>110</v>
      </c>
      <c r="D38" s="11">
        <f>0.84*(Table2[[#This Row],[Fu (ksi)]]/Table2[[#This Row],[Fy (ksi)]])</f>
        <v>0.92400000000000004</v>
      </c>
      <c r="E38" s="21">
        <v>29000</v>
      </c>
    </row>
    <row r="39" spans="1:5" x14ac:dyDescent="0.2">
      <c r="A39" s="1" t="s">
        <v>34</v>
      </c>
      <c r="B39" s="5">
        <v>50</v>
      </c>
      <c r="C39" s="5">
        <v>70</v>
      </c>
      <c r="D39" s="11">
        <f>0.84*(Table2[[#This Row],[Fu (ksi)]]/Table2[[#This Row],[Fy (ksi)]])</f>
        <v>1.1759999999999999</v>
      </c>
      <c r="E39" s="21">
        <v>29000</v>
      </c>
    </row>
    <row r="40" spans="1:5" x14ac:dyDescent="0.2">
      <c r="A40" s="1" t="s">
        <v>35</v>
      </c>
      <c r="B40" s="5">
        <v>70</v>
      </c>
      <c r="C40" s="5">
        <v>85</v>
      </c>
      <c r="D40" s="11">
        <f>0.84*(Table2[[#This Row],[Fu (ksi)]]/Table2[[#This Row],[Fy (ksi)]])</f>
        <v>1.0199999999999998</v>
      </c>
      <c r="E40" s="21">
        <v>29000</v>
      </c>
    </row>
    <row r="42" spans="1:5" x14ac:dyDescent="0.2">
      <c r="A42" s="266" t="s">
        <v>88</v>
      </c>
      <c r="B42" s="266"/>
      <c r="C42" s="266"/>
    </row>
    <row r="43" spans="1:5" x14ac:dyDescent="0.2">
      <c r="A43" s="8"/>
      <c r="B43" s="8"/>
      <c r="C43" s="8"/>
    </row>
    <row r="44" spans="1:5" ht="17.25" x14ac:dyDescent="0.3">
      <c r="A44" s="6" t="s">
        <v>58</v>
      </c>
      <c r="B44" s="6" t="s">
        <v>59</v>
      </c>
    </row>
    <row r="45" spans="1:5" x14ac:dyDescent="0.2">
      <c r="A45" s="1" t="s">
        <v>27</v>
      </c>
      <c r="B45" s="7">
        <v>0.3</v>
      </c>
    </row>
    <row r="46" spans="1:5" x14ac:dyDescent="0.2">
      <c r="A46" s="1" t="s">
        <v>28</v>
      </c>
      <c r="B46" s="7">
        <v>0.5</v>
      </c>
    </row>
    <row r="47" spans="1:5" x14ac:dyDescent="0.2">
      <c r="A47" s="1" t="s">
        <v>29</v>
      </c>
      <c r="B47" s="7">
        <v>0.3</v>
      </c>
    </row>
    <row r="48" spans="1:5" x14ac:dyDescent="0.2">
      <c r="A48" s="1" t="s">
        <v>120</v>
      </c>
      <c r="B48" s="7">
        <v>0.45</v>
      </c>
    </row>
    <row r="49" spans="1:3" x14ac:dyDescent="0.2">
      <c r="A49" s="1" t="s">
        <v>30</v>
      </c>
      <c r="B49" s="7">
        <f>otherFayingSurfaceClass</f>
        <v>0.69</v>
      </c>
    </row>
    <row r="51" spans="1:3" x14ac:dyDescent="0.2">
      <c r="A51" s="266" t="s">
        <v>87</v>
      </c>
      <c r="B51" s="266"/>
      <c r="C51" s="266"/>
    </row>
    <row r="52" spans="1:3" x14ac:dyDescent="0.2">
      <c r="A52" s="8"/>
      <c r="B52" s="8"/>
      <c r="C52" s="8"/>
    </row>
    <row r="53" spans="1:3" ht="17.25" x14ac:dyDescent="0.3">
      <c r="A53" s="6" t="s">
        <v>77</v>
      </c>
      <c r="B53" s="6" t="s">
        <v>73</v>
      </c>
    </row>
    <row r="54" spans="1:3" x14ac:dyDescent="0.2">
      <c r="A54" s="1" t="s">
        <v>80</v>
      </c>
      <c r="B54" s="7">
        <v>0.6</v>
      </c>
    </row>
    <row r="55" spans="1:3" x14ac:dyDescent="0.2">
      <c r="A55" s="1" t="s">
        <v>79</v>
      </c>
      <c r="B55" s="7">
        <v>0.7</v>
      </c>
    </row>
    <row r="56" spans="1:3" x14ac:dyDescent="0.2">
      <c r="A56" s="1" t="s">
        <v>476</v>
      </c>
      <c r="B56" s="7">
        <v>0.85</v>
      </c>
    </row>
    <row r="57" spans="1:3" x14ac:dyDescent="0.2">
      <c r="A57" s="1" t="s">
        <v>78</v>
      </c>
      <c r="B57" s="7">
        <v>1</v>
      </c>
    </row>
    <row r="59" spans="1:3" x14ac:dyDescent="0.2">
      <c r="A59" s="266" t="s">
        <v>86</v>
      </c>
      <c r="B59" s="266"/>
      <c r="C59" s="266"/>
    </row>
    <row r="61" spans="1:3" x14ac:dyDescent="0.2">
      <c r="A61" s="6" t="s">
        <v>83</v>
      </c>
      <c r="B61" s="6" t="s">
        <v>82</v>
      </c>
    </row>
    <row r="62" spans="1:3" ht="17.25" customHeight="1" x14ac:dyDescent="0.35">
      <c r="A62" s="17" t="s">
        <v>317</v>
      </c>
      <c r="B62" s="88">
        <v>0.8</v>
      </c>
    </row>
    <row r="63" spans="1:3" ht="17.25" customHeight="1" x14ac:dyDescent="0.35">
      <c r="A63" s="17" t="s">
        <v>210</v>
      </c>
      <c r="B63" s="11">
        <v>0.8</v>
      </c>
    </row>
    <row r="64" spans="1:3" ht="17.25" customHeight="1" x14ac:dyDescent="0.35">
      <c r="A64" s="17" t="s">
        <v>161</v>
      </c>
      <c r="B64" s="11">
        <v>0.95</v>
      </c>
    </row>
    <row r="65" spans="1:3" ht="18" customHeight="1" x14ac:dyDescent="0.35">
      <c r="A65" s="17" t="s">
        <v>263</v>
      </c>
      <c r="B65" s="11">
        <v>0.8</v>
      </c>
    </row>
    <row r="66" spans="1:3" ht="18" customHeight="1" x14ac:dyDescent="0.3">
      <c r="A66" s="17" t="s">
        <v>84</v>
      </c>
      <c r="B66" s="11">
        <v>0.8</v>
      </c>
    </row>
    <row r="67" spans="1:3" ht="18" customHeight="1" x14ac:dyDescent="0.35">
      <c r="A67" s="89" t="s">
        <v>262</v>
      </c>
      <c r="B67" s="88">
        <v>1</v>
      </c>
    </row>
    <row r="68" spans="1:3" ht="18" customHeight="1" x14ac:dyDescent="0.35">
      <c r="A68" s="17" t="s">
        <v>264</v>
      </c>
      <c r="B68" s="11">
        <v>0.8</v>
      </c>
    </row>
    <row r="69" spans="1:3" ht="18" customHeight="1" x14ac:dyDescent="0.3">
      <c r="A69" s="17" t="s">
        <v>85</v>
      </c>
      <c r="B69" s="11">
        <v>0.95</v>
      </c>
    </row>
    <row r="71" spans="1:3" x14ac:dyDescent="0.2">
      <c r="A71" s="266" t="s">
        <v>154</v>
      </c>
      <c r="B71" s="266"/>
      <c r="C71" s="266"/>
    </row>
    <row r="73" spans="1:3" ht="17.25" x14ac:dyDescent="0.3">
      <c r="A73" s="6" t="s">
        <v>83</v>
      </c>
      <c r="B73" s="6" t="s">
        <v>155</v>
      </c>
    </row>
    <row r="74" spans="1:3" ht="15" x14ac:dyDescent="0.25">
      <c r="A74" t="s">
        <v>152</v>
      </c>
      <c r="B74" s="11">
        <v>1</v>
      </c>
    </row>
    <row r="75" spans="1:3" ht="15" x14ac:dyDescent="0.25">
      <c r="A75" t="s">
        <v>151</v>
      </c>
      <c r="B75" s="11">
        <v>0.9</v>
      </c>
    </row>
    <row r="76" spans="1:3" x14ac:dyDescent="0.2">
      <c r="A76" s="1" t="s">
        <v>153</v>
      </c>
      <c r="B76" s="11">
        <v>1</v>
      </c>
    </row>
    <row r="78" spans="1:3" x14ac:dyDescent="0.2">
      <c r="A78" s="266" t="s">
        <v>157</v>
      </c>
      <c r="B78" s="266"/>
      <c r="C78" s="266"/>
    </row>
    <row r="80" spans="1:3" ht="17.25" x14ac:dyDescent="0.3">
      <c r="A80" s="6" t="s">
        <v>83</v>
      </c>
      <c r="B80" s="6" t="s">
        <v>211</v>
      </c>
    </row>
    <row r="81" spans="1:2" ht="15" x14ac:dyDescent="0.25">
      <c r="A81" t="s">
        <v>156</v>
      </c>
      <c r="B81" s="11">
        <v>1</v>
      </c>
    </row>
    <row r="84" spans="1:2" x14ac:dyDescent="0.2">
      <c r="A84" s="1" t="s">
        <v>388</v>
      </c>
      <c r="B84" s="136">
        <v>3.16</v>
      </c>
    </row>
    <row r="85" spans="1:2" x14ac:dyDescent="0.2">
      <c r="A85" s="1" t="s">
        <v>390</v>
      </c>
      <c r="B85" s="133">
        <v>45359</v>
      </c>
    </row>
    <row r="86" spans="1:2" x14ac:dyDescent="0.2">
      <c r="A86" s="1" t="s">
        <v>389</v>
      </c>
      <c r="B86" s="1" t="s">
        <v>391</v>
      </c>
    </row>
  </sheetData>
  <sheetProtection sheet="1" objects="1" scenarios="1"/>
  <dataConsolidate/>
  <mergeCells count="11">
    <mergeCell ref="A71:C71"/>
    <mergeCell ref="A78:C78"/>
    <mergeCell ref="A51:C51"/>
    <mergeCell ref="A59:C59"/>
    <mergeCell ref="A25:C25"/>
    <mergeCell ref="A42:C42"/>
    <mergeCell ref="A1:G1"/>
    <mergeCell ref="A3:C3"/>
    <mergeCell ref="A31:C31"/>
    <mergeCell ref="A14:C14"/>
    <mergeCell ref="A2:I2"/>
  </mergeCells>
  <pageMargins left="0.7" right="0.7" top="0.75" bottom="0.75" header="0.3" footer="0.3"/>
  <pageSetup scale="49" orientation="landscape" horizontalDpi="4294967293" verticalDpi="4294967293" r:id="rId1"/>
  <headerFooter>
    <oddFooter>&amp;LNational Steel Bridge Alliance&amp;Cv3.15&amp;R&amp;P of &amp;N</oddFooter>
  </headerFooter>
  <rowBreaks count="1" manualBreakCount="1">
    <brk id="50" max="16383" man="1"/>
  </rowBreaks>
  <ignoredErrors>
    <ignoredError sqref="G9:G12 B6 I9 I10:I12" calculatedColumn="1"/>
  </ignoredErrors>
  <drawing r:id="rId2"/>
  <legacyDrawing r:id="rId3"/>
  <tableParts count="9">
    <tablePart r:id="rId4"/>
    <tablePart r:id="rId5"/>
    <tablePart r:id="rId6"/>
    <tablePart r:id="rId7"/>
    <tablePart r:id="rId8"/>
    <tablePart r:id="rId9"/>
    <tablePart r:id="rId10"/>
    <tablePart r:id="rId11"/>
    <tablePart r:id="rId1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0000"/>
  </sheetPr>
  <dimension ref="A1:M63"/>
  <sheetViews>
    <sheetView topLeftCell="B1" workbookViewId="0">
      <selection activeCell="M4" sqref="M4"/>
    </sheetView>
  </sheetViews>
  <sheetFormatPr defaultRowHeight="15" x14ac:dyDescent="0.25"/>
  <cols>
    <col min="1" max="2" width="15.140625" bestFit="1" customWidth="1"/>
    <col min="3" max="3" width="8.5703125" bestFit="1" customWidth="1"/>
    <col min="4" max="4" width="12.140625" bestFit="1" customWidth="1"/>
    <col min="5" max="5" width="17.5703125" bestFit="1" customWidth="1"/>
    <col min="6" max="6" width="14.85546875" bestFit="1" customWidth="1"/>
    <col min="7" max="7" width="30.140625" bestFit="1" customWidth="1"/>
    <col min="8" max="8" width="28.85546875" bestFit="1" customWidth="1"/>
    <col min="9" max="9" width="13.42578125" bestFit="1" customWidth="1"/>
    <col min="10" max="10" width="14.85546875" bestFit="1" customWidth="1"/>
    <col min="11" max="11" width="20.42578125" bestFit="1" customWidth="1"/>
    <col min="12" max="13" width="13.85546875" bestFit="1" customWidth="1"/>
  </cols>
  <sheetData>
    <row r="1" spans="1:13" x14ac:dyDescent="0.25">
      <c r="A1" t="s">
        <v>52</v>
      </c>
      <c r="B1" t="s">
        <v>53</v>
      </c>
      <c r="C1" t="s">
        <v>19</v>
      </c>
      <c r="D1" t="s">
        <v>54</v>
      </c>
      <c r="E1" t="s">
        <v>26</v>
      </c>
      <c r="F1" t="s">
        <v>55</v>
      </c>
      <c r="G1" t="s">
        <v>76</v>
      </c>
      <c r="H1" t="s">
        <v>159</v>
      </c>
      <c r="I1" t="s">
        <v>177</v>
      </c>
      <c r="J1" t="s">
        <v>450</v>
      </c>
      <c r="K1" t="s">
        <v>498</v>
      </c>
      <c r="L1" t="s">
        <v>531</v>
      </c>
      <c r="M1" t="s">
        <v>534</v>
      </c>
    </row>
    <row r="2" spans="1:13" x14ac:dyDescent="0.25">
      <c r="A2" t="s">
        <v>15</v>
      </c>
      <c r="B2" t="s">
        <v>21</v>
      </c>
      <c r="C2" t="s">
        <v>24</v>
      </c>
      <c r="D2" s="49">
        <v>0.625</v>
      </c>
      <c r="E2" t="s">
        <v>27</v>
      </c>
      <c r="F2" t="s">
        <v>31</v>
      </c>
      <c r="G2" t="s">
        <v>78</v>
      </c>
      <c r="H2" t="s">
        <v>151</v>
      </c>
      <c r="I2" s="50">
        <v>0.1875</v>
      </c>
      <c r="J2" t="s">
        <v>451</v>
      </c>
      <c r="K2" t="s">
        <v>502</v>
      </c>
      <c r="L2" t="s">
        <v>532</v>
      </c>
      <c r="M2" t="s">
        <v>535</v>
      </c>
    </row>
    <row r="3" spans="1:13" x14ac:dyDescent="0.25">
      <c r="A3" t="s">
        <v>37</v>
      </c>
      <c r="B3" t="s">
        <v>22</v>
      </c>
      <c r="C3" t="s">
        <v>25</v>
      </c>
      <c r="D3" s="49">
        <v>0.75</v>
      </c>
      <c r="E3" t="s">
        <v>28</v>
      </c>
      <c r="F3" t="s">
        <v>32</v>
      </c>
      <c r="G3" t="s">
        <v>476</v>
      </c>
      <c r="H3" t="s">
        <v>152</v>
      </c>
      <c r="I3" s="50">
        <f>I2+1/16</f>
        <v>0.25</v>
      </c>
      <c r="J3" t="s">
        <v>452</v>
      </c>
      <c r="K3" t="s">
        <v>504</v>
      </c>
      <c r="L3" t="s">
        <v>533</v>
      </c>
      <c r="M3" t="s">
        <v>527</v>
      </c>
    </row>
    <row r="4" spans="1:13" x14ac:dyDescent="0.25">
      <c r="D4" s="49">
        <v>0.875</v>
      </c>
      <c r="E4" t="s">
        <v>29</v>
      </c>
      <c r="F4" t="s">
        <v>33</v>
      </c>
      <c r="G4" t="s">
        <v>477</v>
      </c>
      <c r="H4" t="s">
        <v>153</v>
      </c>
      <c r="I4" s="50">
        <f t="shared" ref="I4:I31" si="0">I3+1/16</f>
        <v>0.3125</v>
      </c>
      <c r="J4" t="s">
        <v>453</v>
      </c>
      <c r="M4" t="s">
        <v>536</v>
      </c>
    </row>
    <row r="5" spans="1:13" x14ac:dyDescent="0.25">
      <c r="D5" s="49">
        <v>1</v>
      </c>
      <c r="E5" t="s">
        <v>120</v>
      </c>
      <c r="F5" t="s">
        <v>528</v>
      </c>
      <c r="G5" t="s">
        <v>478</v>
      </c>
      <c r="I5" s="50">
        <f t="shared" si="0"/>
        <v>0.375</v>
      </c>
    </row>
    <row r="6" spans="1:13" x14ac:dyDescent="0.25">
      <c r="D6" s="49">
        <v>1.125</v>
      </c>
      <c r="E6" t="s">
        <v>30</v>
      </c>
      <c r="F6" t="s">
        <v>34</v>
      </c>
      <c r="G6" t="s">
        <v>79</v>
      </c>
      <c r="I6" s="50">
        <f t="shared" si="0"/>
        <v>0.4375</v>
      </c>
    </row>
    <row r="7" spans="1:13" x14ac:dyDescent="0.25">
      <c r="D7" s="49">
        <v>1.25</v>
      </c>
      <c r="F7" t="s">
        <v>35</v>
      </c>
      <c r="G7" t="s">
        <v>80</v>
      </c>
      <c r="I7" s="50">
        <f t="shared" si="0"/>
        <v>0.5</v>
      </c>
    </row>
    <row r="8" spans="1:13" x14ac:dyDescent="0.25">
      <c r="D8" s="49">
        <v>1.375</v>
      </c>
      <c r="F8" t="s">
        <v>36</v>
      </c>
      <c r="I8" s="50">
        <f t="shared" si="0"/>
        <v>0.5625</v>
      </c>
    </row>
    <row r="9" spans="1:13" x14ac:dyDescent="0.25">
      <c r="I9" s="50">
        <f t="shared" si="0"/>
        <v>0.625</v>
      </c>
    </row>
    <row r="10" spans="1:13" x14ac:dyDescent="0.25">
      <c r="I10" s="50">
        <f t="shared" si="0"/>
        <v>0.6875</v>
      </c>
    </row>
    <row r="11" spans="1:13" x14ac:dyDescent="0.25">
      <c r="I11" s="50">
        <f t="shared" si="0"/>
        <v>0.75</v>
      </c>
    </row>
    <row r="12" spans="1:13" x14ac:dyDescent="0.25">
      <c r="I12" s="50">
        <f t="shared" si="0"/>
        <v>0.8125</v>
      </c>
    </row>
    <row r="13" spans="1:13" x14ac:dyDescent="0.25">
      <c r="I13" s="50">
        <f t="shared" si="0"/>
        <v>0.875</v>
      </c>
    </row>
    <row r="14" spans="1:13" x14ac:dyDescent="0.25">
      <c r="I14" s="50">
        <f t="shared" si="0"/>
        <v>0.9375</v>
      </c>
    </row>
    <row r="15" spans="1:13" x14ac:dyDescent="0.25">
      <c r="I15" s="50">
        <f t="shared" si="0"/>
        <v>1</v>
      </c>
    </row>
    <row r="16" spans="1:13" x14ac:dyDescent="0.25">
      <c r="I16" s="50">
        <f t="shared" si="0"/>
        <v>1.0625</v>
      </c>
    </row>
    <row r="17" spans="9:9" x14ac:dyDescent="0.25">
      <c r="I17" s="50">
        <f t="shared" si="0"/>
        <v>1.125</v>
      </c>
    </row>
    <row r="18" spans="9:9" x14ac:dyDescent="0.25">
      <c r="I18" s="50">
        <f t="shared" si="0"/>
        <v>1.1875</v>
      </c>
    </row>
    <row r="19" spans="9:9" x14ac:dyDescent="0.25">
      <c r="I19" s="50">
        <f t="shared" si="0"/>
        <v>1.25</v>
      </c>
    </row>
    <row r="20" spans="9:9" x14ac:dyDescent="0.25">
      <c r="I20" s="50">
        <f t="shared" si="0"/>
        <v>1.3125</v>
      </c>
    </row>
    <row r="21" spans="9:9" x14ac:dyDescent="0.25">
      <c r="I21" s="50">
        <f t="shared" si="0"/>
        <v>1.375</v>
      </c>
    </row>
    <row r="22" spans="9:9" x14ac:dyDescent="0.25">
      <c r="I22" s="50">
        <f t="shared" si="0"/>
        <v>1.4375</v>
      </c>
    </row>
    <row r="23" spans="9:9" x14ac:dyDescent="0.25">
      <c r="I23" s="50">
        <f t="shared" si="0"/>
        <v>1.5</v>
      </c>
    </row>
    <row r="24" spans="9:9" x14ac:dyDescent="0.25">
      <c r="I24" s="50">
        <f t="shared" si="0"/>
        <v>1.5625</v>
      </c>
    </row>
    <row r="25" spans="9:9" x14ac:dyDescent="0.25">
      <c r="I25" s="50">
        <f t="shared" si="0"/>
        <v>1.625</v>
      </c>
    </row>
    <row r="26" spans="9:9" x14ac:dyDescent="0.25">
      <c r="I26" s="50">
        <f t="shared" si="0"/>
        <v>1.6875</v>
      </c>
    </row>
    <row r="27" spans="9:9" x14ac:dyDescent="0.25">
      <c r="I27" s="50">
        <f t="shared" si="0"/>
        <v>1.75</v>
      </c>
    </row>
    <row r="28" spans="9:9" x14ac:dyDescent="0.25">
      <c r="I28" s="50">
        <f t="shared" si="0"/>
        <v>1.8125</v>
      </c>
    </row>
    <row r="29" spans="9:9" x14ac:dyDescent="0.25">
      <c r="I29" s="50">
        <f t="shared" si="0"/>
        <v>1.875</v>
      </c>
    </row>
    <row r="30" spans="9:9" x14ac:dyDescent="0.25">
      <c r="I30" s="50">
        <f t="shared" si="0"/>
        <v>1.9375</v>
      </c>
    </row>
    <row r="31" spans="9:9" x14ac:dyDescent="0.25">
      <c r="I31" s="50">
        <f t="shared" si="0"/>
        <v>2</v>
      </c>
    </row>
    <row r="32" spans="9:9" x14ac:dyDescent="0.25">
      <c r="I32" s="50">
        <f>I31+1/8</f>
        <v>2.125</v>
      </c>
    </row>
    <row r="33" spans="9:9" x14ac:dyDescent="0.25">
      <c r="I33" s="50">
        <f t="shared" ref="I33:I47" si="1">I32+1/8</f>
        <v>2.25</v>
      </c>
    </row>
    <row r="34" spans="9:9" x14ac:dyDescent="0.25">
      <c r="I34" s="50">
        <f t="shared" si="1"/>
        <v>2.375</v>
      </c>
    </row>
    <row r="35" spans="9:9" x14ac:dyDescent="0.25">
      <c r="I35" s="50">
        <f t="shared" si="1"/>
        <v>2.5</v>
      </c>
    </row>
    <row r="36" spans="9:9" x14ac:dyDescent="0.25">
      <c r="I36" s="50">
        <f t="shared" si="1"/>
        <v>2.625</v>
      </c>
    </row>
    <row r="37" spans="9:9" x14ac:dyDescent="0.25">
      <c r="I37" s="50">
        <f t="shared" si="1"/>
        <v>2.75</v>
      </c>
    </row>
    <row r="38" spans="9:9" x14ac:dyDescent="0.25">
      <c r="I38" s="50">
        <f t="shared" si="1"/>
        <v>2.875</v>
      </c>
    </row>
    <row r="39" spans="9:9" x14ac:dyDescent="0.25">
      <c r="I39" s="50">
        <f t="shared" si="1"/>
        <v>3</v>
      </c>
    </row>
    <row r="40" spans="9:9" x14ac:dyDescent="0.25">
      <c r="I40" s="50">
        <f t="shared" si="1"/>
        <v>3.125</v>
      </c>
    </row>
    <row r="41" spans="9:9" x14ac:dyDescent="0.25">
      <c r="I41" s="50">
        <f t="shared" si="1"/>
        <v>3.25</v>
      </c>
    </row>
    <row r="42" spans="9:9" x14ac:dyDescent="0.25">
      <c r="I42" s="50">
        <f t="shared" si="1"/>
        <v>3.375</v>
      </c>
    </row>
    <row r="43" spans="9:9" x14ac:dyDescent="0.25">
      <c r="I43" s="50">
        <f t="shared" si="1"/>
        <v>3.5</v>
      </c>
    </row>
    <row r="44" spans="9:9" x14ac:dyDescent="0.25">
      <c r="I44" s="50">
        <f t="shared" si="1"/>
        <v>3.625</v>
      </c>
    </row>
    <row r="45" spans="9:9" x14ac:dyDescent="0.25">
      <c r="I45" s="50">
        <f t="shared" si="1"/>
        <v>3.75</v>
      </c>
    </row>
    <row r="46" spans="9:9" x14ac:dyDescent="0.25">
      <c r="I46" s="50">
        <f t="shared" si="1"/>
        <v>3.875</v>
      </c>
    </row>
    <row r="47" spans="9:9" x14ac:dyDescent="0.25">
      <c r="I47" s="50">
        <f t="shared" si="1"/>
        <v>4</v>
      </c>
    </row>
    <row r="48" spans="9:9" x14ac:dyDescent="0.25">
      <c r="I48" s="50"/>
    </row>
    <row r="49" spans="9:9" x14ac:dyDescent="0.25">
      <c r="I49" s="50"/>
    </row>
    <row r="50" spans="9:9" x14ac:dyDescent="0.25">
      <c r="I50" s="50"/>
    </row>
    <row r="51" spans="9:9" x14ac:dyDescent="0.25">
      <c r="I51" s="50"/>
    </row>
    <row r="52" spans="9:9" x14ac:dyDescent="0.25">
      <c r="I52" s="50"/>
    </row>
    <row r="53" spans="9:9" x14ac:dyDescent="0.25">
      <c r="I53" s="50"/>
    </row>
    <row r="54" spans="9:9" x14ac:dyDescent="0.25">
      <c r="I54" s="50"/>
    </row>
    <row r="55" spans="9:9" x14ac:dyDescent="0.25">
      <c r="I55" s="50"/>
    </row>
    <row r="56" spans="9:9" x14ac:dyDescent="0.25">
      <c r="I56" s="50"/>
    </row>
    <row r="57" spans="9:9" x14ac:dyDescent="0.25">
      <c r="I57" s="50"/>
    </row>
    <row r="58" spans="9:9" x14ac:dyDescent="0.25">
      <c r="I58" s="50"/>
    </row>
    <row r="59" spans="9:9" x14ac:dyDescent="0.25">
      <c r="I59" s="50"/>
    </row>
    <row r="60" spans="9:9" x14ac:dyDescent="0.25">
      <c r="I60" s="50"/>
    </row>
    <row r="61" spans="9:9" x14ac:dyDescent="0.25">
      <c r="I61" s="50"/>
    </row>
    <row r="62" spans="9:9" x14ac:dyDescent="0.25">
      <c r="I62" s="50"/>
    </row>
    <row r="63" spans="9:9" x14ac:dyDescent="0.25">
      <c r="I63" s="50"/>
    </row>
  </sheetData>
  <pageMargins left="0.7" right="0.7" top="0.75" bottom="0.75" header="0.3" footer="0.3"/>
</worksheet>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291</vt:i4>
      </vt:variant>
    </vt:vector>
  </HeadingPairs>
  <TitlesOfParts>
    <vt:vector size="300" baseType="lpstr">
      <vt:lpstr>EULA</vt:lpstr>
      <vt:lpstr>Input</vt:lpstr>
      <vt:lpstr>Figures</vt:lpstr>
      <vt:lpstr>Design Result Summary</vt:lpstr>
      <vt:lpstr>Design Check Summary</vt:lpstr>
      <vt:lpstr>Flange Splice Design</vt:lpstr>
      <vt:lpstr>Web Splice Design</vt:lpstr>
      <vt:lpstr>Constants</vt:lpstr>
      <vt:lpstr>Lists</vt:lpstr>
      <vt:lpstr>alignmentMode</vt:lpstr>
      <vt:lpstr>Author</vt:lpstr>
      <vt:lpstr>'Design Check Summary'!boltClearencesTable</vt:lpstr>
      <vt:lpstr>boltClearencesTable</vt:lpstr>
      <vt:lpstr>boltDiameterEnum</vt:lpstr>
      <vt:lpstr>'Design Check Summary'!boltGradeTable</vt:lpstr>
      <vt:lpstr>'Flange Splice Design'!boltGradeTable</vt:lpstr>
      <vt:lpstr>'Web Splice Design'!boltGradeTable</vt:lpstr>
      <vt:lpstr>boltGradeTable</vt:lpstr>
      <vt:lpstr>'Design Check Summary'!boltPropertiesTable</vt:lpstr>
      <vt:lpstr>'Flange Splice Design'!boltPropertiesTable</vt:lpstr>
      <vt:lpstr>'Web Splice Design'!boltPropertiesTable</vt:lpstr>
      <vt:lpstr>boltPropertiesTable</vt:lpstr>
      <vt:lpstr>boltTypeEnum</vt:lpstr>
      <vt:lpstr>bottomFlangeBoltGroupTransGageCalculated</vt:lpstr>
      <vt:lpstr>bottomFlangeBoltOverrideStatus</vt:lpstr>
      <vt:lpstr>bottomFlangeBoltRowQuantity</vt:lpstr>
      <vt:lpstr>bottomFlangeBoltRowsCalculated</vt:lpstr>
      <vt:lpstr>bottomFlangeBoltTransGageCalculated</vt:lpstr>
      <vt:lpstr>bottomFlangeFillerReduction</vt:lpstr>
      <vt:lpstr>bottomFlangeMaximumBoltSpacingCalculated</vt:lpstr>
      <vt:lpstr>bottomFlangeSpliceLengthReduction</vt:lpstr>
      <vt:lpstr>bottomFlangeSpliceMaterialEnum</vt:lpstr>
      <vt:lpstr>bottomFlangeSplicePlateLengthCalculated</vt:lpstr>
      <vt:lpstr>bottomFlangeTotalBoltCalculatedFinal</vt:lpstr>
      <vt:lpstr>bottomFlangeTotalBoltCalculatedLongJoint</vt:lpstr>
      <vt:lpstr>bottomFlangeTotalBoltCalculatedSlip</vt:lpstr>
      <vt:lpstr>bottomFlangeTotalBoltCalculatedStrength</vt:lpstr>
      <vt:lpstr>bottomFlangeTotalBoltInitial</vt:lpstr>
      <vt:lpstr>bottomFlangeTotalBoltOverride</vt:lpstr>
      <vt:lpstr>deckCastingFactoredMoment</vt:lpstr>
      <vt:lpstr>deckCastingFactoredShear</vt:lpstr>
      <vt:lpstr>deckCastingMoment</vt:lpstr>
      <vt:lpstr>deckCastingShear</vt:lpstr>
      <vt:lpstr>deckCastingSlipHorizontalWebForce</vt:lpstr>
      <vt:lpstr>deckCastingSurfaceMoment</vt:lpstr>
      <vt:lpstr>deckConcreteStrength</vt:lpstr>
      <vt:lpstr>deckEffectiveWidth</vt:lpstr>
      <vt:lpstr>deckIsCompositeEnum</vt:lpstr>
      <vt:lpstr>deckThickness</vt:lpstr>
      <vt:lpstr>enteringTighteningClearenceCalculated</vt:lpstr>
      <vt:lpstr>enteringTighteningClearenceInitial</vt:lpstr>
      <vt:lpstr>fayingSurfaceClassEnum</vt:lpstr>
      <vt:lpstr>finalEdgeDistanceBottomFlangeCalculated</vt:lpstr>
      <vt:lpstr>finalEdgeDistanceTopFlangeCalculated</vt:lpstr>
      <vt:lpstr>'Flange Splice Design'!flangeBoltDoubleShearCapacity</vt:lpstr>
      <vt:lpstr>flangeBoltLongPitchCalculated</vt:lpstr>
      <vt:lpstr>flangeBoltSingleShearCapacity</vt:lpstr>
      <vt:lpstr>flangeThreadStateEnum</vt:lpstr>
      <vt:lpstr>futureWearingSurfaceLabel</vt:lpstr>
      <vt:lpstr>futureWearingSurfaceMoment</vt:lpstr>
      <vt:lpstr>futureWearingSurfaceShear</vt:lpstr>
      <vt:lpstr>giderGapClearence</vt:lpstr>
      <vt:lpstr>haunchLeft</vt:lpstr>
      <vt:lpstr>haunchRight</vt:lpstr>
      <vt:lpstr>'Design Check Summary'!holeMethodReductionFactorTable</vt:lpstr>
      <vt:lpstr>holeMethodReductionFactorTable</vt:lpstr>
      <vt:lpstr>holeSizeFactorEnum</vt:lpstr>
      <vt:lpstr>holeSizeFactorFlange</vt:lpstr>
      <vt:lpstr>holeSizeFactorWeb</vt:lpstr>
      <vt:lpstr>innerBottomFlangeSplicePlateThickness</vt:lpstr>
      <vt:lpstr>innerBottomFlangeSplicePlateWidth</vt:lpstr>
      <vt:lpstr>innerLeftBottomFlangeFillerPlateLength</vt:lpstr>
      <vt:lpstr>innerLeftBottomFlangeFillerPlateThickness</vt:lpstr>
      <vt:lpstr>innerLeftBottomFlangeFillerPlateWidth</vt:lpstr>
      <vt:lpstr>innerLeftTopFlangeFillerPlateLength</vt:lpstr>
      <vt:lpstr>innerLeftTopFlangeFillerPlateThickness</vt:lpstr>
      <vt:lpstr>innerLeftTopFlangeFillerPlateWidth</vt:lpstr>
      <vt:lpstr>innerRightBottomFlangeFillerPlateLength</vt:lpstr>
      <vt:lpstr>innerRightBottomFlangeFillerPlateThickness</vt:lpstr>
      <vt:lpstr>innerRightBottomFlangeFillerPlateWidth</vt:lpstr>
      <vt:lpstr>innerRightTopFlangeFillerPlateLength</vt:lpstr>
      <vt:lpstr>innerRightTopFlangeFillerPlateThickness</vt:lpstr>
      <vt:lpstr>innerRightTopFlangeFillerPlateWidth</vt:lpstr>
      <vt:lpstr>innerTopFlangeSplicePlateThickness</vt:lpstr>
      <vt:lpstr>innerTopFlangeSplicePlateWidth</vt:lpstr>
      <vt:lpstr>leftBottomFlangeMaterialEnum</vt:lpstr>
      <vt:lpstr>leftBottomFlangeThickness</vt:lpstr>
      <vt:lpstr>leftBottomFlangeWidth</vt:lpstr>
      <vt:lpstr>leftFlangeBottomFillerPlateThicknessTotal</vt:lpstr>
      <vt:lpstr>leftFlangeTopFillerPlateThicknessTotal</vt:lpstr>
      <vt:lpstr>leftGirderHeight</vt:lpstr>
      <vt:lpstr>leftTopFlangeMaterialEnum</vt:lpstr>
      <vt:lpstr>leftTopFlangeThickness</vt:lpstr>
      <vt:lpstr>leftTopFlangeWidth</vt:lpstr>
      <vt:lpstr>leftWebMaterialEnum</vt:lpstr>
      <vt:lpstr>leftWebThickness</vt:lpstr>
      <vt:lpstr>minimumBoltGroupLongPitchCalculated</vt:lpstr>
      <vt:lpstr>minimumBoltSpacingCalculated</vt:lpstr>
      <vt:lpstr>minimumBoltSpacingInitial</vt:lpstr>
      <vt:lpstr>minimumEdgeDistanceCalculated</vt:lpstr>
      <vt:lpstr>minimumEdgeDistanceFlangeInitial</vt:lpstr>
      <vt:lpstr>minimumEdgeDistanceWebInitial</vt:lpstr>
      <vt:lpstr>minimumEndDistanceFlangeCalculated</vt:lpstr>
      <vt:lpstr>minimumEndDistanceFlangeInitial</vt:lpstr>
      <vt:lpstr>minimumEndDistanceWebCalculated</vt:lpstr>
      <vt:lpstr>minimumEndDistanceWebInitial</vt:lpstr>
      <vt:lpstr>minimumWebBoltGroupLongGageCalculated</vt:lpstr>
      <vt:lpstr>minimumWebBoltLongGageCalculated</vt:lpstr>
      <vt:lpstr>minimumWebLongEdgeDistanceCalculated</vt:lpstr>
      <vt:lpstr>negativeLiveLoadImpactLabel</vt:lpstr>
      <vt:lpstr>negativeLiveLoadImpactMoment</vt:lpstr>
      <vt:lpstr>negativeLiveLoadImpactShear</vt:lpstr>
      <vt:lpstr>negativeMomentBoltTensionTotal</vt:lpstr>
      <vt:lpstr>negativeMomentHorizontalWebForce</vt:lpstr>
      <vt:lpstr>negativeMomentSlipHorizontalWebForce</vt:lpstr>
      <vt:lpstr>noncompositeDeadLoadLabel</vt:lpstr>
      <vt:lpstr>noncompositeDeadLoadMoment</vt:lpstr>
      <vt:lpstr>noncompositeDeadLoadShear</vt:lpstr>
      <vt:lpstr>otherFayingSurfaceClass</vt:lpstr>
      <vt:lpstr>outerBottomFlangeSplicePlateThickness</vt:lpstr>
      <vt:lpstr>outerBottomFlangeSplicePlateWidth</vt:lpstr>
      <vt:lpstr>outerLeftBottomFlangeFillerPlateLength</vt:lpstr>
      <vt:lpstr>outerLeftBottomFlangeFillerPlateThickness</vt:lpstr>
      <vt:lpstr>outerLeftBottomFlangeFillerPlateWidth</vt:lpstr>
      <vt:lpstr>outerLeftTopFlangeFillerPlateLength</vt:lpstr>
      <vt:lpstr>outerLeftTopFlangeFillerPlateThickness</vt:lpstr>
      <vt:lpstr>outerLeftTopFlangeFillerPlateWidth</vt:lpstr>
      <vt:lpstr>outerRightBottomFlangeFillerPlateLength</vt:lpstr>
      <vt:lpstr>outerRightBottomFlangeFillerPlateThickness</vt:lpstr>
      <vt:lpstr>outerRightBottomFlangeFillerPlateWidth</vt:lpstr>
      <vt:lpstr>outerRightTopFlangeFillerPlateLength</vt:lpstr>
      <vt:lpstr>outerRightTopFlangeFillerPlateThickness</vt:lpstr>
      <vt:lpstr>outerRightTopFlangeFillerPlateWidth</vt:lpstr>
      <vt:lpstr>outerTopFlangeSplicePlateThickness</vt:lpstr>
      <vt:lpstr>outerTopFlangeSplicePlateWidth</vt:lpstr>
      <vt:lpstr>positiveLiveLoadImpactLabel</vt:lpstr>
      <vt:lpstr>positiveLiveLoadImpactMoment</vt:lpstr>
      <vt:lpstr>positiveLiveLoadImpactShear</vt:lpstr>
      <vt:lpstr>positiveMomentBoltTensionTotal</vt:lpstr>
      <vt:lpstr>positiveMomentHorizontalWebForce</vt:lpstr>
      <vt:lpstr>positiveMomentSlipHorizontalWebForce</vt:lpstr>
      <vt:lpstr>'Design Check Summary'!Print_Area</vt:lpstr>
      <vt:lpstr>'Design Result Summary'!Print_Area</vt:lpstr>
      <vt:lpstr>EULA!Print_Area</vt:lpstr>
      <vt:lpstr>Figures!Print_Area</vt:lpstr>
      <vt:lpstr>'Flange Splice Design'!Print_Area</vt:lpstr>
      <vt:lpstr>ReleaseDate</vt:lpstr>
      <vt:lpstr>'Design Check Summary'!resistanceFactorsTable</vt:lpstr>
      <vt:lpstr>resistanceFactorsTable</vt:lpstr>
      <vt:lpstr>rightBottomFlangeMaterialEnum</vt:lpstr>
      <vt:lpstr>rightBottomFlangeThickness</vt:lpstr>
      <vt:lpstr>rightBottomFlangeWidth</vt:lpstr>
      <vt:lpstr>rightFlangeBottomFillerPlateThicknessTotal</vt:lpstr>
      <vt:lpstr>rightFlangeTopFillerPlateThicknessTotal</vt:lpstr>
      <vt:lpstr>rightGirderHeight</vt:lpstr>
      <vt:lpstr>rightTopFlangeMaterialEnum</vt:lpstr>
      <vt:lpstr>rightTopFlangeThickness</vt:lpstr>
      <vt:lpstr>rightTopFlangeWidth</vt:lpstr>
      <vt:lpstr>rightWebMaterialEnum</vt:lpstr>
      <vt:lpstr>rightWebThickness</vt:lpstr>
      <vt:lpstr>serviceIINegativeMoment</vt:lpstr>
      <vt:lpstr>serviceIINegativeShear</vt:lpstr>
      <vt:lpstr>serviceIIPositiveMoment</vt:lpstr>
      <vt:lpstr>serviceIIPositiveShear</vt:lpstr>
      <vt:lpstr>'Design Check Summary'!shearLagReductionFactorTable</vt:lpstr>
      <vt:lpstr>shearLagReductionFactorTable</vt:lpstr>
      <vt:lpstr>slipCoefficient</vt:lpstr>
      <vt:lpstr>'Design Check Summary'!slipCoefficientTable</vt:lpstr>
      <vt:lpstr>'Flange Splice Design'!slipCoefficientTable</vt:lpstr>
      <vt:lpstr>'Web Splice Design'!slipCoefficientTable</vt:lpstr>
      <vt:lpstr>slipCoefficientTable</vt:lpstr>
      <vt:lpstr>splicePlateHoleMethod</vt:lpstr>
      <vt:lpstr>statusBearingResistanceBottomFlange</vt:lpstr>
      <vt:lpstr>statusBearingResistanceBottomInnerSplice</vt:lpstr>
      <vt:lpstr>statusBearingResistanceBottomOuterSplice</vt:lpstr>
      <vt:lpstr>statusBearingResistanceTopFlange</vt:lpstr>
      <vt:lpstr>statusBearingResistanceTopInnerSplice</vt:lpstr>
      <vt:lpstr>statusBearingResistanceTopOuterSplice</vt:lpstr>
      <vt:lpstr>statusBearingResistanceWeb</vt:lpstr>
      <vt:lpstr>statusBlockShearBottomFlangeSplicePlateInner</vt:lpstr>
      <vt:lpstr>statusBlockShearBottomFlangeSplicePlateOuter</vt:lpstr>
      <vt:lpstr>statusBlockShearBottomLeftFlangeMode1</vt:lpstr>
      <vt:lpstr>statusBlockShearBottomLeftFlangeMode2</vt:lpstr>
      <vt:lpstr>statusBlockShearBottomRightFlangeMode1</vt:lpstr>
      <vt:lpstr>statusBlockShearBottomRightFlangeMode2</vt:lpstr>
      <vt:lpstr>statusBlockShearTopFlangeSplicePlateInner</vt:lpstr>
      <vt:lpstr>statusBlockShearTopFlangeSplicePlateOuter</vt:lpstr>
      <vt:lpstr>statusBlockShearTopLeftFlangeMode1</vt:lpstr>
      <vt:lpstr>statusBlockShearTopLeftFlangeMode2</vt:lpstr>
      <vt:lpstr>statusBlockShearTopRightFlangeMode1</vt:lpstr>
      <vt:lpstr>statusBlockShearTopRightFlangeMode2</vt:lpstr>
      <vt:lpstr>statusBlockShearWebSplicePlate</vt:lpstr>
      <vt:lpstr>statusBottomFlangeBoltSpacingCheck</vt:lpstr>
      <vt:lpstr>statusBottomFlangeInnerSpliceEdgeCheck</vt:lpstr>
      <vt:lpstr>statusBottomFlangeInnerSpliceTransDimCheck</vt:lpstr>
      <vt:lpstr>statusBottomFlangeInnerSpliceTransDimOverride</vt:lpstr>
      <vt:lpstr>statusBottomFlangeLongBoltGroupSpacingCheck</vt:lpstr>
      <vt:lpstr>statusBottomFlangeLongJointBoltCount</vt:lpstr>
      <vt:lpstr>statusBottomFlangeOuterSpliceTransDimCheck</vt:lpstr>
      <vt:lpstr>statusBottomFlangeSpliceLengthReduction</vt:lpstr>
      <vt:lpstr>statusBottomFlangeSplicePlateShearPlaneCount</vt:lpstr>
      <vt:lpstr>statusBottomFlangeTransBoltGroupSpacingCheck</vt:lpstr>
      <vt:lpstr>statusDeckCastingSlipCheck</vt:lpstr>
      <vt:lpstr>statusDeckCastingSlipWebCheck</vt:lpstr>
      <vt:lpstr>statusDeckStrengthCheck</vt:lpstr>
      <vt:lpstr>statusFactoredYieldBottomFlangeInner</vt:lpstr>
      <vt:lpstr>statusFactoredYieldBottomFlangeOuter</vt:lpstr>
      <vt:lpstr>statusFactoredYieldTopFlangeInner</vt:lpstr>
      <vt:lpstr>statusFactoredYieldTopFlangeOuter</vt:lpstr>
      <vt:lpstr>statusFactoredYieldWeb</vt:lpstr>
      <vt:lpstr>statusFlangeDiagEdgeDistanceCheck</vt:lpstr>
      <vt:lpstr>statusMomentResistanceNegative</vt:lpstr>
      <vt:lpstr>statusMomentResistancePositive</vt:lpstr>
      <vt:lpstr>statusNegativeMomentSlipCheck</vt:lpstr>
      <vt:lpstr>statusNegativeShearSlipWebCheck</vt:lpstr>
      <vt:lpstr>statusNetAreaGrossBottomFlangeInner</vt:lpstr>
      <vt:lpstr>statusNetAreaGrossBottomFlangeOuter</vt:lpstr>
      <vt:lpstr>statusNetAreaGrossTopFlangeInner</vt:lpstr>
      <vt:lpstr>statusNetAreaGrossTopFlangeOuter</vt:lpstr>
      <vt:lpstr>statusNetSectionRuptureWeb</vt:lpstr>
      <vt:lpstr>statusPositiveMomentSlipCheck</vt:lpstr>
      <vt:lpstr>statusPositiveShearSlipWebCheck</vt:lpstr>
      <vt:lpstr>statusSectionFractureBottomFlangeInner</vt:lpstr>
      <vt:lpstr>statusSectionFractureBottomFlangeOuter</vt:lpstr>
      <vt:lpstr>statusSectionFractureTopFlangeInner</vt:lpstr>
      <vt:lpstr>statusSectionFractureTopFlangeOuter</vt:lpstr>
      <vt:lpstr>statusTopFlangeBoltSpacingCheck</vt:lpstr>
      <vt:lpstr>statusTopFlangeInnerSpliceEdgeCheck</vt:lpstr>
      <vt:lpstr>statusTopFlangeInnerSpliceTransDimCheck</vt:lpstr>
      <vt:lpstr>statusTopFlangeInnerSpliceTransDimOverride</vt:lpstr>
      <vt:lpstr>statusTopFlangeLongBoltGroupSpacingCheck</vt:lpstr>
      <vt:lpstr>statusTopFlangeLongJointBoltCount</vt:lpstr>
      <vt:lpstr>statusTopFlangeOuterSpliceTransDimCheck</vt:lpstr>
      <vt:lpstr>statusTopFlangeSpliceLengthReduction</vt:lpstr>
      <vt:lpstr>statusTopFlangeSpliceShearPlaneCount</vt:lpstr>
      <vt:lpstr>statusTopFlangeTransBoltGroupSpacingCheck</vt:lpstr>
      <vt:lpstr>statusWebBoltTransPitchCheck</vt:lpstr>
      <vt:lpstr>statusWebDiagEdgeDistanceCheck</vt:lpstr>
      <vt:lpstr>statusWebLongBoltGroupSpacingCheck</vt:lpstr>
      <vt:lpstr>statusWebSplicePlateHeightCheck</vt:lpstr>
      <vt:lpstr>statusWebTransBoltEndDistanceCheck</vt:lpstr>
      <vt:lpstr>'Design Check Summary'!steelGradeTable</vt:lpstr>
      <vt:lpstr>'Flange Splice Design'!steelGradeTable</vt:lpstr>
      <vt:lpstr>'Web Splice Design'!steelGradeTable</vt:lpstr>
      <vt:lpstr>steelGradeTable</vt:lpstr>
      <vt:lpstr>stffenerSpacingLeft</vt:lpstr>
      <vt:lpstr>stffenerSpacingRight</vt:lpstr>
      <vt:lpstr>stiffenedStatusLeft</vt:lpstr>
      <vt:lpstr>stiffenedStatusRight</vt:lpstr>
      <vt:lpstr>strengthINegativeMoment</vt:lpstr>
      <vt:lpstr>strengthIPositive</vt:lpstr>
      <vt:lpstr>strengthIPositiveMoment</vt:lpstr>
      <vt:lpstr>superCompositeDeadLoadLabel</vt:lpstr>
      <vt:lpstr>superCompositeDeadLoadMoment</vt:lpstr>
      <vt:lpstr>superCompositeDeadLoadShear</vt:lpstr>
      <vt:lpstr>testRangeName</vt:lpstr>
      <vt:lpstr>topFlangeBoltGroupTransGageCalculated</vt:lpstr>
      <vt:lpstr>topFlangeBoltOverrideStatus</vt:lpstr>
      <vt:lpstr>topFlangeBoltRowQuantity</vt:lpstr>
      <vt:lpstr>topFlangeBoltRowsCalculated</vt:lpstr>
      <vt:lpstr>topFlangeBoltTransGageCalculated</vt:lpstr>
      <vt:lpstr>topFlangeFillerReduction</vt:lpstr>
      <vt:lpstr>topFlangeMaximumBoltSpacingCalculated</vt:lpstr>
      <vt:lpstr>topFlangeSpliceLengthReduction</vt:lpstr>
      <vt:lpstr>topFlangeSpliceMaterialEnum</vt:lpstr>
      <vt:lpstr>topFlangeSplicePlateLengthCalculated</vt:lpstr>
      <vt:lpstr>topFlangeTotalBoltCalculatedFinal</vt:lpstr>
      <vt:lpstr>topFlangeTotalBoltCalculatedLongJoint</vt:lpstr>
      <vt:lpstr>topFlangeTotalBoltCalculatedSlip</vt:lpstr>
      <vt:lpstr>topFlangeTotalBoltCalculatedStrength</vt:lpstr>
      <vt:lpstr>topFlangeTotalBoltInitial</vt:lpstr>
      <vt:lpstr>topFlangeTotalBoltOverride</vt:lpstr>
      <vt:lpstr>Version</vt:lpstr>
      <vt:lpstr>webBoltOverrideStatus</vt:lpstr>
      <vt:lpstr>webBoltRowQuantity</vt:lpstr>
      <vt:lpstr>webBoltRowsCalculated</vt:lpstr>
      <vt:lpstr>'Web Splice Design'!webBoltShearCapacity</vt:lpstr>
      <vt:lpstr>webBoltTransPitchCalculatedFinal</vt:lpstr>
      <vt:lpstr>webDepth</vt:lpstr>
      <vt:lpstr>webFillerPlateHeight</vt:lpstr>
      <vt:lpstr>webFillerPlateQuantity</vt:lpstr>
      <vt:lpstr>webFillerPlateThicknessEach</vt:lpstr>
      <vt:lpstr>webFillerPlateThicknessTotal</vt:lpstr>
      <vt:lpstr>webFillerPlateWidth</vt:lpstr>
      <vt:lpstr>webMaximumBoltSpacingCalculated</vt:lpstr>
      <vt:lpstr>webSpliceMaterialEnum</vt:lpstr>
      <vt:lpstr>webSplicePlateHeightFinal</vt:lpstr>
      <vt:lpstr>webSplicePlateMaximumHeight</vt:lpstr>
      <vt:lpstr>webSplicePlateMaximumHeightAdjusted</vt:lpstr>
      <vt:lpstr>webSplicePlateThickness</vt:lpstr>
      <vt:lpstr>webSplicePlateWidth</vt:lpstr>
      <vt:lpstr>webThreadStateEnum</vt:lpstr>
      <vt:lpstr>webTotalBoltCalculatedFinal</vt:lpstr>
      <vt:lpstr>webTotalBoltCalculatedOverride</vt:lpstr>
      <vt:lpstr>webTotalBoltCalculatedPitch</vt:lpstr>
      <vt:lpstr>webTotalBoltCalculatedSlip</vt:lpstr>
      <vt:lpstr>webTotalBoltCalculatedStrength</vt:lpstr>
      <vt:lpstr>webWeldClearence</vt:lpstr>
      <vt:lpstr>webWeldSize</vt:lpstr>
      <vt:lpstr>widthPlateWidthCaculated</vt:lpstr>
    </vt:vector>
  </TitlesOfParts>
  <Manager>CMG</Manager>
  <Company>NSBA</Company>
  <LinksUpToDate>false</LinksUpToDate>
  <SharedDoc>false</SharedDoc>
  <HyperlinkBase>www.steelbridges.org</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NSBA Bolted Splice Designer</dc:title>
  <dc:subject>Plate Girder Splice Design Utility</dc:subject>
  <dc:creator>CMG</dc:creator>
  <cp:keywords>Steel, Bridge, Splice, Bolt</cp:keywords>
  <dc:description>Works Best with Excel 2010 or Later.</dc:description>
  <cp:lastModifiedBy>Hernandez, Billy</cp:lastModifiedBy>
  <cp:revision>00</cp:revision>
  <cp:lastPrinted>2023-03-22T13:52:40Z</cp:lastPrinted>
  <dcterms:created xsi:type="dcterms:W3CDTF">2016-08-26T14:15:27Z</dcterms:created>
  <dcterms:modified xsi:type="dcterms:W3CDTF">2025-10-17T11:48:18Z</dcterms:modified>
  <cp:contentStatus>Release</cp:contentStatus>
  <dc:language>English</dc:language>
  <cp:version>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