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s\HAN\87005\roadway\spreadsheets\"/>
    </mc:Choice>
  </mc:AlternateContent>
  <bookViews>
    <workbookView xWindow="25035" yWindow="120" windowWidth="24915" windowHeight="12480" tabRatio="864"/>
  </bookViews>
  <sheets>
    <sheet name="SUMMARY" sheetId="1" r:id="rId1"/>
    <sheet name="IR75 FLEXIBLE" sheetId="2" r:id="rId2"/>
    <sheet name="US68 FLEXIBLE" sheetId="3" r:id="rId3"/>
    <sheet name="US68 RAMPS FLEXIBLE" sheetId="4" r:id="rId4"/>
    <sheet name="LIMA RAMPS" sheetId="7" r:id="rId5"/>
    <sheet name="SR12,US224 RAMPS" sheetId="8" r:id="rId6"/>
    <sheet name="LIMA,GRAY,LOGAN,BIKE PATH" sheetId="5" r:id="rId7"/>
    <sheet name="HARRISON,SERVICE RD" sheetId="10" r:id="rId8"/>
    <sheet name="IR75 RIGID" sheetId="17" r:id="rId9"/>
    <sheet name="US68 RIGID" sheetId="16" r:id="rId10"/>
    <sheet name="US68 RAMPS RIGID" sheetId="18" r:id="rId11"/>
    <sheet name="CABLE BARRIER" sheetId="11" r:id="rId12"/>
    <sheet name="Area Split Calcs" sheetId="15" r:id="rId13"/>
  </sheets>
  <definedNames>
    <definedName name="_xlnm.Print_Area" localSheetId="11">'CABLE BARRIER'!$B$2:$M$29</definedName>
    <definedName name="_xlnm.Print_Area" localSheetId="7">'HARRISON,SERVICE RD'!$B$2:$AA$47</definedName>
    <definedName name="_xlnm.Print_Area" localSheetId="1">'IR75 FLEXIBLE'!$B$2:$AS$182</definedName>
    <definedName name="_xlnm.Print_Area" localSheetId="8">'IR75 RIGID'!$B$2:$AJ$138</definedName>
    <definedName name="_xlnm.Print_Area" localSheetId="4">'LIMA RAMPS'!$B$2:$W$66</definedName>
    <definedName name="_xlnm.Print_Area" localSheetId="6">'LIMA,GRAY,LOGAN,BIKE PATH'!$B$2:$W$68</definedName>
    <definedName name="_xlnm.Print_Area" localSheetId="5">'SR12,US224 RAMPS'!$B$2:$X$70</definedName>
    <definedName name="_xlnm.Print_Area" localSheetId="0">SUMMARY!$B$3:$AX$49</definedName>
    <definedName name="_xlnm.Print_Area" localSheetId="2">'US68 FLEXIBLE'!$B$2:$AG$78</definedName>
    <definedName name="_xlnm.Print_Area" localSheetId="3">'US68 RAMPS FLEXIBLE'!$B$2:$AC$66</definedName>
    <definedName name="_xlnm.Print_Area" localSheetId="10">'US68 RAMPS RIGID'!$B$2:$Y$66</definedName>
    <definedName name="_xlnm.Print_Area" localSheetId="9">'US68 RIGID'!$B$2:$Y$57</definedName>
    <definedName name="_xlnm.Print_Titles" localSheetId="1">'IR75 FLEXIBLE'!$2:$17</definedName>
    <definedName name="_xlnm.Print_Titles" localSheetId="8">'IR75 RIGID'!$2:$17</definedName>
    <definedName name="Z_221143F3_72E3_4C4A_9811_2F859DD19779_.wvu.Cols" localSheetId="1" hidden="1">'IR75 FLEXIBLE'!$E:$L</definedName>
    <definedName name="Z_221143F3_72E3_4C4A_9811_2F859DD19779_.wvu.Cols" localSheetId="8" hidden="1">'IR75 RIGID'!$E:$J</definedName>
    <definedName name="Z_221143F3_72E3_4C4A_9811_2F859DD19779_.wvu.Cols" localSheetId="2" hidden="1">'US68 FLEXIBLE'!#REF!</definedName>
    <definedName name="Z_221143F3_72E3_4C4A_9811_2F859DD19779_.wvu.Cols" localSheetId="3" hidden="1">'US68 RAMPS FLEXIBLE'!#REF!</definedName>
    <definedName name="Z_221143F3_72E3_4C4A_9811_2F859DD19779_.wvu.Cols" localSheetId="10" hidden="1">'US68 RAMPS RIGID'!#REF!</definedName>
    <definedName name="Z_221143F3_72E3_4C4A_9811_2F859DD19779_.wvu.Cols" localSheetId="9" hidden="1">'US68 RIGID'!#REF!</definedName>
    <definedName name="Z_221143F3_72E3_4C4A_9811_2F859DD19779_.wvu.PrintArea" localSheetId="11" hidden="1">'CABLE BARRIER'!$A$5:$L$31</definedName>
    <definedName name="Z_221143F3_72E3_4C4A_9811_2F859DD19779_.wvu.PrintArea" localSheetId="1" hidden="1">'IR75 FLEXIBLE'!$B$5:$AS$182</definedName>
    <definedName name="Z_221143F3_72E3_4C4A_9811_2F859DD19779_.wvu.PrintArea" localSheetId="8" hidden="1">'IR75 RIGID'!$B$5:$AJ$134</definedName>
    <definedName name="Z_221143F3_72E3_4C4A_9811_2F859DD19779_.wvu.PrintArea" localSheetId="4" hidden="1">'LIMA RAMPS'!$A$5:$S$70</definedName>
    <definedName name="Z_221143F3_72E3_4C4A_9811_2F859DD19779_.wvu.PrintArea" localSheetId="6" hidden="1">'LIMA,GRAY,LOGAN,BIKE PATH'!$A$5:$V$158</definedName>
    <definedName name="Z_221143F3_72E3_4C4A_9811_2F859DD19779_.wvu.PrintArea" localSheetId="5" hidden="1">'SR12,US224 RAMPS'!$A$5:$S$76</definedName>
    <definedName name="Z_221143F3_72E3_4C4A_9811_2F859DD19779_.wvu.PrintArea" localSheetId="0" hidden="1">SUMMARY!$B$2:$AX$47</definedName>
    <definedName name="Z_221143F3_72E3_4C4A_9811_2F859DD19779_.wvu.PrintArea" localSheetId="2" hidden="1">'US68 FLEXIBLE'!$B$5:$AD$82</definedName>
    <definedName name="Z_221143F3_72E3_4C4A_9811_2F859DD19779_.wvu.PrintArea" localSheetId="3" hidden="1">'US68 RAMPS FLEXIBLE'!$A$5:$AD$70</definedName>
    <definedName name="Z_221143F3_72E3_4C4A_9811_2F859DD19779_.wvu.PrintArea" localSheetId="10" hidden="1">'US68 RAMPS RIGID'!$A$5:$Z$70</definedName>
    <definedName name="Z_221143F3_72E3_4C4A_9811_2F859DD19779_.wvu.PrintArea" localSheetId="9" hidden="1">'US68 RIGID'!$B$5:$Y$72</definedName>
    <definedName name="Z_221143F3_72E3_4C4A_9811_2F859DD19779_.wvu.PrintTitles" localSheetId="1" hidden="1">'IR75 FLEXIBLE'!$5:$17</definedName>
    <definedName name="Z_221143F3_72E3_4C4A_9811_2F859DD19779_.wvu.PrintTitles" localSheetId="8" hidden="1">'IR75 RIGID'!$5:$17</definedName>
  </definedNames>
  <calcPr calcId="152511"/>
  <customWorkbookViews>
    <customWorkbookView name="schetter - Personal View" guid="{221143F3-72E3-4C4A-9811-2F859DD19779}" mergeInterval="0" personalView="1" maximized="1" windowWidth="1901" windowHeight="799" tabRatio="871" activeSheetId="3"/>
  </customWorkbookViews>
</workbook>
</file>

<file path=xl/calcChain.xml><?xml version="1.0" encoding="utf-8"?>
<calcChain xmlns="http://schemas.openxmlformats.org/spreadsheetml/2006/main">
  <c r="P38" i="18" l="1"/>
  <c r="P37" i="18"/>
  <c r="R38" i="4"/>
  <c r="R37" i="4"/>
  <c r="P48" i="16"/>
  <c r="P47" i="16"/>
  <c r="P29" i="16"/>
  <c r="P28" i="16"/>
  <c r="S48" i="3"/>
  <c r="S47" i="3"/>
  <c r="S29" i="3"/>
  <c r="S28" i="3"/>
  <c r="V28" i="3" s="1"/>
  <c r="AC115" i="17"/>
  <c r="AB115" i="17"/>
  <c r="AC114" i="17"/>
  <c r="AB114" i="17"/>
  <c r="Y115" i="17"/>
  <c r="X115" i="17"/>
  <c r="Y114" i="17"/>
  <c r="X114" i="17"/>
  <c r="AA115" i="17"/>
  <c r="Z115" i="17"/>
  <c r="AA114" i="17"/>
  <c r="Z114" i="17"/>
  <c r="X95" i="17"/>
  <c r="Y95" i="17"/>
  <c r="Z95" i="17"/>
  <c r="AA95" i="17"/>
  <c r="AB95" i="17"/>
  <c r="AC95" i="17"/>
  <c r="AC96" i="17"/>
  <c r="AB96" i="17"/>
  <c r="AA96" i="17"/>
  <c r="Z96" i="17"/>
  <c r="Y96" i="17"/>
  <c r="X96" i="17"/>
  <c r="U95" i="17"/>
  <c r="T95" i="17"/>
  <c r="AC55" i="17"/>
  <c r="AC54" i="17"/>
  <c r="AB54" i="17"/>
  <c r="AB55" i="17"/>
  <c r="Y55" i="17"/>
  <c r="Y54" i="17"/>
  <c r="X55" i="17"/>
  <c r="X54" i="17"/>
  <c r="AF116" i="2"/>
  <c r="AF115" i="2"/>
  <c r="AE116" i="2"/>
  <c r="AE115" i="2"/>
  <c r="AD116" i="2"/>
  <c r="AD115" i="2"/>
  <c r="AC116" i="2"/>
  <c r="AA116" i="2" s="1"/>
  <c r="AC115" i="2"/>
  <c r="AA115" i="2" s="1"/>
  <c r="AB116" i="2"/>
  <c r="AB115" i="2"/>
  <c r="AA96" i="2"/>
  <c r="AB96" i="2"/>
  <c r="AC96" i="2"/>
  <c r="AD96" i="2"/>
  <c r="AE96" i="2"/>
  <c r="AF96" i="2"/>
  <c r="AF97" i="2"/>
  <c r="AE97" i="2"/>
  <c r="AD97" i="2"/>
  <c r="AC97" i="2"/>
  <c r="AA97" i="2" s="1"/>
  <c r="AB97" i="2"/>
  <c r="X96" i="2"/>
  <c r="W96" i="2"/>
  <c r="AF55" i="2"/>
  <c r="AF54" i="2"/>
  <c r="AE55" i="2"/>
  <c r="AE54" i="2"/>
  <c r="AB55" i="2"/>
  <c r="AB54" i="2"/>
  <c r="AA55" i="2"/>
  <c r="AA54" i="2"/>
  <c r="AB38" i="17"/>
  <c r="AC38" i="17"/>
  <c r="AC39" i="17"/>
  <c r="AB39" i="17"/>
  <c r="X38" i="17"/>
  <c r="Y38" i="17"/>
  <c r="Y39" i="17"/>
  <c r="X39" i="17"/>
  <c r="U38" i="17"/>
  <c r="T38" i="17"/>
  <c r="AA38" i="17"/>
  <c r="Z38" i="17"/>
  <c r="AE38" i="2"/>
  <c r="AF38" i="2"/>
  <c r="AF39" i="2"/>
  <c r="AE39" i="2"/>
  <c r="AC38" i="2"/>
  <c r="AD38" i="2"/>
  <c r="AA38" i="2"/>
  <c r="AB38" i="2"/>
  <c r="X38" i="2"/>
  <c r="W38" i="2"/>
  <c r="AB39" i="2"/>
  <c r="AA39" i="2"/>
  <c r="V29" i="3"/>
  <c r="AA55" i="17"/>
  <c r="AA54" i="17"/>
  <c r="Z55" i="17"/>
  <c r="Z54" i="17"/>
  <c r="AA39" i="17"/>
  <c r="Z39" i="17"/>
  <c r="AD39" i="2"/>
  <c r="AC39" i="2"/>
  <c r="AD55" i="2"/>
  <c r="AD54" i="2"/>
  <c r="AC55" i="2"/>
  <c r="AC54" i="2"/>
  <c r="G24" i="1" l="1"/>
  <c r="S52" i="7"/>
  <c r="Q52" i="7" s="1"/>
  <c r="S53" i="7"/>
  <c r="Q53" i="7" s="1"/>
  <c r="S54" i="7"/>
  <c r="Q54" i="7" s="1"/>
  <c r="S55" i="7"/>
  <c r="S56" i="7"/>
  <c r="S51" i="7"/>
  <c r="P55" i="7"/>
  <c r="Q55" i="7" s="1"/>
  <c r="P56" i="7"/>
  <c r="H54" i="7"/>
  <c r="R60" i="7"/>
  <c r="T60" i="7"/>
  <c r="T59" i="7"/>
  <c r="R59" i="7"/>
  <c r="S60" i="7"/>
  <c r="Q60" i="7"/>
  <c r="P60" i="7"/>
  <c r="P59" i="7"/>
  <c r="S59" i="7" s="1"/>
  <c r="Q59" i="7" s="1"/>
  <c r="S63" i="7"/>
  <c r="Q63" i="7" s="1"/>
  <c r="S48" i="7"/>
  <c r="Q48" i="7" s="1"/>
  <c r="S45" i="7"/>
  <c r="S46" i="7"/>
  <c r="P45" i="7"/>
  <c r="P46" i="7"/>
  <c r="S44" i="7"/>
  <c r="P44" i="7"/>
  <c r="G47" i="7"/>
  <c r="H47" i="7"/>
  <c r="I47" i="7"/>
  <c r="J47" i="7"/>
  <c r="K47" i="7"/>
  <c r="W47" i="7" s="1"/>
  <c r="S39" i="7"/>
  <c r="Q39" i="7"/>
  <c r="P39" i="7"/>
  <c r="G39" i="7"/>
  <c r="H39" i="7"/>
  <c r="J39" i="7"/>
  <c r="K39" i="7"/>
  <c r="W39" i="7" s="1"/>
  <c r="S52" i="18"/>
  <c r="S53" i="18"/>
  <c r="S54" i="18"/>
  <c r="S55" i="18"/>
  <c r="S56" i="18"/>
  <c r="Q56" i="18" s="1"/>
  <c r="S57" i="18"/>
  <c r="Q57" i="18" s="1"/>
  <c r="S58" i="18"/>
  <c r="Q58" i="18" s="1"/>
  <c r="S59" i="18"/>
  <c r="S60" i="18"/>
  <c r="S61" i="18"/>
  <c r="S62" i="18"/>
  <c r="S63" i="18"/>
  <c r="Q52" i="18"/>
  <c r="Q53" i="18"/>
  <c r="Q54" i="18"/>
  <c r="Q55" i="18"/>
  <c r="Q59" i="18"/>
  <c r="Q60" i="18"/>
  <c r="Q61" i="18"/>
  <c r="Q62" i="18"/>
  <c r="Q63" i="18"/>
  <c r="P52" i="18"/>
  <c r="P53" i="18"/>
  <c r="P54" i="18"/>
  <c r="P55" i="18"/>
  <c r="P56" i="18"/>
  <c r="P57" i="18"/>
  <c r="P58" i="18"/>
  <c r="P59" i="18"/>
  <c r="P60" i="18"/>
  <c r="P61" i="18"/>
  <c r="P62" i="18"/>
  <c r="P63" i="18"/>
  <c r="S51" i="18"/>
  <c r="P51" i="18"/>
  <c r="S32" i="18"/>
  <c r="S33" i="18"/>
  <c r="S34" i="18"/>
  <c r="S35" i="18"/>
  <c r="S36" i="18"/>
  <c r="S39" i="18"/>
  <c r="Q39" i="18" s="1"/>
  <c r="S40" i="18"/>
  <c r="Q40" i="18" s="1"/>
  <c r="S41" i="18"/>
  <c r="Q41" i="18" s="1"/>
  <c r="S42" i="18"/>
  <c r="Q42" i="18" s="1"/>
  <c r="S43" i="18"/>
  <c r="Q43" i="18" s="1"/>
  <c r="S44" i="18"/>
  <c r="S45" i="18"/>
  <c r="S46" i="18"/>
  <c r="S47" i="18"/>
  <c r="S48" i="18"/>
  <c r="Q32" i="18"/>
  <c r="Q33" i="18"/>
  <c r="Q34" i="18"/>
  <c r="Q35" i="18"/>
  <c r="Q36" i="18"/>
  <c r="Q44" i="18"/>
  <c r="Q45" i="18"/>
  <c r="Q46" i="18"/>
  <c r="Q47" i="18"/>
  <c r="Q48" i="18"/>
  <c r="P32" i="18"/>
  <c r="P33" i="18"/>
  <c r="P34" i="18"/>
  <c r="P35" i="18"/>
  <c r="P36" i="18"/>
  <c r="P39" i="18"/>
  <c r="P40" i="18"/>
  <c r="P41" i="18"/>
  <c r="P42" i="18"/>
  <c r="P43" i="18"/>
  <c r="P44" i="18"/>
  <c r="P45" i="18"/>
  <c r="P46" i="18"/>
  <c r="P47" i="18"/>
  <c r="P48" i="18"/>
  <c r="S31" i="18"/>
  <c r="Q31" i="18" s="1"/>
  <c r="P31" i="18"/>
  <c r="U52" i="4"/>
  <c r="U53" i="4"/>
  <c r="U54" i="4"/>
  <c r="U55" i="4"/>
  <c r="U56" i="4"/>
  <c r="U57" i="4"/>
  <c r="U58" i="4"/>
  <c r="U59" i="4"/>
  <c r="U60" i="4"/>
  <c r="U61" i="4"/>
  <c r="U62" i="4"/>
  <c r="S62" i="4" s="1"/>
  <c r="U63" i="4"/>
  <c r="S63" i="4" s="1"/>
  <c r="S52" i="4"/>
  <c r="S53" i="4"/>
  <c r="S54" i="4"/>
  <c r="S55" i="4"/>
  <c r="S56" i="4"/>
  <c r="S57" i="4"/>
  <c r="S58" i="4"/>
  <c r="S59" i="4"/>
  <c r="S60" i="4"/>
  <c r="S61" i="4"/>
  <c r="R52" i="4"/>
  <c r="R53" i="4"/>
  <c r="R54" i="4"/>
  <c r="R55" i="4"/>
  <c r="R56" i="4"/>
  <c r="R57" i="4"/>
  <c r="R58" i="4"/>
  <c r="R59" i="4"/>
  <c r="R60" i="4"/>
  <c r="R61" i="4"/>
  <c r="R62" i="4"/>
  <c r="R63" i="4"/>
  <c r="U51" i="4"/>
  <c r="R51" i="4"/>
  <c r="U48" i="4"/>
  <c r="U47" i="4"/>
  <c r="U46" i="4"/>
  <c r="U45" i="4"/>
  <c r="U44" i="4"/>
  <c r="U43" i="4"/>
  <c r="U42" i="4"/>
  <c r="U41" i="4"/>
  <c r="U40" i="4"/>
  <c r="S40" i="4" s="1"/>
  <c r="U39" i="4"/>
  <c r="S39" i="4" s="1"/>
  <c r="U36" i="4"/>
  <c r="U35" i="4"/>
  <c r="S35" i="4" s="1"/>
  <c r="U34" i="4"/>
  <c r="U33" i="4"/>
  <c r="U32" i="4"/>
  <c r="S32" i="4" s="1"/>
  <c r="S34" i="4"/>
  <c r="S41" i="4"/>
  <c r="S42" i="4"/>
  <c r="S43" i="4"/>
  <c r="S46" i="4"/>
  <c r="S44" i="4"/>
  <c r="S33" i="4"/>
  <c r="S36" i="4"/>
  <c r="S45" i="4"/>
  <c r="S47" i="4"/>
  <c r="S48" i="4"/>
  <c r="R32" i="4"/>
  <c r="R33" i="4"/>
  <c r="R34" i="4"/>
  <c r="R35" i="4"/>
  <c r="R36" i="4"/>
  <c r="U37" i="4"/>
  <c r="S37" i="4" s="1"/>
  <c r="U38" i="4"/>
  <c r="S38" i="4" s="1"/>
  <c r="R39" i="4"/>
  <c r="R40" i="4"/>
  <c r="R41" i="4"/>
  <c r="R42" i="4"/>
  <c r="R43" i="4"/>
  <c r="R44" i="4"/>
  <c r="R45" i="4"/>
  <c r="R46" i="4"/>
  <c r="R47" i="4"/>
  <c r="R48" i="4"/>
  <c r="U31" i="4"/>
  <c r="S31" i="4" s="1"/>
  <c r="R31" i="4"/>
  <c r="S38" i="18" l="1"/>
  <c r="Q38" i="18" s="1"/>
  <c r="S37" i="18"/>
  <c r="Q37" i="18" s="1"/>
  <c r="Q56" i="7"/>
  <c r="P65" i="7"/>
  <c r="Q51" i="7"/>
  <c r="Q46" i="7"/>
  <c r="Q45" i="7"/>
  <c r="Q44" i="7"/>
  <c r="M47" i="7"/>
  <c r="O47" i="7" s="1"/>
  <c r="S47" i="7" s="1"/>
  <c r="Q47" i="7" s="1"/>
  <c r="I39" i="7"/>
  <c r="M39" i="7"/>
  <c r="O39" i="7" s="1"/>
  <c r="Q51" i="18"/>
  <c r="S51" i="4"/>
  <c r="S27" i="18"/>
  <c r="Q27" i="18" s="1"/>
  <c r="S28" i="18"/>
  <c r="Q28" i="18" s="1"/>
  <c r="S26" i="18"/>
  <c r="P28" i="18"/>
  <c r="Q26" i="18"/>
  <c r="G27" i="18"/>
  <c r="H27" i="18"/>
  <c r="J27" i="18"/>
  <c r="K27" i="18"/>
  <c r="I27" i="18" s="1"/>
  <c r="X27" i="18"/>
  <c r="Y27" i="18"/>
  <c r="U27" i="4"/>
  <c r="S27" i="4" s="1"/>
  <c r="U28" i="4"/>
  <c r="U26" i="4"/>
  <c r="S26" i="4" s="1"/>
  <c r="S28" i="4"/>
  <c r="R28" i="4"/>
  <c r="G27" i="4"/>
  <c r="H27" i="4"/>
  <c r="K27" i="4"/>
  <c r="M27" i="4"/>
  <c r="I27" i="4" s="1"/>
  <c r="O27" i="4"/>
  <c r="Q27" i="4" s="1"/>
  <c r="AB27" i="4"/>
  <c r="S20" i="18"/>
  <c r="Q20" i="18" s="1"/>
  <c r="G20" i="18"/>
  <c r="H20" i="18"/>
  <c r="J20" i="18"/>
  <c r="K20" i="18"/>
  <c r="I20" i="18" s="1"/>
  <c r="U20" i="4"/>
  <c r="S20" i="4"/>
  <c r="G20" i="4"/>
  <c r="H20" i="4"/>
  <c r="K20" i="4"/>
  <c r="M20" i="4"/>
  <c r="I20" i="4" s="1"/>
  <c r="P42" i="16"/>
  <c r="P43" i="16"/>
  <c r="P44" i="16"/>
  <c r="P45" i="16"/>
  <c r="P46" i="16"/>
  <c r="P49" i="16"/>
  <c r="P50" i="16"/>
  <c r="P51" i="16"/>
  <c r="P41" i="16"/>
  <c r="P26" i="16"/>
  <c r="P27" i="16"/>
  <c r="P30" i="16"/>
  <c r="P31" i="16"/>
  <c r="P32" i="16"/>
  <c r="G52" i="16"/>
  <c r="H52" i="16"/>
  <c r="I52" i="16"/>
  <c r="J52" i="16"/>
  <c r="K52" i="16"/>
  <c r="M52" i="16" s="1"/>
  <c r="O52" i="16" s="1"/>
  <c r="R52" i="16"/>
  <c r="S52" i="16"/>
  <c r="Q52" i="16" s="1"/>
  <c r="T52" i="16"/>
  <c r="X52" i="16"/>
  <c r="G41" i="16"/>
  <c r="H41" i="16"/>
  <c r="I41" i="16"/>
  <c r="J41" i="16"/>
  <c r="K41" i="16"/>
  <c r="M41" i="16"/>
  <c r="O41" i="16" s="1"/>
  <c r="X41" i="16"/>
  <c r="Y41" i="16"/>
  <c r="G33" i="16"/>
  <c r="H33" i="16"/>
  <c r="S33" i="16" s="1"/>
  <c r="Q33" i="16" s="1"/>
  <c r="J33" i="16"/>
  <c r="K33" i="16"/>
  <c r="I33" i="16" s="1"/>
  <c r="M33" i="16"/>
  <c r="O33" i="16" s="1"/>
  <c r="X33" i="16"/>
  <c r="G25" i="16"/>
  <c r="H25" i="16"/>
  <c r="I25" i="16"/>
  <c r="J25" i="16"/>
  <c r="K25" i="16"/>
  <c r="Y25" i="16" s="1"/>
  <c r="M25" i="16"/>
  <c r="O25" i="16" s="1"/>
  <c r="P25" i="16" s="1"/>
  <c r="T25" i="16" s="1"/>
  <c r="X25" i="16"/>
  <c r="S26" i="3"/>
  <c r="S27" i="3"/>
  <c r="S30" i="3"/>
  <c r="S31" i="3"/>
  <c r="S32" i="3"/>
  <c r="G33" i="3"/>
  <c r="H33" i="3"/>
  <c r="I33" i="3"/>
  <c r="J33" i="3"/>
  <c r="M33" i="3"/>
  <c r="K33" i="3" s="1"/>
  <c r="O33" i="3"/>
  <c r="Q33" i="3"/>
  <c r="AF33" i="3"/>
  <c r="AG33" i="3"/>
  <c r="G52" i="3"/>
  <c r="H52" i="3"/>
  <c r="I52" i="3"/>
  <c r="J52" i="3"/>
  <c r="K52" i="3"/>
  <c r="M52" i="3"/>
  <c r="O52" i="3"/>
  <c r="Q52" i="3" s="1"/>
  <c r="AF52" i="3"/>
  <c r="AG52" i="3"/>
  <c r="G41" i="3"/>
  <c r="H41" i="3"/>
  <c r="I41" i="3"/>
  <c r="J41" i="3"/>
  <c r="M41" i="3"/>
  <c r="K41" i="3" s="1"/>
  <c r="AF41" i="3"/>
  <c r="M25" i="3"/>
  <c r="AG25" i="3" s="1"/>
  <c r="K25" i="3"/>
  <c r="J25" i="3"/>
  <c r="I25" i="3"/>
  <c r="H25" i="3"/>
  <c r="G25" i="3"/>
  <c r="U47" i="7" l="1"/>
  <c r="V47" i="7"/>
  <c r="V39" i="7"/>
  <c r="U39" i="7"/>
  <c r="M27" i="18"/>
  <c r="O27" i="18" s="1"/>
  <c r="R27" i="18" s="1"/>
  <c r="W27" i="4"/>
  <c r="T27" i="4"/>
  <c r="AC27" i="4"/>
  <c r="AA27" i="4"/>
  <c r="Z27" i="4"/>
  <c r="J27" i="4"/>
  <c r="X27" i="4" s="1"/>
  <c r="Y27" i="4"/>
  <c r="X20" i="18"/>
  <c r="Y20" i="18"/>
  <c r="M20" i="18"/>
  <c r="O20" i="18" s="1"/>
  <c r="AC20" i="4"/>
  <c r="AB20" i="4"/>
  <c r="O20" i="4"/>
  <c r="Q20" i="4" s="1"/>
  <c r="W20" i="4" s="1"/>
  <c r="AA20" i="4"/>
  <c r="Z20" i="4"/>
  <c r="J20" i="4"/>
  <c r="R25" i="16"/>
  <c r="S25" i="16"/>
  <c r="Q25" i="16" s="1"/>
  <c r="U52" i="16"/>
  <c r="W52" i="16"/>
  <c r="Y52" i="16"/>
  <c r="S41" i="16"/>
  <c r="Q41" i="16" s="1"/>
  <c r="U41" i="16"/>
  <c r="W41" i="16"/>
  <c r="T33" i="16"/>
  <c r="R33" i="16"/>
  <c r="U33" i="16"/>
  <c r="W33" i="16"/>
  <c r="Y33" i="16"/>
  <c r="W25" i="16"/>
  <c r="U25" i="16"/>
  <c r="Z33" i="3"/>
  <c r="V33" i="3"/>
  <c r="AC33" i="3"/>
  <c r="AE33" i="3"/>
  <c r="AD33" i="3"/>
  <c r="AA33" i="3"/>
  <c r="AC52" i="3"/>
  <c r="AA52" i="3"/>
  <c r="AD52" i="3"/>
  <c r="AE52" i="3"/>
  <c r="Z52" i="3"/>
  <c r="V52" i="3"/>
  <c r="AF25" i="3"/>
  <c r="AG41" i="3"/>
  <c r="O41" i="3"/>
  <c r="Q41" i="3" s="1"/>
  <c r="O25" i="3"/>
  <c r="Q25" i="3" s="1"/>
  <c r="S25" i="3" s="1"/>
  <c r="T88" i="17"/>
  <c r="U88" i="17"/>
  <c r="T89" i="17"/>
  <c r="U89" i="17"/>
  <c r="T90" i="17"/>
  <c r="U90" i="17"/>
  <c r="T91" i="17"/>
  <c r="U91" i="17"/>
  <c r="T92" i="17"/>
  <c r="U92" i="17"/>
  <c r="T93" i="17"/>
  <c r="U93" i="17"/>
  <c r="T94" i="17"/>
  <c r="U94" i="17"/>
  <c r="T96" i="17"/>
  <c r="U96" i="17"/>
  <c r="U87" i="17"/>
  <c r="T87" i="17"/>
  <c r="G87" i="17"/>
  <c r="H87" i="17"/>
  <c r="I87" i="17"/>
  <c r="J87" i="17"/>
  <c r="K87" i="17"/>
  <c r="N87" i="17" s="1"/>
  <c r="R87" i="17" s="1"/>
  <c r="U32" i="17"/>
  <c r="U33" i="17"/>
  <c r="U39" i="17"/>
  <c r="W89" i="2"/>
  <c r="X89" i="2"/>
  <c r="W90" i="2"/>
  <c r="X90" i="2"/>
  <c r="W91" i="2"/>
  <c r="X91" i="2"/>
  <c r="W92" i="2"/>
  <c r="X92" i="2"/>
  <c r="W93" i="2"/>
  <c r="X93" i="2"/>
  <c r="W94" i="2"/>
  <c r="X94" i="2"/>
  <c r="W95" i="2"/>
  <c r="X95" i="2"/>
  <c r="W97" i="2"/>
  <c r="X97" i="2"/>
  <c r="X88" i="2"/>
  <c r="W88" i="2"/>
  <c r="G88" i="2"/>
  <c r="H88" i="2"/>
  <c r="I88" i="2"/>
  <c r="J88" i="2"/>
  <c r="K88" i="2"/>
  <c r="M88" i="2"/>
  <c r="Q88" i="2" s="1"/>
  <c r="U88" i="2" s="1"/>
  <c r="P88" i="2"/>
  <c r="T88" i="2" s="1"/>
  <c r="AR88" i="2"/>
  <c r="X32" i="2"/>
  <c r="X33" i="2"/>
  <c r="X39" i="2"/>
  <c r="T47" i="7" l="1"/>
  <c r="R47" i="7"/>
  <c r="R39" i="7"/>
  <c r="T39" i="7"/>
  <c r="U27" i="18"/>
  <c r="W27" i="18"/>
  <c r="T27" i="18"/>
  <c r="V27" i="4"/>
  <c r="U20" i="18"/>
  <c r="W20" i="18"/>
  <c r="Y20" i="4"/>
  <c r="X20" i="4"/>
  <c r="T20" i="4"/>
  <c r="V20" i="4"/>
  <c r="T41" i="16"/>
  <c r="R41" i="16"/>
  <c r="T33" i="3"/>
  <c r="U33" i="3"/>
  <c r="W33" i="3"/>
  <c r="W52" i="3"/>
  <c r="T52" i="3"/>
  <c r="U52" i="3"/>
  <c r="S41" i="3"/>
  <c r="V41" i="3" s="1"/>
  <c r="T41" i="3" s="1"/>
  <c r="AC41" i="3"/>
  <c r="AD41" i="3"/>
  <c r="AE41" i="3"/>
  <c r="AA41" i="3"/>
  <c r="Z41" i="3"/>
  <c r="Z25" i="3"/>
  <c r="V25" i="3"/>
  <c r="AE25" i="3"/>
  <c r="AD25" i="3"/>
  <c r="AC25" i="3"/>
  <c r="AA25" i="3"/>
  <c r="AD87" i="17"/>
  <c r="Z87" i="17"/>
  <c r="AG87" i="17"/>
  <c r="AJ87" i="17"/>
  <c r="O87" i="17"/>
  <c r="S87" i="17" s="1"/>
  <c r="AI87" i="17"/>
  <c r="AN88" i="2"/>
  <c r="AC88" i="2"/>
  <c r="AA88" i="2" s="1"/>
  <c r="Y88" i="2" s="1"/>
  <c r="AL88" i="2"/>
  <c r="AP88" i="2"/>
  <c r="AI88" i="2"/>
  <c r="AQ88" i="2"/>
  <c r="AD88" i="2"/>
  <c r="AF88" i="2" s="1"/>
  <c r="AK88" i="2"/>
  <c r="AM88" i="2"/>
  <c r="AO88" i="2"/>
  <c r="AJ88" i="2"/>
  <c r="AS88" i="2"/>
  <c r="AH88" i="2"/>
  <c r="AE88" i="2"/>
  <c r="S46" i="10"/>
  <c r="M27" i="1" s="1"/>
  <c r="R46" i="10"/>
  <c r="K27" i="1" s="1"/>
  <c r="Q46" i="10"/>
  <c r="I27" i="1" s="1"/>
  <c r="W46" i="10"/>
  <c r="U27" i="1" s="1"/>
  <c r="V46" i="10"/>
  <c r="T27" i="1" s="1"/>
  <c r="R20" i="18" l="1"/>
  <c r="T20" i="18"/>
  <c r="U41" i="3"/>
  <c r="W41" i="3"/>
  <c r="W25" i="3"/>
  <c r="U25" i="3"/>
  <c r="T25" i="3"/>
  <c r="AE87" i="17"/>
  <c r="AA87" i="17"/>
  <c r="AH87" i="17"/>
  <c r="AB87" i="17"/>
  <c r="X87" i="17"/>
  <c r="V87" i="17" s="1"/>
  <c r="AB88" i="2"/>
  <c r="Z88" i="2" s="1"/>
  <c r="AG135" i="2"/>
  <c r="V135" i="2"/>
  <c r="V72" i="2"/>
  <c r="AG72" i="2"/>
  <c r="AC87" i="17" l="1"/>
  <c r="Y87" i="17"/>
  <c r="W87" i="17" s="1"/>
  <c r="Q133" i="2"/>
  <c r="U133" i="2" s="1"/>
  <c r="P133" i="2"/>
  <c r="T133" i="2" s="1"/>
  <c r="G133" i="2"/>
  <c r="H133" i="2"/>
  <c r="I133" i="2"/>
  <c r="J133" i="2"/>
  <c r="K133" i="2"/>
  <c r="M133" i="2"/>
  <c r="AR133" i="2" s="1"/>
  <c r="Q70" i="2"/>
  <c r="U70" i="2" s="1"/>
  <c r="G70" i="2"/>
  <c r="H70" i="2"/>
  <c r="M70" i="2"/>
  <c r="AR70" i="2" s="1"/>
  <c r="AJ133" i="2" l="1"/>
  <c r="AH133" i="2"/>
  <c r="AI133" i="2"/>
  <c r="AQ133" i="2"/>
  <c r="AS70" i="2"/>
  <c r="K70" i="2"/>
  <c r="AS133" i="2"/>
  <c r="J70" i="2"/>
  <c r="AP133" i="2"/>
  <c r="P70" i="2"/>
  <c r="T70" i="2" s="1"/>
  <c r="AN70" i="2" s="1"/>
  <c r="AN133" i="2"/>
  <c r="AC133" i="2"/>
  <c r="AL133" i="2"/>
  <c r="AD133" i="2"/>
  <c r="I70" i="2"/>
  <c r="AM133" i="2"/>
  <c r="AO133" i="2"/>
  <c r="AK133" i="2"/>
  <c r="AM70" i="2"/>
  <c r="AD70" i="2"/>
  <c r="AO70" i="2"/>
  <c r="AQ70" i="2"/>
  <c r="AI70" i="2"/>
  <c r="AK70" i="2"/>
  <c r="AH70" i="2" l="1"/>
  <c r="AL70" i="2"/>
  <c r="AA133" i="2"/>
  <c r="Y133" i="2" s="1"/>
  <c r="AE133" i="2"/>
  <c r="AC70" i="2"/>
  <c r="AA70" i="2" s="1"/>
  <c r="Y70" i="2" s="1"/>
  <c r="AB133" i="2"/>
  <c r="Z133" i="2" s="1"/>
  <c r="AF133" i="2"/>
  <c r="AP70" i="2"/>
  <c r="AJ70" i="2"/>
  <c r="AF70" i="2"/>
  <c r="AB70" i="2"/>
  <c r="Z70" i="2" s="1"/>
  <c r="AE70" i="2"/>
  <c r="Y37" i="18"/>
  <c r="X54" i="18"/>
  <c r="X55" i="18"/>
  <c r="X56" i="18"/>
  <c r="X57" i="18"/>
  <c r="X58" i="18"/>
  <c r="X59" i="18"/>
  <c r="X60" i="18"/>
  <c r="X61" i="18"/>
  <c r="X63" i="18"/>
  <c r="X34" i="18"/>
  <c r="X35" i="18"/>
  <c r="X36" i="18"/>
  <c r="X37" i="18"/>
  <c r="X38" i="18"/>
  <c r="X39" i="18"/>
  <c r="X40" i="18"/>
  <c r="X41" i="18"/>
  <c r="X42" i="18"/>
  <c r="X43" i="18"/>
  <c r="X44" i="18"/>
  <c r="X40" i="16"/>
  <c r="X42" i="16"/>
  <c r="X43" i="16"/>
  <c r="X44" i="16"/>
  <c r="X45" i="16"/>
  <c r="X46" i="16"/>
  <c r="X47" i="16"/>
  <c r="X48" i="16"/>
  <c r="X49" i="16"/>
  <c r="X50" i="16"/>
  <c r="X51" i="16"/>
  <c r="X53" i="16"/>
  <c r="X26" i="16"/>
  <c r="X27" i="16"/>
  <c r="X28" i="16"/>
  <c r="X29" i="16"/>
  <c r="X30" i="16"/>
  <c r="X31" i="16"/>
  <c r="X32" i="16"/>
  <c r="AI80" i="17"/>
  <c r="AI81" i="17"/>
  <c r="AI82" i="17"/>
  <c r="AI88" i="17"/>
  <c r="AI89" i="17"/>
  <c r="AI90" i="17"/>
  <c r="AI91" i="17"/>
  <c r="AI92" i="17"/>
  <c r="AI93" i="17"/>
  <c r="AI94" i="17"/>
  <c r="AI95" i="17"/>
  <c r="AI96" i="17"/>
  <c r="AI97" i="17"/>
  <c r="AI98" i="17"/>
  <c r="AI107" i="17"/>
  <c r="AI108" i="17"/>
  <c r="AI109" i="17"/>
  <c r="AI110" i="17"/>
  <c r="AI112" i="17"/>
  <c r="AI113" i="17"/>
  <c r="AI114" i="17"/>
  <c r="AI115" i="17"/>
  <c r="AI116" i="17"/>
  <c r="AI117" i="17"/>
  <c r="AI118" i="17"/>
  <c r="AI119" i="17"/>
  <c r="AI125" i="17"/>
  <c r="AI127" i="17"/>
  <c r="AI128" i="17"/>
  <c r="AI129" i="17"/>
  <c r="AI130" i="17"/>
  <c r="AI27" i="17"/>
  <c r="AI28" i="17"/>
  <c r="AI29" i="17"/>
  <c r="AI30" i="17"/>
  <c r="AI31" i="17"/>
  <c r="AI32" i="17"/>
  <c r="AI33" i="17"/>
  <c r="AI34" i="17"/>
  <c r="AI35" i="17"/>
  <c r="AI38" i="17"/>
  <c r="AI39" i="17"/>
  <c r="AI40" i="17"/>
  <c r="AI41" i="17"/>
  <c r="AI49" i="17"/>
  <c r="AI52" i="17"/>
  <c r="AI53" i="17"/>
  <c r="AI54" i="17"/>
  <c r="AI55" i="17"/>
  <c r="AI56" i="17"/>
  <c r="AI57" i="17"/>
  <c r="AI58" i="17"/>
  <c r="AI59" i="17"/>
  <c r="AI60" i="17"/>
  <c r="AI65" i="17"/>
  <c r="AI66" i="17"/>
  <c r="AI68" i="17"/>
  <c r="U59" i="8"/>
  <c r="P59" i="8"/>
  <c r="X67" i="8"/>
  <c r="X56" i="8"/>
  <c r="X49" i="8"/>
  <c r="X46" i="8"/>
  <c r="X40" i="8"/>
  <c r="X35" i="8"/>
  <c r="X28" i="8"/>
  <c r="X25" i="8"/>
  <c r="X19" i="8"/>
  <c r="W60" i="7"/>
  <c r="W59" i="7"/>
  <c r="W52" i="7"/>
  <c r="W51" i="7"/>
  <c r="W33" i="7"/>
  <c r="W34" i="7"/>
  <c r="W41" i="7"/>
  <c r="W32" i="7"/>
  <c r="W28" i="7"/>
  <c r="W29" i="7"/>
  <c r="W23" i="7"/>
  <c r="AB54" i="4"/>
  <c r="AB55" i="4"/>
  <c r="AB56" i="4"/>
  <c r="AB57" i="4"/>
  <c r="AB58" i="4"/>
  <c r="AB59" i="4"/>
  <c r="AB60" i="4"/>
  <c r="AB61" i="4"/>
  <c r="AB63" i="4"/>
  <c r="AB34" i="4"/>
  <c r="AB35" i="4"/>
  <c r="AB36" i="4"/>
  <c r="AB37" i="4"/>
  <c r="AB38" i="4"/>
  <c r="AB39" i="4"/>
  <c r="AB40" i="4"/>
  <c r="AB41" i="4"/>
  <c r="AB42" i="4"/>
  <c r="AB43" i="4"/>
  <c r="AB44" i="4"/>
  <c r="AF60" i="3"/>
  <c r="AF59" i="3"/>
  <c r="AF75" i="3" s="1"/>
  <c r="AF40" i="3"/>
  <c r="AF42" i="3"/>
  <c r="AF43" i="3"/>
  <c r="AF44" i="3"/>
  <c r="AF45" i="3"/>
  <c r="AF46" i="3"/>
  <c r="AF47" i="3"/>
  <c r="AF48" i="3"/>
  <c r="AF49" i="3"/>
  <c r="AF50" i="3"/>
  <c r="AF51" i="3"/>
  <c r="AF53" i="3"/>
  <c r="AR81" i="2"/>
  <c r="AR82" i="2"/>
  <c r="AR83" i="2"/>
  <c r="AR89" i="2"/>
  <c r="AR90" i="2"/>
  <c r="AR91" i="2"/>
  <c r="AR92" i="2"/>
  <c r="AR93" i="2"/>
  <c r="AR94" i="2"/>
  <c r="AR95" i="2"/>
  <c r="AR96" i="2"/>
  <c r="AR97" i="2"/>
  <c r="AR98" i="2"/>
  <c r="AR99" i="2"/>
  <c r="AR108" i="2"/>
  <c r="AR109" i="2"/>
  <c r="AR110" i="2"/>
  <c r="AR111" i="2"/>
  <c r="AR113" i="2"/>
  <c r="AR114" i="2"/>
  <c r="AR115" i="2"/>
  <c r="AR116" i="2"/>
  <c r="AR117" i="2"/>
  <c r="AR118" i="2"/>
  <c r="AR119" i="2"/>
  <c r="AR120" i="2"/>
  <c r="AR126" i="2"/>
  <c r="AR128" i="2"/>
  <c r="AR129" i="2"/>
  <c r="AR130" i="2"/>
  <c r="AR131" i="2"/>
  <c r="AR27" i="2"/>
  <c r="AR28" i="2"/>
  <c r="AR29" i="2"/>
  <c r="AR30" i="2"/>
  <c r="AR31" i="2"/>
  <c r="AR32" i="2"/>
  <c r="AR33" i="2"/>
  <c r="AR34" i="2"/>
  <c r="AR35" i="2"/>
  <c r="AR38" i="2"/>
  <c r="AR39" i="2"/>
  <c r="AR40" i="2"/>
  <c r="AR41" i="2"/>
  <c r="AR49" i="2"/>
  <c r="AR52" i="2"/>
  <c r="AR53" i="2"/>
  <c r="AR54" i="2"/>
  <c r="AR55" i="2"/>
  <c r="AR56" i="2"/>
  <c r="AR57" i="2"/>
  <c r="AR58" i="2"/>
  <c r="AR59" i="2"/>
  <c r="AR60" i="2"/>
  <c r="AR65" i="2"/>
  <c r="AR66" i="2"/>
  <c r="AR68" i="2"/>
  <c r="AF26" i="3"/>
  <c r="AF27" i="3"/>
  <c r="AF28" i="3"/>
  <c r="AF29" i="3"/>
  <c r="AF30" i="3"/>
  <c r="AF31" i="3"/>
  <c r="AF32" i="3"/>
  <c r="AR177" i="2"/>
  <c r="AS23" i="1" l="1"/>
  <c r="P67" i="8"/>
  <c r="P69" i="8" s="1"/>
  <c r="H21" i="7"/>
  <c r="S28" i="1" l="1"/>
  <c r="AI28" i="1" l="1"/>
  <c r="V28" i="1"/>
  <c r="E24" i="11"/>
  <c r="G24" i="11" s="1"/>
  <c r="H24" i="11" s="1"/>
  <c r="J24" i="11" s="1"/>
  <c r="E23" i="11"/>
  <c r="G23" i="11" s="1"/>
  <c r="H23" i="11" s="1"/>
  <c r="J23" i="11" s="1"/>
  <c r="J28" i="11" s="1"/>
  <c r="E46" i="1" s="1"/>
  <c r="AF133" i="17"/>
  <c r="AF135" i="17" s="1"/>
  <c r="AF137" i="17" s="1"/>
  <c r="AF71" i="17"/>
  <c r="D25" i="1"/>
  <c r="Q67" i="8"/>
  <c r="R67" i="8"/>
  <c r="S67" i="8"/>
  <c r="T67" i="8"/>
  <c r="U67" i="8"/>
  <c r="U69" i="8" s="1"/>
  <c r="Q25" i="1" s="1"/>
  <c r="V67" i="8"/>
  <c r="W67" i="8"/>
  <c r="X56" i="3"/>
  <c r="Y56" i="3"/>
  <c r="AB56" i="3"/>
  <c r="R56" i="3"/>
  <c r="U75" i="3"/>
  <c r="V75" i="3"/>
  <c r="W75" i="3"/>
  <c r="X75" i="3"/>
  <c r="R75" i="3"/>
  <c r="D23" i="1" s="1"/>
  <c r="W177" i="2"/>
  <c r="X177" i="2"/>
  <c r="Y177" i="2"/>
  <c r="Z177" i="2"/>
  <c r="AA177" i="2"/>
  <c r="AB177" i="2"/>
  <c r="AC177" i="2"/>
  <c r="AD177" i="2"/>
  <c r="AE177" i="2"/>
  <c r="AF177" i="2"/>
  <c r="AG177" i="2"/>
  <c r="P22" i="1" s="1"/>
  <c r="AH177" i="2"/>
  <c r="AI177" i="2"/>
  <c r="AJ177" i="2"/>
  <c r="AK177" i="2"/>
  <c r="AP177" i="2"/>
  <c r="AQ177" i="2"/>
  <c r="AS177" i="2"/>
  <c r="V177" i="2"/>
  <c r="C22" i="1" s="1"/>
  <c r="G33" i="5"/>
  <c r="J30" i="5"/>
  <c r="L30" i="5" s="1"/>
  <c r="V30" i="5" s="1"/>
  <c r="G30" i="5"/>
  <c r="H30" i="5"/>
  <c r="G29" i="5"/>
  <c r="G27" i="5"/>
  <c r="O65" i="8"/>
  <c r="O62" i="8"/>
  <c r="R77" i="3" l="1"/>
  <c r="V179" i="2"/>
  <c r="V181" i="2" s="1"/>
  <c r="AG179" i="2"/>
  <c r="X77" i="3"/>
  <c r="AL37" i="1"/>
  <c r="M23" i="11"/>
  <c r="M24" i="11"/>
  <c r="Q72" i="3"/>
  <c r="Q73" i="3"/>
  <c r="Q71" i="3"/>
  <c r="T145" i="2"/>
  <c r="U145" i="2"/>
  <c r="T146" i="2"/>
  <c r="U146" i="2"/>
  <c r="T147" i="2"/>
  <c r="U147" i="2"/>
  <c r="T148" i="2"/>
  <c r="U148" i="2"/>
  <c r="T149" i="2"/>
  <c r="U149" i="2"/>
  <c r="T150" i="2"/>
  <c r="U150" i="2"/>
  <c r="T151" i="2"/>
  <c r="U151" i="2"/>
  <c r="T152" i="2"/>
  <c r="U152" i="2"/>
  <c r="T153" i="2"/>
  <c r="U153" i="2"/>
  <c r="T154" i="2"/>
  <c r="U154" i="2"/>
  <c r="T155" i="2"/>
  <c r="U155" i="2"/>
  <c r="T156" i="2"/>
  <c r="U156" i="2"/>
  <c r="T157" i="2"/>
  <c r="U157" i="2"/>
  <c r="T158" i="2"/>
  <c r="U158" i="2"/>
  <c r="T159" i="2"/>
  <c r="U159" i="2"/>
  <c r="T160" i="2"/>
  <c r="U160" i="2"/>
  <c r="T161" i="2"/>
  <c r="U161" i="2"/>
  <c r="T162" i="2"/>
  <c r="U162" i="2"/>
  <c r="T163" i="2"/>
  <c r="U163" i="2"/>
  <c r="T164" i="2"/>
  <c r="U164" i="2"/>
  <c r="T165" i="2"/>
  <c r="U165" i="2"/>
  <c r="T166" i="2"/>
  <c r="U166" i="2"/>
  <c r="T167" i="2"/>
  <c r="U167" i="2"/>
  <c r="T168" i="2"/>
  <c r="U168" i="2"/>
  <c r="T169" i="2"/>
  <c r="U169" i="2"/>
  <c r="T170" i="2"/>
  <c r="U170" i="2"/>
  <c r="T171" i="2"/>
  <c r="U171" i="2"/>
  <c r="T172" i="2"/>
  <c r="U172" i="2"/>
  <c r="T173" i="2"/>
  <c r="U173" i="2"/>
  <c r="T174" i="2"/>
  <c r="U174" i="2"/>
  <c r="T175" i="2"/>
  <c r="U175" i="2"/>
  <c r="U144" i="2"/>
  <c r="T144" i="2"/>
  <c r="M28" i="11" l="1"/>
  <c r="AX46" i="1" s="1"/>
  <c r="Q56" i="8"/>
  <c r="Q49" i="8"/>
  <c r="Q46" i="8"/>
  <c r="Q40" i="8"/>
  <c r="Q35" i="8"/>
  <c r="Q28" i="8"/>
  <c r="Q25" i="8"/>
  <c r="Q19" i="8"/>
  <c r="J57" i="8"/>
  <c r="J56" i="8"/>
  <c r="J50" i="8"/>
  <c r="J51" i="8"/>
  <c r="J52" i="8"/>
  <c r="J53" i="8"/>
  <c r="J49" i="8"/>
  <c r="J44" i="8"/>
  <c r="J45" i="8"/>
  <c r="J46" i="8"/>
  <c r="J43" i="8"/>
  <c r="J40" i="8"/>
  <c r="J39" i="8"/>
  <c r="J36" i="8"/>
  <c r="J35" i="8"/>
  <c r="J29" i="8"/>
  <c r="J30" i="8"/>
  <c r="J31" i="8"/>
  <c r="J32" i="8"/>
  <c r="J28" i="8"/>
  <c r="J23" i="8"/>
  <c r="J24" i="8"/>
  <c r="J25" i="8"/>
  <c r="J22" i="8"/>
  <c r="J19" i="8"/>
  <c r="J18" i="8"/>
  <c r="I56" i="8"/>
  <c r="I49" i="8"/>
  <c r="I46" i="8"/>
  <c r="I40" i="8"/>
  <c r="I35" i="8"/>
  <c r="I28" i="8"/>
  <c r="I25" i="8"/>
  <c r="I19" i="8"/>
  <c r="H57" i="8"/>
  <c r="H56" i="8"/>
  <c r="H50" i="8"/>
  <c r="H51" i="8"/>
  <c r="H52" i="8"/>
  <c r="H53" i="8"/>
  <c r="H49" i="8"/>
  <c r="H44" i="8"/>
  <c r="H45" i="8"/>
  <c r="H46" i="8"/>
  <c r="H43" i="8"/>
  <c r="H40" i="8"/>
  <c r="H39" i="8"/>
  <c r="H36" i="8"/>
  <c r="H35" i="8"/>
  <c r="H29" i="8"/>
  <c r="H30" i="8"/>
  <c r="H31" i="8"/>
  <c r="H32" i="8"/>
  <c r="H28" i="8"/>
  <c r="H23" i="8"/>
  <c r="H24" i="8"/>
  <c r="H25" i="8"/>
  <c r="H22" i="8"/>
  <c r="H19" i="8"/>
  <c r="G57" i="8"/>
  <c r="G56" i="8"/>
  <c r="G50" i="8"/>
  <c r="G51" i="8"/>
  <c r="G52" i="8"/>
  <c r="G53" i="8"/>
  <c r="G49" i="8"/>
  <c r="G44" i="8"/>
  <c r="G45" i="8"/>
  <c r="G46" i="8"/>
  <c r="G43" i="8"/>
  <c r="G40" i="8"/>
  <c r="G39" i="8"/>
  <c r="H18" i="8"/>
  <c r="K57" i="8"/>
  <c r="M56" i="8"/>
  <c r="O56" i="8" s="1"/>
  <c r="K53" i="8"/>
  <c r="K52" i="8"/>
  <c r="K51" i="8"/>
  <c r="K50" i="8"/>
  <c r="M49" i="8"/>
  <c r="O49" i="8" s="1"/>
  <c r="M46" i="8"/>
  <c r="O46" i="8" s="1"/>
  <c r="K45" i="8"/>
  <c r="K44" i="8"/>
  <c r="K43" i="8"/>
  <c r="M40" i="8"/>
  <c r="O40" i="8" s="1"/>
  <c r="K39" i="8"/>
  <c r="J63" i="7"/>
  <c r="J56" i="7"/>
  <c r="J55" i="7"/>
  <c r="J53" i="7"/>
  <c r="J52" i="7"/>
  <c r="J45" i="7"/>
  <c r="J46" i="7"/>
  <c r="J48" i="7"/>
  <c r="J44" i="7"/>
  <c r="J40" i="7"/>
  <c r="J38" i="7"/>
  <c r="J33" i="7"/>
  <c r="J34" i="7"/>
  <c r="J35" i="7"/>
  <c r="J32" i="7"/>
  <c r="J27" i="7"/>
  <c r="J28" i="7"/>
  <c r="J29" i="7"/>
  <c r="J26" i="7"/>
  <c r="J22" i="7"/>
  <c r="J23" i="7"/>
  <c r="J21" i="7"/>
  <c r="J19" i="7"/>
  <c r="J18" i="7"/>
  <c r="H63" i="7"/>
  <c r="H56" i="7"/>
  <c r="H55" i="7"/>
  <c r="H53" i="7"/>
  <c r="H52" i="7"/>
  <c r="H45" i="7"/>
  <c r="H46" i="7"/>
  <c r="H48" i="7"/>
  <c r="H44" i="7"/>
  <c r="H40" i="7"/>
  <c r="H38" i="7"/>
  <c r="H33" i="7"/>
  <c r="H34" i="7"/>
  <c r="H35" i="7"/>
  <c r="H32" i="7"/>
  <c r="H27" i="7"/>
  <c r="H28" i="7"/>
  <c r="H29" i="7"/>
  <c r="H26" i="7"/>
  <c r="H22" i="7"/>
  <c r="H23" i="7"/>
  <c r="H19" i="7"/>
  <c r="H18" i="7"/>
  <c r="O67" i="5"/>
  <c r="G49" i="5"/>
  <c r="G50" i="5"/>
  <c r="G51" i="5"/>
  <c r="G52" i="5"/>
  <c r="G53" i="5"/>
  <c r="G54" i="5"/>
  <c r="G55" i="5"/>
  <c r="G48" i="5"/>
  <c r="H48" i="5"/>
  <c r="J48" i="5" s="1"/>
  <c r="L48" i="5" s="1"/>
  <c r="J49" i="5"/>
  <c r="L49" i="5" s="1"/>
  <c r="S49" i="5" s="1"/>
  <c r="J50" i="5"/>
  <c r="L50" i="5"/>
  <c r="Q50" i="5" s="1"/>
  <c r="H51" i="5"/>
  <c r="J51" i="5"/>
  <c r="L51" i="5" s="1"/>
  <c r="Q51" i="5" s="1"/>
  <c r="J52" i="5"/>
  <c r="L52" i="5" s="1"/>
  <c r="S52" i="5" s="1"/>
  <c r="J53" i="5"/>
  <c r="L53" i="5" s="1"/>
  <c r="H54" i="5"/>
  <c r="J54" i="5" s="1"/>
  <c r="L54" i="5" s="1"/>
  <c r="Q54" i="5" s="1"/>
  <c r="H55" i="5"/>
  <c r="J55" i="5"/>
  <c r="L55" i="5" s="1"/>
  <c r="S55" i="5" s="1"/>
  <c r="G45" i="5"/>
  <c r="G35" i="5"/>
  <c r="G36" i="5"/>
  <c r="G38" i="5"/>
  <c r="G43" i="5"/>
  <c r="G44" i="5"/>
  <c r="G34" i="5"/>
  <c r="G32" i="5"/>
  <c r="G28" i="5"/>
  <c r="G23" i="5"/>
  <c r="G18" i="5"/>
  <c r="J63" i="18"/>
  <c r="J58" i="18"/>
  <c r="J57" i="18"/>
  <c r="J52" i="18"/>
  <c r="J53" i="18"/>
  <c r="J51" i="18"/>
  <c r="J38" i="18"/>
  <c r="J39" i="18"/>
  <c r="J40" i="18"/>
  <c r="J41" i="18"/>
  <c r="J42" i="18"/>
  <c r="J43" i="18"/>
  <c r="J44" i="18"/>
  <c r="J45" i="18"/>
  <c r="J46" i="18"/>
  <c r="J47" i="18"/>
  <c r="J48" i="18"/>
  <c r="J37" i="18"/>
  <c r="J32" i="18"/>
  <c r="J33" i="18"/>
  <c r="J31" i="18"/>
  <c r="J28" i="18"/>
  <c r="J26" i="18"/>
  <c r="J23" i="18"/>
  <c r="J19" i="18"/>
  <c r="I63" i="18"/>
  <c r="I58" i="18"/>
  <c r="I57" i="18"/>
  <c r="I38" i="18"/>
  <c r="I39" i="18"/>
  <c r="I42" i="18"/>
  <c r="I43" i="18"/>
  <c r="I37" i="18"/>
  <c r="I19" i="18"/>
  <c r="H63" i="18"/>
  <c r="H58" i="18"/>
  <c r="H57" i="18"/>
  <c r="H53" i="18"/>
  <c r="H52" i="18"/>
  <c r="H51" i="18"/>
  <c r="H39" i="18"/>
  <c r="H40" i="18"/>
  <c r="H41" i="18"/>
  <c r="H42" i="18"/>
  <c r="H43" i="18"/>
  <c r="H44" i="18"/>
  <c r="H45" i="18"/>
  <c r="H46" i="18"/>
  <c r="H47" i="18"/>
  <c r="H48" i="18"/>
  <c r="H32" i="18"/>
  <c r="H33" i="18"/>
  <c r="H31" i="18"/>
  <c r="H28" i="18"/>
  <c r="H26" i="18"/>
  <c r="H23" i="18"/>
  <c r="H19" i="18"/>
  <c r="J51" i="16"/>
  <c r="J53" i="16"/>
  <c r="J54" i="16"/>
  <c r="J50" i="16"/>
  <c r="J48" i="16"/>
  <c r="J47" i="16"/>
  <c r="J38" i="16"/>
  <c r="J39" i="16"/>
  <c r="J40" i="16"/>
  <c r="J37" i="16"/>
  <c r="J32" i="16"/>
  <c r="J34" i="16"/>
  <c r="J31" i="16"/>
  <c r="J29" i="16"/>
  <c r="J28" i="16"/>
  <c r="J19" i="16"/>
  <c r="J20" i="16"/>
  <c r="J21" i="16"/>
  <c r="J22" i="16"/>
  <c r="J23" i="16"/>
  <c r="J24" i="16"/>
  <c r="J26" i="16"/>
  <c r="J18" i="16"/>
  <c r="I48" i="16"/>
  <c r="I47" i="16"/>
  <c r="I40" i="16"/>
  <c r="I29" i="16"/>
  <c r="I28" i="16"/>
  <c r="H51" i="16"/>
  <c r="H53" i="16"/>
  <c r="H54" i="16"/>
  <c r="H50" i="16"/>
  <c r="H38" i="16"/>
  <c r="H39" i="16"/>
  <c r="H40" i="16"/>
  <c r="H37" i="16"/>
  <c r="H32" i="16"/>
  <c r="H34" i="16"/>
  <c r="H31" i="16"/>
  <c r="H19" i="16"/>
  <c r="H20" i="16"/>
  <c r="H21" i="16"/>
  <c r="H22" i="16"/>
  <c r="H23" i="16"/>
  <c r="H24" i="16"/>
  <c r="H26" i="16"/>
  <c r="H18" i="16"/>
  <c r="J129" i="17"/>
  <c r="J130" i="17"/>
  <c r="J131" i="17"/>
  <c r="J128" i="17"/>
  <c r="J126" i="17"/>
  <c r="J118" i="17"/>
  <c r="J119" i="17"/>
  <c r="J120" i="17"/>
  <c r="J121" i="17"/>
  <c r="J122" i="17"/>
  <c r="J123" i="17"/>
  <c r="J124" i="17"/>
  <c r="J117" i="17"/>
  <c r="J115" i="17"/>
  <c r="J114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98" i="17"/>
  <c r="J96" i="17"/>
  <c r="J95" i="17"/>
  <c r="J93" i="17"/>
  <c r="J91" i="17"/>
  <c r="J90" i="17"/>
  <c r="J79" i="17"/>
  <c r="J80" i="17"/>
  <c r="J81" i="17"/>
  <c r="J82" i="17"/>
  <c r="J83" i="17"/>
  <c r="J84" i="17"/>
  <c r="J85" i="17"/>
  <c r="J86" i="17"/>
  <c r="J88" i="17"/>
  <c r="J78" i="17"/>
  <c r="J75" i="17"/>
  <c r="J76" i="17"/>
  <c r="J74" i="17"/>
  <c r="J69" i="17"/>
  <c r="J67" i="17"/>
  <c r="J58" i="17"/>
  <c r="J59" i="17"/>
  <c r="J60" i="17"/>
  <c r="J61" i="17"/>
  <c r="J62" i="17"/>
  <c r="J63" i="17"/>
  <c r="J64" i="17"/>
  <c r="J65" i="17"/>
  <c r="J57" i="17"/>
  <c r="J55" i="17"/>
  <c r="J54" i="17"/>
  <c r="J42" i="17"/>
  <c r="J43" i="17"/>
  <c r="J44" i="17"/>
  <c r="J45" i="17"/>
  <c r="J46" i="17"/>
  <c r="J47" i="17"/>
  <c r="J48" i="17"/>
  <c r="J49" i="17"/>
  <c r="J50" i="17"/>
  <c r="J51" i="17"/>
  <c r="J52" i="17"/>
  <c r="J41" i="17"/>
  <c r="J39" i="17"/>
  <c r="J38" i="17"/>
  <c r="J36" i="17"/>
  <c r="J35" i="17"/>
  <c r="J33" i="17"/>
  <c r="J32" i="17"/>
  <c r="J30" i="17"/>
  <c r="J29" i="17"/>
  <c r="J20" i="17"/>
  <c r="J21" i="17"/>
  <c r="J22" i="17"/>
  <c r="J23" i="17"/>
  <c r="J24" i="17"/>
  <c r="J25" i="17"/>
  <c r="J26" i="17"/>
  <c r="J27" i="17"/>
  <c r="J19" i="17"/>
  <c r="I126" i="17"/>
  <c r="I115" i="17"/>
  <c r="I114" i="17"/>
  <c r="I96" i="17"/>
  <c r="I95" i="17"/>
  <c r="I91" i="17"/>
  <c r="I90" i="17"/>
  <c r="I85" i="17"/>
  <c r="I55" i="17"/>
  <c r="I54" i="17"/>
  <c r="I39" i="17"/>
  <c r="I38" i="17"/>
  <c r="I33" i="17"/>
  <c r="I32" i="17"/>
  <c r="I27" i="17"/>
  <c r="H129" i="17"/>
  <c r="H130" i="17"/>
  <c r="H131" i="17"/>
  <c r="H128" i="17"/>
  <c r="H126" i="17"/>
  <c r="H118" i="17"/>
  <c r="H119" i="17"/>
  <c r="H120" i="17"/>
  <c r="H121" i="17"/>
  <c r="H122" i="17"/>
  <c r="H123" i="17"/>
  <c r="H124" i="17"/>
  <c r="H117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98" i="17"/>
  <c r="H93" i="17"/>
  <c r="H91" i="17"/>
  <c r="H90" i="17"/>
  <c r="H79" i="17"/>
  <c r="H80" i="17"/>
  <c r="H81" i="17"/>
  <c r="H82" i="17"/>
  <c r="H83" i="17"/>
  <c r="H84" i="17"/>
  <c r="H85" i="17"/>
  <c r="H86" i="17"/>
  <c r="H88" i="17"/>
  <c r="H78" i="17"/>
  <c r="H75" i="17"/>
  <c r="H76" i="17"/>
  <c r="H74" i="17"/>
  <c r="H69" i="17"/>
  <c r="H67" i="17"/>
  <c r="H58" i="17"/>
  <c r="H59" i="17"/>
  <c r="H60" i="17"/>
  <c r="H61" i="17"/>
  <c r="H62" i="17"/>
  <c r="H63" i="17"/>
  <c r="H64" i="17"/>
  <c r="H65" i="17"/>
  <c r="H57" i="17"/>
  <c r="H42" i="17"/>
  <c r="H43" i="17"/>
  <c r="H44" i="17"/>
  <c r="H45" i="17"/>
  <c r="H46" i="17"/>
  <c r="H47" i="17"/>
  <c r="H48" i="17"/>
  <c r="H49" i="17"/>
  <c r="H50" i="17"/>
  <c r="H51" i="17"/>
  <c r="H52" i="17"/>
  <c r="H41" i="17"/>
  <c r="H36" i="17"/>
  <c r="H35" i="17"/>
  <c r="H33" i="17"/>
  <c r="H32" i="17"/>
  <c r="H30" i="17"/>
  <c r="H29" i="17"/>
  <c r="H20" i="17"/>
  <c r="H21" i="17"/>
  <c r="H22" i="17"/>
  <c r="H23" i="17"/>
  <c r="H24" i="17"/>
  <c r="H25" i="17"/>
  <c r="H26" i="17"/>
  <c r="H27" i="17"/>
  <c r="H19" i="17"/>
  <c r="K63" i="4"/>
  <c r="K58" i="4"/>
  <c r="K57" i="4"/>
  <c r="K52" i="4"/>
  <c r="K53" i="4"/>
  <c r="K51" i="4"/>
  <c r="K38" i="4"/>
  <c r="K39" i="4"/>
  <c r="K40" i="4"/>
  <c r="K41" i="4"/>
  <c r="K42" i="4"/>
  <c r="K43" i="4"/>
  <c r="K44" i="4"/>
  <c r="K45" i="4"/>
  <c r="K46" i="4"/>
  <c r="K47" i="4"/>
  <c r="K48" i="4"/>
  <c r="K37" i="4"/>
  <c r="K32" i="4"/>
  <c r="K33" i="4"/>
  <c r="K31" i="4"/>
  <c r="K28" i="4"/>
  <c r="K23" i="4"/>
  <c r="K19" i="4"/>
  <c r="J63" i="4"/>
  <c r="J58" i="4"/>
  <c r="J57" i="4"/>
  <c r="J38" i="4"/>
  <c r="J42" i="4"/>
  <c r="J43" i="4"/>
  <c r="J37" i="4"/>
  <c r="I63" i="4"/>
  <c r="I58" i="4"/>
  <c r="I57" i="4"/>
  <c r="I38" i="4"/>
  <c r="I39" i="4"/>
  <c r="I40" i="4"/>
  <c r="I41" i="4"/>
  <c r="I42" i="4"/>
  <c r="I43" i="4"/>
  <c r="I44" i="4"/>
  <c r="I37" i="4"/>
  <c r="H63" i="4"/>
  <c r="H58" i="4"/>
  <c r="H57" i="4"/>
  <c r="H52" i="4"/>
  <c r="H53" i="4"/>
  <c r="H51" i="4"/>
  <c r="H39" i="4"/>
  <c r="H40" i="4"/>
  <c r="H41" i="4"/>
  <c r="H42" i="4"/>
  <c r="H43" i="4"/>
  <c r="H44" i="4"/>
  <c r="H45" i="4"/>
  <c r="H46" i="4"/>
  <c r="H47" i="4"/>
  <c r="H48" i="4"/>
  <c r="H32" i="4"/>
  <c r="H33" i="4"/>
  <c r="H31" i="4"/>
  <c r="H28" i="4"/>
  <c r="H26" i="4"/>
  <c r="H23" i="4"/>
  <c r="H19" i="4"/>
  <c r="K54" i="3"/>
  <c r="K48" i="3"/>
  <c r="K47" i="3"/>
  <c r="K29" i="3"/>
  <c r="K28" i="3"/>
  <c r="K64" i="3"/>
  <c r="K63" i="3"/>
  <c r="K60" i="3"/>
  <c r="K59" i="3"/>
  <c r="J48" i="3"/>
  <c r="J47" i="3"/>
  <c r="J40" i="3"/>
  <c r="J29" i="3"/>
  <c r="J28" i="3"/>
  <c r="J64" i="3"/>
  <c r="J63" i="3"/>
  <c r="J60" i="3"/>
  <c r="J59" i="3"/>
  <c r="I51" i="3"/>
  <c r="I53" i="3"/>
  <c r="I50" i="3"/>
  <c r="I48" i="3"/>
  <c r="I47" i="3"/>
  <c r="I40" i="3"/>
  <c r="I32" i="3"/>
  <c r="I31" i="3"/>
  <c r="I29" i="3"/>
  <c r="I28" i="3"/>
  <c r="I26" i="3"/>
  <c r="I64" i="3"/>
  <c r="I63" i="3"/>
  <c r="I60" i="3"/>
  <c r="I59" i="3"/>
  <c r="H51" i="3"/>
  <c r="H53" i="3"/>
  <c r="H54" i="3"/>
  <c r="H50" i="3"/>
  <c r="H38" i="3"/>
  <c r="H39" i="3"/>
  <c r="H40" i="3"/>
  <c r="H37" i="3"/>
  <c r="H32" i="3"/>
  <c r="H34" i="3"/>
  <c r="H31" i="3"/>
  <c r="H19" i="3"/>
  <c r="H20" i="3"/>
  <c r="H21" i="3"/>
  <c r="H22" i="3"/>
  <c r="H23" i="3"/>
  <c r="H24" i="3"/>
  <c r="H26" i="3"/>
  <c r="H18" i="3"/>
  <c r="H64" i="3"/>
  <c r="H63" i="3"/>
  <c r="H60" i="3"/>
  <c r="H59" i="3"/>
  <c r="W57" i="18"/>
  <c r="W58" i="18"/>
  <c r="W63" i="18"/>
  <c r="W37" i="18"/>
  <c r="W38" i="18"/>
  <c r="W42" i="18"/>
  <c r="W43" i="18"/>
  <c r="Y63" i="18"/>
  <c r="Y58" i="18"/>
  <c r="Y57" i="18"/>
  <c r="Y43" i="18"/>
  <c r="Y42" i="18"/>
  <c r="Y38" i="18"/>
  <c r="T63" i="18"/>
  <c r="R63" i="18"/>
  <c r="M63" i="18"/>
  <c r="O63" i="18" s="1"/>
  <c r="K63" i="18"/>
  <c r="G63" i="18"/>
  <c r="K62" i="18"/>
  <c r="G62" i="18"/>
  <c r="K61" i="18"/>
  <c r="Y61" i="18" s="1"/>
  <c r="G61" i="18"/>
  <c r="M60" i="18"/>
  <c r="O60" i="18" s="1"/>
  <c r="K60" i="18"/>
  <c r="Y60" i="18" s="1"/>
  <c r="G60" i="18"/>
  <c r="M59" i="18"/>
  <c r="O59" i="18" s="1"/>
  <c r="U59" i="18" s="1"/>
  <c r="K59" i="18"/>
  <c r="G59" i="18"/>
  <c r="T58" i="18"/>
  <c r="R58" i="18"/>
  <c r="M58" i="18"/>
  <c r="O58" i="18" s="1"/>
  <c r="K58" i="18"/>
  <c r="G58" i="18"/>
  <c r="T57" i="18"/>
  <c r="R57" i="18"/>
  <c r="M57" i="18"/>
  <c r="O57" i="18" s="1"/>
  <c r="K57" i="18"/>
  <c r="G57" i="18"/>
  <c r="M56" i="18"/>
  <c r="O56" i="18" s="1"/>
  <c r="U56" i="18" s="1"/>
  <c r="K56" i="18"/>
  <c r="Y56" i="18" s="1"/>
  <c r="G56" i="18"/>
  <c r="M55" i="18"/>
  <c r="O55" i="18" s="1"/>
  <c r="U55" i="18" s="1"/>
  <c r="K55" i="18"/>
  <c r="Y55" i="18" s="1"/>
  <c r="G55" i="18"/>
  <c r="K54" i="18"/>
  <c r="Y54" i="18" s="1"/>
  <c r="G54" i="18"/>
  <c r="K53" i="18"/>
  <c r="G53" i="18"/>
  <c r="K52" i="18"/>
  <c r="G52" i="18"/>
  <c r="K51" i="18"/>
  <c r="G51" i="18"/>
  <c r="K48" i="18"/>
  <c r="G48" i="18"/>
  <c r="K47" i="18"/>
  <c r="G47" i="18"/>
  <c r="K46" i="18"/>
  <c r="G46" i="18"/>
  <c r="K45" i="18"/>
  <c r="G45" i="18"/>
  <c r="K44" i="18"/>
  <c r="I44" i="18" s="1"/>
  <c r="G44" i="18"/>
  <c r="T43" i="18"/>
  <c r="R43" i="18"/>
  <c r="M43" i="18"/>
  <c r="O43" i="18" s="1"/>
  <c r="K43" i="18"/>
  <c r="G43" i="18"/>
  <c r="T42" i="18"/>
  <c r="R42" i="18"/>
  <c r="M42" i="18"/>
  <c r="O42" i="18" s="1"/>
  <c r="K42" i="18"/>
  <c r="G42" i="18"/>
  <c r="K41" i="18"/>
  <c r="I41" i="18" s="1"/>
  <c r="G41" i="18"/>
  <c r="K40" i="18"/>
  <c r="I40" i="18" s="1"/>
  <c r="G40" i="18"/>
  <c r="K39" i="18"/>
  <c r="G39" i="18"/>
  <c r="T38" i="18"/>
  <c r="R38" i="18"/>
  <c r="M38" i="18"/>
  <c r="O38" i="18" s="1"/>
  <c r="K38" i="18"/>
  <c r="G38" i="18"/>
  <c r="T37" i="18"/>
  <c r="R37" i="18"/>
  <c r="M37" i="18"/>
  <c r="O37" i="18" s="1"/>
  <c r="K37" i="18"/>
  <c r="G37" i="18"/>
  <c r="M36" i="18"/>
  <c r="O36" i="18" s="1"/>
  <c r="U36" i="18" s="1"/>
  <c r="K36" i="18"/>
  <c r="Y36" i="18" s="1"/>
  <c r="G36" i="18"/>
  <c r="K35" i="18"/>
  <c r="Y35" i="18" s="1"/>
  <c r="G35" i="18"/>
  <c r="K34" i="18"/>
  <c r="Y34" i="18" s="1"/>
  <c r="G34" i="18"/>
  <c r="K33" i="18"/>
  <c r="G33" i="18"/>
  <c r="K32" i="18"/>
  <c r="X32" i="18" s="1"/>
  <c r="G32" i="18"/>
  <c r="K31" i="18"/>
  <c r="I31" i="18" s="1"/>
  <c r="G31" i="18"/>
  <c r="K28" i="18"/>
  <c r="G28" i="18"/>
  <c r="M26" i="18"/>
  <c r="O26" i="18" s="1"/>
  <c r="K26" i="18"/>
  <c r="X26" i="18" s="1"/>
  <c r="G26" i="18"/>
  <c r="K23" i="18"/>
  <c r="G23" i="18"/>
  <c r="M22" i="18"/>
  <c r="O22" i="18" s="1"/>
  <c r="K22" i="18"/>
  <c r="X22" i="18" s="1"/>
  <c r="G22" i="18"/>
  <c r="K21" i="18"/>
  <c r="G21" i="18"/>
  <c r="K19" i="18"/>
  <c r="X19" i="18" s="1"/>
  <c r="G19" i="18"/>
  <c r="K18" i="18"/>
  <c r="G18" i="18"/>
  <c r="AJ90" i="17"/>
  <c r="AJ91" i="17"/>
  <c r="AJ95" i="17"/>
  <c r="AJ96" i="17"/>
  <c r="AJ114" i="17"/>
  <c r="AJ115" i="17"/>
  <c r="AJ32" i="17"/>
  <c r="AJ33" i="17"/>
  <c r="AJ38" i="17"/>
  <c r="AJ39" i="17"/>
  <c r="AJ54" i="17"/>
  <c r="AJ55" i="17"/>
  <c r="AG90" i="17"/>
  <c r="AH90" i="17"/>
  <c r="AG91" i="17"/>
  <c r="AH91" i="17"/>
  <c r="AG95" i="17"/>
  <c r="AH95" i="17"/>
  <c r="AG96" i="17"/>
  <c r="AH96" i="17"/>
  <c r="AG114" i="17"/>
  <c r="AH114" i="17"/>
  <c r="AG115" i="17"/>
  <c r="AH115" i="17"/>
  <c r="AG32" i="17"/>
  <c r="AH32" i="17"/>
  <c r="AG33" i="17"/>
  <c r="AH33" i="17"/>
  <c r="AG38" i="17"/>
  <c r="AH38" i="17"/>
  <c r="AG39" i="17"/>
  <c r="AH39" i="17"/>
  <c r="AG54" i="17"/>
  <c r="AH54" i="17"/>
  <c r="AG55" i="17"/>
  <c r="AH55" i="17"/>
  <c r="AA90" i="17"/>
  <c r="AA91" i="17"/>
  <c r="AA32" i="17"/>
  <c r="AA33" i="17"/>
  <c r="AD91" i="2"/>
  <c r="AD92" i="2"/>
  <c r="AD32" i="2"/>
  <c r="AD33" i="2"/>
  <c r="Z90" i="17"/>
  <c r="Z91" i="17"/>
  <c r="K131" i="17"/>
  <c r="G131" i="17"/>
  <c r="K130" i="17"/>
  <c r="AJ130" i="17" s="1"/>
  <c r="G130" i="17"/>
  <c r="K129" i="17"/>
  <c r="AJ129" i="17" s="1"/>
  <c r="G129" i="17"/>
  <c r="K128" i="17"/>
  <c r="AJ128" i="17" s="1"/>
  <c r="G128" i="17"/>
  <c r="K127" i="17"/>
  <c r="AJ127" i="17" s="1"/>
  <c r="G127" i="17"/>
  <c r="K126" i="17"/>
  <c r="G126" i="17"/>
  <c r="K125" i="17"/>
  <c r="AJ125" i="17" s="1"/>
  <c r="G125" i="17"/>
  <c r="K124" i="17"/>
  <c r="G124" i="17"/>
  <c r="K123" i="17"/>
  <c r="G123" i="17"/>
  <c r="K122" i="17"/>
  <c r="G122" i="17"/>
  <c r="O121" i="17"/>
  <c r="N121" i="17"/>
  <c r="R121" i="17" s="1"/>
  <c r="K121" i="17"/>
  <c r="G121" i="17"/>
  <c r="K120" i="17"/>
  <c r="G120" i="17"/>
  <c r="O119" i="17"/>
  <c r="N119" i="17"/>
  <c r="R119" i="17" s="1"/>
  <c r="K119" i="17"/>
  <c r="AJ119" i="17" s="1"/>
  <c r="G119" i="17"/>
  <c r="K118" i="17"/>
  <c r="AJ118" i="17" s="1"/>
  <c r="G118" i="17"/>
  <c r="K117" i="17"/>
  <c r="I117" i="17" s="1"/>
  <c r="G117" i="17"/>
  <c r="O116" i="17"/>
  <c r="N116" i="17"/>
  <c r="R116" i="17" s="1"/>
  <c r="AD116" i="17" s="1"/>
  <c r="K116" i="17"/>
  <c r="G116" i="17"/>
  <c r="W115" i="17"/>
  <c r="V115" i="17"/>
  <c r="O115" i="17"/>
  <c r="S115" i="17" s="1"/>
  <c r="AE115" i="17" s="1"/>
  <c r="N115" i="17"/>
  <c r="R115" i="17" s="1"/>
  <c r="K115" i="17"/>
  <c r="G115" i="17"/>
  <c r="W114" i="17"/>
  <c r="V114" i="17"/>
  <c r="O114" i="17"/>
  <c r="S114" i="17" s="1"/>
  <c r="AE114" i="17" s="1"/>
  <c r="N114" i="17"/>
  <c r="R114" i="17" s="1"/>
  <c r="K114" i="17"/>
  <c r="G114" i="17"/>
  <c r="O113" i="17"/>
  <c r="N113" i="17"/>
  <c r="R113" i="17" s="1"/>
  <c r="K113" i="17"/>
  <c r="AJ113" i="17" s="1"/>
  <c r="G113" i="17"/>
  <c r="K112" i="17"/>
  <c r="AJ112" i="17" s="1"/>
  <c r="G112" i="17"/>
  <c r="K111" i="17"/>
  <c r="G111" i="17"/>
  <c r="K110" i="17"/>
  <c r="O110" i="17" s="1"/>
  <c r="G110" i="17"/>
  <c r="K109" i="17"/>
  <c r="AJ109" i="17" s="1"/>
  <c r="G109" i="17"/>
  <c r="K108" i="17"/>
  <c r="AJ108" i="17" s="1"/>
  <c r="G108" i="17"/>
  <c r="O107" i="17"/>
  <c r="N107" i="17"/>
  <c r="R107" i="17" s="1"/>
  <c r="K107" i="17"/>
  <c r="I107" i="17" s="1"/>
  <c r="G107" i="17"/>
  <c r="O106" i="17"/>
  <c r="N106" i="17"/>
  <c r="R106" i="17" s="1"/>
  <c r="K106" i="17"/>
  <c r="G106" i="17"/>
  <c r="K105" i="17"/>
  <c r="G105" i="17"/>
  <c r="O104" i="17"/>
  <c r="N104" i="17"/>
  <c r="R104" i="17" s="1"/>
  <c r="K104" i="17"/>
  <c r="G104" i="17"/>
  <c r="K103" i="17"/>
  <c r="G103" i="17"/>
  <c r="K102" i="17"/>
  <c r="G102" i="17"/>
  <c r="K101" i="17"/>
  <c r="G101" i="17"/>
  <c r="K100" i="17"/>
  <c r="G100" i="17"/>
  <c r="O99" i="17"/>
  <c r="S99" i="17" s="1"/>
  <c r="AE99" i="17" s="1"/>
  <c r="N99" i="17"/>
  <c r="R99" i="17" s="1"/>
  <c r="K99" i="17"/>
  <c r="G99" i="17"/>
  <c r="K98" i="17"/>
  <c r="AJ98" i="17" s="1"/>
  <c r="G98" i="17"/>
  <c r="O97" i="17"/>
  <c r="N97" i="17"/>
  <c r="R97" i="17" s="1"/>
  <c r="K97" i="17"/>
  <c r="AJ97" i="17" s="1"/>
  <c r="G97" i="17"/>
  <c r="W96" i="17"/>
  <c r="V96" i="17"/>
  <c r="O96" i="17"/>
  <c r="N96" i="17"/>
  <c r="R96" i="17" s="1"/>
  <c r="K96" i="17"/>
  <c r="G96" i="17"/>
  <c r="W95" i="17"/>
  <c r="V95" i="17"/>
  <c r="O95" i="17"/>
  <c r="N95" i="17"/>
  <c r="R95" i="17" s="1"/>
  <c r="K95" i="17"/>
  <c r="G95" i="17"/>
  <c r="O94" i="17"/>
  <c r="N94" i="17"/>
  <c r="R94" i="17" s="1"/>
  <c r="K94" i="17"/>
  <c r="AJ94" i="17" s="1"/>
  <c r="G94" i="17"/>
  <c r="K93" i="17"/>
  <c r="N93" i="17" s="1"/>
  <c r="R93" i="17" s="1"/>
  <c r="G93" i="17"/>
  <c r="O92" i="17"/>
  <c r="N92" i="17"/>
  <c r="R92" i="17" s="1"/>
  <c r="K92" i="17"/>
  <c r="AJ92" i="17" s="1"/>
  <c r="G92" i="17"/>
  <c r="AC91" i="17"/>
  <c r="AB91" i="17"/>
  <c r="Y91" i="17"/>
  <c r="W91" i="17" s="1"/>
  <c r="X91" i="17"/>
  <c r="V91" i="17" s="1"/>
  <c r="O91" i="17"/>
  <c r="S91" i="17" s="1"/>
  <c r="AE91" i="17" s="1"/>
  <c r="N91" i="17"/>
  <c r="R91" i="17" s="1"/>
  <c r="K91" i="17"/>
  <c r="G91" i="17"/>
  <c r="AC90" i="17"/>
  <c r="AB90" i="17"/>
  <c r="Y90" i="17"/>
  <c r="W90" i="17" s="1"/>
  <c r="X90" i="17"/>
  <c r="V90" i="17" s="1"/>
  <c r="O90" i="17"/>
  <c r="N90" i="17"/>
  <c r="R90" i="17" s="1"/>
  <c r="K90" i="17"/>
  <c r="G90" i="17"/>
  <c r="O89" i="17"/>
  <c r="N89" i="17"/>
  <c r="R89" i="17" s="1"/>
  <c r="K89" i="17"/>
  <c r="AJ89" i="17" s="1"/>
  <c r="G89" i="17"/>
  <c r="K88" i="17"/>
  <c r="AJ88" i="17" s="1"/>
  <c r="G88" i="17"/>
  <c r="K86" i="17"/>
  <c r="G86" i="17"/>
  <c r="O85" i="17"/>
  <c r="S85" i="17" s="1"/>
  <c r="AE85" i="17" s="1"/>
  <c r="N85" i="17"/>
  <c r="R85" i="17" s="1"/>
  <c r="K85" i="17"/>
  <c r="AI85" i="17" s="1"/>
  <c r="G85" i="17"/>
  <c r="K84" i="17"/>
  <c r="G84" i="17"/>
  <c r="K83" i="17"/>
  <c r="G83" i="17"/>
  <c r="K82" i="17"/>
  <c r="I82" i="17" s="1"/>
  <c r="G82" i="17"/>
  <c r="K81" i="17"/>
  <c r="N81" i="17" s="1"/>
  <c r="R81" i="17" s="1"/>
  <c r="G81" i="17"/>
  <c r="K80" i="17"/>
  <c r="I80" i="17" s="1"/>
  <c r="G80" i="17"/>
  <c r="K79" i="17"/>
  <c r="G79" i="17"/>
  <c r="K78" i="17"/>
  <c r="G78" i="17"/>
  <c r="K77" i="17"/>
  <c r="G77" i="17"/>
  <c r="K76" i="17"/>
  <c r="G76" i="17"/>
  <c r="K75" i="17"/>
  <c r="G75" i="17"/>
  <c r="K74" i="17"/>
  <c r="G74" i="17"/>
  <c r="K69" i="17"/>
  <c r="G69" i="17"/>
  <c r="K68" i="17"/>
  <c r="N68" i="17" s="1"/>
  <c r="R68" i="17" s="1"/>
  <c r="G68" i="17"/>
  <c r="K67" i="17"/>
  <c r="I67" i="17" s="1"/>
  <c r="G67" i="17"/>
  <c r="K66" i="17"/>
  <c r="AJ66" i="17" s="1"/>
  <c r="G66" i="17"/>
  <c r="K65" i="17"/>
  <c r="AJ65" i="17" s="1"/>
  <c r="G65" i="17"/>
  <c r="K64" i="17"/>
  <c r="G64" i="17"/>
  <c r="K63" i="17"/>
  <c r="G63" i="17"/>
  <c r="O62" i="17"/>
  <c r="N62" i="17"/>
  <c r="R62" i="17" s="1"/>
  <c r="K62" i="17"/>
  <c r="G62" i="17"/>
  <c r="K61" i="17"/>
  <c r="G61" i="17"/>
  <c r="O60" i="17"/>
  <c r="N60" i="17"/>
  <c r="R60" i="17" s="1"/>
  <c r="K60" i="17"/>
  <c r="AJ60" i="17" s="1"/>
  <c r="G60" i="17"/>
  <c r="K59" i="17"/>
  <c r="AJ59" i="17" s="1"/>
  <c r="G59" i="17"/>
  <c r="K58" i="17"/>
  <c r="AJ58" i="17" s="1"/>
  <c r="G58" i="17"/>
  <c r="K57" i="17"/>
  <c r="I57" i="17" s="1"/>
  <c r="G57" i="17"/>
  <c r="O56" i="17"/>
  <c r="N56" i="17"/>
  <c r="R56" i="17" s="1"/>
  <c r="K56" i="17"/>
  <c r="AJ56" i="17" s="1"/>
  <c r="G56" i="17"/>
  <c r="W55" i="17"/>
  <c r="V55" i="17"/>
  <c r="O55" i="17"/>
  <c r="S55" i="17" s="1"/>
  <c r="AE55" i="17" s="1"/>
  <c r="N55" i="17"/>
  <c r="R55" i="17" s="1"/>
  <c r="K55" i="17"/>
  <c r="G55" i="17"/>
  <c r="W54" i="17"/>
  <c r="V54" i="17"/>
  <c r="O54" i="17"/>
  <c r="S54" i="17" s="1"/>
  <c r="AE54" i="17" s="1"/>
  <c r="N54" i="17"/>
  <c r="R54" i="17" s="1"/>
  <c r="K54" i="17"/>
  <c r="G54" i="17"/>
  <c r="O53" i="17"/>
  <c r="N53" i="17"/>
  <c r="R53" i="17" s="1"/>
  <c r="K53" i="17"/>
  <c r="AJ53" i="17" s="1"/>
  <c r="G53" i="17"/>
  <c r="K52" i="17"/>
  <c r="AJ52" i="17" s="1"/>
  <c r="G52" i="17"/>
  <c r="K51" i="17"/>
  <c r="G51" i="17"/>
  <c r="K50" i="17"/>
  <c r="G50" i="17"/>
  <c r="K49" i="17"/>
  <c r="AJ49" i="17" s="1"/>
  <c r="G49" i="17"/>
  <c r="O48" i="17"/>
  <c r="S48" i="17" s="1"/>
  <c r="N48" i="17"/>
  <c r="R48" i="17" s="1"/>
  <c r="K48" i="17"/>
  <c r="G48" i="17"/>
  <c r="K47" i="17"/>
  <c r="G47" i="17"/>
  <c r="O46" i="17"/>
  <c r="N46" i="17"/>
  <c r="R46" i="17" s="1"/>
  <c r="K46" i="17"/>
  <c r="G46" i="17"/>
  <c r="K45" i="17"/>
  <c r="G45" i="17"/>
  <c r="K44" i="17"/>
  <c r="G44" i="17"/>
  <c r="K43" i="17"/>
  <c r="G43" i="17"/>
  <c r="K42" i="17"/>
  <c r="G42" i="17"/>
  <c r="K41" i="17"/>
  <c r="O41" i="17" s="1"/>
  <c r="G41" i="17"/>
  <c r="O40" i="17"/>
  <c r="N40" i="17"/>
  <c r="R40" i="17" s="1"/>
  <c r="AD40" i="17" s="1"/>
  <c r="K40" i="17"/>
  <c r="AJ40" i="17" s="1"/>
  <c r="G40" i="17"/>
  <c r="W39" i="17"/>
  <c r="V39" i="17"/>
  <c r="O39" i="17"/>
  <c r="N39" i="17"/>
  <c r="R39" i="17" s="1"/>
  <c r="T39" i="17" s="1"/>
  <c r="K39" i="17"/>
  <c r="G39" i="17"/>
  <c r="W38" i="17"/>
  <c r="O38" i="17"/>
  <c r="S38" i="17" s="1"/>
  <c r="AE38" i="17" s="1"/>
  <c r="N38" i="17"/>
  <c r="R38" i="17" s="1"/>
  <c r="K38" i="17"/>
  <c r="G38" i="17"/>
  <c r="O37" i="17"/>
  <c r="N37" i="17"/>
  <c r="R37" i="17" s="1"/>
  <c r="T37" i="17" s="1"/>
  <c r="K37" i="17"/>
  <c r="G37" i="17"/>
  <c r="K36" i="17"/>
  <c r="G36" i="17"/>
  <c r="K35" i="17"/>
  <c r="AJ35" i="17" s="1"/>
  <c r="G35" i="17"/>
  <c r="O34" i="17"/>
  <c r="N34" i="17"/>
  <c r="R34" i="17" s="1"/>
  <c r="K34" i="17"/>
  <c r="AJ34" i="17" s="1"/>
  <c r="G34" i="17"/>
  <c r="AC33" i="17"/>
  <c r="AB33" i="17"/>
  <c r="Y33" i="17"/>
  <c r="W33" i="17" s="1"/>
  <c r="X33" i="17"/>
  <c r="V33" i="17" s="1"/>
  <c r="O33" i="17"/>
  <c r="N33" i="17"/>
  <c r="R33" i="17" s="1"/>
  <c r="T33" i="17" s="1"/>
  <c r="Z33" i="17" s="1"/>
  <c r="K33" i="17"/>
  <c r="G33" i="17"/>
  <c r="AC32" i="17"/>
  <c r="AB32" i="17"/>
  <c r="Y32" i="17"/>
  <c r="W32" i="17" s="1"/>
  <c r="X32" i="17"/>
  <c r="V32" i="17" s="1"/>
  <c r="O32" i="17"/>
  <c r="N32" i="17"/>
  <c r="R32" i="17" s="1"/>
  <c r="T32" i="17" s="1"/>
  <c r="Z32" i="17" s="1"/>
  <c r="K32" i="17"/>
  <c r="G32" i="17"/>
  <c r="O31" i="17"/>
  <c r="S31" i="17" s="1"/>
  <c r="N31" i="17"/>
  <c r="R31" i="17" s="1"/>
  <c r="K31" i="17"/>
  <c r="AJ31" i="17" s="1"/>
  <c r="G31" i="17"/>
  <c r="K30" i="17"/>
  <c r="AJ30" i="17" s="1"/>
  <c r="G30" i="17"/>
  <c r="K29" i="17"/>
  <c r="AJ29" i="17" s="1"/>
  <c r="G29" i="17"/>
  <c r="K28" i="17"/>
  <c r="AJ28" i="17" s="1"/>
  <c r="G28" i="17"/>
  <c r="K27" i="17"/>
  <c r="AJ27" i="17" s="1"/>
  <c r="G27" i="17"/>
  <c r="O26" i="17"/>
  <c r="S26" i="17" s="1"/>
  <c r="N26" i="17"/>
  <c r="R26" i="17" s="1"/>
  <c r="K26" i="17"/>
  <c r="G26" i="17"/>
  <c r="K25" i="17"/>
  <c r="G25" i="17"/>
  <c r="K24" i="17"/>
  <c r="G24" i="17"/>
  <c r="K23" i="17"/>
  <c r="G23" i="17"/>
  <c r="K22" i="17"/>
  <c r="G22" i="17"/>
  <c r="K21" i="17"/>
  <c r="G21" i="17"/>
  <c r="K20" i="17"/>
  <c r="G20" i="17"/>
  <c r="K19" i="17"/>
  <c r="G19" i="17"/>
  <c r="T47" i="16"/>
  <c r="T48" i="16"/>
  <c r="T28" i="16"/>
  <c r="T29" i="16"/>
  <c r="S47" i="16"/>
  <c r="Q47" i="16" s="1"/>
  <c r="S48" i="16"/>
  <c r="Q48" i="16" s="1"/>
  <c r="S28" i="16"/>
  <c r="Q28" i="16" s="1"/>
  <c r="S29" i="16"/>
  <c r="Q29" i="16" s="1"/>
  <c r="R47" i="16"/>
  <c r="R48" i="16"/>
  <c r="R28" i="16"/>
  <c r="R29" i="16"/>
  <c r="W28" i="3"/>
  <c r="W29" i="3"/>
  <c r="T28" i="3"/>
  <c r="T29" i="3"/>
  <c r="U28" i="3"/>
  <c r="U29" i="3"/>
  <c r="AF91" i="2"/>
  <c r="AF92" i="2"/>
  <c r="AF32" i="2"/>
  <c r="AF33" i="2"/>
  <c r="AE91" i="2"/>
  <c r="AE92" i="2"/>
  <c r="AC91" i="2"/>
  <c r="AC92" i="2"/>
  <c r="AB91" i="2"/>
  <c r="Z91" i="2" s="1"/>
  <c r="AB92" i="2"/>
  <c r="Z92" i="2" s="1"/>
  <c r="Z96" i="2"/>
  <c r="Z97" i="2"/>
  <c r="Z115" i="2"/>
  <c r="Z116" i="2"/>
  <c r="AB32" i="2"/>
  <c r="Z32" i="2" s="1"/>
  <c r="AB33" i="2"/>
  <c r="Z33" i="2" s="1"/>
  <c r="Z38" i="2"/>
  <c r="Z39" i="2"/>
  <c r="Z54" i="2"/>
  <c r="Z55" i="2"/>
  <c r="AA91" i="2"/>
  <c r="Y91" i="2" s="1"/>
  <c r="AA92" i="2"/>
  <c r="Y92" i="2" s="1"/>
  <c r="Y96" i="2"/>
  <c r="Y97" i="2"/>
  <c r="Y115" i="2"/>
  <c r="Y116" i="2"/>
  <c r="Y54" i="2"/>
  <c r="Y55" i="2"/>
  <c r="T64" i="3"/>
  <c r="T63" i="3"/>
  <c r="T60" i="3"/>
  <c r="T59" i="3"/>
  <c r="V56" i="16"/>
  <c r="AM38" i="1" s="1"/>
  <c r="W47" i="16"/>
  <c r="Y47" i="16"/>
  <c r="W48" i="16"/>
  <c r="Y48" i="16"/>
  <c r="Y28" i="16"/>
  <c r="Y29" i="16"/>
  <c r="W28" i="16"/>
  <c r="W29" i="16"/>
  <c r="K18" i="16"/>
  <c r="K19" i="16"/>
  <c r="K20" i="16"/>
  <c r="K21" i="16"/>
  <c r="K22" i="16"/>
  <c r="M22" i="16"/>
  <c r="O22" i="16" s="1"/>
  <c r="K23" i="16"/>
  <c r="M23" i="16"/>
  <c r="O23" i="16" s="1"/>
  <c r="K24" i="16"/>
  <c r="K26" i="16"/>
  <c r="Y26" i="16" s="1"/>
  <c r="K27" i="16"/>
  <c r="Y27" i="16" s="1"/>
  <c r="M27" i="16"/>
  <c r="O27" i="16" s="1"/>
  <c r="K28" i="16"/>
  <c r="M28" i="16"/>
  <c r="O28" i="16" s="1"/>
  <c r="K29" i="16"/>
  <c r="M29" i="16"/>
  <c r="O29" i="16" s="1"/>
  <c r="K30" i="16"/>
  <c r="Y30" i="16" s="1"/>
  <c r="M30" i="16"/>
  <c r="O30" i="16" s="1"/>
  <c r="U30" i="16" s="1"/>
  <c r="K31" i="16"/>
  <c r="Y31" i="16" s="1"/>
  <c r="K32" i="16"/>
  <c r="Y32" i="16" s="1"/>
  <c r="M32" i="16"/>
  <c r="O32" i="16" s="1"/>
  <c r="K34" i="16"/>
  <c r="M34" i="16" s="1"/>
  <c r="O34" i="16" s="1"/>
  <c r="U22" i="18" l="1"/>
  <c r="S22" i="18"/>
  <c r="Q22" i="18" s="1"/>
  <c r="I32" i="16"/>
  <c r="S27" i="16"/>
  <c r="R27" i="16" s="1"/>
  <c r="V38" i="17"/>
  <c r="AD31" i="17"/>
  <c r="T31" i="17"/>
  <c r="AH31" i="17"/>
  <c r="U31" i="17"/>
  <c r="T34" i="17"/>
  <c r="I20" i="16"/>
  <c r="X20" i="16"/>
  <c r="O100" i="17"/>
  <c r="S100" i="17" s="1"/>
  <c r="AI100" i="17"/>
  <c r="Y48" i="18"/>
  <c r="X48" i="18"/>
  <c r="Y62" i="18"/>
  <c r="X62" i="18"/>
  <c r="I47" i="17"/>
  <c r="AI47" i="17"/>
  <c r="Y34" i="16"/>
  <c r="X34" i="16"/>
  <c r="I24" i="17"/>
  <c r="AI24" i="17"/>
  <c r="AJ102" i="17"/>
  <c r="AI102" i="17"/>
  <c r="I19" i="17"/>
  <c r="AI19" i="17"/>
  <c r="AJ126" i="17"/>
  <c r="AI126" i="17"/>
  <c r="S23" i="16"/>
  <c r="Q23" i="16" s="1"/>
  <c r="I53" i="18"/>
  <c r="X53" i="18"/>
  <c r="M21" i="16"/>
  <c r="O21" i="16" s="1"/>
  <c r="P21" i="16" s="1"/>
  <c r="X21" i="16"/>
  <c r="Y47" i="18"/>
  <c r="X47" i="18"/>
  <c r="I112" i="17"/>
  <c r="I26" i="16"/>
  <c r="M39" i="8"/>
  <c r="O39" i="8" s="1"/>
  <c r="W39" i="8" s="1"/>
  <c r="X39" i="8"/>
  <c r="M57" i="8"/>
  <c r="O57" i="8" s="1"/>
  <c r="S57" i="8" s="1"/>
  <c r="Q57" i="8" s="1"/>
  <c r="X57" i="8"/>
  <c r="AJ37" i="17"/>
  <c r="AI37" i="17"/>
  <c r="I51" i="17"/>
  <c r="AI51" i="17"/>
  <c r="AJ123" i="17"/>
  <c r="AI123" i="17"/>
  <c r="Y18" i="16"/>
  <c r="X18" i="16"/>
  <c r="O42" i="17"/>
  <c r="S42" i="17" s="1"/>
  <c r="AH42" i="17" s="1"/>
  <c r="AI42" i="17"/>
  <c r="AJ76" i="17"/>
  <c r="AI76" i="17"/>
  <c r="I23" i="18"/>
  <c r="X23" i="18"/>
  <c r="AJ111" i="17"/>
  <c r="AI111" i="17"/>
  <c r="N25" i="17"/>
  <c r="R25" i="17" s="1"/>
  <c r="AG25" i="17" s="1"/>
  <c r="AI25" i="17"/>
  <c r="AJ78" i="17"/>
  <c r="AI78" i="17"/>
  <c r="AJ121" i="17"/>
  <c r="AI121" i="17"/>
  <c r="I26" i="18"/>
  <c r="U26" i="18" s="1"/>
  <c r="Y23" i="16"/>
  <c r="X23" i="16"/>
  <c r="AJ20" i="17"/>
  <c r="AI20" i="17"/>
  <c r="AJ26" i="17"/>
  <c r="AI26" i="17"/>
  <c r="AJ45" i="17"/>
  <c r="AI45" i="17"/>
  <c r="AJ63" i="17"/>
  <c r="AI63" i="17"/>
  <c r="AJ69" i="17"/>
  <c r="AI69" i="17"/>
  <c r="AJ79" i="17"/>
  <c r="AI79" i="17"/>
  <c r="I99" i="17"/>
  <c r="AD99" i="17" s="1"/>
  <c r="AI99" i="17"/>
  <c r="AJ104" i="17"/>
  <c r="AI104" i="17"/>
  <c r="Y28" i="18"/>
  <c r="X28" i="18"/>
  <c r="I28" i="18"/>
  <c r="I109" i="17"/>
  <c r="M19" i="16"/>
  <c r="O19" i="16" s="1"/>
  <c r="W19" i="16" s="1"/>
  <c r="X19" i="16"/>
  <c r="AJ23" i="17"/>
  <c r="AI23" i="17"/>
  <c r="O101" i="17"/>
  <c r="S101" i="17" s="1"/>
  <c r="AI101" i="17"/>
  <c r="I106" i="17"/>
  <c r="AD106" i="17" s="1"/>
  <c r="AI106" i="17"/>
  <c r="AJ124" i="17"/>
  <c r="AI124" i="17"/>
  <c r="Y33" i="18"/>
  <c r="X33" i="18"/>
  <c r="Y51" i="18"/>
  <c r="X51" i="18"/>
  <c r="AJ48" i="17"/>
  <c r="AI48" i="17"/>
  <c r="AJ62" i="17"/>
  <c r="AI62" i="17"/>
  <c r="N77" i="17"/>
  <c r="R77" i="17" s="1"/>
  <c r="T77" i="17" s="1"/>
  <c r="Z77" i="17" s="1"/>
  <c r="AI77" i="17"/>
  <c r="N83" i="17"/>
  <c r="R83" i="17" s="1"/>
  <c r="Z83" i="17" s="1"/>
  <c r="AB83" i="17" s="1"/>
  <c r="AI83" i="17"/>
  <c r="AJ120" i="17"/>
  <c r="AI120" i="17"/>
  <c r="AJ131" i="17"/>
  <c r="AI131" i="17"/>
  <c r="I52" i="18"/>
  <c r="X52" i="18"/>
  <c r="Y24" i="16"/>
  <c r="X24" i="16"/>
  <c r="AJ44" i="17"/>
  <c r="AI44" i="17"/>
  <c r="Y18" i="18"/>
  <c r="X18" i="18"/>
  <c r="Y20" i="16"/>
  <c r="Y45" i="18"/>
  <c r="X45" i="18"/>
  <c r="Y46" i="18"/>
  <c r="X46" i="18"/>
  <c r="W60" i="18"/>
  <c r="O22" i="17"/>
  <c r="S22" i="17" s="1"/>
  <c r="AI22" i="17"/>
  <c r="O75" i="17"/>
  <c r="S75" i="17" s="1"/>
  <c r="AI75" i="17"/>
  <c r="I86" i="17"/>
  <c r="AI86" i="17"/>
  <c r="AJ105" i="17"/>
  <c r="AI105" i="17"/>
  <c r="AG92" i="17"/>
  <c r="AJ61" i="17"/>
  <c r="AI61" i="17"/>
  <c r="AJ43" i="17"/>
  <c r="AI43" i="17"/>
  <c r="AJ67" i="17"/>
  <c r="AI67" i="17"/>
  <c r="I131" i="17"/>
  <c r="AJ84" i="17"/>
  <c r="AI84" i="17"/>
  <c r="AJ103" i="17"/>
  <c r="AI103" i="17"/>
  <c r="Y22" i="16"/>
  <c r="X22" i="16"/>
  <c r="AJ21" i="17"/>
  <c r="AI21" i="17"/>
  <c r="AJ36" i="17"/>
  <c r="AI36" i="17"/>
  <c r="AJ46" i="17"/>
  <c r="AI46" i="17"/>
  <c r="AJ50" i="17"/>
  <c r="AI50" i="17"/>
  <c r="I64" i="17"/>
  <c r="AI64" i="17"/>
  <c r="AJ74" i="17"/>
  <c r="AI74" i="17"/>
  <c r="AJ122" i="17"/>
  <c r="AI122" i="17"/>
  <c r="M21" i="18"/>
  <c r="O21" i="18" s="1"/>
  <c r="X21" i="18"/>
  <c r="Y31" i="18"/>
  <c r="X31" i="18"/>
  <c r="I18" i="16"/>
  <c r="I32" i="18"/>
  <c r="I43" i="8"/>
  <c r="X43" i="8"/>
  <c r="M44" i="8"/>
  <c r="O44" i="8" s="1"/>
  <c r="X44" i="8"/>
  <c r="I44" i="8"/>
  <c r="M45" i="8"/>
  <c r="O45" i="8" s="1"/>
  <c r="W45" i="8" s="1"/>
  <c r="X45" i="8"/>
  <c r="I50" i="8"/>
  <c r="X50" i="8"/>
  <c r="I51" i="8"/>
  <c r="X51" i="8"/>
  <c r="M52" i="8"/>
  <c r="O52" i="8" s="1"/>
  <c r="W52" i="8" s="1"/>
  <c r="X52" i="8"/>
  <c r="M53" i="8"/>
  <c r="O53" i="8" s="1"/>
  <c r="S53" i="8" s="1"/>
  <c r="Q53" i="8" s="1"/>
  <c r="X53" i="8"/>
  <c r="I98" i="17"/>
  <c r="I129" i="17"/>
  <c r="I110" i="17"/>
  <c r="I101" i="17"/>
  <c r="I84" i="17"/>
  <c r="I81" i="17"/>
  <c r="I100" i="17"/>
  <c r="I79" i="17"/>
  <c r="Y19" i="16"/>
  <c r="I21" i="16"/>
  <c r="M31" i="16"/>
  <c r="O31" i="16" s="1"/>
  <c r="W31" i="16" s="1"/>
  <c r="I31" i="16"/>
  <c r="Y21" i="16"/>
  <c r="I34" i="16"/>
  <c r="AJ19" i="17"/>
  <c r="I41" i="17"/>
  <c r="I69" i="17"/>
  <c r="I35" i="17"/>
  <c r="I43" i="17"/>
  <c r="I45" i="17"/>
  <c r="I25" i="17"/>
  <c r="AD25" i="17" s="1"/>
  <c r="I61" i="17"/>
  <c r="I22" i="17"/>
  <c r="I58" i="17"/>
  <c r="S48" i="5"/>
  <c r="Q48" i="5"/>
  <c r="Q55" i="5"/>
  <c r="Q52" i="5"/>
  <c r="S54" i="5"/>
  <c r="Q53" i="5"/>
  <c r="S53" i="5"/>
  <c r="S51" i="5"/>
  <c r="Q49" i="5"/>
  <c r="S50" i="5"/>
  <c r="S44" i="8"/>
  <c r="Q44" i="8" s="1"/>
  <c r="W44" i="8"/>
  <c r="I53" i="8"/>
  <c r="V53" i="8" s="1"/>
  <c r="I52" i="8"/>
  <c r="V52" i="8" s="1"/>
  <c r="M43" i="8"/>
  <c r="O43" i="8" s="1"/>
  <c r="M50" i="8"/>
  <c r="O50" i="8" s="1"/>
  <c r="I45" i="8"/>
  <c r="I39" i="8"/>
  <c r="I57" i="8"/>
  <c r="M51" i="8"/>
  <c r="O51" i="8" s="1"/>
  <c r="I51" i="18"/>
  <c r="I48" i="18"/>
  <c r="I47" i="18"/>
  <c r="I46" i="18"/>
  <c r="I45" i="18"/>
  <c r="I33" i="18"/>
  <c r="I23" i="16"/>
  <c r="U23" i="16" s="1"/>
  <c r="I22" i="16"/>
  <c r="U22" i="16" s="1"/>
  <c r="I24" i="16"/>
  <c r="M18" i="16"/>
  <c r="O18" i="16" s="1"/>
  <c r="I19" i="16"/>
  <c r="S30" i="16"/>
  <c r="I46" i="17"/>
  <c r="AD46" i="17" s="1"/>
  <c r="I118" i="17"/>
  <c r="I60" i="17"/>
  <c r="AD60" i="17" s="1"/>
  <c r="I26" i="17"/>
  <c r="I36" i="17"/>
  <c r="I44" i="17"/>
  <c r="I59" i="17"/>
  <c r="I83" i="17"/>
  <c r="AD83" i="17" s="1"/>
  <c r="I111" i="17"/>
  <c r="I128" i="17"/>
  <c r="I23" i="17"/>
  <c r="I124" i="17"/>
  <c r="I21" i="17"/>
  <c r="I76" i="17"/>
  <c r="I123" i="17"/>
  <c r="I108" i="17"/>
  <c r="I52" i="17"/>
  <c r="I20" i="17"/>
  <c r="I50" i="17"/>
  <c r="I65" i="17"/>
  <c r="I75" i="17"/>
  <c r="I105" i="17"/>
  <c r="I122" i="17"/>
  <c r="I29" i="17"/>
  <c r="I49" i="17"/>
  <c r="I78" i="17"/>
  <c r="I93" i="17"/>
  <c r="AD93" i="17" s="1"/>
  <c r="I104" i="17"/>
  <c r="AD104" i="17" s="1"/>
  <c r="I121" i="17"/>
  <c r="AD121" i="17" s="1"/>
  <c r="I42" i="17"/>
  <c r="I130" i="17"/>
  <c r="I74" i="17"/>
  <c r="I30" i="17"/>
  <c r="I48" i="17"/>
  <c r="AD48" i="17" s="1"/>
  <c r="I63" i="17"/>
  <c r="I88" i="17"/>
  <c r="I103" i="17"/>
  <c r="I120" i="17"/>
  <c r="I62" i="17"/>
  <c r="AD62" i="17" s="1"/>
  <c r="I102" i="17"/>
  <c r="I119" i="17"/>
  <c r="AA99" i="17"/>
  <c r="AJ106" i="17"/>
  <c r="AG40" i="17"/>
  <c r="AH85" i="17"/>
  <c r="U60" i="18"/>
  <c r="W26" i="18"/>
  <c r="U42" i="18"/>
  <c r="U57" i="18"/>
  <c r="U58" i="18"/>
  <c r="W36" i="18"/>
  <c r="W59" i="18"/>
  <c r="U38" i="18"/>
  <c r="U43" i="18"/>
  <c r="W22" i="18"/>
  <c r="M33" i="18"/>
  <c r="O33" i="18" s="1"/>
  <c r="W33" i="18" s="1"/>
  <c r="Y19" i="18"/>
  <c r="W56" i="18"/>
  <c r="U63" i="18"/>
  <c r="W55" i="18"/>
  <c r="Y52" i="18"/>
  <c r="Y32" i="18"/>
  <c r="U37" i="18"/>
  <c r="Y44" i="18"/>
  <c r="Y22" i="18"/>
  <c r="Y23" i="18"/>
  <c r="Y40" i="18"/>
  <c r="Y53" i="18"/>
  <c r="Y26" i="18"/>
  <c r="Y41" i="18"/>
  <c r="Y39" i="18"/>
  <c r="Y21" i="18"/>
  <c r="M46" i="18"/>
  <c r="O46" i="18" s="1"/>
  <c r="W46" i="18" s="1"/>
  <c r="M35" i="18"/>
  <c r="O35" i="18" s="1"/>
  <c r="M54" i="18"/>
  <c r="O54" i="18" s="1"/>
  <c r="W54" i="18" s="1"/>
  <c r="M34" i="18"/>
  <c r="O34" i="18" s="1"/>
  <c r="R22" i="18"/>
  <c r="M23" i="18"/>
  <c r="O23" i="18" s="1"/>
  <c r="M61" i="18"/>
  <c r="O61" i="18" s="1"/>
  <c r="W61" i="18" s="1"/>
  <c r="M31" i="18"/>
  <c r="O31" i="18" s="1"/>
  <c r="W31" i="18" s="1"/>
  <c r="M62" i="18"/>
  <c r="O62" i="18" s="1"/>
  <c r="W62" i="18" s="1"/>
  <c r="M44" i="18"/>
  <c r="O44" i="18" s="1"/>
  <c r="W44" i="18" s="1"/>
  <c r="M48" i="18"/>
  <c r="O48" i="18" s="1"/>
  <c r="M28" i="18"/>
  <c r="O28" i="18" s="1"/>
  <c r="M45" i="18"/>
  <c r="O45" i="18" s="1"/>
  <c r="M32" i="18"/>
  <c r="O32" i="18" s="1"/>
  <c r="M40" i="18"/>
  <c r="O40" i="18" s="1"/>
  <c r="M47" i="18"/>
  <c r="O47" i="18" s="1"/>
  <c r="M18" i="18"/>
  <c r="O18" i="18" s="1"/>
  <c r="P18" i="18" s="1"/>
  <c r="M19" i="18"/>
  <c r="O19" i="18" s="1"/>
  <c r="P19" i="18" s="1"/>
  <c r="M52" i="18"/>
  <c r="O52" i="18" s="1"/>
  <c r="M51" i="18"/>
  <c r="O51" i="18" s="1"/>
  <c r="M39" i="18"/>
  <c r="O39" i="18" s="1"/>
  <c r="M53" i="18"/>
  <c r="O53" i="18" s="1"/>
  <c r="M41" i="18"/>
  <c r="O41" i="18" s="1"/>
  <c r="AG116" i="17"/>
  <c r="AJ99" i="17"/>
  <c r="AA31" i="17"/>
  <c r="AJ42" i="17"/>
  <c r="AG34" i="17"/>
  <c r="AG99" i="17"/>
  <c r="Z85" i="17"/>
  <c r="AG104" i="17"/>
  <c r="AG56" i="17"/>
  <c r="AJ57" i="17"/>
  <c r="AJ86" i="17"/>
  <c r="AG53" i="17"/>
  <c r="AA42" i="17"/>
  <c r="AG93" i="17"/>
  <c r="AG48" i="17"/>
  <c r="AJ83" i="17"/>
  <c r="AG31" i="17"/>
  <c r="Z116" i="17"/>
  <c r="AE31" i="17"/>
  <c r="AJ22" i="17"/>
  <c r="AJ81" i="17"/>
  <c r="AD32" i="17"/>
  <c r="AD54" i="17"/>
  <c r="AG119" i="17"/>
  <c r="AG46" i="17"/>
  <c r="AG106" i="17"/>
  <c r="AG81" i="17"/>
  <c r="AD33" i="17"/>
  <c r="AD55" i="17"/>
  <c r="AD39" i="17"/>
  <c r="AD38" i="17"/>
  <c r="Z89" i="17"/>
  <c r="AG89" i="17"/>
  <c r="AD97" i="17"/>
  <c r="AG97" i="17"/>
  <c r="Z113" i="17"/>
  <c r="AG113" i="17"/>
  <c r="Z121" i="17"/>
  <c r="AG121" i="17"/>
  <c r="AD34" i="17"/>
  <c r="AD89" i="17"/>
  <c r="AG26" i="17"/>
  <c r="AG85" i="17"/>
  <c r="AG94" i="17"/>
  <c r="AD94" i="17"/>
  <c r="AJ24" i="17"/>
  <c r="AG60" i="17"/>
  <c r="AD96" i="17"/>
  <c r="AE48" i="17"/>
  <c r="AA48" i="17"/>
  <c r="AH48" i="17"/>
  <c r="Z68" i="17"/>
  <c r="AB68" i="17" s="1"/>
  <c r="AG68" i="17"/>
  <c r="AD107" i="17"/>
  <c r="AJ107" i="17"/>
  <c r="AG107" i="17"/>
  <c r="AD68" i="17"/>
  <c r="AD95" i="17"/>
  <c r="AA85" i="17"/>
  <c r="Y85" i="17" s="1"/>
  <c r="W85" i="17" s="1"/>
  <c r="AH99" i="17"/>
  <c r="AJ110" i="17"/>
  <c r="AJ85" i="17"/>
  <c r="AD37" i="17"/>
  <c r="AG37" i="17"/>
  <c r="N82" i="17"/>
  <c r="R82" i="17" s="1"/>
  <c r="AJ82" i="17"/>
  <c r="AE26" i="17"/>
  <c r="AA26" i="17"/>
  <c r="AH26" i="17"/>
  <c r="AG62" i="17"/>
  <c r="AD91" i="17"/>
  <c r="AD115" i="17"/>
  <c r="AD113" i="17"/>
  <c r="O51" i="17"/>
  <c r="S51" i="17" s="1"/>
  <c r="AJ51" i="17"/>
  <c r="Z46" i="17"/>
  <c r="AD90" i="17"/>
  <c r="AD114" i="17"/>
  <c r="AD56" i="17"/>
  <c r="AJ68" i="17"/>
  <c r="Z92" i="17"/>
  <c r="AJ64" i="17"/>
  <c r="AJ117" i="17"/>
  <c r="AJ93" i="17"/>
  <c r="AJ80" i="17"/>
  <c r="AJ41" i="17"/>
  <c r="Z104" i="17"/>
  <c r="AD53" i="17"/>
  <c r="AJ116" i="17"/>
  <c r="Z93" i="17"/>
  <c r="AD92" i="17"/>
  <c r="AJ25" i="17"/>
  <c r="AJ77" i="17"/>
  <c r="AJ101" i="17"/>
  <c r="AD77" i="17"/>
  <c r="AJ47" i="17"/>
  <c r="AJ100" i="17"/>
  <c r="AJ75" i="17"/>
  <c r="Z26" i="17"/>
  <c r="Z99" i="17"/>
  <c r="AB99" i="17" s="1"/>
  <c r="Z60" i="17"/>
  <c r="Z62" i="17"/>
  <c r="Z53" i="17"/>
  <c r="Z107" i="17"/>
  <c r="Z56" i="17"/>
  <c r="Z81" i="17"/>
  <c r="Z34" i="17"/>
  <c r="Z25" i="17"/>
  <c r="AG181" i="2"/>
  <c r="Z37" i="17"/>
  <c r="Z31" i="17"/>
  <c r="Z48" i="17"/>
  <c r="Z119" i="17"/>
  <c r="Z97" i="17"/>
  <c r="Z40" i="17"/>
  <c r="Z106" i="17"/>
  <c r="Z94" i="17"/>
  <c r="O65" i="17"/>
  <c r="S65" i="17" s="1"/>
  <c r="N108" i="17"/>
  <c r="R108" i="17" s="1"/>
  <c r="O108" i="17"/>
  <c r="S108" i="17" s="1"/>
  <c r="N65" i="17"/>
  <c r="R65" i="17" s="1"/>
  <c r="S89" i="17"/>
  <c r="S39" i="17"/>
  <c r="AE39" i="17" s="1"/>
  <c r="S37" i="17"/>
  <c r="U37" i="17" s="1"/>
  <c r="O112" i="17"/>
  <c r="O45" i="17"/>
  <c r="S34" i="17"/>
  <c r="U34" i="17" s="1"/>
  <c r="N75" i="17"/>
  <c r="R75" i="17" s="1"/>
  <c r="S90" i="17"/>
  <c r="AE90" i="17" s="1"/>
  <c r="S95" i="17"/>
  <c r="AE95" i="17" s="1"/>
  <c r="N86" i="17"/>
  <c r="R86" i="17" s="1"/>
  <c r="O21" i="17"/>
  <c r="S21" i="17" s="1"/>
  <c r="O81" i="17"/>
  <c r="S81" i="17" s="1"/>
  <c r="N49" i="17"/>
  <c r="R49" i="17" s="1"/>
  <c r="N79" i="17"/>
  <c r="R79" i="17" s="1"/>
  <c r="S119" i="17"/>
  <c r="O49" i="17"/>
  <c r="O79" i="17"/>
  <c r="S79" i="17" s="1"/>
  <c r="AD81" i="17"/>
  <c r="O77" i="17"/>
  <c r="S77" i="17" s="1"/>
  <c r="O86" i="17"/>
  <c r="S86" i="17" s="1"/>
  <c r="N57" i="17"/>
  <c r="R57" i="17" s="1"/>
  <c r="N126" i="17"/>
  <c r="R126" i="17" s="1"/>
  <c r="N21" i="17"/>
  <c r="R21" i="17" s="1"/>
  <c r="O27" i="17"/>
  <c r="S27" i="17" s="1"/>
  <c r="N66" i="17"/>
  <c r="R66" i="17" s="1"/>
  <c r="O84" i="17"/>
  <c r="S84" i="17" s="1"/>
  <c r="O66" i="17"/>
  <c r="S113" i="17"/>
  <c r="O44" i="17"/>
  <c r="S44" i="17" s="1"/>
  <c r="N44" i="17"/>
  <c r="R44" i="17" s="1"/>
  <c r="O47" i="17"/>
  <c r="S47" i="17" s="1"/>
  <c r="N67" i="17"/>
  <c r="R67" i="17" s="1"/>
  <c r="S94" i="17"/>
  <c r="S110" i="17"/>
  <c r="N30" i="17"/>
  <c r="R30" i="17" s="1"/>
  <c r="T30" i="17" s="1"/>
  <c r="O30" i="17"/>
  <c r="S46" i="17"/>
  <c r="S53" i="17"/>
  <c r="N23" i="17"/>
  <c r="R23" i="17" s="1"/>
  <c r="N28" i="17"/>
  <c r="R28" i="17" s="1"/>
  <c r="T28" i="17" s="1"/>
  <c r="AD85" i="17"/>
  <c r="O103" i="17"/>
  <c r="O23" i="17"/>
  <c r="O28" i="17"/>
  <c r="O82" i="17"/>
  <c r="S121" i="17"/>
  <c r="S33" i="17"/>
  <c r="AE33" i="17" s="1"/>
  <c r="O67" i="17"/>
  <c r="S40" i="17"/>
  <c r="O76" i="17"/>
  <c r="S76" i="17" s="1"/>
  <c r="N76" i="17"/>
  <c r="R76" i="17" s="1"/>
  <c r="O125" i="17"/>
  <c r="N125" i="17"/>
  <c r="R125" i="17" s="1"/>
  <c r="N84" i="17"/>
  <c r="R84" i="17" s="1"/>
  <c r="S97" i="17"/>
  <c r="N112" i="17"/>
  <c r="R112" i="17" s="1"/>
  <c r="N24" i="17"/>
  <c r="R24" i="17" s="1"/>
  <c r="N29" i="17"/>
  <c r="R29" i="17" s="1"/>
  <c r="T29" i="17" s="1"/>
  <c r="O64" i="17"/>
  <c r="O68" i="17"/>
  <c r="O74" i="17"/>
  <c r="O83" i="17"/>
  <c r="S106" i="17"/>
  <c r="O24" i="17"/>
  <c r="O29" i="17"/>
  <c r="S92" i="17"/>
  <c r="S104" i="17"/>
  <c r="O105" i="17"/>
  <c r="O59" i="17"/>
  <c r="S59" i="17" s="1"/>
  <c r="O57" i="17"/>
  <c r="S57" i="17" s="1"/>
  <c r="S56" i="17"/>
  <c r="S116" i="17"/>
  <c r="O126" i="17"/>
  <c r="S41" i="17"/>
  <c r="AD26" i="17"/>
  <c r="N41" i="17"/>
  <c r="R41" i="17" s="1"/>
  <c r="O50" i="17"/>
  <c r="N50" i="17"/>
  <c r="R50" i="17" s="1"/>
  <c r="O63" i="17"/>
  <c r="N63" i="17"/>
  <c r="R63" i="17" s="1"/>
  <c r="O36" i="17"/>
  <c r="N36" i="17"/>
  <c r="R36" i="17" s="1"/>
  <c r="T36" i="17" s="1"/>
  <c r="N58" i="17"/>
  <c r="R58" i="17" s="1"/>
  <c r="O58" i="17"/>
  <c r="O52" i="17"/>
  <c r="N52" i="17"/>
  <c r="R52" i="17" s="1"/>
  <c r="N19" i="17"/>
  <c r="R19" i="17" s="1"/>
  <c r="O19" i="17"/>
  <c r="O25" i="17"/>
  <c r="N42" i="17"/>
  <c r="R42" i="17" s="1"/>
  <c r="O35" i="17"/>
  <c r="N22" i="17"/>
  <c r="R22" i="17" s="1"/>
  <c r="N27" i="17"/>
  <c r="R27" i="17" s="1"/>
  <c r="N35" i="17"/>
  <c r="R35" i="17" s="1"/>
  <c r="T35" i="17" s="1"/>
  <c r="N59" i="17"/>
  <c r="R59" i="17" s="1"/>
  <c r="N69" i="17"/>
  <c r="R69" i="17" s="1"/>
  <c r="O69" i="17"/>
  <c r="N20" i="17"/>
  <c r="R20" i="17" s="1"/>
  <c r="N47" i="17"/>
  <c r="R47" i="17" s="1"/>
  <c r="O20" i="17"/>
  <c r="O43" i="17"/>
  <c r="N43" i="17"/>
  <c r="R43" i="17" s="1"/>
  <c r="N51" i="17"/>
  <c r="R51" i="17" s="1"/>
  <c r="N78" i="17"/>
  <c r="R78" i="17" s="1"/>
  <c r="S32" i="17"/>
  <c r="AE32" i="17" s="1"/>
  <c r="O78" i="17"/>
  <c r="N64" i="17"/>
  <c r="R64" i="17" s="1"/>
  <c r="O61" i="17"/>
  <c r="N61" i="17"/>
  <c r="R61" i="17" s="1"/>
  <c r="N111" i="17"/>
  <c r="R111" i="17" s="1"/>
  <c r="O111" i="17"/>
  <c r="O118" i="17"/>
  <c r="N118" i="17"/>
  <c r="R118" i="17" s="1"/>
  <c r="N45" i="17"/>
  <c r="R45" i="17" s="1"/>
  <c r="O123" i="17"/>
  <c r="N123" i="17"/>
  <c r="R123" i="17" s="1"/>
  <c r="O80" i="17"/>
  <c r="N80" i="17"/>
  <c r="R80" i="17" s="1"/>
  <c r="N103" i="17"/>
  <c r="R103" i="17" s="1"/>
  <c r="S107" i="17"/>
  <c r="O98" i="17"/>
  <c r="N98" i="17"/>
  <c r="R98" i="17" s="1"/>
  <c r="N100" i="17"/>
  <c r="R100" i="17" s="1"/>
  <c r="O124" i="17"/>
  <c r="N124" i="17"/>
  <c r="R124" i="17" s="1"/>
  <c r="S60" i="17"/>
  <c r="S62" i="17"/>
  <c r="N74" i="17"/>
  <c r="R74" i="17" s="1"/>
  <c r="AD119" i="17"/>
  <c r="N102" i="17"/>
  <c r="R102" i="17" s="1"/>
  <c r="O109" i="17"/>
  <c r="N109" i="17"/>
  <c r="R109" i="17" s="1"/>
  <c r="O88" i="17"/>
  <c r="N88" i="17"/>
  <c r="R88" i="17" s="1"/>
  <c r="O102" i="17"/>
  <c r="O122" i="17"/>
  <c r="N122" i="17"/>
  <c r="R122" i="17" s="1"/>
  <c r="N131" i="17"/>
  <c r="R131" i="17" s="1"/>
  <c r="O131" i="17"/>
  <c r="S96" i="17"/>
  <c r="AE96" i="17" s="1"/>
  <c r="N130" i="17"/>
  <c r="R130" i="17" s="1"/>
  <c r="O93" i="17"/>
  <c r="N101" i="17"/>
  <c r="R101" i="17" s="1"/>
  <c r="O130" i="17"/>
  <c r="N110" i="17"/>
  <c r="R110" i="17" s="1"/>
  <c r="O117" i="17"/>
  <c r="N117" i="17"/>
  <c r="R117" i="17" s="1"/>
  <c r="O120" i="17"/>
  <c r="N120" i="17"/>
  <c r="R120" i="17" s="1"/>
  <c r="N128" i="17"/>
  <c r="R128" i="17" s="1"/>
  <c r="N129" i="17"/>
  <c r="R129" i="17" s="1"/>
  <c r="O128" i="17"/>
  <c r="O129" i="17"/>
  <c r="N105" i="17"/>
  <c r="R105" i="17" s="1"/>
  <c r="O127" i="17"/>
  <c r="N127" i="17"/>
  <c r="R127" i="17" s="1"/>
  <c r="U27" i="16"/>
  <c r="M24" i="16"/>
  <c r="O24" i="16" s="1"/>
  <c r="W24" i="16" s="1"/>
  <c r="W27" i="16"/>
  <c r="W23" i="16"/>
  <c r="W30" i="16"/>
  <c r="M20" i="16"/>
  <c r="O20" i="16" s="1"/>
  <c r="P20" i="16" s="1"/>
  <c r="M26" i="16"/>
  <c r="O26" i="16" s="1"/>
  <c r="S26" i="16" s="1"/>
  <c r="M54" i="16"/>
  <c r="O54" i="16" s="1"/>
  <c r="K54" i="16"/>
  <c r="X54" i="16" s="1"/>
  <c r="G54" i="16"/>
  <c r="M53" i="16"/>
  <c r="O53" i="16" s="1"/>
  <c r="K53" i="16"/>
  <c r="G53" i="16"/>
  <c r="K51" i="16"/>
  <c r="G51" i="16"/>
  <c r="K50" i="16"/>
  <c r="I50" i="16" s="1"/>
  <c r="G50" i="16"/>
  <c r="M49" i="16"/>
  <c r="O49" i="16" s="1"/>
  <c r="K49" i="16"/>
  <c r="Y49" i="16" s="1"/>
  <c r="G49" i="16"/>
  <c r="M48" i="16"/>
  <c r="O48" i="16" s="1"/>
  <c r="K48" i="16"/>
  <c r="G48" i="16"/>
  <c r="M47" i="16"/>
  <c r="O47" i="16" s="1"/>
  <c r="K47" i="16"/>
  <c r="G47" i="16"/>
  <c r="M46" i="16"/>
  <c r="O46" i="16" s="1"/>
  <c r="K46" i="16"/>
  <c r="Y46" i="16" s="1"/>
  <c r="G46" i="16"/>
  <c r="K45" i="16"/>
  <c r="Y45" i="16" s="1"/>
  <c r="G45" i="16"/>
  <c r="K44" i="16"/>
  <c r="G44" i="16"/>
  <c r="K43" i="16"/>
  <c r="Y43" i="16" s="1"/>
  <c r="G43" i="16"/>
  <c r="K42" i="16"/>
  <c r="Y42" i="16" s="1"/>
  <c r="G42" i="16"/>
  <c r="K40" i="16"/>
  <c r="Y40" i="16" s="1"/>
  <c r="G40" i="16"/>
  <c r="M39" i="16"/>
  <c r="O39" i="16" s="1"/>
  <c r="K39" i="16"/>
  <c r="G39" i="16"/>
  <c r="M38" i="16"/>
  <c r="O38" i="16" s="1"/>
  <c r="K38" i="16"/>
  <c r="G38" i="16"/>
  <c r="K37" i="16"/>
  <c r="G37" i="16"/>
  <c r="W34" i="16"/>
  <c r="S34" i="16"/>
  <c r="Q34" i="16" s="1"/>
  <c r="G34" i="16"/>
  <c r="W32" i="16"/>
  <c r="S32" i="16"/>
  <c r="Q32" i="16" s="1"/>
  <c r="G32" i="16"/>
  <c r="G31" i="16"/>
  <c r="G30" i="16"/>
  <c r="U29" i="16"/>
  <c r="G29" i="16"/>
  <c r="U28" i="16"/>
  <c r="G28" i="16"/>
  <c r="G27" i="16"/>
  <c r="G26" i="16"/>
  <c r="G24" i="16"/>
  <c r="G23" i="16"/>
  <c r="W22" i="16"/>
  <c r="P22" i="16"/>
  <c r="G22" i="16"/>
  <c r="G21" i="16"/>
  <c r="G20" i="16"/>
  <c r="G19" i="16"/>
  <c r="G18" i="16"/>
  <c r="AD47" i="3"/>
  <c r="AE47" i="3"/>
  <c r="AG47" i="3"/>
  <c r="AD48" i="3"/>
  <c r="AE48" i="3"/>
  <c r="AG48" i="3"/>
  <c r="Z47" i="3"/>
  <c r="AC47" i="3"/>
  <c r="Z48" i="3"/>
  <c r="AC48" i="3"/>
  <c r="O39" i="3"/>
  <c r="Q39" i="3" s="1"/>
  <c r="M39" i="3"/>
  <c r="AF39" i="3" s="1"/>
  <c r="G39" i="3"/>
  <c r="O23" i="3"/>
  <c r="Q23" i="3" s="1"/>
  <c r="G23" i="3"/>
  <c r="M23" i="3"/>
  <c r="AF23" i="3" s="1"/>
  <c r="P65" i="18" l="1"/>
  <c r="G39" i="1" s="1"/>
  <c r="S18" i="18"/>
  <c r="Q18" i="18" s="1"/>
  <c r="U21" i="18"/>
  <c r="S21" i="18"/>
  <c r="Q21" i="18" s="1"/>
  <c r="W23" i="18"/>
  <c r="S23" i="18"/>
  <c r="Q23" i="18" s="1"/>
  <c r="S19" i="18"/>
  <c r="Q19" i="18"/>
  <c r="Q27" i="16"/>
  <c r="S53" i="16"/>
  <c r="R53" i="16" s="1"/>
  <c r="T27" i="16"/>
  <c r="R23" i="16"/>
  <c r="W21" i="16"/>
  <c r="U18" i="16"/>
  <c r="AG77" i="17"/>
  <c r="AG83" i="17"/>
  <c r="W57" i="8"/>
  <c r="AI71" i="17"/>
  <c r="S31" i="16"/>
  <c r="R31" i="16" s="1"/>
  <c r="W21" i="18"/>
  <c r="T23" i="16"/>
  <c r="S39" i="8"/>
  <c r="Q39" i="8" s="1"/>
  <c r="R21" i="18"/>
  <c r="AI133" i="17"/>
  <c r="I38" i="16"/>
  <c r="U38" i="16" s="1"/>
  <c r="X38" i="16"/>
  <c r="W18" i="16"/>
  <c r="S24" i="16"/>
  <c r="Q24" i="16" s="1"/>
  <c r="I37" i="16"/>
  <c r="X37" i="16"/>
  <c r="V39" i="8"/>
  <c r="X65" i="18"/>
  <c r="AS39" i="1" s="1"/>
  <c r="I39" i="16"/>
  <c r="U39" i="16" s="1"/>
  <c r="X39" i="16"/>
  <c r="P19" i="16"/>
  <c r="S19" i="16" s="1"/>
  <c r="Q19" i="16" s="1"/>
  <c r="W53" i="8"/>
  <c r="V57" i="8"/>
  <c r="AJ133" i="17"/>
  <c r="AE42" i="17"/>
  <c r="S45" i="8"/>
  <c r="Q45" i="8" s="1"/>
  <c r="S52" i="8"/>
  <c r="Q52" i="8" s="1"/>
  <c r="V44" i="8"/>
  <c r="V45" i="8"/>
  <c r="S54" i="16"/>
  <c r="Q54" i="16" s="1"/>
  <c r="P38" i="16"/>
  <c r="S38" i="16" s="1"/>
  <c r="Q38" i="16" s="1"/>
  <c r="AJ71" i="17"/>
  <c r="S67" i="5"/>
  <c r="AE26" i="1" s="1"/>
  <c r="V39" i="3"/>
  <c r="U39" i="3" s="1"/>
  <c r="V23" i="3"/>
  <c r="T23" i="3" s="1"/>
  <c r="W43" i="8"/>
  <c r="S43" i="8"/>
  <c r="Q43" i="8" s="1"/>
  <c r="V43" i="8"/>
  <c r="S50" i="8"/>
  <c r="V50" i="8"/>
  <c r="W50" i="8"/>
  <c r="V51" i="8"/>
  <c r="W51" i="8"/>
  <c r="S51" i="8"/>
  <c r="T52" i="8"/>
  <c r="R52" i="8"/>
  <c r="T45" i="8"/>
  <c r="T44" i="8"/>
  <c r="R44" i="8"/>
  <c r="T57" i="8"/>
  <c r="R57" i="8"/>
  <c r="T53" i="8"/>
  <c r="R53" i="8"/>
  <c r="S46" i="16"/>
  <c r="Y51" i="16"/>
  <c r="I51" i="16"/>
  <c r="Y53" i="16"/>
  <c r="I53" i="16"/>
  <c r="U53" i="16" s="1"/>
  <c r="R30" i="16"/>
  <c r="Q30" i="16"/>
  <c r="T30" i="16"/>
  <c r="S49" i="16"/>
  <c r="S39" i="16"/>
  <c r="P18" i="16"/>
  <c r="S18" i="16" s="1"/>
  <c r="Q18" i="16" s="1"/>
  <c r="Y54" i="16"/>
  <c r="I54" i="16"/>
  <c r="U54" i="16" s="1"/>
  <c r="R32" i="16"/>
  <c r="T32" i="16"/>
  <c r="R22" i="16"/>
  <c r="S22" i="16"/>
  <c r="Q22" i="16" s="1"/>
  <c r="T22" i="16"/>
  <c r="R34" i="16"/>
  <c r="T34" i="16"/>
  <c r="S20" i="16"/>
  <c r="Q20" i="16" s="1"/>
  <c r="T20" i="16"/>
  <c r="R20" i="16"/>
  <c r="R21" i="16"/>
  <c r="S21" i="16"/>
  <c r="Q21" i="16" s="1"/>
  <c r="T21" i="16"/>
  <c r="R26" i="16"/>
  <c r="Q26" i="16"/>
  <c r="T26" i="16"/>
  <c r="K39" i="3"/>
  <c r="AD39" i="3" s="1"/>
  <c r="I39" i="3"/>
  <c r="Z39" i="3" s="1"/>
  <c r="J39" i="3"/>
  <c r="AA39" i="3" s="1"/>
  <c r="I23" i="3"/>
  <c r="Z23" i="3" s="1"/>
  <c r="K23" i="3"/>
  <c r="AD23" i="3" s="1"/>
  <c r="J23" i="3"/>
  <c r="AA23" i="3" s="1"/>
  <c r="U33" i="18"/>
  <c r="T33" i="18"/>
  <c r="R44" i="18"/>
  <c r="U45" i="18"/>
  <c r="W45" i="18"/>
  <c r="U19" i="18"/>
  <c r="W19" i="18"/>
  <c r="U41" i="18"/>
  <c r="W41" i="18"/>
  <c r="U48" i="18"/>
  <c r="W48" i="18"/>
  <c r="U53" i="18"/>
  <c r="W53" i="18"/>
  <c r="U40" i="18"/>
  <c r="W40" i="18"/>
  <c r="U39" i="18"/>
  <c r="W39" i="18"/>
  <c r="U32" i="18"/>
  <c r="W32" i="18"/>
  <c r="U18" i="18"/>
  <c r="W18" i="18"/>
  <c r="U51" i="18"/>
  <c r="W51" i="18"/>
  <c r="U52" i="18"/>
  <c r="W52" i="18"/>
  <c r="U35" i="18"/>
  <c r="W35" i="18"/>
  <c r="U28" i="18"/>
  <c r="W28" i="18"/>
  <c r="T46" i="18"/>
  <c r="U47" i="18"/>
  <c r="W47" i="18"/>
  <c r="U34" i="18"/>
  <c r="W34" i="18"/>
  <c r="U31" i="18"/>
  <c r="R48" i="18"/>
  <c r="T62" i="18"/>
  <c r="U62" i="18"/>
  <c r="U54" i="18"/>
  <c r="R60" i="18"/>
  <c r="U44" i="18"/>
  <c r="T61" i="18"/>
  <c r="U61" i="18"/>
  <c r="U46" i="18"/>
  <c r="T60" i="18"/>
  <c r="U23" i="18"/>
  <c r="R34" i="18"/>
  <c r="R28" i="18"/>
  <c r="T22" i="18"/>
  <c r="T45" i="18"/>
  <c r="R31" i="18"/>
  <c r="T56" i="18"/>
  <c r="R56" i="18"/>
  <c r="T59" i="18"/>
  <c r="R59" i="18"/>
  <c r="T55" i="18"/>
  <c r="R55" i="18"/>
  <c r="O71" i="18"/>
  <c r="R26" i="18"/>
  <c r="T26" i="18"/>
  <c r="R36" i="18"/>
  <c r="T36" i="18"/>
  <c r="T44" i="18"/>
  <c r="T35" i="18"/>
  <c r="R35" i="18"/>
  <c r="X83" i="17"/>
  <c r="V83" i="17" s="1"/>
  <c r="AH84" i="17"/>
  <c r="AE84" i="17"/>
  <c r="AA84" i="17"/>
  <c r="AH108" i="17"/>
  <c r="AA108" i="17"/>
  <c r="AC108" i="17" s="1"/>
  <c r="AE108" i="17"/>
  <c r="Z118" i="17"/>
  <c r="AG118" i="17"/>
  <c r="AD118" i="17"/>
  <c r="AG76" i="17"/>
  <c r="AD76" i="17"/>
  <c r="AE76" i="17"/>
  <c r="U76" i="17"/>
  <c r="AA76" i="17" s="1"/>
  <c r="AH76" i="17"/>
  <c r="T78" i="17"/>
  <c r="Z78" i="17" s="1"/>
  <c r="AD78" i="17"/>
  <c r="AG78" i="17"/>
  <c r="AG66" i="17"/>
  <c r="AD66" i="17"/>
  <c r="AE119" i="17"/>
  <c r="AH119" i="17"/>
  <c r="AA119" i="17"/>
  <c r="Y119" i="17" s="1"/>
  <c r="W119" i="17" s="1"/>
  <c r="AE34" i="17"/>
  <c r="AH34" i="17"/>
  <c r="AA34" i="17"/>
  <c r="Y34" i="17" s="1"/>
  <c r="W34" i="17" s="1"/>
  <c r="Z129" i="17"/>
  <c r="AD129" i="17"/>
  <c r="AG129" i="17"/>
  <c r="AE60" i="17"/>
  <c r="AA60" i="17"/>
  <c r="AH60" i="17"/>
  <c r="Z69" i="17"/>
  <c r="AD69" i="17"/>
  <c r="AG69" i="17"/>
  <c r="Z58" i="17"/>
  <c r="AG58" i="17"/>
  <c r="AD58" i="17"/>
  <c r="Z41" i="17"/>
  <c r="AG41" i="17"/>
  <c r="AD41" i="17"/>
  <c r="Z29" i="17"/>
  <c r="AB29" i="17" s="1"/>
  <c r="AG29" i="17"/>
  <c r="AD29" i="17"/>
  <c r="AH110" i="17"/>
  <c r="AE110" i="17"/>
  <c r="AA110" i="17"/>
  <c r="AC110" i="17" s="1"/>
  <c r="AE27" i="17"/>
  <c r="AA27" i="17"/>
  <c r="AH27" i="17"/>
  <c r="AD79" i="17"/>
  <c r="AG79" i="17"/>
  <c r="AE100" i="17"/>
  <c r="AA100" i="17"/>
  <c r="AC100" i="17" s="1"/>
  <c r="AH100" i="17"/>
  <c r="Z124" i="17"/>
  <c r="AG124" i="17"/>
  <c r="AD124" i="17"/>
  <c r="Z111" i="17"/>
  <c r="AD111" i="17"/>
  <c r="AG111" i="17"/>
  <c r="Z51" i="17"/>
  <c r="AD51" i="17"/>
  <c r="AG51" i="17"/>
  <c r="Z36" i="17"/>
  <c r="AG36" i="17"/>
  <c r="AD36" i="17"/>
  <c r="AE104" i="17"/>
  <c r="AA104" i="17"/>
  <c r="AC104" i="17" s="1"/>
  <c r="AH104" i="17"/>
  <c r="AG24" i="17"/>
  <c r="AD24" i="17"/>
  <c r="AE40" i="17"/>
  <c r="AA40" i="17"/>
  <c r="Y40" i="17" s="1"/>
  <c r="W40" i="17" s="1"/>
  <c r="AH40" i="17"/>
  <c r="AH94" i="17"/>
  <c r="AA94" i="17"/>
  <c r="AC94" i="17" s="1"/>
  <c r="AE94" i="17"/>
  <c r="AD49" i="17"/>
  <c r="AG49" i="17"/>
  <c r="AE113" i="17"/>
  <c r="AA113" i="17"/>
  <c r="AC113" i="17" s="1"/>
  <c r="AH113" i="17"/>
  <c r="X68" i="17"/>
  <c r="V68" i="17" s="1"/>
  <c r="Z30" i="17"/>
  <c r="X30" i="17" s="1"/>
  <c r="V30" i="17" s="1"/>
  <c r="AG30" i="17"/>
  <c r="AD30" i="17"/>
  <c r="Z101" i="17"/>
  <c r="AG101" i="17"/>
  <c r="AD101" i="17"/>
  <c r="Z128" i="17"/>
  <c r="AD128" i="17"/>
  <c r="AG128" i="17"/>
  <c r="Z88" i="17"/>
  <c r="AG88" i="17"/>
  <c r="AD88" i="17"/>
  <c r="Z59" i="17"/>
  <c r="AG59" i="17"/>
  <c r="AD59" i="17"/>
  <c r="AH41" i="17"/>
  <c r="AE41" i="17"/>
  <c r="AA41" i="17"/>
  <c r="AE92" i="17"/>
  <c r="AA92" i="17"/>
  <c r="AC92" i="17" s="1"/>
  <c r="AH92" i="17"/>
  <c r="AG112" i="17"/>
  <c r="AD112" i="17"/>
  <c r="AH81" i="17"/>
  <c r="AE81" i="17"/>
  <c r="AA81" i="17"/>
  <c r="Y81" i="17" s="1"/>
  <c r="W81" i="17" s="1"/>
  <c r="AH107" i="17"/>
  <c r="AE107" i="17"/>
  <c r="AA107" i="17"/>
  <c r="AA46" i="17"/>
  <c r="Y46" i="17" s="1"/>
  <c r="W46" i="17" s="1"/>
  <c r="AH46" i="17"/>
  <c r="AE46" i="17"/>
  <c r="AE21" i="17"/>
  <c r="AH21" i="17"/>
  <c r="U21" i="17"/>
  <c r="AA21" i="17" s="1"/>
  <c r="Z120" i="17"/>
  <c r="AD120" i="17"/>
  <c r="AG120" i="17"/>
  <c r="Z130" i="17"/>
  <c r="AG130" i="17"/>
  <c r="AD130" i="17"/>
  <c r="Z109" i="17"/>
  <c r="AG109" i="17"/>
  <c r="AD109" i="17"/>
  <c r="Z100" i="17"/>
  <c r="AG100" i="17"/>
  <c r="AD100" i="17"/>
  <c r="Z43" i="17"/>
  <c r="AG43" i="17"/>
  <c r="AD43" i="17"/>
  <c r="Z35" i="17"/>
  <c r="AG35" i="17"/>
  <c r="AD35" i="17"/>
  <c r="AH22" i="17"/>
  <c r="AE22" i="17"/>
  <c r="AA22" i="17"/>
  <c r="AE116" i="17"/>
  <c r="AA116" i="17"/>
  <c r="AH116" i="17"/>
  <c r="AD84" i="17"/>
  <c r="AG84" i="17"/>
  <c r="Z28" i="17"/>
  <c r="AB28" i="17" s="1"/>
  <c r="AD28" i="17"/>
  <c r="AG28" i="17"/>
  <c r="AE47" i="17"/>
  <c r="AA47" i="17"/>
  <c r="AC47" i="17" s="1"/>
  <c r="AH47" i="17"/>
  <c r="AD126" i="17"/>
  <c r="AG126" i="17"/>
  <c r="AD86" i="17"/>
  <c r="AG86" i="17"/>
  <c r="AE37" i="17"/>
  <c r="AA37" i="17"/>
  <c r="AC37" i="17" s="1"/>
  <c r="AH37" i="17"/>
  <c r="Z82" i="17"/>
  <c r="AB82" i="17" s="1"/>
  <c r="AG82" i="17"/>
  <c r="AD82" i="17"/>
  <c r="Z131" i="17"/>
  <c r="AG131" i="17"/>
  <c r="AD131" i="17"/>
  <c r="AG75" i="17"/>
  <c r="AD75" i="17"/>
  <c r="Z122" i="17"/>
  <c r="AG122" i="17"/>
  <c r="AD122" i="17"/>
  <c r="Z50" i="17"/>
  <c r="AD50" i="17"/>
  <c r="AG50" i="17"/>
  <c r="AH65" i="17"/>
  <c r="AE65" i="17"/>
  <c r="AA65" i="17"/>
  <c r="AC65" i="17" s="1"/>
  <c r="Z61" i="17"/>
  <c r="AD61" i="17"/>
  <c r="AG61" i="17"/>
  <c r="Z123" i="17"/>
  <c r="AD123" i="17"/>
  <c r="AG123" i="17"/>
  <c r="T19" i="17"/>
  <c r="AD19" i="17"/>
  <c r="AG19" i="17"/>
  <c r="AH56" i="17"/>
  <c r="AA56" i="17"/>
  <c r="AC56" i="17" s="1"/>
  <c r="AE56" i="17"/>
  <c r="AH121" i="17"/>
  <c r="AE121" i="17"/>
  <c r="AA121" i="17"/>
  <c r="Y121" i="17" s="1"/>
  <c r="W121" i="17" s="1"/>
  <c r="Z23" i="17"/>
  <c r="X23" i="17" s="1"/>
  <c r="V23" i="17" s="1"/>
  <c r="AG23" i="17"/>
  <c r="AD23" i="17"/>
  <c r="AG44" i="17"/>
  <c r="AD44" i="17"/>
  <c r="AG57" i="17"/>
  <c r="AD57" i="17"/>
  <c r="Z105" i="17"/>
  <c r="AD105" i="17"/>
  <c r="AG105" i="17"/>
  <c r="Z47" i="17"/>
  <c r="AG47" i="17"/>
  <c r="AD47" i="17"/>
  <c r="AE79" i="17"/>
  <c r="U79" i="17"/>
  <c r="AA79" i="17" s="1"/>
  <c r="AH79" i="17"/>
  <c r="AE62" i="17"/>
  <c r="AA62" i="17"/>
  <c r="AH62" i="17"/>
  <c r="AE75" i="17"/>
  <c r="U75" i="17"/>
  <c r="AA75" i="17" s="1"/>
  <c r="AH75" i="17"/>
  <c r="AH97" i="17"/>
  <c r="AA97" i="17"/>
  <c r="AC97" i="17" s="1"/>
  <c r="AE97" i="17"/>
  <c r="AG67" i="17"/>
  <c r="AD67" i="17"/>
  <c r="Z127" i="17"/>
  <c r="AD127" i="17"/>
  <c r="AG127" i="17"/>
  <c r="Z98" i="17"/>
  <c r="AG98" i="17"/>
  <c r="AD98" i="17"/>
  <c r="AH86" i="17"/>
  <c r="AE86" i="17"/>
  <c r="AA86" i="17"/>
  <c r="AE89" i="17"/>
  <c r="AA89" i="17"/>
  <c r="AC89" i="17" s="1"/>
  <c r="AH89" i="17"/>
  <c r="Z22" i="17"/>
  <c r="AG22" i="17"/>
  <c r="AD22" i="17"/>
  <c r="Z110" i="17"/>
  <c r="AG110" i="17"/>
  <c r="AD110" i="17"/>
  <c r="Z103" i="17"/>
  <c r="AD103" i="17"/>
  <c r="AG103" i="17"/>
  <c r="AE51" i="17"/>
  <c r="AA51" i="17"/>
  <c r="AH51" i="17"/>
  <c r="Z108" i="17"/>
  <c r="X108" i="17" s="1"/>
  <c r="V108" i="17" s="1"/>
  <c r="AG108" i="17"/>
  <c r="AD108" i="17"/>
  <c r="T74" i="17"/>
  <c r="AD74" i="17"/>
  <c r="AG74" i="17"/>
  <c r="T20" i="17"/>
  <c r="Z20" i="17" s="1"/>
  <c r="AG20" i="17"/>
  <c r="AD20" i="17"/>
  <c r="Z80" i="17"/>
  <c r="AD80" i="17"/>
  <c r="AG80" i="17"/>
  <c r="Z42" i="17"/>
  <c r="AG42" i="17"/>
  <c r="AD42" i="17"/>
  <c r="T21" i="17"/>
  <c r="Z21" i="17" s="1"/>
  <c r="AD21" i="17"/>
  <c r="AG21" i="17"/>
  <c r="Z64" i="17"/>
  <c r="AD64" i="17"/>
  <c r="AG64" i="17"/>
  <c r="Z27" i="17"/>
  <c r="AD27" i="17"/>
  <c r="AG27" i="17"/>
  <c r="Z52" i="17"/>
  <c r="AD52" i="17"/>
  <c r="AG52" i="17"/>
  <c r="AH57" i="17"/>
  <c r="AE57" i="17"/>
  <c r="AA57" i="17"/>
  <c r="AC57" i="17" s="1"/>
  <c r="AE101" i="17"/>
  <c r="AA101" i="17"/>
  <c r="AC101" i="17" s="1"/>
  <c r="AH101" i="17"/>
  <c r="AH44" i="17"/>
  <c r="AE44" i="17"/>
  <c r="AA44" i="17"/>
  <c r="Z117" i="17"/>
  <c r="AD117" i="17"/>
  <c r="AG117" i="17"/>
  <c r="Z102" i="17"/>
  <c r="AD102" i="17"/>
  <c r="AG102" i="17"/>
  <c r="Z45" i="17"/>
  <c r="AG45" i="17"/>
  <c r="AD45" i="17"/>
  <c r="Z63" i="17"/>
  <c r="AD63" i="17"/>
  <c r="AG63" i="17"/>
  <c r="AE59" i="17"/>
  <c r="AA59" i="17"/>
  <c r="AH59" i="17"/>
  <c r="AH106" i="17"/>
  <c r="AE106" i="17"/>
  <c r="AA106" i="17"/>
  <c r="AG125" i="17"/>
  <c r="AD125" i="17"/>
  <c r="AH53" i="17"/>
  <c r="AA53" i="17"/>
  <c r="AE53" i="17"/>
  <c r="AE77" i="17"/>
  <c r="U77" i="17"/>
  <c r="AA77" i="17" s="1"/>
  <c r="AH77" i="17"/>
  <c r="AG65" i="17"/>
  <c r="AD65" i="17"/>
  <c r="Z84" i="17"/>
  <c r="AB84" i="17" s="1"/>
  <c r="Z24" i="17"/>
  <c r="AB24" i="17" s="1"/>
  <c r="T79" i="17"/>
  <c r="Z79" i="17" s="1"/>
  <c r="T76" i="17"/>
  <c r="Z76" i="17" s="1"/>
  <c r="AC116" i="17"/>
  <c r="Z67" i="17"/>
  <c r="AB67" i="17" s="1"/>
  <c r="Z112" i="17"/>
  <c r="X112" i="17" s="1"/>
  <c r="V112" i="17" s="1"/>
  <c r="Z44" i="17"/>
  <c r="X44" i="17" s="1"/>
  <c r="V44" i="17" s="1"/>
  <c r="Z126" i="17"/>
  <c r="AB126" i="17" s="1"/>
  <c r="Z49" i="17"/>
  <c r="Z86" i="17"/>
  <c r="X86" i="17" s="1"/>
  <c r="V86" i="17" s="1"/>
  <c r="Z65" i="17"/>
  <c r="AB65" i="17" s="1"/>
  <c r="T75" i="17"/>
  <c r="Z75" i="17" s="1"/>
  <c r="Z125" i="17"/>
  <c r="AB125" i="17" s="1"/>
  <c r="Z66" i="17"/>
  <c r="AB66" i="17" s="1"/>
  <c r="Z57" i="17"/>
  <c r="AB57" i="17" s="1"/>
  <c r="S45" i="17"/>
  <c r="S112" i="17"/>
  <c r="S64" i="17"/>
  <c r="AC85" i="17"/>
  <c r="S49" i="17"/>
  <c r="S103" i="17"/>
  <c r="S66" i="17"/>
  <c r="AB60" i="17"/>
  <c r="X60" i="17"/>
  <c r="V60" i="17" s="1"/>
  <c r="S82" i="17"/>
  <c r="S83" i="17"/>
  <c r="X99" i="17"/>
  <c r="V99" i="17" s="1"/>
  <c r="S29" i="17"/>
  <c r="U29" i="17" s="1"/>
  <c r="S68" i="17"/>
  <c r="S74" i="17"/>
  <c r="X89" i="17"/>
  <c r="V89" i="17" s="1"/>
  <c r="AB89" i="17"/>
  <c r="S105" i="17"/>
  <c r="S24" i="17"/>
  <c r="S67" i="17"/>
  <c r="S126" i="17"/>
  <c r="S28" i="17"/>
  <c r="U28" i="17" s="1"/>
  <c r="S23" i="17"/>
  <c r="S125" i="17"/>
  <c r="S30" i="17"/>
  <c r="U30" i="17" s="1"/>
  <c r="S129" i="17"/>
  <c r="S61" i="17"/>
  <c r="X31" i="17"/>
  <c r="V31" i="17" s="1"/>
  <c r="AB31" i="17"/>
  <c r="S128" i="17"/>
  <c r="AB119" i="17"/>
  <c r="X119" i="17"/>
  <c r="V119" i="17" s="1"/>
  <c r="S20" i="17"/>
  <c r="S120" i="17"/>
  <c r="AB46" i="17"/>
  <c r="X46" i="17"/>
  <c r="V46" i="17" s="1"/>
  <c r="AB23" i="17"/>
  <c r="AB34" i="17"/>
  <c r="X34" i="17"/>
  <c r="V34" i="17" s="1"/>
  <c r="Y31" i="17"/>
  <c r="W31" i="17" s="1"/>
  <c r="AC31" i="17"/>
  <c r="X106" i="17"/>
  <c r="V106" i="17" s="1"/>
  <c r="AB106" i="17"/>
  <c r="S117" i="17"/>
  <c r="AC99" i="17"/>
  <c r="Y99" i="17"/>
  <c r="W99" i="17" s="1"/>
  <c r="S52" i="17"/>
  <c r="S78" i="17"/>
  <c r="X113" i="17"/>
  <c r="V113" i="17" s="1"/>
  <c r="AB113" i="17"/>
  <c r="S109" i="17"/>
  <c r="S124" i="17"/>
  <c r="AB92" i="17"/>
  <c r="X92" i="17"/>
  <c r="V92" i="17" s="1"/>
  <c r="S69" i="17"/>
  <c r="S25" i="17"/>
  <c r="AB121" i="17"/>
  <c r="X121" i="17"/>
  <c r="V121" i="17" s="1"/>
  <c r="S58" i="17"/>
  <c r="AB107" i="17"/>
  <c r="X107" i="17"/>
  <c r="V107" i="17" s="1"/>
  <c r="S111" i="17"/>
  <c r="AB94" i="17"/>
  <c r="X94" i="17"/>
  <c r="V94" i="17" s="1"/>
  <c r="AB116" i="17"/>
  <c r="X116" i="17"/>
  <c r="V116" i="17" s="1"/>
  <c r="S88" i="17"/>
  <c r="AB93" i="17"/>
  <c r="X93" i="17"/>
  <c r="V93" i="17" s="1"/>
  <c r="S43" i="17"/>
  <c r="S19" i="17"/>
  <c r="AB37" i="17"/>
  <c r="X37" i="17"/>
  <c r="V37" i="17" s="1"/>
  <c r="AB81" i="17"/>
  <c r="X81" i="17"/>
  <c r="V81" i="17" s="1"/>
  <c r="S123" i="17"/>
  <c r="Y42" i="17"/>
  <c r="W42" i="17" s="1"/>
  <c r="AC42" i="17"/>
  <c r="S127" i="17"/>
  <c r="S93" i="17"/>
  <c r="S131" i="17"/>
  <c r="S98" i="17"/>
  <c r="S80" i="17"/>
  <c r="X77" i="17"/>
  <c r="V77" i="17" s="1"/>
  <c r="AB77" i="17"/>
  <c r="AB56" i="17"/>
  <c r="X56" i="17"/>
  <c r="V56" i="17" s="1"/>
  <c r="AB40" i="17"/>
  <c r="X40" i="17"/>
  <c r="V40" i="17" s="1"/>
  <c r="AB85" i="17"/>
  <c r="X85" i="17"/>
  <c r="V85" i="17" s="1"/>
  <c r="S36" i="17"/>
  <c r="U36" i="17" s="1"/>
  <c r="AB53" i="17"/>
  <c r="X53" i="17"/>
  <c r="V53" i="17" s="1"/>
  <c r="S102" i="17"/>
  <c r="X62" i="17"/>
  <c r="V62" i="17" s="1"/>
  <c r="AB62" i="17"/>
  <c r="S130" i="17"/>
  <c r="S122" i="17"/>
  <c r="X104" i="17"/>
  <c r="V104" i="17" s="1"/>
  <c r="AB104" i="17"/>
  <c r="AB25" i="17"/>
  <c r="X25" i="17"/>
  <c r="V25" i="17" s="1"/>
  <c r="AB48" i="17"/>
  <c r="X48" i="17"/>
  <c r="V48" i="17" s="1"/>
  <c r="S63" i="17"/>
  <c r="S50" i="17"/>
  <c r="S118" i="17"/>
  <c r="AB97" i="17"/>
  <c r="X97" i="17"/>
  <c r="V97" i="17" s="1"/>
  <c r="S35" i="17"/>
  <c r="U35" i="17" s="1"/>
  <c r="Y48" i="17"/>
  <c r="W48" i="17" s="1"/>
  <c r="AC48" i="17"/>
  <c r="AB26" i="17"/>
  <c r="X26" i="17"/>
  <c r="V26" i="17" s="1"/>
  <c r="Y26" i="17"/>
  <c r="W26" i="17" s="1"/>
  <c r="AC26" i="17"/>
  <c r="U48" i="16"/>
  <c r="Y38" i="16"/>
  <c r="M44" i="16"/>
  <c r="O44" i="16" s="1"/>
  <c r="S44" i="16" s="1"/>
  <c r="Y44" i="16"/>
  <c r="W38" i="16"/>
  <c r="W39" i="16"/>
  <c r="W20" i="16"/>
  <c r="W26" i="16"/>
  <c r="W46" i="16"/>
  <c r="U46" i="16"/>
  <c r="W49" i="16"/>
  <c r="U49" i="16"/>
  <c r="Y39" i="16"/>
  <c r="W53" i="16"/>
  <c r="M50" i="16"/>
  <c r="O50" i="16" s="1"/>
  <c r="S50" i="16" s="1"/>
  <c r="Q50" i="16" s="1"/>
  <c r="Y50" i="16"/>
  <c r="Y37" i="16"/>
  <c r="U47" i="16"/>
  <c r="W54" i="16"/>
  <c r="U31" i="16"/>
  <c r="U32" i="16"/>
  <c r="U19" i="16"/>
  <c r="U24" i="16"/>
  <c r="U26" i="16"/>
  <c r="M45" i="16"/>
  <c r="O45" i="16" s="1"/>
  <c r="S45" i="16" s="1"/>
  <c r="U34" i="16"/>
  <c r="M51" i="16"/>
  <c r="O51" i="16" s="1"/>
  <c r="S51" i="16" s="1"/>
  <c r="Q51" i="16" s="1"/>
  <c r="U21" i="16"/>
  <c r="AG23" i="3"/>
  <c r="AE39" i="3"/>
  <c r="AC39" i="3"/>
  <c r="AG39" i="3"/>
  <c r="M40" i="16"/>
  <c r="O40" i="16" s="1"/>
  <c r="S40" i="16" s="1"/>
  <c r="M42" i="16"/>
  <c r="O42" i="16" s="1"/>
  <c r="S42" i="16" s="1"/>
  <c r="M37" i="16"/>
  <c r="O37" i="16" s="1"/>
  <c r="P37" i="16" s="1"/>
  <c r="M43" i="16"/>
  <c r="O43" i="16" s="1"/>
  <c r="S43" i="16" s="1"/>
  <c r="U20" i="16"/>
  <c r="AC23" i="3"/>
  <c r="AE23" i="3"/>
  <c r="R24" i="16" l="1"/>
  <c r="T53" i="16"/>
  <c r="Q53" i="16"/>
  <c r="T24" i="16"/>
  <c r="Q31" i="16"/>
  <c r="R18" i="16"/>
  <c r="T31" i="16"/>
  <c r="T18" i="16"/>
  <c r="T54" i="16"/>
  <c r="R54" i="16"/>
  <c r="R19" i="16"/>
  <c r="T19" i="16"/>
  <c r="R38" i="16"/>
  <c r="X56" i="16"/>
  <c r="AS38" i="1" s="1"/>
  <c r="AS40" i="1" s="1"/>
  <c r="AI135" i="17"/>
  <c r="AR37" i="1" s="1"/>
  <c r="AR40" i="1" s="1"/>
  <c r="R39" i="8"/>
  <c r="T21" i="18"/>
  <c r="T38" i="16"/>
  <c r="T39" i="8"/>
  <c r="T133" i="17"/>
  <c r="AJ135" i="17"/>
  <c r="AJ137" i="17" s="1"/>
  <c r="P56" i="16"/>
  <c r="G38" i="1" s="1"/>
  <c r="R45" i="8"/>
  <c r="R43" i="8"/>
  <c r="T43" i="8"/>
  <c r="Y56" i="16"/>
  <c r="AW38" i="1" s="1"/>
  <c r="T50" i="16"/>
  <c r="AB21" i="17"/>
  <c r="Z74" i="17"/>
  <c r="Z133" i="17" s="1"/>
  <c r="AG71" i="17"/>
  <c r="Z19" i="17"/>
  <c r="Z71" i="17" s="1"/>
  <c r="T71" i="17"/>
  <c r="AD133" i="17"/>
  <c r="AG133" i="17"/>
  <c r="AD71" i="17"/>
  <c r="T50" i="8"/>
  <c r="Q50" i="8"/>
  <c r="T51" i="8"/>
  <c r="Q51" i="8"/>
  <c r="U23" i="3"/>
  <c r="W23" i="3"/>
  <c r="T39" i="3"/>
  <c r="W39" i="3"/>
  <c r="R51" i="8"/>
  <c r="R50" i="8"/>
  <c r="T39" i="16"/>
  <c r="Q39" i="16"/>
  <c r="R39" i="16"/>
  <c r="T51" i="16"/>
  <c r="R50" i="16"/>
  <c r="Q49" i="16"/>
  <c r="T49" i="16"/>
  <c r="R49" i="16"/>
  <c r="R51" i="16"/>
  <c r="Q43" i="16"/>
  <c r="T43" i="16"/>
  <c r="R43" i="16"/>
  <c r="T42" i="16"/>
  <c r="R42" i="16"/>
  <c r="Q42" i="16"/>
  <c r="R44" i="16"/>
  <c r="T44" i="16"/>
  <c r="Q44" i="16"/>
  <c r="S37" i="16"/>
  <c r="Q37" i="16" s="1"/>
  <c r="T37" i="16"/>
  <c r="R37" i="16"/>
  <c r="R40" i="16"/>
  <c r="T40" i="16"/>
  <c r="Q40" i="16"/>
  <c r="R45" i="16"/>
  <c r="Q45" i="16"/>
  <c r="T45" i="16"/>
  <c r="O75" i="16"/>
  <c r="Q46" i="16"/>
  <c r="T46" i="16"/>
  <c r="R46" i="16"/>
  <c r="X28" i="17"/>
  <c r="V28" i="17" s="1"/>
  <c r="AB108" i="17"/>
  <c r="X82" i="17"/>
  <c r="V82" i="17" s="1"/>
  <c r="X21" i="17"/>
  <c r="V21" i="17" s="1"/>
  <c r="T28" i="18"/>
  <c r="R46" i="18"/>
  <c r="R33" i="18"/>
  <c r="R62" i="18"/>
  <c r="R45" i="18"/>
  <c r="T48" i="18"/>
  <c r="R54" i="18"/>
  <c r="T54" i="18"/>
  <c r="R61" i="18"/>
  <c r="T23" i="18"/>
  <c r="R23" i="18"/>
  <c r="T31" i="18"/>
  <c r="T34" i="18"/>
  <c r="V65" i="18"/>
  <c r="AM39" i="1" s="1"/>
  <c r="R41" i="18"/>
  <c r="T41" i="18"/>
  <c r="T32" i="18"/>
  <c r="R32" i="18"/>
  <c r="U65" i="18"/>
  <c r="Z39" i="1" s="1"/>
  <c r="R51" i="18"/>
  <c r="T51" i="18"/>
  <c r="S65" i="18"/>
  <c r="M39" i="1" s="1"/>
  <c r="T18" i="18"/>
  <c r="R18" i="18"/>
  <c r="T40" i="18"/>
  <c r="R40" i="18"/>
  <c r="T53" i="18"/>
  <c r="R53" i="18"/>
  <c r="T52" i="18"/>
  <c r="R52" i="18"/>
  <c r="T39" i="18"/>
  <c r="R39" i="18"/>
  <c r="T47" i="18"/>
  <c r="R47" i="18"/>
  <c r="W65" i="18"/>
  <c r="AQ39" i="1" s="1"/>
  <c r="Y65" i="18"/>
  <c r="AW39" i="1" s="1"/>
  <c r="T19" i="18"/>
  <c r="R19" i="18"/>
  <c r="Y92" i="17"/>
  <c r="W92" i="17" s="1"/>
  <c r="AA131" i="17"/>
  <c r="AH131" i="17"/>
  <c r="AE131" i="17"/>
  <c r="AH58" i="17"/>
  <c r="AE58" i="17"/>
  <c r="AA58" i="17"/>
  <c r="AE105" i="17"/>
  <c r="AA105" i="17"/>
  <c r="AC105" i="17" s="1"/>
  <c r="AH105" i="17"/>
  <c r="AE122" i="17"/>
  <c r="AH122" i="17"/>
  <c r="AA122" i="17"/>
  <c r="AH127" i="17"/>
  <c r="AE127" i="17"/>
  <c r="AA127" i="17"/>
  <c r="AE52" i="17"/>
  <c r="AA52" i="17"/>
  <c r="AH52" i="17"/>
  <c r="AE129" i="17"/>
  <c r="AA129" i="17"/>
  <c r="AH129" i="17"/>
  <c r="AH118" i="17"/>
  <c r="AA118" i="17"/>
  <c r="AE118" i="17"/>
  <c r="AH130" i="17"/>
  <c r="AE130" i="17"/>
  <c r="AA130" i="17"/>
  <c r="AB30" i="17"/>
  <c r="AE30" i="17"/>
  <c r="AH30" i="17"/>
  <c r="AA30" i="17"/>
  <c r="AH74" i="17"/>
  <c r="U74" i="17"/>
  <c r="AE74" i="17"/>
  <c r="AE50" i="17"/>
  <c r="AA50" i="17"/>
  <c r="AH50" i="17"/>
  <c r="AE88" i="17"/>
  <c r="AA88" i="17"/>
  <c r="AH88" i="17"/>
  <c r="AE125" i="17"/>
  <c r="AA125" i="17"/>
  <c r="AH125" i="17"/>
  <c r="AH68" i="17"/>
  <c r="AA68" i="17"/>
  <c r="AE68" i="17"/>
  <c r="AE64" i="17"/>
  <c r="AA64" i="17"/>
  <c r="AC64" i="17" s="1"/>
  <c r="AH64" i="17"/>
  <c r="AE61" i="17"/>
  <c r="AA61" i="17"/>
  <c r="AH61" i="17"/>
  <c r="AE112" i="17"/>
  <c r="AA112" i="17"/>
  <c r="AC112" i="17" s="1"/>
  <c r="AH112" i="17"/>
  <c r="AH69" i="17"/>
  <c r="AA69" i="17"/>
  <c r="AE69" i="17"/>
  <c r="AH120" i="17"/>
  <c r="AE120" i="17"/>
  <c r="AA120" i="17"/>
  <c r="AH45" i="17"/>
  <c r="AA45" i="17"/>
  <c r="Y45" i="17" s="1"/>
  <c r="W45" i="17" s="1"/>
  <c r="AE45" i="17"/>
  <c r="U20" i="17"/>
  <c r="AA20" i="17" s="1"/>
  <c r="AH20" i="17"/>
  <c r="AE20" i="17"/>
  <c r="AE126" i="17"/>
  <c r="AA126" i="17"/>
  <c r="AH126" i="17"/>
  <c r="AH83" i="17"/>
  <c r="AE83" i="17"/>
  <c r="AA83" i="17"/>
  <c r="AE103" i="17"/>
  <c r="AA103" i="17"/>
  <c r="AC103" i="17" s="1"/>
  <c r="AH103" i="17"/>
  <c r="AH43" i="17"/>
  <c r="AE43" i="17"/>
  <c r="AA43" i="17"/>
  <c r="AE25" i="17"/>
  <c r="AA25" i="17"/>
  <c r="AH25" i="17"/>
  <c r="AH29" i="17"/>
  <c r="AA29" i="17"/>
  <c r="AE29" i="17"/>
  <c r="AE19" i="17"/>
  <c r="U19" i="17"/>
  <c r="AH19" i="17"/>
  <c r="AE23" i="17"/>
  <c r="AA23" i="17"/>
  <c r="AH23" i="17"/>
  <c r="AE102" i="17"/>
  <c r="AA102" i="17"/>
  <c r="AH102" i="17"/>
  <c r="AH82" i="17"/>
  <c r="AE82" i="17"/>
  <c r="AA82" i="17"/>
  <c r="AH111" i="17"/>
  <c r="AE111" i="17"/>
  <c r="AA111" i="17"/>
  <c r="AE124" i="17"/>
  <c r="AA124" i="17"/>
  <c r="AH124" i="17"/>
  <c r="AE35" i="17"/>
  <c r="AA35" i="17"/>
  <c r="AH35" i="17"/>
  <c r="AE93" i="17"/>
  <c r="AA93" i="17"/>
  <c r="AH93" i="17"/>
  <c r="AA123" i="17"/>
  <c r="AE123" i="17"/>
  <c r="AH123" i="17"/>
  <c r="AE28" i="17"/>
  <c r="AA28" i="17"/>
  <c r="AH28" i="17"/>
  <c r="AE80" i="17"/>
  <c r="AA80" i="17"/>
  <c r="AH80" i="17"/>
  <c r="AH109" i="17"/>
  <c r="AA109" i="17"/>
  <c r="AE109" i="17"/>
  <c r="AE128" i="17"/>
  <c r="AA128" i="17"/>
  <c r="AH128" i="17"/>
  <c r="AH67" i="17"/>
  <c r="AA67" i="17"/>
  <c r="AE67" i="17"/>
  <c r="AE78" i="17"/>
  <c r="U78" i="17"/>
  <c r="AA78" i="17" s="1"/>
  <c r="AH78" i="17"/>
  <c r="AE49" i="17"/>
  <c r="AA49" i="17"/>
  <c r="AH49" i="17"/>
  <c r="AE63" i="17"/>
  <c r="AA63" i="17"/>
  <c r="AH63" i="17"/>
  <c r="AE117" i="17"/>
  <c r="AA117" i="17"/>
  <c r="AH117" i="17"/>
  <c r="AE36" i="17"/>
  <c r="AA36" i="17"/>
  <c r="AH36" i="17"/>
  <c r="AH98" i="17"/>
  <c r="AA98" i="17"/>
  <c r="AE98" i="17"/>
  <c r="AE24" i="17"/>
  <c r="AA24" i="17"/>
  <c r="AH24" i="17"/>
  <c r="AE66" i="17"/>
  <c r="AH66" i="17"/>
  <c r="AA66" i="17"/>
  <c r="AC119" i="17"/>
  <c r="Y101" i="17"/>
  <c r="W101" i="17" s="1"/>
  <c r="X75" i="17"/>
  <c r="V75" i="17" s="1"/>
  <c r="Y37" i="17"/>
  <c r="W37" i="17" s="1"/>
  <c r="AC40" i="17"/>
  <c r="Y47" i="17"/>
  <c r="W47" i="17" s="1"/>
  <c r="Y89" i="17"/>
  <c r="W89" i="17" s="1"/>
  <c r="X65" i="17"/>
  <c r="V65" i="17" s="1"/>
  <c r="AB76" i="17"/>
  <c r="X67" i="17"/>
  <c r="V67" i="17" s="1"/>
  <c r="Y65" i="17"/>
  <c r="W65" i="17" s="1"/>
  <c r="AC75" i="17"/>
  <c r="X76" i="17"/>
  <c r="V76" i="17" s="1"/>
  <c r="AC34" i="17"/>
  <c r="Y108" i="17"/>
  <c r="W108" i="17" s="1"/>
  <c r="X57" i="17"/>
  <c r="V57" i="17" s="1"/>
  <c r="AC46" i="17"/>
  <c r="X66" i="17"/>
  <c r="V66" i="17" s="1"/>
  <c r="AB75" i="17"/>
  <c r="AC121" i="17"/>
  <c r="AB44" i="17"/>
  <c r="X84" i="17"/>
  <c r="V84" i="17" s="1"/>
  <c r="Y100" i="17"/>
  <c r="W100" i="17" s="1"/>
  <c r="Y116" i="17"/>
  <c r="W116" i="17" s="1"/>
  <c r="Y75" i="17"/>
  <c r="W75" i="17" s="1"/>
  <c r="Y57" i="17"/>
  <c r="W57" i="17" s="1"/>
  <c r="Y94" i="17"/>
  <c r="W94" i="17" s="1"/>
  <c r="Y97" i="17"/>
  <c r="W97" i="17" s="1"/>
  <c r="Y56" i="17"/>
  <c r="W56" i="17" s="1"/>
  <c r="X126" i="17"/>
  <c r="V126" i="17" s="1"/>
  <c r="Y113" i="17"/>
  <c r="W113" i="17" s="1"/>
  <c r="AB79" i="17"/>
  <c r="X79" i="17"/>
  <c r="V79" i="17" s="1"/>
  <c r="Y104" i="17"/>
  <c r="W104" i="17" s="1"/>
  <c r="Y77" i="17"/>
  <c r="W77" i="17" s="1"/>
  <c r="Y110" i="17"/>
  <c r="W110" i="17" s="1"/>
  <c r="X125" i="17"/>
  <c r="V125" i="17" s="1"/>
  <c r="AC81" i="17"/>
  <c r="AB49" i="17"/>
  <c r="X49" i="17"/>
  <c r="V49" i="17" s="1"/>
  <c r="X24" i="17"/>
  <c r="V24" i="17" s="1"/>
  <c r="AC77" i="17"/>
  <c r="AB86" i="17"/>
  <c r="Y53" i="17"/>
  <c r="W53" i="17" s="1"/>
  <c r="AC53" i="17"/>
  <c r="X29" i="17"/>
  <c r="V29" i="17" s="1"/>
  <c r="AB112" i="17"/>
  <c r="Y106" i="17"/>
  <c r="W106" i="17" s="1"/>
  <c r="AC106" i="17"/>
  <c r="AC86" i="17"/>
  <c r="Y86" i="17"/>
  <c r="W86" i="17" s="1"/>
  <c r="AC44" i="17"/>
  <c r="Y44" i="17"/>
  <c r="W44" i="17" s="1"/>
  <c r="AB111" i="17"/>
  <c r="X111" i="17"/>
  <c r="V111" i="17" s="1"/>
  <c r="AB19" i="17"/>
  <c r="X19" i="17"/>
  <c r="AB74" i="17"/>
  <c r="X74" i="17"/>
  <c r="AB80" i="17"/>
  <c r="X80" i="17"/>
  <c r="V80" i="17" s="1"/>
  <c r="AB20" i="17"/>
  <c r="X20" i="17"/>
  <c r="V20" i="17" s="1"/>
  <c r="Y59" i="17"/>
  <c r="W59" i="17" s="1"/>
  <c r="AC59" i="17"/>
  <c r="X128" i="17"/>
  <c r="V128" i="17" s="1"/>
  <c r="AB128" i="17"/>
  <c r="AB63" i="17"/>
  <c r="X63" i="17"/>
  <c r="V63" i="17" s="1"/>
  <c r="AB118" i="17"/>
  <c r="X118" i="17"/>
  <c r="V118" i="17" s="1"/>
  <c r="X64" i="17"/>
  <c r="V64" i="17" s="1"/>
  <c r="AB64" i="17"/>
  <c r="X43" i="17"/>
  <c r="V43" i="17" s="1"/>
  <c r="AB43" i="17"/>
  <c r="AB52" i="17"/>
  <c r="X52" i="17"/>
  <c r="V52" i="17" s="1"/>
  <c r="Y21" i="17"/>
  <c r="W21" i="17" s="1"/>
  <c r="AC21" i="17"/>
  <c r="Y27" i="17"/>
  <c r="W27" i="17" s="1"/>
  <c r="AC27" i="17"/>
  <c r="X78" i="17"/>
  <c r="V78" i="17" s="1"/>
  <c r="AB78" i="17"/>
  <c r="AB58" i="17"/>
  <c r="X58" i="17"/>
  <c r="V58" i="17" s="1"/>
  <c r="X127" i="17"/>
  <c r="V127" i="17" s="1"/>
  <c r="AB127" i="17"/>
  <c r="AC60" i="17"/>
  <c r="Y60" i="17"/>
  <c r="W60" i="17" s="1"/>
  <c r="X102" i="17"/>
  <c r="V102" i="17" s="1"/>
  <c r="AB102" i="17"/>
  <c r="AC84" i="17"/>
  <c r="Y84" i="17"/>
  <c r="W84" i="17" s="1"/>
  <c r="AB45" i="17"/>
  <c r="X45" i="17"/>
  <c r="V45" i="17" s="1"/>
  <c r="AB117" i="17"/>
  <c r="X117" i="17"/>
  <c r="V117" i="17" s="1"/>
  <c r="X98" i="17"/>
  <c r="V98" i="17" s="1"/>
  <c r="AB98" i="17"/>
  <c r="X35" i="17"/>
  <c r="V35" i="17" s="1"/>
  <c r="AB35" i="17"/>
  <c r="AB103" i="17"/>
  <c r="X103" i="17"/>
  <c r="V103" i="17" s="1"/>
  <c r="AB51" i="17"/>
  <c r="X51" i="17"/>
  <c r="V51" i="17" s="1"/>
  <c r="Y79" i="17"/>
  <c r="W79" i="17" s="1"/>
  <c r="AC79" i="17"/>
  <c r="AB50" i="17"/>
  <c r="X50" i="17"/>
  <c r="V50" i="17" s="1"/>
  <c r="X131" i="17"/>
  <c r="V131" i="17" s="1"/>
  <c r="AB131" i="17"/>
  <c r="X130" i="17"/>
  <c r="V130" i="17" s="1"/>
  <c r="AB130" i="17"/>
  <c r="AC107" i="17"/>
  <c r="Y107" i="17"/>
  <c r="W107" i="17" s="1"/>
  <c r="X100" i="17"/>
  <c r="V100" i="17" s="1"/>
  <c r="AB100" i="17"/>
  <c r="X27" i="17"/>
  <c r="V27" i="17" s="1"/>
  <c r="AB27" i="17"/>
  <c r="AB120" i="17"/>
  <c r="X120" i="17"/>
  <c r="V120" i="17" s="1"/>
  <c r="AB22" i="17"/>
  <c r="X22" i="17"/>
  <c r="V22" i="17" s="1"/>
  <c r="AC22" i="17"/>
  <c r="Y22" i="17"/>
  <c r="W22" i="17" s="1"/>
  <c r="X36" i="17"/>
  <c r="V36" i="17" s="1"/>
  <c r="AB36" i="17"/>
  <c r="AC62" i="17"/>
  <c r="Y62" i="17"/>
  <c r="W62" i="17" s="1"/>
  <c r="AB41" i="17"/>
  <c r="X41" i="17"/>
  <c r="V41" i="17" s="1"/>
  <c r="AB122" i="17"/>
  <c r="X122" i="17"/>
  <c r="V122" i="17" s="1"/>
  <c r="AB123" i="17"/>
  <c r="X123" i="17"/>
  <c r="V123" i="17" s="1"/>
  <c r="AB124" i="17"/>
  <c r="X124" i="17"/>
  <c r="V124" i="17" s="1"/>
  <c r="AB105" i="17"/>
  <c r="X105" i="17"/>
  <c r="V105" i="17" s="1"/>
  <c r="AB110" i="17"/>
  <c r="X110" i="17"/>
  <c r="V110" i="17" s="1"/>
  <c r="AB109" i="17"/>
  <c r="X109" i="17"/>
  <c r="V109" i="17" s="1"/>
  <c r="AC41" i="17"/>
  <c r="Y41" i="17"/>
  <c r="W41" i="17" s="1"/>
  <c r="X129" i="17"/>
  <c r="V129" i="17" s="1"/>
  <c r="AB129" i="17"/>
  <c r="X42" i="17"/>
  <c r="V42" i="17" s="1"/>
  <c r="AB42" i="17"/>
  <c r="AB59" i="17"/>
  <c r="X59" i="17"/>
  <c r="V59" i="17" s="1"/>
  <c r="AC51" i="17"/>
  <c r="Y51" i="17"/>
  <c r="W51" i="17" s="1"/>
  <c r="X101" i="17"/>
  <c r="V101" i="17" s="1"/>
  <c r="AB101" i="17"/>
  <c r="X47" i="17"/>
  <c r="V47" i="17" s="1"/>
  <c r="AB47" i="17"/>
  <c r="AB61" i="17"/>
  <c r="X61" i="17"/>
  <c r="V61" i="17" s="1"/>
  <c r="AB69" i="17"/>
  <c r="X69" i="17"/>
  <c r="V69" i="17" s="1"/>
  <c r="X88" i="17"/>
  <c r="V88" i="17" s="1"/>
  <c r="AB88" i="17"/>
  <c r="AC76" i="17"/>
  <c r="Y76" i="17"/>
  <c r="W76" i="17" s="1"/>
  <c r="W51" i="16"/>
  <c r="U51" i="16"/>
  <c r="W45" i="16"/>
  <c r="U45" i="16"/>
  <c r="U50" i="16"/>
  <c r="W50" i="16"/>
  <c r="U43" i="16"/>
  <c r="W43" i="16"/>
  <c r="U37" i="16"/>
  <c r="W37" i="16"/>
  <c r="W42" i="16"/>
  <c r="U42" i="16"/>
  <c r="W40" i="16"/>
  <c r="U40" i="16"/>
  <c r="U44" i="16"/>
  <c r="W44" i="16"/>
  <c r="AR41" i="1" l="1"/>
  <c r="AI137" i="17"/>
  <c r="T135" i="17"/>
  <c r="F37" i="1" s="1"/>
  <c r="AV37" i="1"/>
  <c r="AG135" i="17"/>
  <c r="AP37" i="1" s="1"/>
  <c r="AA74" i="17"/>
  <c r="AA133" i="17" s="1"/>
  <c r="U133" i="17"/>
  <c r="AH133" i="17"/>
  <c r="Z135" i="17"/>
  <c r="L37" i="1" s="1"/>
  <c r="L40" i="1" s="1"/>
  <c r="AD135" i="17"/>
  <c r="Y37" i="1" s="1"/>
  <c r="AB133" i="17"/>
  <c r="AA19" i="17"/>
  <c r="AA71" i="17" s="1"/>
  <c r="U71" i="17"/>
  <c r="U135" i="17" s="1"/>
  <c r="G37" i="1" s="1"/>
  <c r="G40" i="1" s="1"/>
  <c r="AE71" i="17"/>
  <c r="AE133" i="17"/>
  <c r="X71" i="17"/>
  <c r="AH71" i="17"/>
  <c r="V74" i="17"/>
  <c r="V133" i="17" s="1"/>
  <c r="X133" i="17"/>
  <c r="AB71" i="17"/>
  <c r="R65" i="18"/>
  <c r="K39" i="1" s="1"/>
  <c r="T65" i="18"/>
  <c r="O39" i="1" s="1"/>
  <c r="Y64" i="17"/>
  <c r="W64" i="17" s="1"/>
  <c r="Y112" i="17"/>
  <c r="W112" i="17" s="1"/>
  <c r="V19" i="17"/>
  <c r="V71" i="17" s="1"/>
  <c r="AC45" i="17"/>
  <c r="Y103" i="17"/>
  <c r="W103" i="17" s="1"/>
  <c r="Y105" i="17"/>
  <c r="W105" i="17" s="1"/>
  <c r="AC49" i="17"/>
  <c r="Y49" i="17"/>
  <c r="W49" i="17" s="1"/>
  <c r="AC66" i="17"/>
  <c r="Y66" i="17"/>
  <c r="W66" i="17" s="1"/>
  <c r="AC82" i="17"/>
  <c r="Y82" i="17"/>
  <c r="W82" i="17" s="1"/>
  <c r="Y74" i="17"/>
  <c r="AC74" i="17"/>
  <c r="AC28" i="17"/>
  <c r="Y28" i="17"/>
  <c r="W28" i="17" s="1"/>
  <c r="AC68" i="17"/>
  <c r="Y68" i="17"/>
  <c r="W68" i="17" s="1"/>
  <c r="AC83" i="17"/>
  <c r="Y83" i="17"/>
  <c r="W83" i="17" s="1"/>
  <c r="Y30" i="17"/>
  <c r="W30" i="17" s="1"/>
  <c r="AC30" i="17"/>
  <c r="AC29" i="17"/>
  <c r="Y29" i="17"/>
  <c r="W29" i="17" s="1"/>
  <c r="Y24" i="17"/>
  <c r="W24" i="17" s="1"/>
  <c r="AC24" i="17"/>
  <c r="AC126" i="17"/>
  <c r="Y126" i="17"/>
  <c r="W126" i="17" s="1"/>
  <c r="AC125" i="17"/>
  <c r="Y125" i="17"/>
  <c r="W125" i="17" s="1"/>
  <c r="AC67" i="17"/>
  <c r="Y67" i="17"/>
  <c r="W67" i="17" s="1"/>
  <c r="AC23" i="17"/>
  <c r="Y23" i="17"/>
  <c r="W23" i="17" s="1"/>
  <c r="Y118" i="17"/>
  <c r="W118" i="17" s="1"/>
  <c r="AC118" i="17"/>
  <c r="Y78" i="17"/>
  <c r="W78" i="17" s="1"/>
  <c r="AC78" i="17"/>
  <c r="AC109" i="17"/>
  <c r="Y109" i="17"/>
  <c r="W109" i="17" s="1"/>
  <c r="AC88" i="17"/>
  <c r="Y88" i="17"/>
  <c r="W88" i="17" s="1"/>
  <c r="Y120" i="17"/>
  <c r="W120" i="17" s="1"/>
  <c r="AC120" i="17"/>
  <c r="AC80" i="17"/>
  <c r="Y80" i="17"/>
  <c r="W80" i="17" s="1"/>
  <c r="Y52" i="17"/>
  <c r="W52" i="17" s="1"/>
  <c r="AC52" i="17"/>
  <c r="Y124" i="17"/>
  <c r="W124" i="17" s="1"/>
  <c r="AC124" i="17"/>
  <c r="Y50" i="17"/>
  <c r="W50" i="17" s="1"/>
  <c r="AC50" i="17"/>
  <c r="AC111" i="17"/>
  <c r="Y111" i="17"/>
  <c r="W111" i="17" s="1"/>
  <c r="AC69" i="17"/>
  <c r="Y69" i="17"/>
  <c r="W69" i="17" s="1"/>
  <c r="AC130" i="17"/>
  <c r="Y130" i="17"/>
  <c r="W130" i="17" s="1"/>
  <c r="AC43" i="17"/>
  <c r="Y43" i="17"/>
  <c r="W43" i="17" s="1"/>
  <c r="AC93" i="17"/>
  <c r="Y93" i="17"/>
  <c r="W93" i="17" s="1"/>
  <c r="Y98" i="17"/>
  <c r="W98" i="17" s="1"/>
  <c r="AC98" i="17"/>
  <c r="Y128" i="17"/>
  <c r="W128" i="17" s="1"/>
  <c r="AC128" i="17"/>
  <c r="Y102" i="17"/>
  <c r="W102" i="17" s="1"/>
  <c r="AC102" i="17"/>
  <c r="AC63" i="17"/>
  <c r="Y63" i="17"/>
  <c r="W63" i="17" s="1"/>
  <c r="AC61" i="17"/>
  <c r="Y61" i="17"/>
  <c r="W61" i="17" s="1"/>
  <c r="Y25" i="17"/>
  <c r="W25" i="17" s="1"/>
  <c r="AC25" i="17"/>
  <c r="AC20" i="17"/>
  <c r="Y20" i="17"/>
  <c r="W20" i="17" s="1"/>
  <c r="Y122" i="17"/>
  <c r="W122" i="17" s="1"/>
  <c r="AC122" i="17"/>
  <c r="Y127" i="17"/>
  <c r="W127" i="17" s="1"/>
  <c r="AC127" i="17"/>
  <c r="Y123" i="17"/>
  <c r="W123" i="17" s="1"/>
  <c r="AC123" i="17"/>
  <c r="AC36" i="17"/>
  <c r="Y36" i="17"/>
  <c r="W36" i="17" s="1"/>
  <c r="Y58" i="17"/>
  <c r="W58" i="17" s="1"/>
  <c r="AC58" i="17"/>
  <c r="Y129" i="17"/>
  <c r="W129" i="17" s="1"/>
  <c r="AC129" i="17"/>
  <c r="Y35" i="17"/>
  <c r="W35" i="17" s="1"/>
  <c r="AC35" i="17"/>
  <c r="Y117" i="17"/>
  <c r="W117" i="17" s="1"/>
  <c r="AC117" i="17"/>
  <c r="AC131" i="17"/>
  <c r="Y131" i="17"/>
  <c r="W131" i="17" s="1"/>
  <c r="S56" i="16"/>
  <c r="M38" i="1" s="1"/>
  <c r="U56" i="16"/>
  <c r="Z38" i="1" s="1"/>
  <c r="W56" i="16"/>
  <c r="AQ38" i="1" s="1"/>
  <c r="O68" i="3"/>
  <c r="Q68" i="3" s="1"/>
  <c r="M68" i="3"/>
  <c r="AG68" i="3" s="1"/>
  <c r="G68" i="3"/>
  <c r="M67" i="3"/>
  <c r="AG67" i="3" s="1"/>
  <c r="G67" i="3"/>
  <c r="H30" i="2"/>
  <c r="M22" i="2"/>
  <c r="AR22" i="2" s="1"/>
  <c r="M21" i="2"/>
  <c r="H21" i="2"/>
  <c r="AA135" i="17" l="1"/>
  <c r="M37" i="1" s="1"/>
  <c r="M40" i="1" s="1"/>
  <c r="L41" i="1" s="1"/>
  <c r="I21" i="2"/>
  <c r="AR21" i="2"/>
  <c r="W74" i="17"/>
  <c r="W133" i="17" s="1"/>
  <c r="Y133" i="17"/>
  <c r="AC19" i="17"/>
  <c r="AC71" i="17" s="1"/>
  <c r="AH135" i="17"/>
  <c r="AQ37" i="1" s="1"/>
  <c r="AE135" i="17"/>
  <c r="Z37" i="1" s="1"/>
  <c r="AC133" i="17"/>
  <c r="T137" i="17"/>
  <c r="F40" i="1"/>
  <c r="F41" i="1" s="1"/>
  <c r="X135" i="17"/>
  <c r="V135" i="17"/>
  <c r="AB135" i="17"/>
  <c r="S68" i="3"/>
  <c r="T68" i="3" s="1"/>
  <c r="Y19" i="17"/>
  <c r="Y71" i="17" s="1"/>
  <c r="P21" i="2"/>
  <c r="R56" i="16"/>
  <c r="K38" i="1" s="1"/>
  <c r="T56" i="16"/>
  <c r="O38" i="1" s="1"/>
  <c r="AA68" i="3"/>
  <c r="AE68" i="3"/>
  <c r="Z68" i="3"/>
  <c r="AD68" i="3"/>
  <c r="AC68" i="3"/>
  <c r="O67" i="3"/>
  <c r="Q67" i="3" s="1"/>
  <c r="S67" i="3" s="1"/>
  <c r="J21" i="2"/>
  <c r="H19" i="2"/>
  <c r="Z137" i="17" l="1"/>
  <c r="Y135" i="17"/>
  <c r="K37" i="1" s="1"/>
  <c r="K40" i="1" s="1"/>
  <c r="AG137" i="17"/>
  <c r="AD137" i="17"/>
  <c r="N37" i="1"/>
  <c r="N40" i="1" s="1"/>
  <c r="J37" i="1"/>
  <c r="J40" i="1" s="1"/>
  <c r="H37" i="1"/>
  <c r="H40" i="1" s="1"/>
  <c r="AC135" i="17"/>
  <c r="O37" i="1" s="1"/>
  <c r="O40" i="1" s="1"/>
  <c r="T67" i="3"/>
  <c r="T75" i="3" s="1"/>
  <c r="S75" i="3"/>
  <c r="W19" i="17"/>
  <c r="W71" i="17" s="1"/>
  <c r="W135" i="17" s="1"/>
  <c r="I37" i="1" s="1"/>
  <c r="AA67" i="3"/>
  <c r="AA75" i="3" s="1"/>
  <c r="AE67" i="3"/>
  <c r="Z67" i="3"/>
  <c r="Z75" i="3" s="1"/>
  <c r="AC67" i="3"/>
  <c r="AD67" i="3"/>
  <c r="X137" i="17" l="1"/>
  <c r="J41" i="1"/>
  <c r="V137" i="17"/>
  <c r="N41" i="1"/>
  <c r="AB137" i="17"/>
  <c r="Q86" i="2"/>
  <c r="Q90" i="2"/>
  <c r="Q91" i="2"/>
  <c r="Q92" i="2"/>
  <c r="Q93" i="2"/>
  <c r="Q95" i="2"/>
  <c r="Q96" i="2"/>
  <c r="Q97" i="2"/>
  <c r="Q98" i="2"/>
  <c r="Q100" i="2"/>
  <c r="Q105" i="2"/>
  <c r="Q107" i="2"/>
  <c r="Q108" i="2"/>
  <c r="Q114" i="2"/>
  <c r="Q115" i="2"/>
  <c r="Q116" i="2"/>
  <c r="Q117" i="2"/>
  <c r="Q120" i="2"/>
  <c r="Q122" i="2"/>
  <c r="Q141" i="2"/>
  <c r="Q139" i="2"/>
  <c r="Q21" i="2"/>
  <c r="Q22" i="2"/>
  <c r="Q26" i="2"/>
  <c r="Q31" i="2"/>
  <c r="Q32" i="2"/>
  <c r="Q33" i="2"/>
  <c r="Q34" i="2"/>
  <c r="Q37" i="2"/>
  <c r="Q38" i="2"/>
  <c r="Q39" i="2"/>
  <c r="Q40" i="2"/>
  <c r="Q46" i="2"/>
  <c r="Q48" i="2"/>
  <c r="Q53" i="2"/>
  <c r="Q54" i="2"/>
  <c r="Q55" i="2"/>
  <c r="Q56" i="2"/>
  <c r="Q60" i="2"/>
  <c r="Q62" i="2"/>
  <c r="Q140" i="2"/>
  <c r="Q138" i="2"/>
  <c r="D28" i="1" l="1"/>
  <c r="AQ91" i="2" l="1"/>
  <c r="AQ92" i="2"/>
  <c r="AQ96" i="2"/>
  <c r="AQ97" i="2"/>
  <c r="AQ115" i="2"/>
  <c r="AQ116" i="2"/>
  <c r="AO91" i="2"/>
  <c r="AO92" i="2"/>
  <c r="AO96" i="2"/>
  <c r="AO97" i="2"/>
  <c r="AO115" i="2"/>
  <c r="AO116" i="2"/>
  <c r="AM91" i="2"/>
  <c r="AM92" i="2"/>
  <c r="AM96" i="2"/>
  <c r="AM97" i="2"/>
  <c r="AM115" i="2"/>
  <c r="AM116" i="2"/>
  <c r="AI91" i="2"/>
  <c r="AI92" i="2"/>
  <c r="AI96" i="2"/>
  <c r="AI97" i="2"/>
  <c r="AI115" i="2"/>
  <c r="AI116" i="2"/>
  <c r="U90" i="2"/>
  <c r="AD90" i="2" s="1"/>
  <c r="U92" i="2"/>
  <c r="AK92" i="2" s="1"/>
  <c r="U93" i="2"/>
  <c r="AD93" i="2" s="1"/>
  <c r="U95" i="2"/>
  <c r="AD95" i="2" s="1"/>
  <c r="U96" i="2"/>
  <c r="AK96" i="2" s="1"/>
  <c r="U105" i="2"/>
  <c r="AD105" i="2" s="1"/>
  <c r="U107" i="2"/>
  <c r="AD107" i="2" s="1"/>
  <c r="U108" i="2"/>
  <c r="AD108" i="2" s="1"/>
  <c r="U114" i="2"/>
  <c r="AD114" i="2" s="1"/>
  <c r="U115" i="2"/>
  <c r="AK115" i="2" s="1"/>
  <c r="U116" i="2"/>
  <c r="AK116" i="2" s="1"/>
  <c r="U117" i="2"/>
  <c r="AD117" i="2" s="1"/>
  <c r="U120" i="2"/>
  <c r="AD120" i="2" s="1"/>
  <c r="U122" i="2"/>
  <c r="AD122" i="2" s="1"/>
  <c r="U141" i="2"/>
  <c r="U139" i="2"/>
  <c r="AQ32" i="2"/>
  <c r="AQ33" i="2"/>
  <c r="AQ38" i="2"/>
  <c r="AQ39" i="2"/>
  <c r="AQ54" i="2"/>
  <c r="AQ55" i="2"/>
  <c r="AO32" i="2"/>
  <c r="AO33" i="2"/>
  <c r="AO38" i="2"/>
  <c r="AO39" i="2"/>
  <c r="AO54" i="2"/>
  <c r="AO55" i="2"/>
  <c r="AM32" i="2"/>
  <c r="AM33" i="2"/>
  <c r="AM38" i="2"/>
  <c r="AM39" i="2"/>
  <c r="AM54" i="2"/>
  <c r="AM55" i="2"/>
  <c r="AI32" i="2"/>
  <c r="AI33" i="2"/>
  <c r="AI38" i="2"/>
  <c r="AI39" i="2"/>
  <c r="AI54" i="2"/>
  <c r="AI55" i="2"/>
  <c r="U26" i="2"/>
  <c r="AD26" i="2" s="1"/>
  <c r="U31" i="2"/>
  <c r="U32" i="2"/>
  <c r="AK32" i="2" s="1"/>
  <c r="U33" i="2"/>
  <c r="AK33" i="2" s="1"/>
  <c r="U34" i="2"/>
  <c r="U39" i="2"/>
  <c r="AK39" i="2" s="1"/>
  <c r="U40" i="2"/>
  <c r="AD40" i="2" s="1"/>
  <c r="U46" i="2"/>
  <c r="AD46" i="2" s="1"/>
  <c r="U48" i="2"/>
  <c r="AD48" i="2" s="1"/>
  <c r="U53" i="2"/>
  <c r="AD53" i="2" s="1"/>
  <c r="U54" i="2"/>
  <c r="AK54" i="2" s="1"/>
  <c r="U55" i="2"/>
  <c r="AK55" i="2" s="1"/>
  <c r="U56" i="2"/>
  <c r="AD56" i="2" s="1"/>
  <c r="U60" i="2"/>
  <c r="AD60" i="2" s="1"/>
  <c r="U62" i="2"/>
  <c r="AD62" i="2" s="1"/>
  <c r="U140" i="2"/>
  <c r="AO140" i="2" s="1"/>
  <c r="U138" i="2"/>
  <c r="P138" i="2"/>
  <c r="T138" i="2" s="1"/>
  <c r="X31" i="2" l="1"/>
  <c r="AD31" i="2" s="1"/>
  <c r="AD34" i="2"/>
  <c r="X34" i="2"/>
  <c r="AO31" i="2"/>
  <c r="AO56" i="2"/>
  <c r="AM40" i="2"/>
  <c r="AQ26" i="2"/>
  <c r="AK53" i="2"/>
  <c r="AM48" i="2"/>
  <c r="AQ34" i="2"/>
  <c r="AL138" i="2"/>
  <c r="AO139" i="2"/>
  <c r="AM139" i="2"/>
  <c r="AO138" i="2"/>
  <c r="AM138" i="2"/>
  <c r="AM177" i="2" s="1"/>
  <c r="AQ122" i="2"/>
  <c r="U91" i="2"/>
  <c r="AK91" i="2" s="1"/>
  <c r="U86" i="2"/>
  <c r="AD86" i="2" s="1"/>
  <c r="AM62" i="2"/>
  <c r="AM141" i="2"/>
  <c r="AO141" i="2"/>
  <c r="AM107" i="2"/>
  <c r="U100" i="2"/>
  <c r="AD100" i="2" s="1"/>
  <c r="U98" i="2"/>
  <c r="AD98" i="2" s="1"/>
  <c r="U38" i="2"/>
  <c r="U97" i="2"/>
  <c r="U37" i="2"/>
  <c r="AM117" i="2"/>
  <c r="AO117" i="2"/>
  <c r="AQ93" i="2"/>
  <c r="AM93" i="2"/>
  <c r="AM114" i="2"/>
  <c r="AO114" i="2"/>
  <c r="AK114" i="2"/>
  <c r="AM108" i="2"/>
  <c r="AK108" i="2"/>
  <c r="AI122" i="2"/>
  <c r="AO122" i="2"/>
  <c r="AM122" i="2"/>
  <c r="AQ95" i="2"/>
  <c r="AO95" i="2"/>
  <c r="AI95" i="2"/>
  <c r="AI90" i="2"/>
  <c r="AM90" i="2"/>
  <c r="AO90" i="2"/>
  <c r="AI120" i="2"/>
  <c r="AO120" i="2"/>
  <c r="AM120" i="2"/>
  <c r="AI105" i="2"/>
  <c r="AM105" i="2"/>
  <c r="AO53" i="2"/>
  <c r="AK107" i="2"/>
  <c r="AK122" i="2"/>
  <c r="AK120" i="2"/>
  <c r="AQ120" i="2"/>
  <c r="AQ117" i="2"/>
  <c r="AI117" i="2"/>
  <c r="AK117" i="2"/>
  <c r="AI114" i="2"/>
  <c r="AQ114" i="2"/>
  <c r="AQ108" i="2"/>
  <c r="AI108" i="2"/>
  <c r="AO108" i="2"/>
  <c r="AI107" i="2"/>
  <c r="AQ107" i="2"/>
  <c r="AO107" i="2"/>
  <c r="AO105" i="2"/>
  <c r="AQ105" i="2"/>
  <c r="AK105" i="2"/>
  <c r="AK95" i="2"/>
  <c r="AM95" i="2"/>
  <c r="AI93" i="2"/>
  <c r="AO93" i="2"/>
  <c r="AK93" i="2"/>
  <c r="AQ90" i="2"/>
  <c r="AK90" i="2"/>
  <c r="AI46" i="2"/>
  <c r="AO46" i="2"/>
  <c r="AK46" i="2"/>
  <c r="AM46" i="2"/>
  <c r="AM53" i="2"/>
  <c r="AI31" i="2"/>
  <c r="AQ46" i="2"/>
  <c r="AQ56" i="2"/>
  <c r="AQ53" i="2"/>
  <c r="AK48" i="2"/>
  <c r="AQ31" i="2"/>
  <c r="AI53" i="2"/>
  <c r="AM31" i="2"/>
  <c r="AI56" i="2"/>
  <c r="AK31" i="2"/>
  <c r="AO34" i="2"/>
  <c r="AM140" i="2"/>
  <c r="AK62" i="2"/>
  <c r="AQ62" i="2"/>
  <c r="AI62" i="2"/>
  <c r="AO62" i="2"/>
  <c r="AM60" i="2"/>
  <c r="AO60" i="2"/>
  <c r="AQ60" i="2"/>
  <c r="AK60" i="2"/>
  <c r="AI60" i="2"/>
  <c r="AK56" i="2"/>
  <c r="AM56" i="2"/>
  <c r="AO48" i="2"/>
  <c r="AQ48" i="2"/>
  <c r="AI48" i="2"/>
  <c r="AO40" i="2"/>
  <c r="AI40" i="2"/>
  <c r="AQ40" i="2"/>
  <c r="AK40" i="2"/>
  <c r="AI34" i="2"/>
  <c r="AM34" i="2"/>
  <c r="AK34" i="2"/>
  <c r="AI26" i="2"/>
  <c r="AK26" i="2"/>
  <c r="AM26" i="2"/>
  <c r="AO26" i="2"/>
  <c r="X37" i="2" l="1"/>
  <c r="AD37" i="2" s="1"/>
  <c r="AO177" i="2"/>
  <c r="AO37" i="2"/>
  <c r="AK86" i="2"/>
  <c r="AO98" i="2"/>
  <c r="AQ100" i="2"/>
  <c r="AO86" i="2"/>
  <c r="AI86" i="2"/>
  <c r="AM86" i="2"/>
  <c r="AQ98" i="2"/>
  <c r="AM37" i="2"/>
  <c r="AQ37" i="2"/>
  <c r="AI37" i="2"/>
  <c r="AO100" i="2"/>
  <c r="AK37" i="2"/>
  <c r="AM98" i="2"/>
  <c r="AK98" i="2"/>
  <c r="AQ86" i="2"/>
  <c r="AK38" i="2"/>
  <c r="AM100" i="2"/>
  <c r="AK97" i="2"/>
  <c r="AI98" i="2"/>
  <c r="AK100" i="2"/>
  <c r="AI100" i="2"/>
  <c r="O60" i="3"/>
  <c r="Q60" i="3" s="1"/>
  <c r="M60" i="3"/>
  <c r="G60" i="3"/>
  <c r="O59" i="3"/>
  <c r="Q59" i="3" s="1"/>
  <c r="M59" i="3"/>
  <c r="G59" i="3"/>
  <c r="M141" i="2"/>
  <c r="H141" i="2"/>
  <c r="G141" i="2"/>
  <c r="M139" i="2"/>
  <c r="K139" i="2"/>
  <c r="H139" i="2"/>
  <c r="G139" i="2"/>
  <c r="M140" i="2"/>
  <c r="H140" i="2"/>
  <c r="G140" i="2"/>
  <c r="M138" i="2"/>
  <c r="K138" i="2"/>
  <c r="AN138" i="2" s="1"/>
  <c r="J138" i="2"/>
  <c r="H138" i="2"/>
  <c r="G138" i="2"/>
  <c r="AD60" i="3" l="1"/>
  <c r="AC60" i="3"/>
  <c r="AD59" i="3"/>
  <c r="AC59" i="3"/>
  <c r="P141" i="2"/>
  <c r="T141" i="2" s="1"/>
  <c r="I141" i="2"/>
  <c r="J141" i="2"/>
  <c r="K141" i="2"/>
  <c r="P139" i="2"/>
  <c r="T139" i="2" s="1"/>
  <c r="I139" i="2"/>
  <c r="J139" i="2"/>
  <c r="P140" i="2"/>
  <c r="T140" i="2" s="1"/>
  <c r="I140" i="2"/>
  <c r="J140" i="2"/>
  <c r="K140" i="2"/>
  <c r="I138" i="2"/>
  <c r="E20" i="11"/>
  <c r="E19" i="11"/>
  <c r="AN139" i="2" l="1"/>
  <c r="AL139" i="2"/>
  <c r="AN141" i="2"/>
  <c r="AL141" i="2"/>
  <c r="AN140" i="2"/>
  <c r="AL140" i="2"/>
  <c r="G19" i="11"/>
  <c r="H19" i="11" s="1"/>
  <c r="G20" i="11"/>
  <c r="H20" i="11" s="1"/>
  <c r="C28" i="1"/>
  <c r="C29" i="1" s="1"/>
  <c r="L20" i="11" l="1"/>
  <c r="K20" i="11"/>
  <c r="I20" i="11"/>
  <c r="L19" i="11"/>
  <c r="L26" i="11" s="1"/>
  <c r="X43" i="1" s="1"/>
  <c r="K19" i="11"/>
  <c r="K26" i="11" s="1"/>
  <c r="S43" i="1" s="1"/>
  <c r="S44" i="1" s="1"/>
  <c r="I19" i="11"/>
  <c r="I26" i="11" s="1"/>
  <c r="E43" i="1" s="1"/>
  <c r="AL177" i="2"/>
  <c r="AB22" i="1" s="1"/>
  <c r="AN177" i="2"/>
  <c r="AG22" i="1" s="1"/>
  <c r="AX47" i="1" l="1"/>
  <c r="E47" i="1"/>
  <c r="E44" i="1"/>
  <c r="AM40" i="1"/>
  <c r="AL40" i="1" l="1"/>
  <c r="AL41" i="1" s="1"/>
  <c r="X44" i="1"/>
  <c r="AC37" i="4"/>
  <c r="AC57" i="4"/>
  <c r="AC58" i="4"/>
  <c r="AC63" i="4"/>
  <c r="AC38" i="4"/>
  <c r="AC42" i="4"/>
  <c r="AC43" i="4"/>
  <c r="G64" i="3"/>
  <c r="M64" i="3"/>
  <c r="O64" i="3"/>
  <c r="AG28" i="3"/>
  <c r="AG29" i="3"/>
  <c r="AS91" i="2"/>
  <c r="AS92" i="2"/>
  <c r="AS96" i="2"/>
  <c r="AS97" i="2"/>
  <c r="AS115" i="2"/>
  <c r="AS116" i="2"/>
  <c r="AS32" i="2"/>
  <c r="AS33" i="2"/>
  <c r="AS38" i="2"/>
  <c r="AS39" i="2"/>
  <c r="AS54" i="2"/>
  <c r="AS55" i="2"/>
  <c r="U46" i="10" l="1"/>
  <c r="Q27" i="1" s="1"/>
  <c r="P51" i="10" l="1"/>
  <c r="X46" i="10"/>
  <c r="Z27" i="1" s="1"/>
  <c r="T46" i="10"/>
  <c r="O27" i="1" s="1"/>
  <c r="Y46" i="10"/>
  <c r="AC27" i="1" s="1"/>
  <c r="AA46" i="10"/>
  <c r="AF27" i="1" s="1"/>
  <c r="Z46" i="10"/>
  <c r="AD27" i="1" s="1"/>
  <c r="H82" i="2" l="1"/>
  <c r="I82" i="2"/>
  <c r="G82" i="2"/>
  <c r="M82" i="2"/>
  <c r="Q82" i="2" s="1"/>
  <c r="H23" i="2"/>
  <c r="G23" i="2"/>
  <c r="M23" i="2"/>
  <c r="Q23" i="2" l="1"/>
  <c r="AR23" i="2"/>
  <c r="K23" i="2"/>
  <c r="J82" i="2"/>
  <c r="K82" i="2"/>
  <c r="P82" i="2"/>
  <c r="AS23" i="2"/>
  <c r="AS82" i="2"/>
  <c r="J23" i="2"/>
  <c r="I23" i="2"/>
  <c r="P23" i="2"/>
  <c r="T23" i="2" s="1"/>
  <c r="AC23" i="2" s="1"/>
  <c r="AE23" i="2" l="1"/>
  <c r="AA23" i="2"/>
  <c r="Y23" i="2" s="1"/>
  <c r="U82" i="2"/>
  <c r="AD82" i="2" s="1"/>
  <c r="U23" i="2"/>
  <c r="AD23" i="2" s="1"/>
  <c r="T82" i="2"/>
  <c r="AJ23" i="2"/>
  <c r="AL23" i="2"/>
  <c r="AN23" i="2"/>
  <c r="AP23" i="2"/>
  <c r="AH23" i="2"/>
  <c r="AL82" i="2" l="1"/>
  <c r="AC82" i="2"/>
  <c r="AO82" i="2"/>
  <c r="AK82" i="2"/>
  <c r="AP82" i="2"/>
  <c r="AI82" i="2"/>
  <c r="AQ82" i="2"/>
  <c r="AM82" i="2"/>
  <c r="AI23" i="2"/>
  <c r="AK23" i="2"/>
  <c r="AM23" i="2"/>
  <c r="AO23" i="2"/>
  <c r="AQ23" i="2"/>
  <c r="AH82" i="2"/>
  <c r="AN82" i="2"/>
  <c r="AJ82" i="2"/>
  <c r="J36" i="5"/>
  <c r="L36" i="5" s="1"/>
  <c r="H36" i="5"/>
  <c r="W36" i="5" l="1"/>
  <c r="AB82" i="2"/>
  <c r="Z82" i="2" s="1"/>
  <c r="AF82" i="2"/>
  <c r="AA82" i="2"/>
  <c r="Y82" i="2" s="1"/>
  <c r="AE82" i="2"/>
  <c r="AB23" i="2"/>
  <c r="Z23" i="2" s="1"/>
  <c r="AF23" i="2"/>
  <c r="M25" i="8"/>
  <c r="O25" i="8" s="1"/>
  <c r="G29" i="8"/>
  <c r="K29" i="8"/>
  <c r="G30" i="8"/>
  <c r="K30" i="8"/>
  <c r="G31" i="8"/>
  <c r="K31" i="8"/>
  <c r="X31" i="8" s="1"/>
  <c r="G32" i="8"/>
  <c r="K32" i="8"/>
  <c r="G23" i="8"/>
  <c r="K23" i="8"/>
  <c r="X23" i="8" s="1"/>
  <c r="G24" i="8"/>
  <c r="K24" i="8"/>
  <c r="X24" i="8" s="1"/>
  <c r="G25" i="8"/>
  <c r="K36" i="8"/>
  <c r="G36" i="8"/>
  <c r="M35" i="8"/>
  <c r="O35" i="8" s="1"/>
  <c r="G35" i="8"/>
  <c r="M28" i="8"/>
  <c r="O28" i="8" s="1"/>
  <c r="G28" i="8"/>
  <c r="K22" i="8"/>
  <c r="G22" i="8"/>
  <c r="G19" i="8"/>
  <c r="K18" i="8"/>
  <c r="X18" i="8" s="1"/>
  <c r="G18" i="8"/>
  <c r="K60" i="7"/>
  <c r="M60" i="7" s="1"/>
  <c r="O60" i="7" s="1"/>
  <c r="M41" i="7"/>
  <c r="O41" i="7" s="1"/>
  <c r="G41" i="7"/>
  <c r="K41" i="7"/>
  <c r="G40" i="7"/>
  <c r="K40" i="7"/>
  <c r="W40" i="7" s="1"/>
  <c r="G38" i="7"/>
  <c r="K38" i="7"/>
  <c r="W38" i="7" s="1"/>
  <c r="K26" i="7"/>
  <c r="W26" i="7" s="1"/>
  <c r="K19" i="7"/>
  <c r="K20" i="7"/>
  <c r="K21" i="7"/>
  <c r="K22" i="7"/>
  <c r="K23" i="7"/>
  <c r="G26" i="7"/>
  <c r="G19" i="7"/>
  <c r="G20" i="7"/>
  <c r="G21" i="7"/>
  <c r="G22" i="7"/>
  <c r="G23" i="7"/>
  <c r="K63" i="7"/>
  <c r="W63" i="7" s="1"/>
  <c r="G63" i="7"/>
  <c r="M59" i="7"/>
  <c r="O59" i="7" s="1"/>
  <c r="K56" i="7"/>
  <c r="W56" i="7" s="1"/>
  <c r="G56" i="7"/>
  <c r="K55" i="7"/>
  <c r="W55" i="7" s="1"/>
  <c r="G55" i="7"/>
  <c r="K54" i="7"/>
  <c r="G54" i="7"/>
  <c r="K53" i="7"/>
  <c r="G53" i="7"/>
  <c r="K52" i="7"/>
  <c r="I52" i="7" s="1"/>
  <c r="G52" i="7"/>
  <c r="K51" i="7"/>
  <c r="G51" i="7"/>
  <c r="K48" i="7"/>
  <c r="G48" i="7"/>
  <c r="K46" i="7"/>
  <c r="G46" i="7"/>
  <c r="K45" i="7"/>
  <c r="G45" i="7"/>
  <c r="K44" i="7"/>
  <c r="G44" i="7"/>
  <c r="M37" i="7"/>
  <c r="O37" i="7" s="1"/>
  <c r="K37" i="7"/>
  <c r="W37" i="7" s="1"/>
  <c r="G37" i="7"/>
  <c r="K36" i="7"/>
  <c r="G36" i="7"/>
  <c r="K35" i="7"/>
  <c r="G35" i="7"/>
  <c r="K34" i="7"/>
  <c r="I34" i="7" s="1"/>
  <c r="G34" i="7"/>
  <c r="K33" i="7"/>
  <c r="I33" i="7" s="1"/>
  <c r="G33" i="7"/>
  <c r="K32" i="7"/>
  <c r="G32" i="7"/>
  <c r="K29" i="7"/>
  <c r="I29" i="7" s="1"/>
  <c r="G29" i="7"/>
  <c r="K28" i="7"/>
  <c r="I28" i="7" s="1"/>
  <c r="G28" i="7"/>
  <c r="K27" i="7"/>
  <c r="G27" i="7"/>
  <c r="K18" i="7"/>
  <c r="W18" i="7" s="1"/>
  <c r="G18" i="7"/>
  <c r="T43" i="4"/>
  <c r="V43" i="4"/>
  <c r="W43" i="4"/>
  <c r="Y43" i="4"/>
  <c r="Z43" i="4"/>
  <c r="AA43" i="4"/>
  <c r="O43" i="4"/>
  <c r="Q43" i="4" s="1"/>
  <c r="G43" i="4"/>
  <c r="M43" i="4"/>
  <c r="Y42" i="4"/>
  <c r="Z42" i="4"/>
  <c r="AA42" i="4"/>
  <c r="T42" i="4"/>
  <c r="V42" i="4"/>
  <c r="W42" i="4"/>
  <c r="O42" i="4"/>
  <c r="Q42" i="4" s="1"/>
  <c r="X42" i="4" s="1"/>
  <c r="G42" i="4"/>
  <c r="M42" i="4"/>
  <c r="G41" i="4"/>
  <c r="M41" i="4"/>
  <c r="J41" i="4" s="1"/>
  <c r="G40" i="4"/>
  <c r="M40" i="4"/>
  <c r="J40" i="4" s="1"/>
  <c r="G39" i="4"/>
  <c r="M39" i="4"/>
  <c r="J39" i="4" s="1"/>
  <c r="O36" i="4"/>
  <c r="Q36" i="4" s="1"/>
  <c r="G36" i="4"/>
  <c r="M36" i="4"/>
  <c r="G35" i="4"/>
  <c r="M35" i="4"/>
  <c r="G21" i="4"/>
  <c r="G45" i="4"/>
  <c r="G46" i="4"/>
  <c r="O22" i="4"/>
  <c r="Q22" i="4" s="1"/>
  <c r="G19" i="4"/>
  <c r="M37" i="3"/>
  <c r="AF37" i="3" s="1"/>
  <c r="M38" i="3"/>
  <c r="AF38" i="3" s="1"/>
  <c r="M40" i="3"/>
  <c r="M42" i="3"/>
  <c r="M43" i="3"/>
  <c r="AG43" i="3" s="1"/>
  <c r="M44" i="3"/>
  <c r="AG44" i="3" s="1"/>
  <c r="M45" i="3"/>
  <c r="AG45" i="3" s="1"/>
  <c r="M46" i="3"/>
  <c r="AG46" i="3" s="1"/>
  <c r="M47" i="3"/>
  <c r="M48" i="3"/>
  <c r="M49" i="3"/>
  <c r="AG49" i="3" s="1"/>
  <c r="M50" i="3"/>
  <c r="M51" i="3"/>
  <c r="M53" i="3"/>
  <c r="M54" i="3"/>
  <c r="AF54" i="3" s="1"/>
  <c r="M18" i="3"/>
  <c r="AF18" i="3" s="1"/>
  <c r="M19" i="3"/>
  <c r="AF19" i="3" s="1"/>
  <c r="M20" i="3"/>
  <c r="AF20" i="3" s="1"/>
  <c r="M21" i="3"/>
  <c r="AF21" i="3" s="1"/>
  <c r="M22" i="3"/>
  <c r="AF22" i="3" s="1"/>
  <c r="M24" i="3"/>
  <c r="AF24" i="3" s="1"/>
  <c r="M26" i="3"/>
  <c r="M27" i="3"/>
  <c r="M28" i="3"/>
  <c r="M29" i="3"/>
  <c r="M30" i="3"/>
  <c r="M31" i="3"/>
  <c r="M32" i="3"/>
  <c r="M34" i="3"/>
  <c r="AF34" i="3" s="1"/>
  <c r="AG64" i="3"/>
  <c r="M63" i="3"/>
  <c r="AG63" i="3" s="1"/>
  <c r="M75" i="2"/>
  <c r="AR75" i="2" s="1"/>
  <c r="M76" i="2"/>
  <c r="M77" i="2"/>
  <c r="M78" i="2"/>
  <c r="M79" i="2"/>
  <c r="M80" i="2"/>
  <c r="M81" i="2"/>
  <c r="Q81" i="2" s="1"/>
  <c r="M83" i="2"/>
  <c r="Q83" i="2" s="1"/>
  <c r="M84" i="2"/>
  <c r="M85" i="2"/>
  <c r="M86" i="2"/>
  <c r="AR86" i="2" s="1"/>
  <c r="M87" i="2"/>
  <c r="M89" i="2"/>
  <c r="Q89" i="2" s="1"/>
  <c r="M90" i="2"/>
  <c r="M91" i="2"/>
  <c r="M92" i="2"/>
  <c r="M93" i="2"/>
  <c r="M94" i="2"/>
  <c r="Q94" i="2" s="1"/>
  <c r="M95" i="2"/>
  <c r="M96" i="2"/>
  <c r="M97" i="2"/>
  <c r="M98" i="2"/>
  <c r="M99" i="2"/>
  <c r="Q99" i="2" s="1"/>
  <c r="M100" i="2"/>
  <c r="AR100" i="2" s="1"/>
  <c r="M101" i="2"/>
  <c r="M102" i="2"/>
  <c r="M103" i="2"/>
  <c r="M104" i="2"/>
  <c r="M105" i="2"/>
  <c r="AR105" i="2" s="1"/>
  <c r="M106" i="2"/>
  <c r="M107" i="2"/>
  <c r="AR107" i="2" s="1"/>
  <c r="M108" i="2"/>
  <c r="M109" i="2"/>
  <c r="Q109" i="2" s="1"/>
  <c r="M110" i="2"/>
  <c r="Q110" i="2" s="1"/>
  <c r="M111" i="2"/>
  <c r="Q111" i="2" s="1"/>
  <c r="M112" i="2"/>
  <c r="M113" i="2"/>
  <c r="Q113" i="2" s="1"/>
  <c r="M114" i="2"/>
  <c r="M115" i="2"/>
  <c r="M116" i="2"/>
  <c r="M117" i="2"/>
  <c r="M118" i="2"/>
  <c r="Q118" i="2" s="1"/>
  <c r="M119" i="2"/>
  <c r="Q119" i="2" s="1"/>
  <c r="M120" i="2"/>
  <c r="M121" i="2"/>
  <c r="M122" i="2"/>
  <c r="AR122" i="2" s="1"/>
  <c r="M123" i="2"/>
  <c r="M124" i="2"/>
  <c r="M125" i="2"/>
  <c r="M126" i="2"/>
  <c r="Q126" i="2" s="1"/>
  <c r="M127" i="2"/>
  <c r="M128" i="2"/>
  <c r="Q128" i="2" s="1"/>
  <c r="M129" i="2"/>
  <c r="Q129" i="2" s="1"/>
  <c r="M130" i="2"/>
  <c r="Q130" i="2" s="1"/>
  <c r="M131" i="2"/>
  <c r="Q131" i="2" s="1"/>
  <c r="M132" i="2"/>
  <c r="M19" i="2"/>
  <c r="AR19" i="2" s="1"/>
  <c r="M20" i="2"/>
  <c r="AR20" i="2" s="1"/>
  <c r="M24" i="2"/>
  <c r="M25" i="2"/>
  <c r="AR25" i="2" s="1"/>
  <c r="M26" i="2"/>
  <c r="AR26" i="2" s="1"/>
  <c r="M27" i="2"/>
  <c r="Q27" i="2" s="1"/>
  <c r="M28" i="2"/>
  <c r="Q28" i="2" s="1"/>
  <c r="M29" i="2"/>
  <c r="Q29" i="2" s="1"/>
  <c r="M30" i="2"/>
  <c r="Q30" i="2" s="1"/>
  <c r="M31" i="2"/>
  <c r="M32" i="2"/>
  <c r="M33" i="2"/>
  <c r="M34" i="2"/>
  <c r="M35" i="2"/>
  <c r="Q35" i="2" s="1"/>
  <c r="M36" i="2"/>
  <c r="M37" i="2"/>
  <c r="AR37" i="2" s="1"/>
  <c r="M38" i="2"/>
  <c r="M39" i="2"/>
  <c r="M40" i="2"/>
  <c r="M41" i="2"/>
  <c r="Q41" i="2" s="1"/>
  <c r="M42" i="2"/>
  <c r="M43" i="2"/>
  <c r="M44" i="2"/>
  <c r="M45" i="2"/>
  <c r="M46" i="2"/>
  <c r="AR46" i="2" s="1"/>
  <c r="M47" i="2"/>
  <c r="M48" i="2"/>
  <c r="AR48" i="2" s="1"/>
  <c r="M49" i="2"/>
  <c r="Q49" i="2" s="1"/>
  <c r="M50" i="2"/>
  <c r="M51" i="2"/>
  <c r="M52" i="2"/>
  <c r="Q52" i="2" s="1"/>
  <c r="M53" i="2"/>
  <c r="M54" i="2"/>
  <c r="M55" i="2"/>
  <c r="M56" i="2"/>
  <c r="M57" i="2"/>
  <c r="Q57" i="2" s="1"/>
  <c r="M58" i="2"/>
  <c r="Q58" i="2" s="1"/>
  <c r="M59" i="2"/>
  <c r="Q59" i="2" s="1"/>
  <c r="M60" i="2"/>
  <c r="M61" i="2"/>
  <c r="M62" i="2"/>
  <c r="AR62" i="2" s="1"/>
  <c r="M63" i="2"/>
  <c r="M64" i="2"/>
  <c r="M65" i="2"/>
  <c r="Q65" i="2" s="1"/>
  <c r="M66" i="2"/>
  <c r="Q66" i="2" s="1"/>
  <c r="M67" i="2"/>
  <c r="M68" i="2"/>
  <c r="Q68" i="2" s="1"/>
  <c r="M69" i="2"/>
  <c r="M52" i="4"/>
  <c r="AB52" i="4" s="1"/>
  <c r="M53" i="4"/>
  <c r="AB53" i="4" s="1"/>
  <c r="M54" i="4"/>
  <c r="M55" i="4"/>
  <c r="M56" i="4"/>
  <c r="M57" i="4"/>
  <c r="M58" i="4"/>
  <c r="M59" i="4"/>
  <c r="M60" i="4"/>
  <c r="M61" i="4"/>
  <c r="M62" i="4"/>
  <c r="AB62" i="4" s="1"/>
  <c r="M63" i="4"/>
  <c r="M51" i="4"/>
  <c r="AB51" i="4" s="1"/>
  <c r="M32" i="4"/>
  <c r="AB32" i="4" s="1"/>
  <c r="M33" i="4"/>
  <c r="AB33" i="4" s="1"/>
  <c r="M34" i="4"/>
  <c r="M37" i="4"/>
  <c r="M38" i="4"/>
  <c r="M44" i="4"/>
  <c r="J44" i="4" s="1"/>
  <c r="M45" i="4"/>
  <c r="AB45" i="4" s="1"/>
  <c r="M46" i="4"/>
  <c r="AB46" i="4" s="1"/>
  <c r="M47" i="4"/>
  <c r="AB47" i="4" s="1"/>
  <c r="M48" i="4"/>
  <c r="AB48" i="4" s="1"/>
  <c r="M31" i="4"/>
  <c r="AB31" i="4" s="1"/>
  <c r="M28" i="4"/>
  <c r="AB28" i="4" s="1"/>
  <c r="M26" i="4"/>
  <c r="AB26" i="4" s="1"/>
  <c r="M19" i="4"/>
  <c r="AB19" i="4" s="1"/>
  <c r="M21" i="4"/>
  <c r="AB21" i="4" s="1"/>
  <c r="M22" i="4"/>
  <c r="AB22" i="4" s="1"/>
  <c r="M23" i="4"/>
  <c r="AB23" i="4" s="1"/>
  <c r="M18" i="4"/>
  <c r="AB18" i="4" s="1"/>
  <c r="G18" i="4"/>
  <c r="AA63" i="4"/>
  <c r="O63" i="4"/>
  <c r="Q63" i="4" s="1"/>
  <c r="G63" i="4"/>
  <c r="G62" i="4"/>
  <c r="G61" i="4"/>
  <c r="G60" i="4"/>
  <c r="O59" i="4"/>
  <c r="Q59" i="4" s="1"/>
  <c r="G59" i="4"/>
  <c r="AA58" i="4"/>
  <c r="Z58" i="4"/>
  <c r="Y58" i="4"/>
  <c r="W58" i="4"/>
  <c r="V58" i="4"/>
  <c r="T58" i="4"/>
  <c r="O58" i="4"/>
  <c r="Q58" i="4" s="1"/>
  <c r="G58" i="4"/>
  <c r="AA57" i="4"/>
  <c r="Z57" i="4"/>
  <c r="Y57" i="4"/>
  <c r="W57" i="4"/>
  <c r="V57" i="4"/>
  <c r="T57" i="4"/>
  <c r="O57" i="4"/>
  <c r="Q57" i="4" s="1"/>
  <c r="G57" i="4"/>
  <c r="O56" i="4"/>
  <c r="Q56" i="4" s="1"/>
  <c r="W56" i="4" s="1"/>
  <c r="G56" i="4"/>
  <c r="G55" i="4"/>
  <c r="G54" i="4"/>
  <c r="G53" i="4"/>
  <c r="G52" i="4"/>
  <c r="G51" i="4"/>
  <c r="G48" i="4"/>
  <c r="G47" i="4"/>
  <c r="G44" i="4"/>
  <c r="O38" i="4"/>
  <c r="Q38" i="4" s="1"/>
  <c r="G38" i="4"/>
  <c r="G37" i="4"/>
  <c r="G34" i="4"/>
  <c r="G33" i="4"/>
  <c r="G32" i="4"/>
  <c r="G31" i="4"/>
  <c r="G28" i="4"/>
  <c r="G26" i="4"/>
  <c r="G23" i="4"/>
  <c r="G22" i="4"/>
  <c r="G43" i="3"/>
  <c r="G42" i="3"/>
  <c r="S37" i="7" l="1"/>
  <c r="Q37" i="7" s="1"/>
  <c r="P41" i="7"/>
  <c r="S41" i="7" s="1"/>
  <c r="Q41" i="7" s="1"/>
  <c r="Y22" i="4"/>
  <c r="U22" i="4"/>
  <c r="S22" i="4" s="1"/>
  <c r="Q42" i="2"/>
  <c r="AR42" i="2"/>
  <c r="M54" i="7"/>
  <c r="O54" i="7" s="1"/>
  <c r="W54" i="7"/>
  <c r="Q127" i="2"/>
  <c r="U127" i="2" s="1"/>
  <c r="AD127" i="2" s="1"/>
  <c r="AR127" i="2"/>
  <c r="V59" i="7"/>
  <c r="U59" i="7"/>
  <c r="M20" i="7"/>
  <c r="O20" i="7" s="1"/>
  <c r="P20" i="7" s="1"/>
  <c r="S20" i="7" s="1"/>
  <c r="Q20" i="7" s="1"/>
  <c r="W20" i="7"/>
  <c r="Q79" i="2"/>
  <c r="U79" i="2" s="1"/>
  <c r="X79" i="2" s="1"/>
  <c r="AD79" i="2" s="1"/>
  <c r="AR79" i="2"/>
  <c r="I45" i="7"/>
  <c r="W45" i="7"/>
  <c r="U41" i="7"/>
  <c r="V41" i="7"/>
  <c r="Q51" i="2"/>
  <c r="U51" i="2" s="1"/>
  <c r="AD51" i="2" s="1"/>
  <c r="AR51" i="2"/>
  <c r="I22" i="7"/>
  <c r="W22" i="7"/>
  <c r="I21" i="7"/>
  <c r="W21" i="7"/>
  <c r="Q124" i="2"/>
  <c r="U124" i="2" s="1"/>
  <c r="AD124" i="2" s="1"/>
  <c r="AR124" i="2"/>
  <c r="Q112" i="2"/>
  <c r="U112" i="2" s="1"/>
  <c r="AD112" i="2" s="1"/>
  <c r="AR112" i="2"/>
  <c r="Q87" i="2"/>
  <c r="AR87" i="2"/>
  <c r="M36" i="7"/>
  <c r="O36" i="7" s="1"/>
  <c r="S36" i="7" s="1"/>
  <c r="Q36" i="7" s="1"/>
  <c r="W36" i="7"/>
  <c r="Q36" i="2"/>
  <c r="U36" i="2" s="1"/>
  <c r="AR36" i="2"/>
  <c r="Q24" i="2"/>
  <c r="U24" i="2" s="1"/>
  <c r="AD24" i="2" s="1"/>
  <c r="AR24" i="2"/>
  <c r="AR72" i="2" s="1"/>
  <c r="Q123" i="2"/>
  <c r="U123" i="2" s="1"/>
  <c r="AD123" i="2" s="1"/>
  <c r="AR123" i="2"/>
  <c r="I19" i="7"/>
  <c r="W19" i="7"/>
  <c r="Q104" i="2"/>
  <c r="U104" i="2" s="1"/>
  <c r="AD104" i="2" s="1"/>
  <c r="AR104" i="2"/>
  <c r="Q103" i="2"/>
  <c r="U103" i="2" s="1"/>
  <c r="AD103" i="2" s="1"/>
  <c r="AR103" i="2"/>
  <c r="I36" i="8"/>
  <c r="X36" i="8"/>
  <c r="Q50" i="2"/>
  <c r="U50" i="2" s="1"/>
  <c r="AD50" i="2" s="1"/>
  <c r="AR50" i="2"/>
  <c r="Q47" i="2"/>
  <c r="U47" i="2" s="1"/>
  <c r="AD47" i="2" s="1"/>
  <c r="AR47" i="2"/>
  <c r="Q85" i="2"/>
  <c r="U85" i="2" s="1"/>
  <c r="AD85" i="2" s="1"/>
  <c r="AR85" i="2"/>
  <c r="Q121" i="2"/>
  <c r="U121" i="2" s="1"/>
  <c r="AD121" i="2" s="1"/>
  <c r="AR121" i="2"/>
  <c r="Q84" i="2"/>
  <c r="U84" i="2" s="1"/>
  <c r="AD84" i="2" s="1"/>
  <c r="AR84" i="2"/>
  <c r="AF56" i="3"/>
  <c r="U37" i="7"/>
  <c r="V37" i="7"/>
  <c r="I22" i="8"/>
  <c r="X22" i="8"/>
  <c r="Q78" i="2"/>
  <c r="U78" i="2" s="1"/>
  <c r="X78" i="2" s="1"/>
  <c r="AR78" i="2"/>
  <c r="AB65" i="4"/>
  <c r="AS33" i="1" s="1"/>
  <c r="Q77" i="2"/>
  <c r="U77" i="2" s="1"/>
  <c r="X77" i="2" s="1"/>
  <c r="AD77" i="2" s="1"/>
  <c r="AR77" i="2"/>
  <c r="V60" i="7"/>
  <c r="U60" i="7"/>
  <c r="I48" i="7"/>
  <c r="W48" i="7"/>
  <c r="Q61" i="2"/>
  <c r="U61" i="2" s="1"/>
  <c r="AD61" i="2" s="1"/>
  <c r="AR61" i="2"/>
  <c r="Q69" i="2"/>
  <c r="U69" i="2" s="1"/>
  <c r="AD69" i="2" s="1"/>
  <c r="AR69" i="2"/>
  <c r="Q45" i="2"/>
  <c r="AR45" i="2"/>
  <c r="Q132" i="2"/>
  <c r="U132" i="2" s="1"/>
  <c r="AD132" i="2" s="1"/>
  <c r="AR132" i="2"/>
  <c r="I46" i="7"/>
  <c r="W46" i="7"/>
  <c r="I27" i="7"/>
  <c r="W27" i="7"/>
  <c r="Q101" i="2"/>
  <c r="U101" i="2" s="1"/>
  <c r="AD101" i="2" s="1"/>
  <c r="AR101" i="2"/>
  <c r="Q44" i="2"/>
  <c r="AR44" i="2"/>
  <c r="I44" i="7"/>
  <c r="W44" i="7"/>
  <c r="I53" i="7"/>
  <c r="W53" i="7"/>
  <c r="Q64" i="2"/>
  <c r="U64" i="2" s="1"/>
  <c r="AD64" i="2" s="1"/>
  <c r="AR64" i="2"/>
  <c r="Q63" i="2"/>
  <c r="U63" i="2" s="1"/>
  <c r="AD63" i="2" s="1"/>
  <c r="AR63" i="2"/>
  <c r="Q102" i="2"/>
  <c r="U102" i="2" s="1"/>
  <c r="AD102" i="2" s="1"/>
  <c r="AR102" i="2"/>
  <c r="Q76" i="2"/>
  <c r="U76" i="2" s="1"/>
  <c r="X76" i="2" s="1"/>
  <c r="AD76" i="2" s="1"/>
  <c r="AR76" i="2"/>
  <c r="I35" i="7"/>
  <c r="W35" i="7"/>
  <c r="Q125" i="2"/>
  <c r="U125" i="2" s="1"/>
  <c r="AD125" i="2" s="1"/>
  <c r="AR125" i="2"/>
  <c r="Q67" i="2"/>
  <c r="U67" i="2" s="1"/>
  <c r="AD67" i="2" s="1"/>
  <c r="AR67" i="2"/>
  <c r="Q43" i="2"/>
  <c r="U43" i="2" s="1"/>
  <c r="AD43" i="2" s="1"/>
  <c r="AR43" i="2"/>
  <c r="Q106" i="2"/>
  <c r="U106" i="2" s="1"/>
  <c r="AR106" i="2"/>
  <c r="Q80" i="2"/>
  <c r="U80" i="2" s="1"/>
  <c r="X80" i="2" s="1"/>
  <c r="AD80" i="2" s="1"/>
  <c r="AR80" i="2"/>
  <c r="I30" i="8"/>
  <c r="X30" i="8"/>
  <c r="I32" i="8"/>
  <c r="X32" i="8"/>
  <c r="I29" i="8"/>
  <c r="X29" i="8"/>
  <c r="X59" i="8" s="1"/>
  <c r="X69" i="8" s="1"/>
  <c r="AS25" i="1" s="1"/>
  <c r="AG75" i="3"/>
  <c r="AU23" i="1" s="1"/>
  <c r="AU28" i="1" s="1"/>
  <c r="M31" i="8"/>
  <c r="O31" i="8" s="1"/>
  <c r="I31" i="8"/>
  <c r="M23" i="8"/>
  <c r="O23" i="8" s="1"/>
  <c r="I23" i="8"/>
  <c r="M18" i="8"/>
  <c r="O18" i="8" s="1"/>
  <c r="I18" i="8"/>
  <c r="M24" i="8"/>
  <c r="O24" i="8" s="1"/>
  <c r="I24" i="8"/>
  <c r="M36" i="8"/>
  <c r="O36" i="8" s="1"/>
  <c r="M30" i="8"/>
  <c r="O30" i="8" s="1"/>
  <c r="S30" i="8" s="1"/>
  <c r="M23" i="7"/>
  <c r="O23" i="7" s="1"/>
  <c r="P23" i="7" s="1"/>
  <c r="S23" i="7" s="1"/>
  <c r="Q23" i="7" s="1"/>
  <c r="I23" i="7"/>
  <c r="M63" i="7"/>
  <c r="O63" i="7" s="1"/>
  <c r="I63" i="7"/>
  <c r="M26" i="7"/>
  <c r="O26" i="7" s="1"/>
  <c r="S26" i="7" s="1"/>
  <c r="Q26" i="7" s="1"/>
  <c r="I26" i="7"/>
  <c r="M18" i="7"/>
  <c r="O18" i="7" s="1"/>
  <c r="P18" i="7" s="1"/>
  <c r="S18" i="7" s="1"/>
  <c r="Q18" i="7" s="1"/>
  <c r="I18" i="7"/>
  <c r="M55" i="7"/>
  <c r="O55" i="7" s="1"/>
  <c r="I55" i="7"/>
  <c r="M38" i="7"/>
  <c r="O38" i="7" s="1"/>
  <c r="S38" i="7" s="1"/>
  <c r="Q38" i="7" s="1"/>
  <c r="I38" i="7"/>
  <c r="M32" i="7"/>
  <c r="O32" i="7" s="1"/>
  <c r="S32" i="7" s="1"/>
  <c r="Q32" i="7" s="1"/>
  <c r="I32" i="7"/>
  <c r="M56" i="7"/>
  <c r="O56" i="7" s="1"/>
  <c r="I56" i="7"/>
  <c r="M40" i="7"/>
  <c r="O40" i="7" s="1"/>
  <c r="P40" i="7" s="1"/>
  <c r="S40" i="7" s="1"/>
  <c r="Q40" i="7" s="1"/>
  <c r="I40" i="7"/>
  <c r="T37" i="7"/>
  <c r="M22" i="7"/>
  <c r="O22" i="7" s="1"/>
  <c r="P22" i="7" s="1"/>
  <c r="S22" i="7" s="1"/>
  <c r="Q22" i="7" s="1"/>
  <c r="I52" i="4"/>
  <c r="J52" i="4"/>
  <c r="J31" i="4"/>
  <c r="I31" i="4"/>
  <c r="J51" i="4"/>
  <c r="I51" i="4"/>
  <c r="J46" i="4"/>
  <c r="I46" i="4"/>
  <c r="I32" i="4"/>
  <c r="J32" i="4"/>
  <c r="I47" i="4"/>
  <c r="J47" i="4"/>
  <c r="J45" i="4"/>
  <c r="I45" i="4"/>
  <c r="J19" i="4"/>
  <c r="I19" i="4"/>
  <c r="I26" i="4"/>
  <c r="J26" i="4"/>
  <c r="K26" i="4"/>
  <c r="J28" i="4"/>
  <c r="I28" i="4"/>
  <c r="J33" i="4"/>
  <c r="I33" i="4"/>
  <c r="J23" i="4"/>
  <c r="I23" i="4"/>
  <c r="J53" i="4"/>
  <c r="I53" i="4"/>
  <c r="J48" i="4"/>
  <c r="I48" i="4"/>
  <c r="AG50" i="3"/>
  <c r="J50" i="3"/>
  <c r="K50" i="3"/>
  <c r="K24" i="3"/>
  <c r="I24" i="3"/>
  <c r="J24" i="3"/>
  <c r="I34" i="3"/>
  <c r="J34" i="3"/>
  <c r="K34" i="3"/>
  <c r="K19" i="3"/>
  <c r="J19" i="3"/>
  <c r="I19" i="3"/>
  <c r="J20" i="3"/>
  <c r="K20" i="3"/>
  <c r="I20" i="3"/>
  <c r="J32" i="3"/>
  <c r="K32" i="3"/>
  <c r="J18" i="3"/>
  <c r="I18" i="3"/>
  <c r="K18" i="3"/>
  <c r="J26" i="3"/>
  <c r="K26" i="3"/>
  <c r="I22" i="3"/>
  <c r="K22" i="3"/>
  <c r="J22" i="3"/>
  <c r="K31" i="3"/>
  <c r="J31" i="3"/>
  <c r="AG54" i="3"/>
  <c r="J54" i="3"/>
  <c r="I54" i="3"/>
  <c r="AG40" i="3"/>
  <c r="K40" i="3"/>
  <c r="AG53" i="3"/>
  <c r="K53" i="3"/>
  <c r="J53" i="3"/>
  <c r="AG38" i="3"/>
  <c r="I38" i="3"/>
  <c r="K38" i="3"/>
  <c r="J38" i="3"/>
  <c r="K21" i="3"/>
  <c r="J21" i="3"/>
  <c r="I21" i="3"/>
  <c r="AG51" i="3"/>
  <c r="K51" i="3"/>
  <c r="J51" i="3"/>
  <c r="AG37" i="3"/>
  <c r="J37" i="3"/>
  <c r="I37" i="3"/>
  <c r="K37" i="3"/>
  <c r="AF56" i="2"/>
  <c r="AB56" i="2"/>
  <c r="Z56" i="2" s="1"/>
  <c r="AB95" i="2"/>
  <c r="Z95" i="2" s="1"/>
  <c r="AF95" i="2"/>
  <c r="AB31" i="2"/>
  <c r="Z31" i="2" s="1"/>
  <c r="AF31" i="2"/>
  <c r="AF117" i="2"/>
  <c r="AB117" i="2"/>
  <c r="Z117" i="2" s="1"/>
  <c r="AB93" i="2"/>
  <c r="Z93" i="2" s="1"/>
  <c r="AF93" i="2"/>
  <c r="AB37" i="2"/>
  <c r="Z37" i="2" s="1"/>
  <c r="AF37" i="2"/>
  <c r="AB40" i="2"/>
  <c r="Z40" i="2" s="1"/>
  <c r="AF40" i="2"/>
  <c r="AB98" i="2"/>
  <c r="Z98" i="2" s="1"/>
  <c r="AF98" i="2"/>
  <c r="AF90" i="2"/>
  <c r="AB90" i="2"/>
  <c r="Z90" i="2" s="1"/>
  <c r="AB34" i="2"/>
  <c r="Z34" i="2" s="1"/>
  <c r="AF34" i="2"/>
  <c r="AB53" i="2"/>
  <c r="Z53" i="2" s="1"/>
  <c r="AF53" i="2"/>
  <c r="AF114" i="2"/>
  <c r="AB114" i="2"/>
  <c r="Z114" i="2" s="1"/>
  <c r="O42" i="3"/>
  <c r="Q42" i="3" s="1"/>
  <c r="S42" i="3" s="1"/>
  <c r="AG42" i="3"/>
  <c r="I25" i="2"/>
  <c r="Q25" i="2"/>
  <c r="U25" i="2" s="1"/>
  <c r="AD25" i="2" s="1"/>
  <c r="P20" i="2"/>
  <c r="Q20" i="2"/>
  <c r="U20" i="2" s="1"/>
  <c r="X20" i="2" s="1"/>
  <c r="AD20" i="2" s="1"/>
  <c r="Q19" i="2"/>
  <c r="U19" i="2" s="1"/>
  <c r="P19" i="2"/>
  <c r="Q75" i="2"/>
  <c r="U75" i="2" s="1"/>
  <c r="X75" i="2" s="1"/>
  <c r="P75" i="2"/>
  <c r="U83" i="2"/>
  <c r="AD83" i="2" s="1"/>
  <c r="U131" i="2"/>
  <c r="AD131" i="2" s="1"/>
  <c r="U119" i="2"/>
  <c r="AD119" i="2" s="1"/>
  <c r="U81" i="2"/>
  <c r="U130" i="2"/>
  <c r="AD130" i="2" s="1"/>
  <c r="U118" i="2"/>
  <c r="AD118" i="2" s="1"/>
  <c r="U94" i="2"/>
  <c r="AD94" i="2" s="1"/>
  <c r="U128" i="2"/>
  <c r="AD128" i="2" s="1"/>
  <c r="U126" i="2"/>
  <c r="AD126" i="2" s="1"/>
  <c r="U129" i="2"/>
  <c r="AD129" i="2" s="1"/>
  <c r="U113" i="2"/>
  <c r="AD113" i="2" s="1"/>
  <c r="U89" i="2"/>
  <c r="U109" i="2"/>
  <c r="AD109" i="2" s="1"/>
  <c r="U87" i="2"/>
  <c r="AD87" i="2" s="1"/>
  <c r="U111" i="2"/>
  <c r="AD111" i="2" s="1"/>
  <c r="U99" i="2"/>
  <c r="AD99" i="2" s="1"/>
  <c r="U110" i="2"/>
  <c r="AD110" i="2" s="1"/>
  <c r="U42" i="2"/>
  <c r="AD42" i="2" s="1"/>
  <c r="U30" i="2"/>
  <c r="U65" i="2"/>
  <c r="AD65" i="2" s="1"/>
  <c r="U41" i="2"/>
  <c r="AD41" i="2" s="1"/>
  <c r="U29" i="2"/>
  <c r="U66" i="2"/>
  <c r="AD66" i="2" s="1"/>
  <c r="U52" i="2"/>
  <c r="AD52" i="2" s="1"/>
  <c r="U28" i="2"/>
  <c r="U27" i="2"/>
  <c r="AD27" i="2" s="1"/>
  <c r="U59" i="2"/>
  <c r="AD59" i="2" s="1"/>
  <c r="U35" i="2"/>
  <c r="U58" i="2"/>
  <c r="AD58" i="2" s="1"/>
  <c r="U21" i="2"/>
  <c r="X21" i="2" s="1"/>
  <c r="AD21" i="2" s="1"/>
  <c r="U22" i="2"/>
  <c r="U57" i="2"/>
  <c r="AD57" i="2" s="1"/>
  <c r="U45" i="2"/>
  <c r="AD45" i="2" s="1"/>
  <c r="U49" i="2"/>
  <c r="AD49" i="2" s="1"/>
  <c r="U68" i="2"/>
  <c r="AD68" i="2" s="1"/>
  <c r="U44" i="2"/>
  <c r="AD44" i="2" s="1"/>
  <c r="AS40" i="2"/>
  <c r="AS105" i="2"/>
  <c r="AS27" i="2"/>
  <c r="AS78" i="2"/>
  <c r="AS127" i="2"/>
  <c r="AS67" i="2"/>
  <c r="AS43" i="2"/>
  <c r="AS31" i="2"/>
  <c r="AS132" i="2"/>
  <c r="AS120" i="2"/>
  <c r="AS108" i="2"/>
  <c r="AS83" i="2"/>
  <c r="AS66" i="2"/>
  <c r="AS42" i="2"/>
  <c r="AS30" i="2"/>
  <c r="AS131" i="2"/>
  <c r="AS119" i="2"/>
  <c r="AS107" i="2"/>
  <c r="AS95" i="2"/>
  <c r="AS81" i="2"/>
  <c r="AS65" i="2"/>
  <c r="AS53" i="2"/>
  <c r="AS41" i="2"/>
  <c r="AS29" i="2"/>
  <c r="AS130" i="2"/>
  <c r="AS118" i="2"/>
  <c r="AS106" i="2"/>
  <c r="AS94" i="2"/>
  <c r="AS80" i="2"/>
  <c r="AS28" i="2"/>
  <c r="AS79" i="2"/>
  <c r="AS26" i="2"/>
  <c r="AS25" i="2"/>
  <c r="AS102" i="2"/>
  <c r="AS24" i="2"/>
  <c r="AS89" i="2"/>
  <c r="AS59" i="2"/>
  <c r="AS47" i="2"/>
  <c r="AS35" i="2"/>
  <c r="AS22" i="2"/>
  <c r="AS124" i="2"/>
  <c r="AS112" i="2"/>
  <c r="AS100" i="2"/>
  <c r="AS87" i="2"/>
  <c r="AS129" i="2"/>
  <c r="AS51" i="2"/>
  <c r="AS104" i="2"/>
  <c r="AS62" i="2"/>
  <c r="AS126" i="2"/>
  <c r="AS76" i="2"/>
  <c r="AS48" i="2"/>
  <c r="AS113" i="2"/>
  <c r="AS58" i="2"/>
  <c r="AS46" i="2"/>
  <c r="AS34" i="2"/>
  <c r="AS21" i="2"/>
  <c r="AS123" i="2"/>
  <c r="AS111" i="2"/>
  <c r="AS99" i="2"/>
  <c r="AS86" i="2"/>
  <c r="AS64" i="2"/>
  <c r="AS117" i="2"/>
  <c r="AS63" i="2"/>
  <c r="AS128" i="2"/>
  <c r="AS50" i="2"/>
  <c r="AS103" i="2"/>
  <c r="AS61" i="2"/>
  <c r="AS37" i="2"/>
  <c r="AS114" i="2"/>
  <c r="AS60" i="2"/>
  <c r="AS125" i="2"/>
  <c r="AS75" i="2"/>
  <c r="AS69" i="2"/>
  <c r="AS57" i="2"/>
  <c r="AS45" i="2"/>
  <c r="AS20" i="2"/>
  <c r="AS122" i="2"/>
  <c r="AS110" i="2"/>
  <c r="AS98" i="2"/>
  <c r="AS85" i="2"/>
  <c r="AS52" i="2"/>
  <c r="AS93" i="2"/>
  <c r="AS77" i="2"/>
  <c r="AS49" i="2"/>
  <c r="AS90" i="2"/>
  <c r="AS36" i="2"/>
  <c r="AS101" i="2"/>
  <c r="AS68" i="2"/>
  <c r="AS56" i="2"/>
  <c r="AS44" i="2"/>
  <c r="AS19" i="2"/>
  <c r="AS121" i="2"/>
  <c r="AS109" i="2"/>
  <c r="AS84" i="2"/>
  <c r="M32" i="8"/>
  <c r="O32" i="8" s="1"/>
  <c r="M29" i="8"/>
  <c r="O29" i="8" s="1"/>
  <c r="AC26" i="4"/>
  <c r="O21" i="4"/>
  <c r="Q21" i="4" s="1"/>
  <c r="U21" i="4" s="1"/>
  <c r="S21" i="4" s="1"/>
  <c r="AC21" i="4"/>
  <c r="AC34" i="4"/>
  <c r="AC55" i="4"/>
  <c r="AC36" i="4"/>
  <c r="O19" i="4"/>
  <c r="Q19" i="4" s="1"/>
  <c r="AC19" i="4"/>
  <c r="AC33" i="4"/>
  <c r="O54" i="4"/>
  <c r="Q54" i="4" s="1"/>
  <c r="Y54" i="4" s="1"/>
  <c r="AC54" i="4"/>
  <c r="AC41" i="4"/>
  <c r="AC32" i="4"/>
  <c r="AC46" i="4"/>
  <c r="AC60" i="4"/>
  <c r="AC51" i="4"/>
  <c r="AC62" i="4"/>
  <c r="AC61" i="4"/>
  <c r="AC45" i="4"/>
  <c r="AC40" i="4"/>
  <c r="AC28" i="4"/>
  <c r="AC39" i="4"/>
  <c r="AC48" i="4"/>
  <c r="O18" i="4"/>
  <c r="Q18" i="4" s="1"/>
  <c r="AC18" i="4"/>
  <c r="AC44" i="4"/>
  <c r="AC53" i="4"/>
  <c r="AC31" i="4"/>
  <c r="AC23" i="4"/>
  <c r="AC35" i="4"/>
  <c r="O52" i="4"/>
  <c r="Q52" i="4" s="1"/>
  <c r="Z52" i="4" s="1"/>
  <c r="AC52" i="4"/>
  <c r="O47" i="4"/>
  <c r="Q47" i="4" s="1"/>
  <c r="AC47" i="4"/>
  <c r="AC22" i="4"/>
  <c r="AC56" i="4"/>
  <c r="AG34" i="3"/>
  <c r="AG19" i="3"/>
  <c r="AG32" i="3"/>
  <c r="AG18" i="3"/>
  <c r="AG31" i="3"/>
  <c r="AG27" i="3"/>
  <c r="AG26" i="3"/>
  <c r="AG24" i="3"/>
  <c r="AG22" i="3"/>
  <c r="AG21" i="3"/>
  <c r="AG30" i="3"/>
  <c r="AG20" i="3"/>
  <c r="X43" i="4"/>
  <c r="O45" i="4"/>
  <c r="Q45" i="4" s="1"/>
  <c r="AA45" i="4" s="1"/>
  <c r="M19" i="8"/>
  <c r="O19" i="8" s="1"/>
  <c r="M22" i="8"/>
  <c r="O22" i="8" s="1"/>
  <c r="M21" i="7"/>
  <c r="O21" i="7" s="1"/>
  <c r="P21" i="7" s="1"/>
  <c r="S21" i="7" s="1"/>
  <c r="Q21" i="7" s="1"/>
  <c r="M33" i="7"/>
  <c r="O33" i="7" s="1"/>
  <c r="S33" i="7" s="1"/>
  <c r="Q33" i="7" s="1"/>
  <c r="M19" i="7"/>
  <c r="O19" i="7" s="1"/>
  <c r="P19" i="7" s="1"/>
  <c r="S19" i="7" s="1"/>
  <c r="Q19" i="7" s="1"/>
  <c r="M27" i="7"/>
  <c r="O27" i="7" s="1"/>
  <c r="S27" i="7" s="1"/>
  <c r="Q27" i="7" s="1"/>
  <c r="M28" i="7"/>
  <c r="O28" i="7" s="1"/>
  <c r="S28" i="7" s="1"/>
  <c r="Q28" i="7" s="1"/>
  <c r="M34" i="7"/>
  <c r="O34" i="7" s="1"/>
  <c r="S34" i="7" s="1"/>
  <c r="Q34" i="7" s="1"/>
  <c r="M48" i="7"/>
  <c r="O48" i="7" s="1"/>
  <c r="M29" i="7"/>
  <c r="O29" i="7" s="1"/>
  <c r="S29" i="7" s="1"/>
  <c r="Q29" i="7" s="1"/>
  <c r="M45" i="7"/>
  <c r="O45" i="7" s="1"/>
  <c r="M35" i="7"/>
  <c r="O35" i="7" s="1"/>
  <c r="S35" i="7" s="1"/>
  <c r="Q35" i="7" s="1"/>
  <c r="M52" i="7"/>
  <c r="O52" i="7" s="1"/>
  <c r="M44" i="7"/>
  <c r="O44" i="7" s="1"/>
  <c r="M46" i="7"/>
  <c r="O46" i="7" s="1"/>
  <c r="M51" i="7"/>
  <c r="O51" i="7" s="1"/>
  <c r="M53" i="7"/>
  <c r="O53" i="7" s="1"/>
  <c r="O46" i="4"/>
  <c r="Q46" i="4" s="1"/>
  <c r="Y46" i="4" s="1"/>
  <c r="O41" i="4"/>
  <c r="Q41" i="4" s="1"/>
  <c r="O62" i="4"/>
  <c r="Q62" i="4" s="1"/>
  <c r="AA62" i="4" s="1"/>
  <c r="O48" i="4"/>
  <c r="Q48" i="4" s="1"/>
  <c r="AA48" i="4" s="1"/>
  <c r="O40" i="4"/>
  <c r="Q40" i="4" s="1"/>
  <c r="O39" i="4"/>
  <c r="Q39" i="4" s="1"/>
  <c r="AA39" i="4" s="1"/>
  <c r="AA36" i="4"/>
  <c r="W36" i="4"/>
  <c r="X36" i="4"/>
  <c r="Z36" i="4"/>
  <c r="Y36" i="4"/>
  <c r="O35" i="4"/>
  <c r="Q35" i="4" s="1"/>
  <c r="O34" i="4"/>
  <c r="Q34" i="4" s="1"/>
  <c r="Y34" i="4" s="1"/>
  <c r="O33" i="4"/>
  <c r="Q33" i="4" s="1"/>
  <c r="Y33" i="4" s="1"/>
  <c r="O28" i="4"/>
  <c r="Q28" i="4" s="1"/>
  <c r="Y28" i="4" s="1"/>
  <c r="O32" i="4"/>
  <c r="Q32" i="4" s="1"/>
  <c r="Z32" i="4" s="1"/>
  <c r="O23" i="4"/>
  <c r="Q23" i="4" s="1"/>
  <c r="U23" i="4" s="1"/>
  <c r="S23" i="4" s="1"/>
  <c r="O31" i="4"/>
  <c r="Q31" i="4" s="1"/>
  <c r="AA31" i="4" s="1"/>
  <c r="X57" i="4"/>
  <c r="O51" i="4"/>
  <c r="Q51" i="4" s="1"/>
  <c r="AA51" i="4" s="1"/>
  <c r="O60" i="4"/>
  <c r="Q60" i="4" s="1"/>
  <c r="X63" i="4"/>
  <c r="O53" i="4"/>
  <c r="Q53" i="4" s="1"/>
  <c r="Z53" i="4" s="1"/>
  <c r="W22" i="4"/>
  <c r="X22" i="4"/>
  <c r="Z59" i="4"/>
  <c r="AA59" i="4"/>
  <c r="O61" i="4"/>
  <c r="Q61" i="4" s="1"/>
  <c r="X58" i="4"/>
  <c r="X59" i="4"/>
  <c r="Y59" i="4"/>
  <c r="Z56" i="4"/>
  <c r="Y56" i="4"/>
  <c r="AA56" i="4"/>
  <c r="W63" i="4"/>
  <c r="X56" i="4"/>
  <c r="W59" i="4"/>
  <c r="AA22" i="4"/>
  <c r="Z22" i="4"/>
  <c r="Y63" i="4"/>
  <c r="AA38" i="4"/>
  <c r="Z38" i="4"/>
  <c r="Y38" i="4"/>
  <c r="W38" i="4"/>
  <c r="Z63" i="4"/>
  <c r="O37" i="4"/>
  <c r="Q37" i="4" s="1"/>
  <c r="O44" i="4"/>
  <c r="Q44" i="4" s="1"/>
  <c r="O26" i="4"/>
  <c r="Q26" i="4" s="1"/>
  <c r="X38" i="4"/>
  <c r="O55" i="4"/>
  <c r="Q55" i="4" s="1"/>
  <c r="O43" i="3"/>
  <c r="Q43" i="3" s="1"/>
  <c r="O27" i="3"/>
  <c r="Q27" i="3" s="1"/>
  <c r="V27" i="3" s="1"/>
  <c r="G27" i="3"/>
  <c r="G26" i="3"/>
  <c r="O54" i="3"/>
  <c r="Q54" i="3" s="1"/>
  <c r="V54" i="3" s="1"/>
  <c r="W54" i="3" s="1"/>
  <c r="G54" i="3"/>
  <c r="G53" i="3"/>
  <c r="G51" i="3"/>
  <c r="G50" i="3"/>
  <c r="G49" i="3"/>
  <c r="O48" i="3"/>
  <c r="Q48" i="3" s="1"/>
  <c r="G48" i="3"/>
  <c r="G47" i="3"/>
  <c r="O46" i="3"/>
  <c r="Q46" i="3" s="1"/>
  <c r="G46" i="3"/>
  <c r="G45" i="3"/>
  <c r="G44" i="3"/>
  <c r="G40" i="3"/>
  <c r="O38" i="3"/>
  <c r="Q38" i="3" s="1"/>
  <c r="S38" i="3" s="1"/>
  <c r="G38" i="3"/>
  <c r="G37" i="3"/>
  <c r="G34" i="3"/>
  <c r="O32" i="3"/>
  <c r="Q32" i="3" s="1"/>
  <c r="V32" i="3" s="1"/>
  <c r="T32" i="3" s="1"/>
  <c r="G32" i="3"/>
  <c r="G31" i="3"/>
  <c r="O30" i="3"/>
  <c r="Q30" i="3" s="1"/>
  <c r="V30" i="3" s="1"/>
  <c r="G30" i="3"/>
  <c r="O29" i="3"/>
  <c r="Q29" i="3" s="1"/>
  <c r="G29" i="3"/>
  <c r="G28" i="3"/>
  <c r="G24" i="3"/>
  <c r="G22" i="3"/>
  <c r="O21" i="3"/>
  <c r="Q21" i="3" s="1"/>
  <c r="S21" i="3" s="1"/>
  <c r="G21" i="3"/>
  <c r="G20" i="3"/>
  <c r="G19" i="3"/>
  <c r="G18" i="3"/>
  <c r="O63" i="3"/>
  <c r="Q63" i="3" s="1"/>
  <c r="G63" i="3"/>
  <c r="J79" i="2"/>
  <c r="AP91" i="2"/>
  <c r="AP92" i="2"/>
  <c r="AP96" i="2"/>
  <c r="AP97" i="2"/>
  <c r="AP115" i="2"/>
  <c r="AP116" i="2"/>
  <c r="AP32" i="2"/>
  <c r="AP33" i="2"/>
  <c r="AP38" i="2"/>
  <c r="AP39" i="2"/>
  <c r="AP54" i="2"/>
  <c r="AP55" i="2"/>
  <c r="AN91" i="2"/>
  <c r="AN92" i="2"/>
  <c r="AN96" i="2"/>
  <c r="AN97" i="2"/>
  <c r="AN115" i="2"/>
  <c r="AN116" i="2"/>
  <c r="AN32" i="2"/>
  <c r="AN33" i="2"/>
  <c r="AN38" i="2"/>
  <c r="AN39" i="2"/>
  <c r="AN54" i="2"/>
  <c r="AN55" i="2"/>
  <c r="K116" i="2"/>
  <c r="K115" i="2"/>
  <c r="K97" i="2"/>
  <c r="K96" i="2"/>
  <c r="K92" i="2"/>
  <c r="K91" i="2"/>
  <c r="K75" i="2"/>
  <c r="K76" i="2"/>
  <c r="K77" i="2"/>
  <c r="K55" i="2"/>
  <c r="K54" i="2"/>
  <c r="K39" i="2"/>
  <c r="K38" i="2"/>
  <c r="K33" i="2"/>
  <c r="K32" i="2"/>
  <c r="K19" i="2"/>
  <c r="K20" i="2"/>
  <c r="J116" i="2"/>
  <c r="J115" i="2"/>
  <c r="J97" i="2"/>
  <c r="J96" i="2"/>
  <c r="J92" i="2"/>
  <c r="J91" i="2"/>
  <c r="I130" i="2"/>
  <c r="I131" i="2"/>
  <c r="I129" i="2"/>
  <c r="I119" i="2"/>
  <c r="I120" i="2"/>
  <c r="I118" i="2"/>
  <c r="I116" i="2"/>
  <c r="I115" i="2"/>
  <c r="I108" i="2"/>
  <c r="I109" i="2"/>
  <c r="I110" i="2"/>
  <c r="I111" i="2"/>
  <c r="I113" i="2"/>
  <c r="I99" i="2"/>
  <c r="I97" i="2"/>
  <c r="I96" i="2"/>
  <c r="I94" i="2"/>
  <c r="I92" i="2"/>
  <c r="I91" i="2"/>
  <c r="I81" i="2"/>
  <c r="I83" i="2"/>
  <c r="I89" i="2"/>
  <c r="J55" i="2"/>
  <c r="J54" i="2"/>
  <c r="J39" i="2"/>
  <c r="J38" i="2"/>
  <c r="J33" i="2"/>
  <c r="J32" i="2"/>
  <c r="J27" i="2"/>
  <c r="I58" i="2"/>
  <c r="I59" i="2"/>
  <c r="I60" i="2"/>
  <c r="I65" i="2"/>
  <c r="I57" i="2"/>
  <c r="I55" i="2"/>
  <c r="I54" i="2"/>
  <c r="I49" i="2"/>
  <c r="I52" i="2"/>
  <c r="I41" i="2"/>
  <c r="I39" i="2"/>
  <c r="I38" i="2"/>
  <c r="I35" i="2"/>
  <c r="I33" i="2"/>
  <c r="I32" i="2"/>
  <c r="I30" i="2"/>
  <c r="I29" i="2"/>
  <c r="I27" i="2"/>
  <c r="H119" i="2"/>
  <c r="H120" i="2"/>
  <c r="H121" i="2"/>
  <c r="H122" i="2"/>
  <c r="H123" i="2"/>
  <c r="H124" i="2"/>
  <c r="H125" i="2"/>
  <c r="H127" i="2"/>
  <c r="H129" i="2"/>
  <c r="H130" i="2"/>
  <c r="H131" i="2"/>
  <c r="H132" i="2"/>
  <c r="H118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99" i="2"/>
  <c r="H97" i="2"/>
  <c r="H96" i="2"/>
  <c r="H94" i="2"/>
  <c r="H92" i="2"/>
  <c r="H91" i="2"/>
  <c r="H75" i="2"/>
  <c r="H76" i="2"/>
  <c r="H77" i="2"/>
  <c r="H79" i="2"/>
  <c r="H80" i="2"/>
  <c r="H81" i="2"/>
  <c r="H83" i="2"/>
  <c r="H84" i="2"/>
  <c r="H85" i="2"/>
  <c r="H86" i="2"/>
  <c r="H87" i="2"/>
  <c r="H89" i="2"/>
  <c r="H58" i="2"/>
  <c r="H59" i="2"/>
  <c r="H60" i="2"/>
  <c r="H61" i="2"/>
  <c r="H62" i="2"/>
  <c r="H63" i="2"/>
  <c r="H64" i="2"/>
  <c r="H65" i="2"/>
  <c r="H67" i="2"/>
  <c r="H69" i="2"/>
  <c r="H57" i="2"/>
  <c r="H42" i="2"/>
  <c r="H43" i="2"/>
  <c r="H44" i="2"/>
  <c r="H45" i="2"/>
  <c r="H46" i="2"/>
  <c r="H47" i="2"/>
  <c r="H48" i="2"/>
  <c r="H49" i="2"/>
  <c r="H50" i="2"/>
  <c r="H51" i="2"/>
  <c r="H52" i="2"/>
  <c r="H41" i="2"/>
  <c r="H36" i="2"/>
  <c r="H35" i="2"/>
  <c r="H33" i="2"/>
  <c r="H32" i="2"/>
  <c r="H20" i="2"/>
  <c r="H22" i="2"/>
  <c r="H24" i="2"/>
  <c r="H25" i="2"/>
  <c r="H26" i="2"/>
  <c r="H27" i="2"/>
  <c r="H29" i="2"/>
  <c r="G75" i="2"/>
  <c r="G76" i="2"/>
  <c r="G77" i="2"/>
  <c r="G78" i="2"/>
  <c r="G79" i="2"/>
  <c r="G80" i="2"/>
  <c r="G81" i="2"/>
  <c r="G83" i="2"/>
  <c r="G84" i="2"/>
  <c r="G85" i="2"/>
  <c r="G86" i="2"/>
  <c r="G87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9" i="2"/>
  <c r="G20" i="2"/>
  <c r="G21" i="2"/>
  <c r="G22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P86" i="2"/>
  <c r="T86" i="2" s="1"/>
  <c r="P90" i="2"/>
  <c r="T90" i="2" s="1"/>
  <c r="AC90" i="2" s="1"/>
  <c r="P91" i="2"/>
  <c r="T91" i="2" s="1"/>
  <c r="P92" i="2"/>
  <c r="T92" i="2" s="1"/>
  <c r="P93" i="2"/>
  <c r="T93" i="2" s="1"/>
  <c r="AC93" i="2" s="1"/>
  <c r="P95" i="2"/>
  <c r="T95" i="2" s="1"/>
  <c r="AC95" i="2" s="1"/>
  <c r="P96" i="2"/>
  <c r="T96" i="2" s="1"/>
  <c r="P97" i="2"/>
  <c r="T97" i="2" s="1"/>
  <c r="P98" i="2"/>
  <c r="T98" i="2" s="1"/>
  <c r="AC98" i="2" s="1"/>
  <c r="P100" i="2"/>
  <c r="T100" i="2" s="1"/>
  <c r="P105" i="2"/>
  <c r="T105" i="2" s="1"/>
  <c r="P107" i="2"/>
  <c r="T107" i="2" s="1"/>
  <c r="AC107" i="2" s="1"/>
  <c r="P108" i="2"/>
  <c r="T108" i="2" s="1"/>
  <c r="AC108" i="2" s="1"/>
  <c r="P114" i="2"/>
  <c r="T114" i="2" s="1"/>
  <c r="AC114" i="2" s="1"/>
  <c r="P115" i="2"/>
  <c r="T115" i="2" s="1"/>
  <c r="P116" i="2"/>
  <c r="T116" i="2" s="1"/>
  <c r="P117" i="2"/>
  <c r="T117" i="2" s="1"/>
  <c r="AC117" i="2" s="1"/>
  <c r="P120" i="2"/>
  <c r="T120" i="2" s="1"/>
  <c r="P122" i="2"/>
  <c r="T122" i="2" s="1"/>
  <c r="P26" i="2"/>
  <c r="T26" i="2" s="1"/>
  <c r="P31" i="2"/>
  <c r="T31" i="2" s="1"/>
  <c r="P32" i="2"/>
  <c r="T32" i="2" s="1"/>
  <c r="W32" i="2" s="1"/>
  <c r="P33" i="2"/>
  <c r="T33" i="2" s="1"/>
  <c r="W33" i="2" s="1"/>
  <c r="P34" i="2"/>
  <c r="T34" i="2" s="1"/>
  <c r="P37" i="2"/>
  <c r="T37" i="2" s="1"/>
  <c r="P38" i="2"/>
  <c r="T38" i="2" s="1"/>
  <c r="P39" i="2"/>
  <c r="T39" i="2" s="1"/>
  <c r="W39" i="2" s="1"/>
  <c r="P40" i="2"/>
  <c r="T40" i="2" s="1"/>
  <c r="AC40" i="2" s="1"/>
  <c r="P46" i="2"/>
  <c r="T46" i="2" s="1"/>
  <c r="P48" i="2"/>
  <c r="T48" i="2" s="1"/>
  <c r="P53" i="2"/>
  <c r="T53" i="2" s="1"/>
  <c r="AC53" i="2" s="1"/>
  <c r="P54" i="2"/>
  <c r="T54" i="2" s="1"/>
  <c r="P55" i="2"/>
  <c r="T55" i="2" s="1"/>
  <c r="P56" i="2"/>
  <c r="T56" i="2" s="1"/>
  <c r="AC56" i="2" s="1"/>
  <c r="P60" i="2"/>
  <c r="T60" i="2" s="1"/>
  <c r="P62" i="2"/>
  <c r="T62" i="2" s="1"/>
  <c r="W65" i="7" l="1"/>
  <c r="AS24" i="1" s="1"/>
  <c r="W18" i="4"/>
  <c r="R18" i="4"/>
  <c r="Y19" i="4"/>
  <c r="R19" i="4"/>
  <c r="V54" i="4"/>
  <c r="S43" i="3"/>
  <c r="V43" i="3" s="1"/>
  <c r="V48" i="3"/>
  <c r="T48" i="3" s="1"/>
  <c r="U48" i="3"/>
  <c r="W48" i="3"/>
  <c r="V46" i="3"/>
  <c r="S46" i="3"/>
  <c r="X29" i="2"/>
  <c r="AD29" i="2" s="1"/>
  <c r="Y39" i="2"/>
  <c r="X28" i="2"/>
  <c r="AD28" i="2" s="1"/>
  <c r="X36" i="2"/>
  <c r="AD36" i="2" s="1"/>
  <c r="W37" i="2"/>
  <c r="AC37" i="2" s="1"/>
  <c r="AD30" i="2"/>
  <c r="X30" i="2"/>
  <c r="Y38" i="2"/>
  <c r="W34" i="2"/>
  <c r="AC34" i="2" s="1"/>
  <c r="AE33" i="2"/>
  <c r="AC33" i="2"/>
  <c r="AA33" i="2"/>
  <c r="Y33" i="2" s="1"/>
  <c r="AS72" i="2"/>
  <c r="AE32" i="2"/>
  <c r="AC32" i="2"/>
  <c r="AA32" i="2"/>
  <c r="Y32" i="2" s="1"/>
  <c r="AD35" i="2"/>
  <c r="X35" i="2"/>
  <c r="AC31" i="2"/>
  <c r="W31" i="2"/>
  <c r="AS135" i="2"/>
  <c r="AR135" i="2"/>
  <c r="AD78" i="2"/>
  <c r="X135" i="2"/>
  <c r="AD22" i="2"/>
  <c r="AO76" i="2"/>
  <c r="AQ83" i="2"/>
  <c r="AS28" i="1"/>
  <c r="AR29" i="1" s="1"/>
  <c r="V44" i="7"/>
  <c r="U44" i="7"/>
  <c r="U52" i="7"/>
  <c r="V52" i="7"/>
  <c r="V55" i="7"/>
  <c r="U55" i="7"/>
  <c r="U34" i="7"/>
  <c r="V34" i="7"/>
  <c r="V18" i="7"/>
  <c r="U18" i="7"/>
  <c r="V32" i="7"/>
  <c r="U32" i="7"/>
  <c r="V29" i="7"/>
  <c r="U29" i="7"/>
  <c r="U22" i="7"/>
  <c r="V22" i="7"/>
  <c r="U28" i="7"/>
  <c r="V28" i="7"/>
  <c r="U36" i="7"/>
  <c r="V36" i="7"/>
  <c r="V27" i="7"/>
  <c r="U27" i="7"/>
  <c r="V40" i="7"/>
  <c r="R40" i="7"/>
  <c r="U40" i="7"/>
  <c r="V26" i="7"/>
  <c r="U26" i="7"/>
  <c r="U35" i="7"/>
  <c r="V35" i="7"/>
  <c r="U48" i="7"/>
  <c r="V48" i="7"/>
  <c r="V53" i="7"/>
  <c r="U53" i="7"/>
  <c r="U19" i="7"/>
  <c r="V19" i="7"/>
  <c r="U54" i="7"/>
  <c r="V54" i="7"/>
  <c r="U23" i="7"/>
  <c r="V23" i="7"/>
  <c r="AS32" i="1"/>
  <c r="AS34" i="1" s="1"/>
  <c r="AF77" i="3"/>
  <c r="V38" i="7"/>
  <c r="U38" i="7"/>
  <c r="V51" i="7"/>
  <c r="U51" i="7"/>
  <c r="V33" i="7"/>
  <c r="U33" i="7"/>
  <c r="V56" i="7"/>
  <c r="U56" i="7"/>
  <c r="V63" i="7"/>
  <c r="U63" i="7"/>
  <c r="V20" i="7"/>
  <c r="U20" i="7"/>
  <c r="V45" i="7"/>
  <c r="U45" i="7"/>
  <c r="U46" i="7"/>
  <c r="V46" i="7"/>
  <c r="V21" i="7"/>
  <c r="U21" i="7"/>
  <c r="O74" i="8"/>
  <c r="X54" i="4"/>
  <c r="W54" i="4"/>
  <c r="Z54" i="4"/>
  <c r="AA54" i="4"/>
  <c r="Z18" i="4"/>
  <c r="AO83" i="2"/>
  <c r="AD75" i="2"/>
  <c r="AC120" i="2"/>
  <c r="AA120" i="2" s="1"/>
  <c r="Y120" i="2" s="1"/>
  <c r="AG56" i="3"/>
  <c r="AG77" i="3" s="1"/>
  <c r="AD81" i="2"/>
  <c r="U184" i="2"/>
  <c r="X19" i="2"/>
  <c r="W32" i="3"/>
  <c r="AC122" i="2"/>
  <c r="AA122" i="2" s="1"/>
  <c r="Y122" i="2" s="1"/>
  <c r="S22" i="8"/>
  <c r="Q22" i="8" s="1"/>
  <c r="V22" i="8"/>
  <c r="W22" i="8"/>
  <c r="V29" i="8"/>
  <c r="W29" i="8"/>
  <c r="S29" i="8"/>
  <c r="V32" i="8"/>
  <c r="S32" i="8"/>
  <c r="Q32" i="8" s="1"/>
  <c r="W32" i="8"/>
  <c r="V30" i="8"/>
  <c r="W30" i="8"/>
  <c r="W18" i="8"/>
  <c r="V18" i="8"/>
  <c r="S18" i="8"/>
  <c r="W24" i="8"/>
  <c r="V24" i="8"/>
  <c r="S24" i="8"/>
  <c r="Q24" i="8" s="1"/>
  <c r="V23" i="8"/>
  <c r="W23" i="8"/>
  <c r="S23" i="8"/>
  <c r="V36" i="8"/>
  <c r="W36" i="8"/>
  <c r="S36" i="8"/>
  <c r="Q36" i="8" s="1"/>
  <c r="V31" i="8"/>
  <c r="W31" i="8"/>
  <c r="S31" i="8"/>
  <c r="R38" i="7"/>
  <c r="W52" i="4"/>
  <c r="Y18" i="4"/>
  <c r="X52" i="4"/>
  <c r="Y52" i="4"/>
  <c r="AA52" i="4"/>
  <c r="U30" i="3"/>
  <c r="W30" i="3"/>
  <c r="T30" i="3"/>
  <c r="U32" i="3"/>
  <c r="T54" i="3"/>
  <c r="T46" i="3"/>
  <c r="W46" i="3"/>
  <c r="U46" i="3"/>
  <c r="T27" i="3"/>
  <c r="U27" i="3"/>
  <c r="W27" i="3"/>
  <c r="Z42" i="3"/>
  <c r="V42" i="3"/>
  <c r="U54" i="3"/>
  <c r="U38" i="3"/>
  <c r="V38" i="3"/>
  <c r="T38" i="3" s="1"/>
  <c r="W38" i="3"/>
  <c r="W21" i="3"/>
  <c r="V21" i="3"/>
  <c r="T21" i="3" s="1"/>
  <c r="U21" i="3"/>
  <c r="AC100" i="2"/>
  <c r="AE100" i="2" s="1"/>
  <c r="AQ89" i="2"/>
  <c r="AD89" i="2"/>
  <c r="AI106" i="2"/>
  <c r="AD106" i="2"/>
  <c r="AA18" i="4"/>
  <c r="W45" i="4"/>
  <c r="X18" i="4"/>
  <c r="X21" i="4"/>
  <c r="AA46" i="4"/>
  <c r="W48" i="4"/>
  <c r="Z45" i="4"/>
  <c r="X46" i="4"/>
  <c r="W47" i="4"/>
  <c r="Y45" i="4"/>
  <c r="T35" i="4"/>
  <c r="AA19" i="4"/>
  <c r="X19" i="4"/>
  <c r="X62" i="4"/>
  <c r="X45" i="4"/>
  <c r="Q71" i="4"/>
  <c r="AC26" i="2"/>
  <c r="AA26" i="2" s="1"/>
  <c r="Y26" i="2" s="1"/>
  <c r="AC62" i="2"/>
  <c r="AE62" i="2" s="1"/>
  <c r="AC86" i="2"/>
  <c r="AA86" i="2" s="1"/>
  <c r="Y86" i="2" s="1"/>
  <c r="AC105" i="2"/>
  <c r="AE105" i="2" s="1"/>
  <c r="AA31" i="2"/>
  <c r="Y31" i="2" s="1"/>
  <c r="AE31" i="2"/>
  <c r="AC48" i="2"/>
  <c r="AC46" i="2"/>
  <c r="AA117" i="2"/>
  <c r="Y117" i="2" s="1"/>
  <c r="AE117" i="2"/>
  <c r="AE93" i="2"/>
  <c r="AA93" i="2"/>
  <c r="Y93" i="2" s="1"/>
  <c r="AB62" i="2"/>
  <c r="Z62" i="2" s="1"/>
  <c r="AF62" i="2"/>
  <c r="AB100" i="2"/>
  <c r="Z100" i="2" s="1"/>
  <c r="AF100" i="2"/>
  <c r="AB122" i="2"/>
  <c r="Z122" i="2" s="1"/>
  <c r="AF122" i="2"/>
  <c r="AK41" i="2"/>
  <c r="AA98" i="2"/>
  <c r="Y98" i="2" s="1"/>
  <c r="AE98" i="2"/>
  <c r="AE95" i="2"/>
  <c r="AA95" i="2"/>
  <c r="Y95" i="2" s="1"/>
  <c r="AB120" i="2"/>
  <c r="Z120" i="2" s="1"/>
  <c r="AF120" i="2"/>
  <c r="AA40" i="2"/>
  <c r="Y40" i="2" s="1"/>
  <c r="AE40" i="2"/>
  <c r="AE114" i="2"/>
  <c r="AA114" i="2"/>
  <c r="Y114" i="2" s="1"/>
  <c r="AE90" i="2"/>
  <c r="AA90" i="2"/>
  <c r="Y90" i="2" s="1"/>
  <c r="AA37" i="2"/>
  <c r="Y37" i="2" s="1"/>
  <c r="AE37" i="2"/>
  <c r="AA108" i="2"/>
  <c r="Y108" i="2" s="1"/>
  <c r="AE108" i="2"/>
  <c r="AB108" i="2"/>
  <c r="Z108" i="2" s="1"/>
  <c r="AF108" i="2"/>
  <c r="AA34" i="2"/>
  <c r="Y34" i="2" s="1"/>
  <c r="AE34" i="2"/>
  <c r="AA107" i="2"/>
  <c r="Y107" i="2" s="1"/>
  <c r="AE107" i="2"/>
  <c r="AF26" i="2"/>
  <c r="AB26" i="2"/>
  <c r="Z26" i="2" s="1"/>
  <c r="AB107" i="2"/>
  <c r="Z107" i="2" s="1"/>
  <c r="AF107" i="2"/>
  <c r="AE53" i="2"/>
  <c r="AA53" i="2"/>
  <c r="Y53" i="2" s="1"/>
  <c r="AB60" i="2"/>
  <c r="Z60" i="2" s="1"/>
  <c r="AF60" i="2"/>
  <c r="AB48" i="2"/>
  <c r="Z48" i="2" s="1"/>
  <c r="AF48" i="2"/>
  <c r="AB46" i="2"/>
  <c r="Z46" i="2" s="1"/>
  <c r="AF46" i="2"/>
  <c r="AC60" i="2"/>
  <c r="AE56" i="2"/>
  <c r="AA56" i="2"/>
  <c r="Y56" i="2" s="1"/>
  <c r="AB86" i="2"/>
  <c r="Z86" i="2" s="1"/>
  <c r="AF86" i="2"/>
  <c r="AF105" i="2"/>
  <c r="AB105" i="2"/>
  <c r="Z105" i="2" s="1"/>
  <c r="AK58" i="2"/>
  <c r="AM50" i="2"/>
  <c r="AQ50" i="2"/>
  <c r="AI76" i="2"/>
  <c r="AI51" i="2"/>
  <c r="AM111" i="2"/>
  <c r="AO51" i="2"/>
  <c r="AK77" i="2"/>
  <c r="AK101" i="2"/>
  <c r="AM132" i="2"/>
  <c r="AO132" i="2"/>
  <c r="AI123" i="2"/>
  <c r="AO118" i="2"/>
  <c r="AE42" i="3"/>
  <c r="AD42" i="3"/>
  <c r="AC42" i="3"/>
  <c r="AE54" i="3"/>
  <c r="AD54" i="3"/>
  <c r="Z54" i="3"/>
  <c r="AA54" i="3"/>
  <c r="AC54" i="3"/>
  <c r="AA42" i="3"/>
  <c r="AE38" i="3"/>
  <c r="AC38" i="3"/>
  <c r="AC46" i="3"/>
  <c r="AD46" i="3"/>
  <c r="AE46" i="3"/>
  <c r="Z46" i="3"/>
  <c r="AA46" i="3"/>
  <c r="AA43" i="3"/>
  <c r="AC43" i="3"/>
  <c r="Z43" i="3"/>
  <c r="AD43" i="3"/>
  <c r="AE43" i="3"/>
  <c r="AE32" i="3"/>
  <c r="O70" i="7"/>
  <c r="AE21" i="3"/>
  <c r="Z27" i="3"/>
  <c r="AQ20" i="2"/>
  <c r="AO25" i="2"/>
  <c r="AK25" i="2"/>
  <c r="AM25" i="2"/>
  <c r="AQ25" i="2"/>
  <c r="AI132" i="2"/>
  <c r="AI85" i="2"/>
  <c r="AI77" i="2"/>
  <c r="AO101" i="2"/>
  <c r="AK118" i="2"/>
  <c r="AM118" i="2"/>
  <c r="AI41" i="2"/>
  <c r="AI44" i="2"/>
  <c r="AI50" i="2"/>
  <c r="AK83" i="2"/>
  <c r="AK132" i="2"/>
  <c r="AQ132" i="2"/>
  <c r="AO89" i="2"/>
  <c r="AK85" i="2"/>
  <c r="AO77" i="2"/>
  <c r="AO124" i="2"/>
  <c r="AQ101" i="2"/>
  <c r="AI102" i="2"/>
  <c r="AI118" i="2"/>
  <c r="AQ41" i="2"/>
  <c r="AK50" i="2"/>
  <c r="AO50" i="2"/>
  <c r="AI63" i="2"/>
  <c r="AM83" i="2"/>
  <c r="AM89" i="2"/>
  <c r="AQ85" i="2"/>
  <c r="AI24" i="2"/>
  <c r="AM77" i="2"/>
  <c r="AQ77" i="2"/>
  <c r="AQ123" i="2"/>
  <c r="AI101" i="2"/>
  <c r="AM101" i="2"/>
  <c r="AQ118" i="2"/>
  <c r="AT28" i="1"/>
  <c r="AT29" i="1" s="1"/>
  <c r="AD63" i="3"/>
  <c r="AB63" i="3"/>
  <c r="AE63" i="3"/>
  <c r="AC63" i="3"/>
  <c r="AM131" i="2"/>
  <c r="AQ102" i="2"/>
  <c r="AO85" i="2"/>
  <c r="AO112" i="2"/>
  <c r="AM75" i="2"/>
  <c r="AK94" i="2"/>
  <c r="AK75" i="2"/>
  <c r="AO94" i="2"/>
  <c r="AI75" i="2"/>
  <c r="AK111" i="2"/>
  <c r="AQ124" i="2"/>
  <c r="AM129" i="2"/>
  <c r="AI94" i="2"/>
  <c r="AI111" i="2"/>
  <c r="AM124" i="2"/>
  <c r="AO129" i="2"/>
  <c r="AQ94" i="2"/>
  <c r="AI124" i="2"/>
  <c r="AO106" i="2"/>
  <c r="AM51" i="2"/>
  <c r="AQ21" i="2"/>
  <c r="AQ51" i="2"/>
  <c r="AK51" i="2"/>
  <c r="AK64" i="2"/>
  <c r="AQ129" i="2"/>
  <c r="AO131" i="2"/>
  <c r="AQ112" i="2"/>
  <c r="AI99" i="2"/>
  <c r="AK106" i="2"/>
  <c r="AM99" i="2"/>
  <c r="AK112" i="2"/>
  <c r="AQ76" i="2"/>
  <c r="AO99" i="2"/>
  <c r="AI89" i="2"/>
  <c r="AI112" i="2"/>
  <c r="AM76" i="2"/>
  <c r="AO111" i="2"/>
  <c r="AM106" i="2"/>
  <c r="AI83" i="2"/>
  <c r="AK89" i="2"/>
  <c r="AK76" i="2"/>
  <c r="AQ111" i="2"/>
  <c r="AK124" i="2"/>
  <c r="AQ106" i="2"/>
  <c r="AQ44" i="2"/>
  <c r="AQ36" i="2"/>
  <c r="AQ61" i="2"/>
  <c r="AO75" i="2"/>
  <c r="AM94" i="2"/>
  <c r="AQ131" i="2"/>
  <c r="AK49" i="2"/>
  <c r="AI27" i="2"/>
  <c r="AO49" i="2"/>
  <c r="AM49" i="2"/>
  <c r="AQ27" i="2"/>
  <c r="AQ49" i="2"/>
  <c r="AI49" i="2"/>
  <c r="AM24" i="2"/>
  <c r="AM123" i="2"/>
  <c r="AK102" i="2"/>
  <c r="AK61" i="2"/>
  <c r="AI61" i="2"/>
  <c r="AK113" i="2"/>
  <c r="AO20" i="2"/>
  <c r="AO24" i="2"/>
  <c r="AI20" i="2"/>
  <c r="AQ24" i="2"/>
  <c r="AM58" i="2"/>
  <c r="AO19" i="2"/>
  <c r="AK99" i="2"/>
  <c r="AO123" i="2"/>
  <c r="AK44" i="2"/>
  <c r="AI58" i="2"/>
  <c r="AQ99" i="2"/>
  <c r="AK123" i="2"/>
  <c r="AM102" i="2"/>
  <c r="AI129" i="2"/>
  <c r="AM61" i="2"/>
  <c r="AM20" i="2"/>
  <c r="AM44" i="2"/>
  <c r="AO58" i="2"/>
  <c r="AM85" i="2"/>
  <c r="AM112" i="2"/>
  <c r="AQ75" i="2"/>
  <c r="AO102" i="2"/>
  <c r="AK129" i="2"/>
  <c r="AK24" i="2"/>
  <c r="AK20" i="2"/>
  <c r="AO44" i="2"/>
  <c r="AI119" i="2"/>
  <c r="AQ78" i="2"/>
  <c r="AO110" i="2"/>
  <c r="AM110" i="2"/>
  <c r="AK126" i="2"/>
  <c r="AO22" i="2"/>
  <c r="AO29" i="2"/>
  <c r="AI43" i="2"/>
  <c r="AO57" i="2"/>
  <c r="AO84" i="2"/>
  <c r="AM113" i="2"/>
  <c r="AQ110" i="2"/>
  <c r="AM130" i="2"/>
  <c r="AI126" i="2"/>
  <c r="AO78" i="2"/>
  <c r="AQ45" i="2"/>
  <c r="AQ43" i="2"/>
  <c r="AK45" i="2"/>
  <c r="AI67" i="2"/>
  <c r="AI84" i="2"/>
  <c r="AK110" i="2"/>
  <c r="AO113" i="2"/>
  <c r="AM22" i="2"/>
  <c r="AQ29" i="2"/>
  <c r="AO43" i="2"/>
  <c r="AI45" i="2"/>
  <c r="AM68" i="2"/>
  <c r="AM84" i="2"/>
  <c r="AI110" i="2"/>
  <c r="AQ130" i="2"/>
  <c r="AM19" i="2"/>
  <c r="AQ42" i="2"/>
  <c r="AK22" i="2"/>
  <c r="AM27" i="2"/>
  <c r="AO30" i="2"/>
  <c r="AK43" i="2"/>
  <c r="AM45" i="2"/>
  <c r="AO68" i="2"/>
  <c r="AI127" i="2"/>
  <c r="AO130" i="2"/>
  <c r="AQ113" i="2"/>
  <c r="AI29" i="2"/>
  <c r="AI113" i="2"/>
  <c r="AM29" i="2"/>
  <c r="AK29" i="2"/>
  <c r="AI22" i="2"/>
  <c r="AO27" i="2"/>
  <c r="AQ30" i="2"/>
  <c r="AO45" i="2"/>
  <c r="AI68" i="2"/>
  <c r="AI78" i="2"/>
  <c r="AI130" i="2"/>
  <c r="AK131" i="2"/>
  <c r="AM41" i="2"/>
  <c r="AO126" i="2"/>
  <c r="AM43" i="2"/>
  <c r="AK27" i="2"/>
  <c r="AO47" i="2"/>
  <c r="AM78" i="2"/>
  <c r="AI21" i="2"/>
  <c r="AK42" i="2"/>
  <c r="AO59" i="2"/>
  <c r="AK66" i="2"/>
  <c r="AK21" i="2"/>
  <c r="AK30" i="2"/>
  <c r="AM36" i="2"/>
  <c r="AO42" i="2"/>
  <c r="AQ58" i="2"/>
  <c r="AO61" i="2"/>
  <c r="AO64" i="2"/>
  <c r="AK84" i="2"/>
  <c r="AO79" i="2"/>
  <c r="AK35" i="2"/>
  <c r="AK128" i="2"/>
  <c r="AQ35" i="2"/>
  <c r="AM121" i="2"/>
  <c r="AM128" i="2"/>
  <c r="AQ103" i="2"/>
  <c r="AI25" i="2"/>
  <c r="AM35" i="2"/>
  <c r="AQ57" i="2"/>
  <c r="AQ59" i="2"/>
  <c r="AQ63" i="2"/>
  <c r="AQ66" i="2"/>
  <c r="AQ126" i="2"/>
  <c r="AQ64" i="2"/>
  <c r="AO41" i="2"/>
  <c r="AI59" i="2"/>
  <c r="AK63" i="2"/>
  <c r="AM66" i="2"/>
  <c r="AO80" i="2"/>
  <c r="AK130" i="2"/>
  <c r="AO35" i="2"/>
  <c r="AO121" i="2"/>
  <c r="AI30" i="2"/>
  <c r="AI36" i="2"/>
  <c r="AI42" i="2"/>
  <c r="AK47" i="2"/>
  <c r="AI57" i="2"/>
  <c r="AM63" i="2"/>
  <c r="AI66" i="2"/>
  <c r="AO127" i="2"/>
  <c r="AI35" i="2"/>
  <c r="AI64" i="2"/>
  <c r="AM64" i="2"/>
  <c r="AO36" i="2"/>
  <c r="AM42" i="2"/>
  <c r="AM57" i="2"/>
  <c r="AM59" i="2"/>
  <c r="AO63" i="2"/>
  <c r="AO66" i="2"/>
  <c r="AM127" i="2"/>
  <c r="AI131" i="2"/>
  <c r="AM30" i="2"/>
  <c r="AK36" i="2"/>
  <c r="AI47" i="2"/>
  <c r="AK57" i="2"/>
  <c r="AK59" i="2"/>
  <c r="AK78" i="2"/>
  <c r="AM65" i="2"/>
  <c r="AK109" i="2"/>
  <c r="AQ87" i="2"/>
  <c r="AK104" i="2"/>
  <c r="AM103" i="2"/>
  <c r="AM119" i="2"/>
  <c r="AK65" i="2"/>
  <c r="AO109" i="2"/>
  <c r="AO87" i="2"/>
  <c r="AO104" i="2"/>
  <c r="AO103" i="2"/>
  <c r="AO119" i="2"/>
  <c r="AQ84" i="2"/>
  <c r="AO128" i="2"/>
  <c r="AK121" i="2"/>
  <c r="AO125" i="2"/>
  <c r="AI128" i="2"/>
  <c r="AQ79" i="2"/>
  <c r="AM80" i="2"/>
  <c r="AQ81" i="2"/>
  <c r="AM126" i="2"/>
  <c r="AQ128" i="2"/>
  <c r="AQ121" i="2"/>
  <c r="AM125" i="2"/>
  <c r="AI79" i="2"/>
  <c r="AQ80" i="2"/>
  <c r="AQ67" i="2"/>
  <c r="AQ109" i="2"/>
  <c r="AK87" i="2"/>
  <c r="AI80" i="2"/>
  <c r="AO81" i="2"/>
  <c r="AI121" i="2"/>
  <c r="AO69" i="2"/>
  <c r="AK67" i="2"/>
  <c r="AM109" i="2"/>
  <c r="AM87" i="2"/>
  <c r="AK125" i="2"/>
  <c r="AQ104" i="2"/>
  <c r="AK80" i="2"/>
  <c r="AK81" i="2"/>
  <c r="AI81" i="2"/>
  <c r="AK69" i="2"/>
  <c r="AM81" i="2"/>
  <c r="AQ52" i="2"/>
  <c r="AO67" i="2"/>
  <c r="AQ125" i="2"/>
  <c r="AK127" i="2"/>
  <c r="AM104" i="2"/>
  <c r="AI103" i="2"/>
  <c r="AK119" i="2"/>
  <c r="AK79" i="2"/>
  <c r="AM79" i="2"/>
  <c r="AM47" i="2"/>
  <c r="AM67" i="2"/>
  <c r="AI109" i="2"/>
  <c r="AI87" i="2"/>
  <c r="AI125" i="2"/>
  <c r="AQ127" i="2"/>
  <c r="AI104" i="2"/>
  <c r="AK103" i="2"/>
  <c r="AQ119" i="2"/>
  <c r="AQ69" i="2"/>
  <c r="AO21" i="2"/>
  <c r="AQ65" i="2"/>
  <c r="AI65" i="2"/>
  <c r="AI69" i="2"/>
  <c r="AM21" i="2"/>
  <c r="AO65" i="2"/>
  <c r="AM69" i="2"/>
  <c r="AI28" i="2"/>
  <c r="AM28" i="2"/>
  <c r="AI52" i="2"/>
  <c r="AQ68" i="2"/>
  <c r="AQ19" i="2"/>
  <c r="AK52" i="2"/>
  <c r="AK68" i="2"/>
  <c r="AK19" i="2"/>
  <c r="AO28" i="2"/>
  <c r="AK28" i="2"/>
  <c r="AM52" i="2"/>
  <c r="AQ22" i="2"/>
  <c r="AQ28" i="2"/>
  <c r="AQ47" i="2"/>
  <c r="AO52" i="2"/>
  <c r="AI19" i="2"/>
  <c r="T41" i="7"/>
  <c r="R22" i="7"/>
  <c r="AA47" i="4"/>
  <c r="W62" i="4"/>
  <c r="W19" i="4"/>
  <c r="Z47" i="4"/>
  <c r="W21" i="4"/>
  <c r="AA21" i="4"/>
  <c r="Z19" i="4"/>
  <c r="Z21" i="4"/>
  <c r="X47" i="4"/>
  <c r="Y62" i="4"/>
  <c r="Y21" i="4"/>
  <c r="Y47" i="4"/>
  <c r="W46" i="4"/>
  <c r="AW40" i="1"/>
  <c r="AA41" i="4"/>
  <c r="Y41" i="4"/>
  <c r="X41" i="4"/>
  <c r="W41" i="4"/>
  <c r="X48" i="4"/>
  <c r="Z34" i="4"/>
  <c r="R41" i="7"/>
  <c r="R19" i="7"/>
  <c r="T19" i="7"/>
  <c r="T22" i="7"/>
  <c r="R37" i="7"/>
  <c r="T34" i="7"/>
  <c r="R34" i="7"/>
  <c r="R56" i="7"/>
  <c r="T56" i="7"/>
  <c r="R29" i="7"/>
  <c r="T18" i="7"/>
  <c r="R18" i="7"/>
  <c r="V41" i="4"/>
  <c r="T41" i="4"/>
  <c r="Z41" i="4"/>
  <c r="Z62" i="4"/>
  <c r="Y48" i="4"/>
  <c r="Z48" i="4"/>
  <c r="V21" i="4"/>
  <c r="Z46" i="4"/>
  <c r="T40" i="4"/>
  <c r="V40" i="4"/>
  <c r="Y40" i="4"/>
  <c r="Z40" i="4"/>
  <c r="Z33" i="4"/>
  <c r="X39" i="4"/>
  <c r="AA40" i="4"/>
  <c r="X40" i="4"/>
  <c r="W40" i="4"/>
  <c r="X31" i="4"/>
  <c r="Y39" i="4"/>
  <c r="Z39" i="4"/>
  <c r="W39" i="4"/>
  <c r="Y31" i="4"/>
  <c r="W33" i="4"/>
  <c r="Y32" i="4"/>
  <c r="X33" i="4"/>
  <c r="V36" i="4"/>
  <c r="T36" i="4"/>
  <c r="Y53" i="4"/>
  <c r="AA28" i="4"/>
  <c r="Z28" i="4"/>
  <c r="W28" i="4"/>
  <c r="AA35" i="4"/>
  <c r="X35" i="4"/>
  <c r="Z31" i="4"/>
  <c r="W31" i="4"/>
  <c r="X28" i="4"/>
  <c r="W32" i="4"/>
  <c r="W35" i="4"/>
  <c r="Z35" i="4"/>
  <c r="Y35" i="4"/>
  <c r="T21" i="4"/>
  <c r="AA33" i="4"/>
  <c r="X34" i="4"/>
  <c r="V35" i="4"/>
  <c r="W34" i="4"/>
  <c r="AA34" i="4"/>
  <c r="X32" i="4"/>
  <c r="AA32" i="4"/>
  <c r="Z60" i="4"/>
  <c r="AD27" i="3"/>
  <c r="W53" i="4"/>
  <c r="X53" i="4"/>
  <c r="Z51" i="4"/>
  <c r="X60" i="4"/>
  <c r="AA60" i="4"/>
  <c r="AA53" i="4"/>
  <c r="Y60" i="4"/>
  <c r="W60" i="4"/>
  <c r="X51" i="4"/>
  <c r="W51" i="4"/>
  <c r="Y51" i="4"/>
  <c r="V60" i="4"/>
  <c r="T60" i="4"/>
  <c r="T54" i="4"/>
  <c r="T56" i="4"/>
  <c r="V56" i="4"/>
  <c r="V38" i="4"/>
  <c r="T38" i="4"/>
  <c r="Y23" i="4"/>
  <c r="X23" i="4"/>
  <c r="W23" i="4"/>
  <c r="AA23" i="4"/>
  <c r="Z23" i="4"/>
  <c r="T59" i="4"/>
  <c r="V59" i="4"/>
  <c r="AC65" i="4"/>
  <c r="AU33" i="1" s="1"/>
  <c r="T22" i="4"/>
  <c r="V22" i="4"/>
  <c r="AA44" i="4"/>
  <c r="W44" i="4"/>
  <c r="Z44" i="4"/>
  <c r="Y44" i="4"/>
  <c r="X44" i="4"/>
  <c r="AA37" i="4"/>
  <c r="W37" i="4"/>
  <c r="Z37" i="4"/>
  <c r="Y37" i="4"/>
  <c r="X37" i="4"/>
  <c r="V63" i="4"/>
  <c r="T63" i="4"/>
  <c r="Z26" i="4"/>
  <c r="AA26" i="4"/>
  <c r="Y26" i="4"/>
  <c r="W26" i="4"/>
  <c r="X26" i="4"/>
  <c r="W61" i="4"/>
  <c r="Y61" i="4"/>
  <c r="X61" i="4"/>
  <c r="AA61" i="4"/>
  <c r="Z61" i="4"/>
  <c r="Y55" i="4"/>
  <c r="AA55" i="4"/>
  <c r="X55" i="4"/>
  <c r="Z55" i="4"/>
  <c r="W55" i="4"/>
  <c r="AC27" i="3"/>
  <c r="AA27" i="3"/>
  <c r="AE27" i="3"/>
  <c r="O31" i="3"/>
  <c r="Q31" i="3" s="1"/>
  <c r="V31" i="3" s="1"/>
  <c r="W31" i="3" s="1"/>
  <c r="AA21" i="3"/>
  <c r="O26" i="3"/>
  <c r="Q26" i="3" s="1"/>
  <c r="V26" i="3" s="1"/>
  <c r="U26" i="3" s="1"/>
  <c r="O20" i="3"/>
  <c r="Q20" i="3" s="1"/>
  <c r="S20" i="3" s="1"/>
  <c r="V20" i="3" s="1"/>
  <c r="T20" i="3" s="1"/>
  <c r="Z21" i="3"/>
  <c r="AD38" i="3"/>
  <c r="AA30" i="3"/>
  <c r="AA38" i="3"/>
  <c r="Y63" i="3"/>
  <c r="O40" i="3"/>
  <c r="Q40" i="3" s="1"/>
  <c r="V40" i="3" s="1"/>
  <c r="O53" i="3"/>
  <c r="Q53" i="3" s="1"/>
  <c r="V53" i="3" s="1"/>
  <c r="U53" i="3" s="1"/>
  <c r="AC30" i="3"/>
  <c r="O18" i="3"/>
  <c r="Q18" i="3" s="1"/>
  <c r="AD30" i="3"/>
  <c r="AE30" i="3"/>
  <c r="Z30" i="3"/>
  <c r="O28" i="3"/>
  <c r="Q28" i="3" s="1"/>
  <c r="O34" i="3"/>
  <c r="Q34" i="3" s="1"/>
  <c r="V34" i="3" s="1"/>
  <c r="U34" i="3" s="1"/>
  <c r="AD21" i="3"/>
  <c r="O24" i="3"/>
  <c r="Q24" i="3" s="1"/>
  <c r="V24" i="3" s="1"/>
  <c r="W24" i="3" s="1"/>
  <c r="Q64" i="3"/>
  <c r="AE64" i="3" s="1"/>
  <c r="AC28" i="3"/>
  <c r="AA29" i="3"/>
  <c r="Z29" i="3"/>
  <c r="AC21" i="3"/>
  <c r="AC29" i="3"/>
  <c r="AE29" i="3"/>
  <c r="AC32" i="3"/>
  <c r="AA32" i="3"/>
  <c r="AD32" i="3"/>
  <c r="AD29" i="3"/>
  <c r="Z32" i="3"/>
  <c r="O19" i="3"/>
  <c r="Q19" i="3" s="1"/>
  <c r="S19" i="3" s="1"/>
  <c r="V19" i="3" s="1"/>
  <c r="T19" i="3" s="1"/>
  <c r="O37" i="3"/>
  <c r="Q37" i="3" s="1"/>
  <c r="S37" i="3" s="1"/>
  <c r="W37" i="3" s="1"/>
  <c r="O22" i="3"/>
  <c r="Q22" i="3" s="1"/>
  <c r="S22" i="3" s="1"/>
  <c r="AA48" i="3"/>
  <c r="Z38" i="3"/>
  <c r="O44" i="3"/>
  <c r="Q44" i="3" s="1"/>
  <c r="O45" i="3"/>
  <c r="Q45" i="3" s="1"/>
  <c r="O47" i="3"/>
  <c r="Q47" i="3" s="1"/>
  <c r="O49" i="3"/>
  <c r="Q49" i="3" s="1"/>
  <c r="O50" i="3"/>
  <c r="Q50" i="3" s="1"/>
  <c r="O51" i="3"/>
  <c r="Q51" i="3" s="1"/>
  <c r="K79" i="2"/>
  <c r="I79" i="2"/>
  <c r="P79" i="2"/>
  <c r="T79" i="2" s="1"/>
  <c r="W79" i="2" s="1"/>
  <c r="P78" i="2"/>
  <c r="T78" i="2" s="1"/>
  <c r="W78" i="2" s="1"/>
  <c r="K99" i="2"/>
  <c r="AH91" i="2"/>
  <c r="AL91" i="2"/>
  <c r="AH92" i="2"/>
  <c r="AL92" i="2"/>
  <c r="AH96" i="2"/>
  <c r="AL96" i="2"/>
  <c r="AH97" i="2"/>
  <c r="AL97" i="2"/>
  <c r="AH115" i="2"/>
  <c r="AL115" i="2"/>
  <c r="AH116" i="2"/>
  <c r="AL116" i="2"/>
  <c r="AJ91" i="2"/>
  <c r="AJ92" i="2"/>
  <c r="AJ97" i="2"/>
  <c r="AJ115" i="2"/>
  <c r="AJ116" i="2"/>
  <c r="K80" i="2"/>
  <c r="K81" i="2"/>
  <c r="K84" i="2"/>
  <c r="K85" i="2"/>
  <c r="K86" i="2"/>
  <c r="K87" i="2"/>
  <c r="K89" i="2"/>
  <c r="K94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8" i="2"/>
  <c r="K120" i="2"/>
  <c r="K121" i="2"/>
  <c r="K122" i="2"/>
  <c r="K123" i="2"/>
  <c r="K124" i="2"/>
  <c r="K125" i="2"/>
  <c r="P126" i="2"/>
  <c r="T126" i="2" s="1"/>
  <c r="AC126" i="2" s="1"/>
  <c r="K127" i="2"/>
  <c r="P128" i="2"/>
  <c r="T128" i="2" s="1"/>
  <c r="AC128" i="2" s="1"/>
  <c r="K129" i="2"/>
  <c r="K130" i="2"/>
  <c r="K131" i="2"/>
  <c r="K132" i="2"/>
  <c r="K43" i="2"/>
  <c r="AL32" i="2"/>
  <c r="AL33" i="2"/>
  <c r="AL38" i="2"/>
  <c r="AL39" i="2"/>
  <c r="AL54" i="2"/>
  <c r="AL55" i="2"/>
  <c r="K21" i="2"/>
  <c r="K22" i="2"/>
  <c r="K24" i="2"/>
  <c r="K25" i="2"/>
  <c r="K26" i="2"/>
  <c r="P28" i="2"/>
  <c r="T28" i="2" s="1"/>
  <c r="K29" i="2"/>
  <c r="K30" i="2"/>
  <c r="K35" i="2"/>
  <c r="K36" i="2"/>
  <c r="K41" i="2"/>
  <c r="K42" i="2"/>
  <c r="K44" i="2"/>
  <c r="K45" i="2"/>
  <c r="K46" i="2"/>
  <c r="K47" i="2"/>
  <c r="K48" i="2"/>
  <c r="K49" i="2"/>
  <c r="K50" i="2"/>
  <c r="K51" i="2"/>
  <c r="K52" i="2"/>
  <c r="K57" i="2"/>
  <c r="K58" i="2"/>
  <c r="K59" i="2"/>
  <c r="K60" i="2"/>
  <c r="K61" i="2"/>
  <c r="K62" i="2"/>
  <c r="K63" i="2"/>
  <c r="K64" i="2"/>
  <c r="K65" i="2"/>
  <c r="P66" i="2"/>
  <c r="T66" i="2" s="1"/>
  <c r="AC66" i="2" s="1"/>
  <c r="K67" i="2"/>
  <c r="P68" i="2"/>
  <c r="T68" i="2" s="1"/>
  <c r="AC68" i="2" s="1"/>
  <c r="K69" i="2"/>
  <c r="AH32" i="2"/>
  <c r="AH33" i="2"/>
  <c r="AH38" i="2"/>
  <c r="AH39" i="2"/>
  <c r="AH54" i="2"/>
  <c r="AH55" i="2"/>
  <c r="J65" i="5"/>
  <c r="L65" i="5" s="1"/>
  <c r="J64" i="5"/>
  <c r="J58" i="5"/>
  <c r="L58" i="5" s="1"/>
  <c r="J44" i="5"/>
  <c r="L44" i="5" s="1"/>
  <c r="R63" i="7" l="1"/>
  <c r="T54" i="7"/>
  <c r="T36" i="7"/>
  <c r="R36" i="7"/>
  <c r="R54" i="7"/>
  <c r="T63" i="7"/>
  <c r="U19" i="4"/>
  <c r="S19" i="4" s="1"/>
  <c r="R65" i="4"/>
  <c r="G33" i="1" s="1"/>
  <c r="U18" i="4"/>
  <c r="S18" i="4" s="1"/>
  <c r="W43" i="3"/>
  <c r="S44" i="3"/>
  <c r="V44" i="3" s="1"/>
  <c r="T44" i="3" s="1"/>
  <c r="T43" i="3"/>
  <c r="U43" i="3"/>
  <c r="V45" i="3"/>
  <c r="T45" i="3" s="1"/>
  <c r="S45" i="3"/>
  <c r="S51" i="3"/>
  <c r="V51" i="3" s="1"/>
  <c r="U47" i="3"/>
  <c r="W47" i="3"/>
  <c r="V47" i="3"/>
  <c r="T47" i="3" s="1"/>
  <c r="S50" i="3"/>
  <c r="V50" i="3" s="1"/>
  <c r="T50" i="3" s="1"/>
  <c r="S49" i="3"/>
  <c r="V49" i="3" s="1"/>
  <c r="X72" i="2"/>
  <c r="X179" i="2" s="1"/>
  <c r="G31" i="1" s="1"/>
  <c r="AS179" i="2"/>
  <c r="AT31" i="1" s="1"/>
  <c r="AT34" i="1" s="1"/>
  <c r="W28" i="2"/>
  <c r="AC28" i="2" s="1"/>
  <c r="AI72" i="2"/>
  <c r="AO72" i="2"/>
  <c r="AM72" i="2"/>
  <c r="AK72" i="2"/>
  <c r="AQ72" i="2"/>
  <c r="AD135" i="2"/>
  <c r="AI135" i="2"/>
  <c r="AO135" i="2"/>
  <c r="AQ135" i="2"/>
  <c r="AK135" i="2"/>
  <c r="AM135" i="2"/>
  <c r="AR179" i="2"/>
  <c r="T26" i="7"/>
  <c r="T29" i="7"/>
  <c r="T21" i="7"/>
  <c r="R32" i="7"/>
  <c r="T52" i="4"/>
  <c r="T55" i="7"/>
  <c r="T32" i="7"/>
  <c r="R23" i="7"/>
  <c r="V52" i="4"/>
  <c r="R55" i="7"/>
  <c r="T20" i="7"/>
  <c r="R26" i="7"/>
  <c r="T18" i="8"/>
  <c r="S59" i="8"/>
  <c r="S69" i="8" s="1"/>
  <c r="T40" i="7"/>
  <c r="T28" i="7"/>
  <c r="R20" i="7"/>
  <c r="V59" i="8"/>
  <c r="V69" i="8" s="1"/>
  <c r="R28" i="7"/>
  <c r="T23" i="7"/>
  <c r="W59" i="8"/>
  <c r="W69" i="8" s="1"/>
  <c r="T22" i="8"/>
  <c r="R22" i="8"/>
  <c r="M25" i="1"/>
  <c r="AQ25" i="1"/>
  <c r="T36" i="8"/>
  <c r="Z25" i="1"/>
  <c r="R36" i="8"/>
  <c r="T24" i="8"/>
  <c r="AA100" i="2"/>
  <c r="Y100" i="2" s="1"/>
  <c r="AE120" i="2"/>
  <c r="AE122" i="2"/>
  <c r="Q85" i="3"/>
  <c r="AE75" i="3"/>
  <c r="AJ23" i="1" s="1"/>
  <c r="AJ28" i="1" s="1"/>
  <c r="AI29" i="1" s="1"/>
  <c r="AE26" i="2"/>
  <c r="AD19" i="2"/>
  <c r="AD72" i="2" s="1"/>
  <c r="R29" i="8"/>
  <c r="Q29" i="8"/>
  <c r="R31" i="8"/>
  <c r="Q31" i="8"/>
  <c r="R18" i="8"/>
  <c r="Q18" i="8"/>
  <c r="Q59" i="8" s="1"/>
  <c r="Q69" i="8" s="1"/>
  <c r="T23" i="8"/>
  <c r="Q23" i="8"/>
  <c r="R24" i="8"/>
  <c r="R30" i="8"/>
  <c r="Q30" i="8"/>
  <c r="W53" i="3"/>
  <c r="V37" i="3"/>
  <c r="T37" i="3" s="1"/>
  <c r="U19" i="3"/>
  <c r="W19" i="3"/>
  <c r="W34" i="3"/>
  <c r="T34" i="3"/>
  <c r="U37" i="3"/>
  <c r="U50" i="3"/>
  <c r="T31" i="3"/>
  <c r="W50" i="3"/>
  <c r="U31" i="3"/>
  <c r="W51" i="3"/>
  <c r="T31" i="8"/>
  <c r="R23" i="8"/>
  <c r="T30" i="8"/>
  <c r="Y28" i="1"/>
  <c r="T29" i="8"/>
  <c r="T38" i="7"/>
  <c r="U24" i="3"/>
  <c r="W20" i="3"/>
  <c r="U45" i="3"/>
  <c r="W45" i="3"/>
  <c r="W44" i="3"/>
  <c r="U44" i="3"/>
  <c r="T26" i="3"/>
  <c r="W26" i="3"/>
  <c r="T53" i="3"/>
  <c r="W22" i="3"/>
  <c r="U22" i="3"/>
  <c r="V22" i="3"/>
  <c r="T22" i="3" s="1"/>
  <c r="AE18" i="3"/>
  <c r="S18" i="3"/>
  <c r="U40" i="3"/>
  <c r="W40" i="3"/>
  <c r="T40" i="3"/>
  <c r="T24" i="3"/>
  <c r="U20" i="3"/>
  <c r="W42" i="3"/>
  <c r="U42" i="3"/>
  <c r="T42" i="3"/>
  <c r="AE86" i="2"/>
  <c r="AA62" i="2"/>
  <c r="Y62" i="2" s="1"/>
  <c r="AA105" i="2"/>
  <c r="Y105" i="2" s="1"/>
  <c r="T45" i="4"/>
  <c r="V45" i="4"/>
  <c r="V39" i="4"/>
  <c r="T32" i="4"/>
  <c r="T46" i="4"/>
  <c r="V31" i="4"/>
  <c r="V46" i="4"/>
  <c r="T47" i="4"/>
  <c r="T48" i="4"/>
  <c r="T19" i="4"/>
  <c r="V19" i="4"/>
  <c r="V18" i="4"/>
  <c r="T18" i="4"/>
  <c r="V28" i="4"/>
  <c r="V62" i="4"/>
  <c r="AB123" i="2"/>
  <c r="Z123" i="2" s="1"/>
  <c r="AF123" i="2"/>
  <c r="AE68" i="2"/>
  <c r="AA68" i="2"/>
  <c r="Y68" i="2" s="1"/>
  <c r="AB89" i="2"/>
  <c r="Z89" i="2" s="1"/>
  <c r="AF89" i="2"/>
  <c r="AF77" i="2"/>
  <c r="AB77" i="2"/>
  <c r="Z77" i="2" s="1"/>
  <c r="AB28" i="2"/>
  <c r="Z28" i="2" s="1"/>
  <c r="AF28" i="2"/>
  <c r="AB104" i="2"/>
  <c r="Z104" i="2" s="1"/>
  <c r="AF104" i="2"/>
  <c r="AB57" i="2"/>
  <c r="Z57" i="2" s="1"/>
  <c r="AF57" i="2"/>
  <c r="AB109" i="2"/>
  <c r="Z109" i="2" s="1"/>
  <c r="AF109" i="2"/>
  <c r="AB44" i="2"/>
  <c r="Z44" i="2" s="1"/>
  <c r="AF44" i="2"/>
  <c r="AA66" i="2"/>
  <c r="Y66" i="2" s="1"/>
  <c r="AE66" i="2"/>
  <c r="AF79" i="2"/>
  <c r="AB79" i="2"/>
  <c r="Z79" i="2" s="1"/>
  <c r="AB22" i="2"/>
  <c r="AF22" i="2"/>
  <c r="AB112" i="2"/>
  <c r="Z112" i="2" s="1"/>
  <c r="AF112" i="2"/>
  <c r="AB59" i="2"/>
  <c r="Z59" i="2" s="1"/>
  <c r="AF59" i="2"/>
  <c r="AF102" i="2"/>
  <c r="AB102" i="2"/>
  <c r="Z102" i="2" s="1"/>
  <c r="AB127" i="2"/>
  <c r="Z127" i="2" s="1"/>
  <c r="AF127" i="2"/>
  <c r="AF129" i="2"/>
  <c r="AB129" i="2"/>
  <c r="Z129" i="2" s="1"/>
  <c r="AF58" i="2"/>
  <c r="AB58" i="2"/>
  <c r="Z58" i="2" s="1"/>
  <c r="AB52" i="2"/>
  <c r="Z52" i="2" s="1"/>
  <c r="AF52" i="2"/>
  <c r="AF80" i="2"/>
  <c r="AB80" i="2"/>
  <c r="Z80" i="2" s="1"/>
  <c r="AF78" i="2"/>
  <c r="AB78" i="2"/>
  <c r="AB36" i="2"/>
  <c r="Z36" i="2" s="1"/>
  <c r="AF36" i="2"/>
  <c r="AF66" i="2"/>
  <c r="AB66" i="2"/>
  <c r="Z66" i="2" s="1"/>
  <c r="AF65" i="2"/>
  <c r="AB65" i="2"/>
  <c r="Z65" i="2" s="1"/>
  <c r="AF101" i="2"/>
  <c r="AB101" i="2"/>
  <c r="Z101" i="2" s="1"/>
  <c r="AF84" i="2"/>
  <c r="AB84" i="2"/>
  <c r="Z84" i="2" s="1"/>
  <c r="AB106" i="2"/>
  <c r="Z106" i="2" s="1"/>
  <c r="AF106" i="2"/>
  <c r="AB119" i="2"/>
  <c r="Z119" i="2" s="1"/>
  <c r="AF119" i="2"/>
  <c r="AF125" i="2"/>
  <c r="AB125" i="2"/>
  <c r="Z125" i="2" s="1"/>
  <c r="AB87" i="2"/>
  <c r="Z87" i="2" s="1"/>
  <c r="AF87" i="2"/>
  <c r="AF126" i="2"/>
  <c r="AB126" i="2"/>
  <c r="Z126" i="2" s="1"/>
  <c r="AF21" i="2"/>
  <c r="AB21" i="2"/>
  <c r="Z21" i="2" s="1"/>
  <c r="AB111" i="2"/>
  <c r="Z111" i="2" s="1"/>
  <c r="AF111" i="2"/>
  <c r="AF42" i="2"/>
  <c r="AB42" i="2"/>
  <c r="Z42" i="2" s="1"/>
  <c r="AB103" i="2"/>
  <c r="Z103" i="2" s="1"/>
  <c r="AF103" i="2"/>
  <c r="AB45" i="2"/>
  <c r="Z45" i="2" s="1"/>
  <c r="AF45" i="2"/>
  <c r="AB41" i="2"/>
  <c r="Z41" i="2" s="1"/>
  <c r="AF41" i="2"/>
  <c r="AB51" i="2"/>
  <c r="Z51" i="2" s="1"/>
  <c r="AF51" i="2"/>
  <c r="AF128" i="2"/>
  <c r="AB128" i="2"/>
  <c r="Z128" i="2" s="1"/>
  <c r="AB68" i="2"/>
  <c r="Z68" i="2" s="1"/>
  <c r="AF68" i="2"/>
  <c r="AB29" i="2"/>
  <c r="Z29" i="2" s="1"/>
  <c r="AF29" i="2"/>
  <c r="AB121" i="2"/>
  <c r="Z121" i="2" s="1"/>
  <c r="AF121" i="2"/>
  <c r="AB85" i="2"/>
  <c r="Z85" i="2" s="1"/>
  <c r="AF85" i="2"/>
  <c r="AB50" i="2"/>
  <c r="Z50" i="2" s="1"/>
  <c r="AF50" i="2"/>
  <c r="AB75" i="2"/>
  <c r="AF75" i="2"/>
  <c r="AF27" i="2"/>
  <c r="AB27" i="2"/>
  <c r="Z27" i="2" s="1"/>
  <c r="AE60" i="2"/>
  <c r="AA60" i="2"/>
  <c r="Y60" i="2" s="1"/>
  <c r="AB64" i="2"/>
  <c r="Z64" i="2" s="1"/>
  <c r="AF64" i="2"/>
  <c r="AB131" i="2"/>
  <c r="Z131" i="2" s="1"/>
  <c r="AF131" i="2"/>
  <c r="AB30" i="2"/>
  <c r="Z30" i="2" s="1"/>
  <c r="AF30" i="2"/>
  <c r="AB118" i="2"/>
  <c r="Z118" i="2" s="1"/>
  <c r="AF118" i="2"/>
  <c r="AF49" i="2"/>
  <c r="AB49" i="2"/>
  <c r="Z49" i="2" s="1"/>
  <c r="AF25" i="2"/>
  <c r="AB25" i="2"/>
  <c r="Z25" i="2" s="1"/>
  <c r="AF113" i="2"/>
  <c r="AB113" i="2"/>
  <c r="Z113" i="2" s="1"/>
  <c r="AB99" i="2"/>
  <c r="Z99" i="2" s="1"/>
  <c r="AF99" i="2"/>
  <c r="AE128" i="2"/>
  <c r="AA128" i="2"/>
  <c r="Y128" i="2" s="1"/>
  <c r="AF76" i="2"/>
  <c r="AB76" i="2"/>
  <c r="Z76" i="2" s="1"/>
  <c r="AB35" i="2"/>
  <c r="Z35" i="2" s="1"/>
  <c r="AF35" i="2"/>
  <c r="AF83" i="2"/>
  <c r="AB83" i="2"/>
  <c r="Z83" i="2" s="1"/>
  <c r="AB24" i="2"/>
  <c r="Z24" i="2" s="1"/>
  <c r="AF24" i="2"/>
  <c r="AF69" i="2"/>
  <c r="AB69" i="2"/>
  <c r="Z69" i="2" s="1"/>
  <c r="AA46" i="2"/>
  <c r="Y46" i="2" s="1"/>
  <c r="AE46" i="2"/>
  <c r="AE126" i="2"/>
  <c r="AA126" i="2"/>
  <c r="Y126" i="2" s="1"/>
  <c r="AA28" i="2"/>
  <c r="Y28" i="2" s="1"/>
  <c r="AE28" i="2"/>
  <c r="AB20" i="2"/>
  <c r="Z20" i="2" s="1"/>
  <c r="AF20" i="2"/>
  <c r="AB67" i="2"/>
  <c r="Z67" i="2" s="1"/>
  <c r="AF67" i="2"/>
  <c r="AA48" i="2"/>
  <c r="Y48" i="2" s="1"/>
  <c r="AE48" i="2"/>
  <c r="AB132" i="2"/>
  <c r="Z132" i="2" s="1"/>
  <c r="AF132" i="2"/>
  <c r="AB110" i="2"/>
  <c r="Z110" i="2" s="1"/>
  <c r="AF110" i="2"/>
  <c r="AF81" i="2"/>
  <c r="AB81" i="2"/>
  <c r="AF43" i="2"/>
  <c r="AB43" i="2"/>
  <c r="Z43" i="2" s="1"/>
  <c r="AB61" i="2"/>
  <c r="Z61" i="2" s="1"/>
  <c r="AF61" i="2"/>
  <c r="AF130" i="2"/>
  <c r="AB130" i="2"/>
  <c r="Z130" i="2" s="1"/>
  <c r="AB94" i="2"/>
  <c r="Z94" i="2" s="1"/>
  <c r="AF94" i="2"/>
  <c r="AB47" i="2"/>
  <c r="Z47" i="2" s="1"/>
  <c r="AF47" i="2"/>
  <c r="AB124" i="2"/>
  <c r="Z124" i="2" s="1"/>
  <c r="AF124" i="2"/>
  <c r="AB63" i="2"/>
  <c r="Z63" i="2" s="1"/>
  <c r="AF63" i="2"/>
  <c r="Z51" i="3"/>
  <c r="AE51" i="3"/>
  <c r="AA51" i="3"/>
  <c r="AD51" i="3"/>
  <c r="AC51" i="3"/>
  <c r="AA50" i="3"/>
  <c r="Z50" i="3"/>
  <c r="AC50" i="3"/>
  <c r="AD50" i="3"/>
  <c r="AE50" i="3"/>
  <c r="AA53" i="3"/>
  <c r="Z53" i="3"/>
  <c r="AC53" i="3"/>
  <c r="AD53" i="3"/>
  <c r="AE53" i="3"/>
  <c r="AE49" i="3"/>
  <c r="Z49" i="3"/>
  <c r="AA49" i="3"/>
  <c r="AC49" i="3"/>
  <c r="AD49" i="3"/>
  <c r="AA47" i="3"/>
  <c r="AU32" i="1"/>
  <c r="AU34" i="1" s="1"/>
  <c r="AD37" i="3"/>
  <c r="AE37" i="3"/>
  <c r="AC37" i="3"/>
  <c r="Z37" i="3"/>
  <c r="AC45" i="3"/>
  <c r="AE45" i="3"/>
  <c r="AD45" i="3"/>
  <c r="Z45" i="3"/>
  <c r="AA45" i="3"/>
  <c r="AD40" i="3"/>
  <c r="AE40" i="3"/>
  <c r="AC40" i="3"/>
  <c r="Z40" i="3"/>
  <c r="AA40" i="3"/>
  <c r="AD44" i="3"/>
  <c r="AE44" i="3"/>
  <c r="Z44" i="3"/>
  <c r="AA44" i="3"/>
  <c r="AC44" i="3"/>
  <c r="AE20" i="3"/>
  <c r="AA20" i="3"/>
  <c r="AE31" i="3"/>
  <c r="AC31" i="3"/>
  <c r="AV40" i="1"/>
  <c r="AV41" i="1" s="1"/>
  <c r="AA26" i="3"/>
  <c r="AP78" i="2"/>
  <c r="AP79" i="2"/>
  <c r="T32" i="8"/>
  <c r="R32" i="8"/>
  <c r="R21" i="7"/>
  <c r="R27" i="7"/>
  <c r="R48" i="7"/>
  <c r="T33" i="7"/>
  <c r="V47" i="4"/>
  <c r="Z31" i="3"/>
  <c r="T44" i="5"/>
  <c r="P44" i="5"/>
  <c r="U44" i="5"/>
  <c r="Q44" i="5"/>
  <c r="M44" i="5" s="1"/>
  <c r="N44" i="5" s="1"/>
  <c r="R44" i="5"/>
  <c r="V48" i="4"/>
  <c r="AA31" i="3"/>
  <c r="Z34" i="3"/>
  <c r="R33" i="7"/>
  <c r="T27" i="7"/>
  <c r="U65" i="7"/>
  <c r="Z24" i="1" s="1"/>
  <c r="S65" i="7"/>
  <c r="M24" i="1" s="1"/>
  <c r="T48" i="7"/>
  <c r="V65" i="7"/>
  <c r="R53" i="7"/>
  <c r="T53" i="7"/>
  <c r="T51" i="7"/>
  <c r="R51" i="7"/>
  <c r="T45" i="7"/>
  <c r="R45" i="7"/>
  <c r="T52" i="7"/>
  <c r="R52" i="7"/>
  <c r="T46" i="7"/>
  <c r="R46" i="7"/>
  <c r="R44" i="7"/>
  <c r="T44" i="7"/>
  <c r="T35" i="7"/>
  <c r="R35" i="7"/>
  <c r="T31" i="4"/>
  <c r="T62" i="4"/>
  <c r="V34" i="4"/>
  <c r="V33" i="4"/>
  <c r="T33" i="4"/>
  <c r="T34" i="4"/>
  <c r="T39" i="4"/>
  <c r="T28" i="4"/>
  <c r="V32" i="4"/>
  <c r="AA65" i="4"/>
  <c r="AJ33" i="1" s="1"/>
  <c r="Y65" i="4"/>
  <c r="AC33" i="1" s="1"/>
  <c r="V53" i="4"/>
  <c r="T53" i="4"/>
  <c r="T51" i="4"/>
  <c r="V51" i="4"/>
  <c r="Z65" i="4"/>
  <c r="AH33" i="1" s="1"/>
  <c r="T55" i="4"/>
  <c r="V55" i="4"/>
  <c r="T26" i="4"/>
  <c r="V26" i="4"/>
  <c r="T23" i="4"/>
  <c r="V23" i="4"/>
  <c r="T37" i="4"/>
  <c r="V37" i="4"/>
  <c r="V61" i="4"/>
  <c r="T61" i="4"/>
  <c r="W65" i="4"/>
  <c r="W33" i="1" s="1"/>
  <c r="U65" i="4"/>
  <c r="M33" i="1" s="1"/>
  <c r="X65" i="4"/>
  <c r="Z33" i="1" s="1"/>
  <c r="T44" i="4"/>
  <c r="V44" i="4"/>
  <c r="AC26" i="3"/>
  <c r="AD31" i="3"/>
  <c r="AD26" i="3"/>
  <c r="AE26" i="3"/>
  <c r="AC20" i="3"/>
  <c r="Z26" i="3"/>
  <c r="Z20" i="3"/>
  <c r="AD20" i="3"/>
  <c r="AC64" i="3"/>
  <c r="AC75" i="3" s="1"/>
  <c r="AA24" i="3"/>
  <c r="AD34" i="3"/>
  <c r="AA18" i="3"/>
  <c r="AC18" i="3"/>
  <c r="AE34" i="3"/>
  <c r="Z18" i="3"/>
  <c r="AD18" i="3"/>
  <c r="AC34" i="3"/>
  <c r="AC24" i="3"/>
  <c r="AD24" i="3"/>
  <c r="AE24" i="3"/>
  <c r="AA34" i="3"/>
  <c r="Z28" i="3"/>
  <c r="AE28" i="3"/>
  <c r="AA28" i="3"/>
  <c r="AD28" i="3"/>
  <c r="Z24" i="3"/>
  <c r="AD64" i="3"/>
  <c r="AD75" i="3" s="1"/>
  <c r="AB64" i="3"/>
  <c r="AB75" i="3" s="1"/>
  <c r="AB77" i="3" s="1"/>
  <c r="Y64" i="3"/>
  <c r="Y75" i="3" s="1"/>
  <c r="Y77" i="3" s="1"/>
  <c r="AC19" i="3"/>
  <c r="AA19" i="3"/>
  <c r="AE19" i="3"/>
  <c r="AD19" i="3"/>
  <c r="Z19" i="3"/>
  <c r="AA37" i="3"/>
  <c r="AE22" i="3"/>
  <c r="Z22" i="3"/>
  <c r="AA22" i="3"/>
  <c r="AD22" i="3"/>
  <c r="AC22" i="3"/>
  <c r="AN114" i="2"/>
  <c r="AP114" i="2"/>
  <c r="AL86" i="2"/>
  <c r="AP86" i="2"/>
  <c r="AN86" i="2"/>
  <c r="J119" i="2"/>
  <c r="K119" i="2"/>
  <c r="AP108" i="2"/>
  <c r="AN108" i="2"/>
  <c r="AP107" i="2"/>
  <c r="AN107" i="2"/>
  <c r="AL122" i="2"/>
  <c r="AP122" i="2"/>
  <c r="AN122" i="2"/>
  <c r="AL95" i="2"/>
  <c r="AP95" i="2"/>
  <c r="AN95" i="2"/>
  <c r="AP120" i="2"/>
  <c r="AN120" i="2"/>
  <c r="AN93" i="2"/>
  <c r="AP93" i="2"/>
  <c r="AN117" i="2"/>
  <c r="AP117" i="2"/>
  <c r="AN105" i="2"/>
  <c r="AP105" i="2"/>
  <c r="AL100" i="2"/>
  <c r="AN100" i="2"/>
  <c r="AP100" i="2"/>
  <c r="AP90" i="2"/>
  <c r="AN90" i="2"/>
  <c r="AL31" i="2"/>
  <c r="AP31" i="2"/>
  <c r="AN31" i="2"/>
  <c r="AP26" i="2"/>
  <c r="AN26" i="2"/>
  <c r="AN53" i="2"/>
  <c r="AP53" i="2"/>
  <c r="AN60" i="2"/>
  <c r="AP60" i="2"/>
  <c r="AP48" i="2"/>
  <c r="AN48" i="2"/>
  <c r="AN46" i="2"/>
  <c r="AP46" i="2"/>
  <c r="AL40" i="2"/>
  <c r="AN40" i="2"/>
  <c r="AP40" i="2"/>
  <c r="AN56" i="2"/>
  <c r="AP56" i="2"/>
  <c r="AN37" i="2"/>
  <c r="AP37" i="2"/>
  <c r="AP62" i="2"/>
  <c r="AN62" i="2"/>
  <c r="AN34" i="2"/>
  <c r="AP34" i="2"/>
  <c r="AN79" i="2"/>
  <c r="AH79" i="2"/>
  <c r="AJ79" i="2"/>
  <c r="AL79" i="2"/>
  <c r="AL78" i="2"/>
  <c r="AH78" i="2"/>
  <c r="AJ78" i="2"/>
  <c r="AN78" i="2"/>
  <c r="P27" i="2"/>
  <c r="T27" i="2" s="1"/>
  <c r="AC27" i="2" s="1"/>
  <c r="K27" i="2"/>
  <c r="J83" i="2"/>
  <c r="K83" i="2"/>
  <c r="P41" i="2"/>
  <c r="T41" i="2" s="1"/>
  <c r="J41" i="2"/>
  <c r="P69" i="2"/>
  <c r="T69" i="2" s="1"/>
  <c r="AC69" i="2" s="1"/>
  <c r="I69" i="2"/>
  <c r="J69" i="2"/>
  <c r="P57" i="2"/>
  <c r="T57" i="2" s="1"/>
  <c r="AC57" i="2" s="1"/>
  <c r="J57" i="2"/>
  <c r="P45" i="2"/>
  <c r="T45" i="2" s="1"/>
  <c r="AC45" i="2" s="1"/>
  <c r="J45" i="2"/>
  <c r="I45" i="2"/>
  <c r="I19" i="2"/>
  <c r="J19" i="2"/>
  <c r="P131" i="2"/>
  <c r="T131" i="2" s="1"/>
  <c r="AC131" i="2" s="1"/>
  <c r="J131" i="2"/>
  <c r="J107" i="2"/>
  <c r="AJ107" i="2" s="1"/>
  <c r="I107" i="2"/>
  <c r="AH107" i="2" s="1"/>
  <c r="P94" i="2"/>
  <c r="T94" i="2" s="1"/>
  <c r="AC94" i="2" s="1"/>
  <c r="J94" i="2"/>
  <c r="P80" i="2"/>
  <c r="J80" i="2"/>
  <c r="I80" i="2"/>
  <c r="P99" i="2"/>
  <c r="T99" i="2" s="1"/>
  <c r="AC99" i="2" s="1"/>
  <c r="J99" i="2"/>
  <c r="P44" i="2"/>
  <c r="T44" i="2" s="1"/>
  <c r="AC44" i="2" s="1"/>
  <c r="J44" i="2"/>
  <c r="I44" i="2"/>
  <c r="P130" i="2"/>
  <c r="T130" i="2" s="1"/>
  <c r="AC130" i="2" s="1"/>
  <c r="J130" i="2"/>
  <c r="P118" i="2"/>
  <c r="T118" i="2" s="1"/>
  <c r="AC118" i="2" s="1"/>
  <c r="J118" i="2"/>
  <c r="P106" i="2"/>
  <c r="T106" i="2" s="1"/>
  <c r="AC106" i="2" s="1"/>
  <c r="I106" i="2"/>
  <c r="J106" i="2"/>
  <c r="J77" i="2"/>
  <c r="I77" i="2"/>
  <c r="P67" i="2"/>
  <c r="T67" i="2" s="1"/>
  <c r="AC67" i="2" s="1"/>
  <c r="I67" i="2"/>
  <c r="J67" i="2"/>
  <c r="P42" i="2"/>
  <c r="T42" i="2" s="1"/>
  <c r="AC42" i="2" s="1"/>
  <c r="I42" i="2"/>
  <c r="J42" i="2"/>
  <c r="P30" i="2"/>
  <c r="T30" i="2" s="1"/>
  <c r="J30" i="2"/>
  <c r="P129" i="2"/>
  <c r="T129" i="2" s="1"/>
  <c r="AC129" i="2" s="1"/>
  <c r="J129" i="2"/>
  <c r="I105" i="2"/>
  <c r="AH105" i="2" s="1"/>
  <c r="J105" i="2"/>
  <c r="AJ105" i="2" s="1"/>
  <c r="I76" i="2"/>
  <c r="J76" i="2"/>
  <c r="P127" i="2"/>
  <c r="T127" i="2" s="1"/>
  <c r="AC127" i="2" s="1"/>
  <c r="J127" i="2"/>
  <c r="I127" i="2"/>
  <c r="P64" i="2"/>
  <c r="T64" i="2" s="1"/>
  <c r="AC64" i="2" s="1"/>
  <c r="J64" i="2"/>
  <c r="I64" i="2"/>
  <c r="I26" i="2"/>
  <c r="AH26" i="2" s="1"/>
  <c r="J26" i="2"/>
  <c r="AJ26" i="2" s="1"/>
  <c r="P125" i="2"/>
  <c r="T125" i="2" s="1"/>
  <c r="AC125" i="2" s="1"/>
  <c r="J125" i="2"/>
  <c r="I125" i="2"/>
  <c r="P101" i="2"/>
  <c r="T101" i="2" s="1"/>
  <c r="AC101" i="2" s="1"/>
  <c r="I101" i="2"/>
  <c r="J101" i="2"/>
  <c r="P87" i="2"/>
  <c r="T87" i="2" s="1"/>
  <c r="AC87" i="2" s="1"/>
  <c r="I87" i="2"/>
  <c r="J87" i="2"/>
  <c r="J62" i="2"/>
  <c r="AJ62" i="2" s="1"/>
  <c r="I62" i="2"/>
  <c r="AH62" i="2" s="1"/>
  <c r="P50" i="2"/>
  <c r="T50" i="2" s="1"/>
  <c r="AC50" i="2" s="1"/>
  <c r="J50" i="2"/>
  <c r="I50" i="2"/>
  <c r="P25" i="2"/>
  <c r="T25" i="2" s="1"/>
  <c r="AC25" i="2" s="1"/>
  <c r="J25" i="2"/>
  <c r="P43" i="2"/>
  <c r="T43" i="2" s="1"/>
  <c r="AC43" i="2" s="1"/>
  <c r="J43" i="2"/>
  <c r="I43" i="2"/>
  <c r="P124" i="2"/>
  <c r="T124" i="2" s="1"/>
  <c r="AC124" i="2" s="1"/>
  <c r="J124" i="2"/>
  <c r="I124" i="2"/>
  <c r="P112" i="2"/>
  <c r="T112" i="2" s="1"/>
  <c r="AC112" i="2" s="1"/>
  <c r="J112" i="2"/>
  <c r="I112" i="2"/>
  <c r="J100" i="2"/>
  <c r="AJ100" i="2" s="1"/>
  <c r="I100" i="2"/>
  <c r="AH100" i="2" s="1"/>
  <c r="I86" i="2"/>
  <c r="AH86" i="2" s="1"/>
  <c r="J86" i="2"/>
  <c r="AJ86" i="2" s="1"/>
  <c r="P29" i="2"/>
  <c r="T29" i="2" s="1"/>
  <c r="J29" i="2"/>
  <c r="P89" i="2"/>
  <c r="T89" i="2" s="1"/>
  <c r="AC89" i="2" s="1"/>
  <c r="J89" i="2"/>
  <c r="P111" i="2"/>
  <c r="T111" i="2" s="1"/>
  <c r="AC111" i="2" s="1"/>
  <c r="J111" i="2"/>
  <c r="P104" i="2"/>
  <c r="T104" i="2" s="1"/>
  <c r="AC104" i="2" s="1"/>
  <c r="J104" i="2"/>
  <c r="I104" i="2"/>
  <c r="P63" i="2"/>
  <c r="T63" i="2" s="1"/>
  <c r="AC63" i="2" s="1"/>
  <c r="J63" i="2"/>
  <c r="I63" i="2"/>
  <c r="P49" i="2"/>
  <c r="T49" i="2" s="1"/>
  <c r="AC49" i="2" s="1"/>
  <c r="J49" i="2"/>
  <c r="J60" i="2"/>
  <c r="AJ60" i="2" s="1"/>
  <c r="I48" i="2"/>
  <c r="AH48" i="2" s="1"/>
  <c r="J48" i="2"/>
  <c r="AJ48" i="2" s="1"/>
  <c r="P35" i="2"/>
  <c r="T35" i="2" s="1"/>
  <c r="J35" i="2"/>
  <c r="P22" i="2"/>
  <c r="I22" i="2"/>
  <c r="J22" i="2"/>
  <c r="I122" i="2"/>
  <c r="AH122" i="2" s="1"/>
  <c r="J122" i="2"/>
  <c r="AJ122" i="2" s="1"/>
  <c r="P110" i="2"/>
  <c r="T110" i="2" s="1"/>
  <c r="AC110" i="2" s="1"/>
  <c r="J110" i="2"/>
  <c r="P84" i="2"/>
  <c r="T84" i="2" s="1"/>
  <c r="AC84" i="2" s="1"/>
  <c r="J84" i="2"/>
  <c r="I84" i="2"/>
  <c r="I75" i="2"/>
  <c r="J75" i="2"/>
  <c r="J103" i="2"/>
  <c r="I103" i="2"/>
  <c r="P52" i="2"/>
  <c r="T52" i="2" s="1"/>
  <c r="AC52" i="2" s="1"/>
  <c r="J52" i="2"/>
  <c r="P61" i="2"/>
  <c r="T61" i="2" s="1"/>
  <c r="AC61" i="2" s="1"/>
  <c r="J61" i="2"/>
  <c r="I61" i="2"/>
  <c r="P24" i="2"/>
  <c r="T24" i="2" s="1"/>
  <c r="AC24" i="2" s="1"/>
  <c r="I24" i="2"/>
  <c r="J24" i="2"/>
  <c r="P123" i="2"/>
  <c r="T123" i="2" s="1"/>
  <c r="AC123" i="2" s="1"/>
  <c r="I123" i="2"/>
  <c r="J123" i="2"/>
  <c r="P47" i="2"/>
  <c r="T47" i="2" s="1"/>
  <c r="AC47" i="2" s="1"/>
  <c r="J47" i="2"/>
  <c r="I47" i="2"/>
  <c r="P121" i="2"/>
  <c r="T121" i="2" s="1"/>
  <c r="AC121" i="2" s="1"/>
  <c r="J121" i="2"/>
  <c r="I121" i="2"/>
  <c r="P109" i="2"/>
  <c r="T109" i="2" s="1"/>
  <c r="AC109" i="2" s="1"/>
  <c r="J109" i="2"/>
  <c r="P65" i="2"/>
  <c r="T65" i="2" s="1"/>
  <c r="AC65" i="2" s="1"/>
  <c r="J65" i="2"/>
  <c r="P102" i="2"/>
  <c r="T102" i="2" s="1"/>
  <c r="AC102" i="2" s="1"/>
  <c r="I102" i="2"/>
  <c r="J102" i="2"/>
  <c r="P51" i="2"/>
  <c r="T51" i="2" s="1"/>
  <c r="AC51" i="2" s="1"/>
  <c r="I51" i="2"/>
  <c r="J51" i="2"/>
  <c r="P113" i="2"/>
  <c r="T113" i="2" s="1"/>
  <c r="AC113" i="2" s="1"/>
  <c r="J113" i="2"/>
  <c r="P36" i="2"/>
  <c r="T36" i="2" s="1"/>
  <c r="I36" i="2"/>
  <c r="J36" i="2"/>
  <c r="P85" i="2"/>
  <c r="T85" i="2" s="1"/>
  <c r="AC85" i="2" s="1"/>
  <c r="J85" i="2"/>
  <c r="I85" i="2"/>
  <c r="P59" i="2"/>
  <c r="T59" i="2" s="1"/>
  <c r="AC59" i="2" s="1"/>
  <c r="J59" i="2"/>
  <c r="P58" i="2"/>
  <c r="T58" i="2" s="1"/>
  <c r="AC58" i="2" s="1"/>
  <c r="J58" i="2"/>
  <c r="J46" i="2"/>
  <c r="AJ46" i="2" s="1"/>
  <c r="I46" i="2"/>
  <c r="AH46" i="2" s="1"/>
  <c r="I20" i="2"/>
  <c r="J20" i="2"/>
  <c r="P132" i="2"/>
  <c r="T132" i="2" s="1"/>
  <c r="AC132" i="2" s="1"/>
  <c r="J132" i="2"/>
  <c r="I132" i="2"/>
  <c r="J120" i="2"/>
  <c r="AJ120" i="2" s="1"/>
  <c r="J108" i="2"/>
  <c r="AJ108" i="2" s="1"/>
  <c r="P81" i="2"/>
  <c r="J81" i="2"/>
  <c r="P103" i="2"/>
  <c r="T103" i="2" s="1"/>
  <c r="AC103" i="2" s="1"/>
  <c r="P76" i="2"/>
  <c r="P83" i="2"/>
  <c r="T83" i="2" s="1"/>
  <c r="AC83" i="2" s="1"/>
  <c r="P119" i="2"/>
  <c r="T119" i="2" s="1"/>
  <c r="AC119" i="2" s="1"/>
  <c r="P77" i="2"/>
  <c r="AH95" i="2"/>
  <c r="AH60" i="2"/>
  <c r="AJ95" i="2"/>
  <c r="AH120" i="2"/>
  <c r="AH108" i="2"/>
  <c r="AJ90" i="2"/>
  <c r="AH90" i="2"/>
  <c r="AH117" i="2"/>
  <c r="AL117" i="2"/>
  <c r="AH114" i="2"/>
  <c r="AL114" i="2"/>
  <c r="AL108" i="2"/>
  <c r="AL107" i="2"/>
  <c r="AL105" i="2"/>
  <c r="AJ117" i="2"/>
  <c r="AJ96" i="2"/>
  <c r="AL90" i="2"/>
  <c r="AJ114" i="2"/>
  <c r="AL120" i="2"/>
  <c r="AH93" i="2"/>
  <c r="AJ93" i="2"/>
  <c r="AL93" i="2"/>
  <c r="AL62" i="2"/>
  <c r="AL60" i="2"/>
  <c r="AL37" i="2"/>
  <c r="AJ54" i="2"/>
  <c r="AL48" i="2"/>
  <c r="AJ39" i="2"/>
  <c r="AL34" i="2"/>
  <c r="AL53" i="2"/>
  <c r="AL46" i="2"/>
  <c r="AL56" i="2"/>
  <c r="AJ32" i="2"/>
  <c r="AL26" i="2"/>
  <c r="AJ34" i="2"/>
  <c r="AJ55" i="2"/>
  <c r="AH34" i="2"/>
  <c r="AJ31" i="2"/>
  <c r="AJ56" i="2"/>
  <c r="AH37" i="2"/>
  <c r="AJ33" i="2"/>
  <c r="AJ38" i="2"/>
  <c r="AJ40" i="2"/>
  <c r="AJ37" i="2"/>
  <c r="AJ53" i="2"/>
  <c r="AH53" i="2"/>
  <c r="AH40" i="2"/>
  <c r="AH56" i="2"/>
  <c r="AH31" i="2"/>
  <c r="Q26" i="1"/>
  <c r="J43" i="5"/>
  <c r="L43" i="5" s="1"/>
  <c r="H42" i="5"/>
  <c r="G42" i="5" s="1"/>
  <c r="H41" i="5"/>
  <c r="G41" i="5" s="1"/>
  <c r="H40" i="5"/>
  <c r="G40" i="5" s="1"/>
  <c r="H39" i="5"/>
  <c r="H38" i="5"/>
  <c r="J38" i="5" s="1"/>
  <c r="L38" i="5" s="1"/>
  <c r="H37" i="5"/>
  <c r="G37" i="5" s="1"/>
  <c r="J35" i="5"/>
  <c r="L35" i="5" s="1"/>
  <c r="V35" i="5" s="1"/>
  <c r="H35" i="5"/>
  <c r="J34" i="5"/>
  <c r="L34" i="5" s="1"/>
  <c r="H34" i="5"/>
  <c r="J33" i="5"/>
  <c r="L33" i="5" s="1"/>
  <c r="H33" i="5"/>
  <c r="H32" i="5"/>
  <c r="J32" i="5" s="1"/>
  <c r="L32" i="5" s="1"/>
  <c r="H28" i="5"/>
  <c r="H29" i="5"/>
  <c r="H31" i="5"/>
  <c r="G31" i="5" s="1"/>
  <c r="H27" i="5"/>
  <c r="J29" i="5"/>
  <c r="L29" i="5" s="1"/>
  <c r="W29" i="5" s="1"/>
  <c r="W67" i="5" s="1"/>
  <c r="AO26" i="1" s="1"/>
  <c r="J28" i="5"/>
  <c r="L28" i="5" s="1"/>
  <c r="U51" i="3" l="1"/>
  <c r="T51" i="3"/>
  <c r="S56" i="3"/>
  <c r="G32" i="1" s="1"/>
  <c r="G34" i="1" s="1"/>
  <c r="T49" i="3"/>
  <c r="U49" i="3"/>
  <c r="W49" i="3"/>
  <c r="AS181" i="2"/>
  <c r="AQ179" i="2"/>
  <c r="AJ31" i="1" s="1"/>
  <c r="W29" i="2"/>
  <c r="AC29" i="2" s="1"/>
  <c r="W30" i="2"/>
  <c r="AC30" i="2" s="1"/>
  <c r="AC36" i="2"/>
  <c r="W36" i="2"/>
  <c r="W35" i="2"/>
  <c r="AC35" i="2" s="1"/>
  <c r="AF135" i="2"/>
  <c r="Z78" i="2"/>
  <c r="AB135" i="2"/>
  <c r="Z22" i="2"/>
  <c r="AR181" i="2"/>
  <c r="AR31" i="1"/>
  <c r="AR34" i="1" s="1"/>
  <c r="AR35" i="1" s="1"/>
  <c r="R59" i="8"/>
  <c r="R69" i="8" s="1"/>
  <c r="T59" i="8"/>
  <c r="T69" i="8" s="1"/>
  <c r="O25" i="1" s="1"/>
  <c r="I25" i="1"/>
  <c r="S65" i="4"/>
  <c r="I33" i="1" s="1"/>
  <c r="Z75" i="2"/>
  <c r="AK179" i="2"/>
  <c r="Z31" i="1" s="1"/>
  <c r="AO179" i="2"/>
  <c r="AH31" i="1" s="1"/>
  <c r="AM179" i="2"/>
  <c r="AC31" i="1" s="1"/>
  <c r="AI179" i="2"/>
  <c r="W31" i="1" s="1"/>
  <c r="AE56" i="3"/>
  <c r="AE77" i="3" s="1"/>
  <c r="AC56" i="3"/>
  <c r="AC77" i="3" s="1"/>
  <c r="AA56" i="3"/>
  <c r="AA77" i="3" s="1"/>
  <c r="AD56" i="3"/>
  <c r="AD77" i="3" s="1"/>
  <c r="Z56" i="3"/>
  <c r="Z77" i="3" s="1"/>
  <c r="Z81" i="2"/>
  <c r="AD179" i="2"/>
  <c r="M31" i="1" s="1"/>
  <c r="AB19" i="2"/>
  <c r="AB72" i="2" s="1"/>
  <c r="P33" i="5"/>
  <c r="Q33" i="5"/>
  <c r="V67" i="5"/>
  <c r="T28" i="5"/>
  <c r="K25" i="1"/>
  <c r="J39" i="5"/>
  <c r="L39" i="5" s="1"/>
  <c r="U39" i="5" s="1"/>
  <c r="G39" i="5"/>
  <c r="J40" i="5"/>
  <c r="L40" i="5" s="1"/>
  <c r="U40" i="5" s="1"/>
  <c r="U18" i="3"/>
  <c r="W18" i="3"/>
  <c r="V18" i="3"/>
  <c r="V56" i="3" s="1"/>
  <c r="T65" i="4"/>
  <c r="K33" i="1" s="1"/>
  <c r="AA110" i="2"/>
  <c r="Y110" i="2" s="1"/>
  <c r="AE110" i="2"/>
  <c r="AA47" i="2"/>
  <c r="Y47" i="2" s="1"/>
  <c r="AE47" i="2"/>
  <c r="AA67" i="2"/>
  <c r="Y67" i="2" s="1"/>
  <c r="AE67" i="2"/>
  <c r="AE44" i="2"/>
  <c r="AA44" i="2"/>
  <c r="Y44" i="2" s="1"/>
  <c r="AE79" i="2"/>
  <c r="AC79" i="2"/>
  <c r="AA79" i="2"/>
  <c r="AA119" i="2"/>
  <c r="Y119" i="2" s="1"/>
  <c r="AE119" i="2"/>
  <c r="AF19" i="2"/>
  <c r="AF72" i="2" s="1"/>
  <c r="AA49" i="2"/>
  <c r="Y49" i="2" s="1"/>
  <c r="AE49" i="2"/>
  <c r="AE130" i="2"/>
  <c r="AA130" i="2"/>
  <c r="Y130" i="2" s="1"/>
  <c r="AE58" i="2"/>
  <c r="AA58" i="2"/>
  <c r="Y58" i="2" s="1"/>
  <c r="AA52" i="2"/>
  <c r="Y52" i="2" s="1"/>
  <c r="AE52" i="2"/>
  <c r="AE101" i="2"/>
  <c r="AA101" i="2"/>
  <c r="Y101" i="2" s="1"/>
  <c r="AH41" i="2"/>
  <c r="AC41" i="2"/>
  <c r="AA99" i="2"/>
  <c r="Y99" i="2" s="1"/>
  <c r="AE99" i="2"/>
  <c r="AA132" i="2"/>
  <c r="Y132" i="2" s="1"/>
  <c r="AE132" i="2"/>
  <c r="AE65" i="2"/>
  <c r="AA65" i="2"/>
  <c r="Y65" i="2" s="1"/>
  <c r="AE35" i="2"/>
  <c r="AA112" i="2"/>
  <c r="Y112" i="2" s="1"/>
  <c r="AE112" i="2"/>
  <c r="AE129" i="2"/>
  <c r="AA129" i="2"/>
  <c r="Y129" i="2" s="1"/>
  <c r="AA45" i="2"/>
  <c r="Y45" i="2" s="1"/>
  <c r="AE45" i="2"/>
  <c r="AA121" i="2"/>
  <c r="Y121" i="2" s="1"/>
  <c r="AE121" i="2"/>
  <c r="AA42" i="2"/>
  <c r="Y42" i="2" s="1"/>
  <c r="AE42" i="2"/>
  <c r="AA43" i="2"/>
  <c r="Y43" i="2" s="1"/>
  <c r="AE43" i="2"/>
  <c r="AA123" i="2"/>
  <c r="Y123" i="2" s="1"/>
  <c r="AE123" i="2"/>
  <c r="AE27" i="2"/>
  <c r="AA27" i="2"/>
  <c r="Y27" i="2" s="1"/>
  <c r="AA111" i="2"/>
  <c r="Y111" i="2" s="1"/>
  <c r="AE111" i="2"/>
  <c r="AA106" i="2"/>
  <c r="Y106" i="2" s="1"/>
  <c r="AE106" i="2"/>
  <c r="AA69" i="2"/>
  <c r="Y69" i="2" s="1"/>
  <c r="AE69" i="2"/>
  <c r="AA127" i="2"/>
  <c r="Y127" i="2" s="1"/>
  <c r="AE127" i="2"/>
  <c r="AA51" i="2"/>
  <c r="Y51" i="2" s="1"/>
  <c r="AE51" i="2"/>
  <c r="AE103" i="2"/>
  <c r="AA103" i="2"/>
  <c r="Y103" i="2" s="1"/>
  <c r="AE78" i="2"/>
  <c r="AC78" i="2"/>
  <c r="AA78" i="2"/>
  <c r="AA104" i="2"/>
  <c r="Y104" i="2" s="1"/>
  <c r="AE104" i="2"/>
  <c r="AA36" i="2"/>
  <c r="Y36" i="2" s="1"/>
  <c r="AE36" i="2"/>
  <c r="AA109" i="2"/>
  <c r="Y109" i="2" s="1"/>
  <c r="AE109" i="2"/>
  <c r="AE24" i="2"/>
  <c r="AA24" i="2"/>
  <c r="Y24" i="2" s="1"/>
  <c r="AA30" i="2"/>
  <c r="Y30" i="2" s="1"/>
  <c r="AA57" i="2"/>
  <c r="Y57" i="2" s="1"/>
  <c r="AE57" i="2"/>
  <c r="AA61" i="2"/>
  <c r="Y61" i="2" s="1"/>
  <c r="AE61" i="2"/>
  <c r="AA59" i="2"/>
  <c r="Y59" i="2" s="1"/>
  <c r="AE59" i="2"/>
  <c r="AA25" i="2"/>
  <c r="Y25" i="2" s="1"/>
  <c r="AE25" i="2"/>
  <c r="AA85" i="2"/>
  <c r="Y85" i="2" s="1"/>
  <c r="AE85" i="2"/>
  <c r="AA84" i="2"/>
  <c r="Y84" i="2" s="1"/>
  <c r="AE84" i="2"/>
  <c r="AE89" i="2"/>
  <c r="AA89" i="2"/>
  <c r="Y89" i="2" s="1"/>
  <c r="AE124" i="2"/>
  <c r="AA124" i="2"/>
  <c r="Y124" i="2" s="1"/>
  <c r="AA64" i="2"/>
  <c r="Y64" i="2" s="1"/>
  <c r="AE64" i="2"/>
  <c r="AA118" i="2"/>
  <c r="Y118" i="2" s="1"/>
  <c r="AE118" i="2"/>
  <c r="AE94" i="2"/>
  <c r="AA94" i="2"/>
  <c r="Y94" i="2" s="1"/>
  <c r="AA83" i="2"/>
  <c r="Y83" i="2" s="1"/>
  <c r="AE83" i="2"/>
  <c r="AA131" i="2"/>
  <c r="Y131" i="2" s="1"/>
  <c r="AE131" i="2"/>
  <c r="AA63" i="2"/>
  <c r="Y63" i="2" s="1"/>
  <c r="AE63" i="2"/>
  <c r="AE102" i="2"/>
  <c r="AA102" i="2"/>
  <c r="Y102" i="2" s="1"/>
  <c r="AE125" i="2"/>
  <c r="AA125" i="2"/>
  <c r="Y125" i="2" s="1"/>
  <c r="AA50" i="2"/>
  <c r="Y50" i="2" s="1"/>
  <c r="AE50" i="2"/>
  <c r="AE113" i="2"/>
  <c r="AA113" i="2"/>
  <c r="Y113" i="2" s="1"/>
  <c r="AA87" i="2"/>
  <c r="Y87" i="2" s="1"/>
  <c r="AE87" i="2"/>
  <c r="AT35" i="1"/>
  <c r="P28" i="1"/>
  <c r="AP25" i="2"/>
  <c r="AL25" i="2"/>
  <c r="AH25" i="2"/>
  <c r="AN25" i="2"/>
  <c r="AJ25" i="2"/>
  <c r="AA23" i="1"/>
  <c r="AA28" i="1" s="1"/>
  <c r="AA29" i="1" s="1"/>
  <c r="AC23" i="1"/>
  <c r="Z23" i="1"/>
  <c r="W23" i="1"/>
  <c r="W28" i="1" s="1"/>
  <c r="V29" i="1" s="1"/>
  <c r="AH23" i="1"/>
  <c r="AH28" i="1" s="1"/>
  <c r="AP28" i="1"/>
  <c r="AQ24" i="1"/>
  <c r="AQ28" i="1" s="1"/>
  <c r="T21" i="2"/>
  <c r="T81" i="2"/>
  <c r="T75" i="2"/>
  <c r="W75" i="2" s="1"/>
  <c r="T80" i="2"/>
  <c r="T22" i="2"/>
  <c r="T19" i="2"/>
  <c r="T76" i="2"/>
  <c r="W76" i="2" s="1"/>
  <c r="T20" i="2"/>
  <c r="T77" i="2"/>
  <c r="AJ99" i="2"/>
  <c r="P43" i="5"/>
  <c r="J42" i="5"/>
  <c r="L42" i="5" s="1"/>
  <c r="T65" i="7"/>
  <c r="O24" i="1" s="1"/>
  <c r="R65" i="7"/>
  <c r="K24" i="1" s="1"/>
  <c r="V65" i="4"/>
  <c r="O33" i="1" s="1"/>
  <c r="AQ40" i="1"/>
  <c r="AJ98" i="2"/>
  <c r="AP98" i="2"/>
  <c r="AN98" i="2"/>
  <c r="AP132" i="2"/>
  <c r="AN132" i="2"/>
  <c r="AP131" i="2"/>
  <c r="AN131" i="2"/>
  <c r="AP130" i="2"/>
  <c r="AN130" i="2"/>
  <c r="AL129" i="2"/>
  <c r="AP129" i="2"/>
  <c r="AN129" i="2"/>
  <c r="AN128" i="2"/>
  <c r="AP128" i="2"/>
  <c r="AN127" i="2"/>
  <c r="AP127" i="2"/>
  <c r="AP126" i="2"/>
  <c r="AN126" i="2"/>
  <c r="AP125" i="2"/>
  <c r="AN125" i="2"/>
  <c r="AP124" i="2"/>
  <c r="AN124" i="2"/>
  <c r="AP123" i="2"/>
  <c r="AN123" i="2"/>
  <c r="AP121" i="2"/>
  <c r="AN121" i="2"/>
  <c r="AP119" i="2"/>
  <c r="AN119" i="2"/>
  <c r="AP118" i="2"/>
  <c r="AN118" i="2"/>
  <c r="AN113" i="2"/>
  <c r="AP113" i="2"/>
  <c r="AP112" i="2"/>
  <c r="AN112" i="2"/>
  <c r="AN111" i="2"/>
  <c r="AP111" i="2"/>
  <c r="AL110" i="2"/>
  <c r="AN110" i="2"/>
  <c r="AP110" i="2"/>
  <c r="AN109" i="2"/>
  <c r="AP109" i="2"/>
  <c r="AN106" i="2"/>
  <c r="AP106" i="2"/>
  <c r="AL104" i="2"/>
  <c r="AN104" i="2"/>
  <c r="AP104" i="2"/>
  <c r="AP103" i="2"/>
  <c r="AN103" i="2"/>
  <c r="AP102" i="2"/>
  <c r="AN102" i="2"/>
  <c r="AP101" i="2"/>
  <c r="AN101" i="2"/>
  <c r="AP99" i="2"/>
  <c r="AN99" i="2"/>
  <c r="AP94" i="2"/>
  <c r="AN94" i="2"/>
  <c r="AP89" i="2"/>
  <c r="AN89" i="2"/>
  <c r="AP87" i="2"/>
  <c r="AN87" i="2"/>
  <c r="AL85" i="2"/>
  <c r="AP85" i="2"/>
  <c r="AN85" i="2"/>
  <c r="AP84" i="2"/>
  <c r="AN84" i="2"/>
  <c r="AN83" i="2"/>
  <c r="AP83" i="2"/>
  <c r="AL42" i="2"/>
  <c r="AN42" i="2"/>
  <c r="AP42" i="2"/>
  <c r="AN27" i="2"/>
  <c r="AP27" i="2"/>
  <c r="AL69" i="2"/>
  <c r="AN69" i="2"/>
  <c r="AP69" i="2"/>
  <c r="AN51" i="2"/>
  <c r="AP51" i="2"/>
  <c r="AN43" i="2"/>
  <c r="AP43" i="2"/>
  <c r="AN64" i="2"/>
  <c r="AP64" i="2"/>
  <c r="AP30" i="2"/>
  <c r="AN30" i="2"/>
  <c r="AN57" i="2"/>
  <c r="AP57" i="2"/>
  <c r="AN28" i="2"/>
  <c r="AP28" i="2"/>
  <c r="AP59" i="2"/>
  <c r="AN59" i="2"/>
  <c r="AP35" i="2"/>
  <c r="AN35" i="2"/>
  <c r="AN29" i="2"/>
  <c r="AP29" i="2"/>
  <c r="AN47" i="2"/>
  <c r="AP47" i="2"/>
  <c r="AP68" i="2"/>
  <c r="AN68" i="2"/>
  <c r="AN58" i="2"/>
  <c r="AP58" i="2"/>
  <c r="AN65" i="2"/>
  <c r="AP65" i="2"/>
  <c r="AN61" i="2"/>
  <c r="AP61" i="2"/>
  <c r="AN41" i="2"/>
  <c r="AP41" i="2"/>
  <c r="AP50" i="2"/>
  <c r="AN50" i="2"/>
  <c r="AN67" i="2"/>
  <c r="AP67" i="2"/>
  <c r="AN44" i="2"/>
  <c r="AP44" i="2"/>
  <c r="AP66" i="2"/>
  <c r="AN66" i="2"/>
  <c r="AL36" i="2"/>
  <c r="AN36" i="2"/>
  <c r="AP36" i="2"/>
  <c r="AN52" i="2"/>
  <c r="AP52" i="2"/>
  <c r="AN45" i="2"/>
  <c r="AP45" i="2"/>
  <c r="AN63" i="2"/>
  <c r="AP63" i="2"/>
  <c r="AL49" i="2"/>
  <c r="AN49" i="2"/>
  <c r="AP49" i="2"/>
  <c r="AP24" i="2"/>
  <c r="AN24" i="2"/>
  <c r="AL111" i="2"/>
  <c r="AL112" i="2"/>
  <c r="AL109" i="2"/>
  <c r="AJ45" i="2"/>
  <c r="AL124" i="2"/>
  <c r="AL89" i="2"/>
  <c r="AH89" i="2"/>
  <c r="AJ89" i="2"/>
  <c r="AJ128" i="2"/>
  <c r="AL99" i="2"/>
  <c r="AL126" i="2"/>
  <c r="AJ111" i="2"/>
  <c r="AJ102" i="2"/>
  <c r="AH98" i="2"/>
  <c r="AH126" i="2"/>
  <c r="AL98" i="2"/>
  <c r="AH111" i="2"/>
  <c r="AL103" i="2"/>
  <c r="AJ68" i="2"/>
  <c r="AL94" i="2"/>
  <c r="AL128" i="2"/>
  <c r="AL123" i="2"/>
  <c r="AL127" i="2"/>
  <c r="AJ123" i="2"/>
  <c r="AJ69" i="2"/>
  <c r="AJ104" i="2"/>
  <c r="AH99" i="2"/>
  <c r="AH69" i="2"/>
  <c r="AL44" i="2"/>
  <c r="AJ112" i="2"/>
  <c r="AH125" i="2"/>
  <c r="AJ103" i="2"/>
  <c r="AJ125" i="2"/>
  <c r="AH103" i="2"/>
  <c r="AJ106" i="2"/>
  <c r="AH44" i="2"/>
  <c r="AJ127" i="2"/>
  <c r="AJ109" i="2"/>
  <c r="AH118" i="2"/>
  <c r="AJ130" i="2"/>
  <c r="AJ84" i="2"/>
  <c r="AH84" i="2"/>
  <c r="AH130" i="2"/>
  <c r="AH85" i="2"/>
  <c r="AL102" i="2"/>
  <c r="AJ126" i="2"/>
  <c r="AL84" i="2"/>
  <c r="AL125" i="2"/>
  <c r="AH127" i="2"/>
  <c r="AH106" i="2"/>
  <c r="AJ124" i="2"/>
  <c r="AJ44" i="2"/>
  <c r="AJ50" i="2"/>
  <c r="AJ129" i="2"/>
  <c r="AL61" i="2"/>
  <c r="AH68" i="2"/>
  <c r="AH61" i="2"/>
  <c r="AH112" i="2"/>
  <c r="AH102" i="2"/>
  <c r="AJ61" i="2"/>
  <c r="AL50" i="2"/>
  <c r="AL131" i="2"/>
  <c r="AH132" i="2"/>
  <c r="AJ94" i="2"/>
  <c r="AJ42" i="2"/>
  <c r="AL101" i="2"/>
  <c r="AH109" i="2"/>
  <c r="AH42" i="2"/>
  <c r="AJ101" i="2"/>
  <c r="AJ131" i="2"/>
  <c r="AL121" i="2"/>
  <c r="AH110" i="2"/>
  <c r="AL106" i="2"/>
  <c r="AL118" i="2"/>
  <c r="AJ118" i="2"/>
  <c r="AH123" i="2"/>
  <c r="AL132" i="2"/>
  <c r="AJ85" i="2"/>
  <c r="AH113" i="2"/>
  <c r="AJ113" i="2"/>
  <c r="AJ121" i="2"/>
  <c r="AL113" i="2"/>
  <c r="AH128" i="2"/>
  <c r="AH129" i="2"/>
  <c r="AL45" i="2"/>
  <c r="AH45" i="2"/>
  <c r="AJ132" i="2"/>
  <c r="AL68" i="2"/>
  <c r="AH94" i="2"/>
  <c r="AH104" i="2"/>
  <c r="AH101" i="2"/>
  <c r="AH121" i="2"/>
  <c r="AL130" i="2"/>
  <c r="AH124" i="2"/>
  <c r="AH131" i="2"/>
  <c r="AJ110" i="2"/>
  <c r="AH119" i="2"/>
  <c r="AJ119" i="2"/>
  <c r="AL119" i="2"/>
  <c r="AJ41" i="2"/>
  <c r="AJ52" i="2"/>
  <c r="AH50" i="2"/>
  <c r="AH63" i="2"/>
  <c r="AL41" i="2"/>
  <c r="AL87" i="2"/>
  <c r="AH87" i="2"/>
  <c r="AJ87" i="2"/>
  <c r="AH83" i="2"/>
  <c r="AJ83" i="2"/>
  <c r="AL83" i="2"/>
  <c r="AJ49" i="2"/>
  <c r="AJ30" i="2"/>
  <c r="AH28" i="2"/>
  <c r="AH49" i="2"/>
  <c r="AJ43" i="2"/>
  <c r="AL43" i="2"/>
  <c r="AH43" i="2"/>
  <c r="AL30" i="2"/>
  <c r="AJ24" i="2"/>
  <c r="AH30" i="2"/>
  <c r="AJ51" i="2"/>
  <c r="AJ59" i="2"/>
  <c r="AH57" i="2"/>
  <c r="AH47" i="2"/>
  <c r="AJ47" i="2"/>
  <c r="AJ58" i="2"/>
  <c r="AH58" i="2"/>
  <c r="AH59" i="2"/>
  <c r="AH24" i="2"/>
  <c r="AH52" i="2"/>
  <c r="AL58" i="2"/>
  <c r="AL57" i="2"/>
  <c r="AJ67" i="2"/>
  <c r="AH67" i="2"/>
  <c r="AH65" i="2"/>
  <c r="AJ57" i="2"/>
  <c r="AL47" i="2"/>
  <c r="AJ63" i="2"/>
  <c r="AH51" i="2"/>
  <c r="AL67" i="2"/>
  <c r="AJ35" i="2"/>
  <c r="AH36" i="2"/>
  <c r="AL64" i="2"/>
  <c r="AJ65" i="2"/>
  <c r="AJ36" i="2"/>
  <c r="AL52" i="2"/>
  <c r="AL65" i="2"/>
  <c r="AL35" i="2"/>
  <c r="AH35" i="2"/>
  <c r="AL51" i="2"/>
  <c r="AL59" i="2"/>
  <c r="AL66" i="2"/>
  <c r="AL63" i="2"/>
  <c r="AL24" i="2"/>
  <c r="AL29" i="2"/>
  <c r="AL28" i="2"/>
  <c r="AL27" i="2"/>
  <c r="AH66" i="2"/>
  <c r="AH64" i="2"/>
  <c r="AJ27" i="2"/>
  <c r="AH29" i="2"/>
  <c r="AJ64" i="2"/>
  <c r="AH27" i="2"/>
  <c r="AJ28" i="2"/>
  <c r="AJ29" i="2"/>
  <c r="AJ66" i="2"/>
  <c r="J37" i="5"/>
  <c r="L37" i="5" s="1"/>
  <c r="Q37" i="5" s="1"/>
  <c r="M37" i="5" s="1"/>
  <c r="N37" i="5" s="1"/>
  <c r="T43" i="5"/>
  <c r="U43" i="5"/>
  <c r="R43" i="5"/>
  <c r="Q43" i="5"/>
  <c r="M43" i="5" s="1"/>
  <c r="N43" i="5" s="1"/>
  <c r="J41" i="5"/>
  <c r="L41" i="5" s="1"/>
  <c r="R41" i="5" s="1"/>
  <c r="T38" i="5"/>
  <c r="R38" i="5"/>
  <c r="U38" i="5"/>
  <c r="T34" i="5"/>
  <c r="R34" i="5"/>
  <c r="U34" i="5"/>
  <c r="T32" i="5"/>
  <c r="U32" i="5"/>
  <c r="R32" i="5"/>
  <c r="J31" i="5"/>
  <c r="L31" i="5" s="1"/>
  <c r="Q31" i="5" s="1"/>
  <c r="U28" i="5"/>
  <c r="R28" i="5"/>
  <c r="J19" i="5"/>
  <c r="J27" i="5"/>
  <c r="J45" i="5"/>
  <c r="L45" i="5" s="1"/>
  <c r="S77" i="3" l="1"/>
  <c r="U56" i="3"/>
  <c r="K32" i="1" s="1"/>
  <c r="W56" i="3"/>
  <c r="O32" i="1" s="1"/>
  <c r="AE29" i="2"/>
  <c r="AA35" i="2"/>
  <c r="Y35" i="2" s="1"/>
  <c r="AA29" i="2"/>
  <c r="Y29" i="2" s="1"/>
  <c r="AE30" i="2"/>
  <c r="Z135" i="2"/>
  <c r="Y78" i="2"/>
  <c r="AB179" i="2"/>
  <c r="K31" i="1" s="1"/>
  <c r="V77" i="3"/>
  <c r="M32" i="1"/>
  <c r="M34" i="1" s="1"/>
  <c r="Y79" i="2"/>
  <c r="AF179" i="2"/>
  <c r="O31" i="1" s="1"/>
  <c r="T184" i="2"/>
  <c r="D2" i="15" s="1"/>
  <c r="Z19" i="2"/>
  <c r="Z72" i="2" s="1"/>
  <c r="Q39" i="5"/>
  <c r="M39" i="5" s="1"/>
  <c r="N39" i="5" s="1"/>
  <c r="R40" i="5"/>
  <c r="P39" i="5"/>
  <c r="T39" i="5"/>
  <c r="R39" i="5"/>
  <c r="T40" i="5"/>
  <c r="P40" i="5"/>
  <c r="W19" i="2"/>
  <c r="T185" i="2"/>
  <c r="Q40" i="5"/>
  <c r="T18" i="3"/>
  <c r="T56" i="3" s="1"/>
  <c r="AJ77" i="2"/>
  <c r="W77" i="2"/>
  <c r="AN20" i="2"/>
  <c r="W20" i="2"/>
  <c r="W72" i="2" s="1"/>
  <c r="AP80" i="2"/>
  <c r="W80" i="2"/>
  <c r="AP81" i="2"/>
  <c r="AJ21" i="2"/>
  <c r="W21" i="2"/>
  <c r="AC22" i="2"/>
  <c r="AA22" i="2" s="1"/>
  <c r="AE41" i="2"/>
  <c r="AA41" i="2"/>
  <c r="Y41" i="2" s="1"/>
  <c r="AE76" i="2"/>
  <c r="AC76" i="2"/>
  <c r="AA76" i="2"/>
  <c r="Y76" i="2" s="1"/>
  <c r="AP21" i="2"/>
  <c r="AL81" i="2"/>
  <c r="Z40" i="1"/>
  <c r="AH21" i="2"/>
  <c r="AL21" i="2"/>
  <c r="AH32" i="1"/>
  <c r="AH34" i="1" s="1"/>
  <c r="AC32" i="1"/>
  <c r="AC34" i="1" s="1"/>
  <c r="Z32" i="1"/>
  <c r="Z34" i="1" s="1"/>
  <c r="W32" i="1"/>
  <c r="W34" i="1" s="1"/>
  <c r="AJ32" i="1"/>
  <c r="AJ34" i="1" s="1"/>
  <c r="AH81" i="2"/>
  <c r="AP29" i="1"/>
  <c r="AP75" i="2"/>
  <c r="AN21" i="2"/>
  <c r="AH75" i="2"/>
  <c r="AN75" i="2"/>
  <c r="AH19" i="2"/>
  <c r="AP19" i="2"/>
  <c r="AL77" i="2"/>
  <c r="AL75" i="2"/>
  <c r="AJ81" i="2"/>
  <c r="AJ76" i="2"/>
  <c r="AP77" i="2"/>
  <c r="AN76" i="2"/>
  <c r="AL76" i="2"/>
  <c r="AN77" i="2"/>
  <c r="AJ80" i="2"/>
  <c r="AN81" i="2"/>
  <c r="AH77" i="2"/>
  <c r="AH76" i="2"/>
  <c r="AN19" i="2"/>
  <c r="AL19" i="2"/>
  <c r="AJ19" i="2"/>
  <c r="AP20" i="2"/>
  <c r="AH20" i="2"/>
  <c r="AL20" i="2"/>
  <c r="AJ20" i="2"/>
  <c r="AJ22" i="2"/>
  <c r="AJ72" i="2" s="1"/>
  <c r="AJ75" i="2"/>
  <c r="AP22" i="2"/>
  <c r="AL80" i="2"/>
  <c r="AH22" i="2"/>
  <c r="AN22" i="2"/>
  <c r="AP76" i="2"/>
  <c r="AH80" i="2"/>
  <c r="AN80" i="2"/>
  <c r="AL22" i="2"/>
  <c r="U42" i="5"/>
  <c r="R42" i="5"/>
  <c r="T42" i="5"/>
  <c r="P42" i="5"/>
  <c r="Q42" i="5"/>
  <c r="M42" i="5" s="1"/>
  <c r="N42" i="5" s="1"/>
  <c r="P37" i="5"/>
  <c r="AD28" i="1"/>
  <c r="AD29" i="1" s="1"/>
  <c r="T41" i="5"/>
  <c r="U41" i="5"/>
  <c r="Q41" i="5"/>
  <c r="M41" i="5" s="1"/>
  <c r="N41" i="5" s="1"/>
  <c r="P41" i="5"/>
  <c r="M31" i="5"/>
  <c r="N31" i="5" s="1"/>
  <c r="P31" i="5"/>
  <c r="U77" i="3" l="1"/>
  <c r="W77" i="3"/>
  <c r="O34" i="1"/>
  <c r="AN72" i="2"/>
  <c r="AL72" i="2"/>
  <c r="AH72" i="2"/>
  <c r="AL135" i="2"/>
  <c r="AP72" i="2"/>
  <c r="AJ135" i="2"/>
  <c r="AE22" i="2"/>
  <c r="AP135" i="2"/>
  <c r="AH135" i="2"/>
  <c r="AN135" i="2"/>
  <c r="W135" i="2"/>
  <c r="Y22" i="2"/>
  <c r="K34" i="1"/>
  <c r="M40" i="5"/>
  <c r="N40" i="5" s="1"/>
  <c r="T77" i="3"/>
  <c r="I32" i="1"/>
  <c r="Z179" i="2"/>
  <c r="I31" i="1" s="1"/>
  <c r="AA80" i="2"/>
  <c r="AE80" i="2"/>
  <c r="AC80" i="2"/>
  <c r="AC20" i="2"/>
  <c r="AC72" i="2" s="1"/>
  <c r="AE20" i="2"/>
  <c r="AA20" i="2"/>
  <c r="Y20" i="2" s="1"/>
  <c r="AA75" i="2"/>
  <c r="Y75" i="2" s="1"/>
  <c r="AE75" i="2"/>
  <c r="AC75" i="2"/>
  <c r="AC81" i="2"/>
  <c r="AA81" i="2" s="1"/>
  <c r="AC19" i="2"/>
  <c r="AE19" i="2"/>
  <c r="AA19" i="2"/>
  <c r="AA72" i="2" s="1"/>
  <c r="AE77" i="2"/>
  <c r="AC77" i="2"/>
  <c r="AA77" i="2"/>
  <c r="Y77" i="2" s="1"/>
  <c r="AA21" i="2"/>
  <c r="Y21" i="2" s="1"/>
  <c r="AC21" i="2"/>
  <c r="AE21" i="2"/>
  <c r="AE72" i="2" l="1"/>
  <c r="AE81" i="2"/>
  <c r="AE135" i="2" s="1"/>
  <c r="AA135" i="2"/>
  <c r="AC135" i="2"/>
  <c r="AL179" i="2"/>
  <c r="AB31" i="1" s="1"/>
  <c r="AP179" i="2"/>
  <c r="AI31" i="1" s="1"/>
  <c r="I34" i="1"/>
  <c r="W179" i="2"/>
  <c r="AJ179" i="2"/>
  <c r="Y31" i="1" s="1"/>
  <c r="Y80" i="2"/>
  <c r="AN179" i="2"/>
  <c r="AG31" i="1" s="1"/>
  <c r="AH179" i="2"/>
  <c r="Y81" i="2"/>
  <c r="Y19" i="2"/>
  <c r="Y72" i="2" s="1"/>
  <c r="AB28" i="1"/>
  <c r="F28" i="1"/>
  <c r="Y135" i="2" l="1"/>
  <c r="Y179" i="2" s="1"/>
  <c r="AP181" i="2"/>
  <c r="AQ184" i="2" s="1"/>
  <c r="AL181" i="2"/>
  <c r="AJ181" i="2"/>
  <c r="AG28" i="1"/>
  <c r="AG29" i="1" s="1"/>
  <c r="F31" i="1"/>
  <c r="F34" i="1" s="1"/>
  <c r="F35" i="1" s="1"/>
  <c r="W181" i="2"/>
  <c r="AC179" i="2"/>
  <c r="L31" i="1" s="1"/>
  <c r="L34" i="1" s="1"/>
  <c r="L35" i="1" s="1"/>
  <c r="V31" i="1"/>
  <c r="AH181" i="2"/>
  <c r="AE179" i="2"/>
  <c r="N31" i="1" s="1"/>
  <c r="N34" i="1" s="1"/>
  <c r="N35" i="1" s="1"/>
  <c r="AA179" i="2"/>
  <c r="J31" i="1" s="1"/>
  <c r="J34" i="1" s="1"/>
  <c r="J35" i="1" s="1"/>
  <c r="AN181" i="2"/>
  <c r="L64" i="5"/>
  <c r="H64" i="5"/>
  <c r="G64" i="5" s="1"/>
  <c r="H61" i="5"/>
  <c r="G61" i="5" s="1"/>
  <c r="H60" i="5"/>
  <c r="G60" i="5" s="1"/>
  <c r="H59" i="5"/>
  <c r="G59" i="5" s="1"/>
  <c r="L27" i="5"/>
  <c r="AP184" i="2" l="1"/>
  <c r="H31" i="1"/>
  <c r="H34" i="1" s="1"/>
  <c r="H35" i="1" s="1"/>
  <c r="Y181" i="2"/>
  <c r="AE181" i="2"/>
  <c r="AC181" i="2"/>
  <c r="AA181" i="2"/>
  <c r="P27" i="5"/>
  <c r="Q27" i="5"/>
  <c r="M33" i="5"/>
  <c r="N33" i="5" s="1"/>
  <c r="J59" i="5"/>
  <c r="L59" i="5" s="1"/>
  <c r="J60" i="5"/>
  <c r="L60" i="5" s="1"/>
  <c r="J61" i="5"/>
  <c r="L61" i="5" s="1"/>
  <c r="T64" i="5"/>
  <c r="U64" i="5"/>
  <c r="R64" i="5"/>
  <c r="Q64" i="5"/>
  <c r="M64" i="5" s="1"/>
  <c r="N64" i="5" s="1"/>
  <c r="P64" i="5"/>
  <c r="H26" i="5"/>
  <c r="G26" i="5" s="1"/>
  <c r="H25" i="5"/>
  <c r="G25" i="5" s="1"/>
  <c r="H24" i="5"/>
  <c r="G24" i="5" s="1"/>
  <c r="H23" i="5"/>
  <c r="J23" i="5" s="1"/>
  <c r="H22" i="5"/>
  <c r="G22" i="5" s="1"/>
  <c r="H21" i="5"/>
  <c r="G21" i="5" s="1"/>
  <c r="H20" i="5"/>
  <c r="G20" i="5" s="1"/>
  <c r="L19" i="5"/>
  <c r="T19" i="5" s="1"/>
  <c r="H19" i="5"/>
  <c r="G19" i="5" s="1"/>
  <c r="H18" i="5"/>
  <c r="T60" i="5" l="1"/>
  <c r="P60" i="5"/>
  <c r="Q59" i="5"/>
  <c r="R59" i="5"/>
  <c r="M27" i="5"/>
  <c r="U61" i="5"/>
  <c r="R61" i="5"/>
  <c r="T61" i="5"/>
  <c r="Q61" i="5"/>
  <c r="M61" i="5" s="1"/>
  <c r="N61" i="5" s="1"/>
  <c r="P61" i="5"/>
  <c r="J25" i="5"/>
  <c r="L25" i="5" s="1"/>
  <c r="T25" i="5" s="1"/>
  <c r="J26" i="5"/>
  <c r="L26" i="5" s="1"/>
  <c r="R60" i="5"/>
  <c r="Q60" i="5"/>
  <c r="M60" i="5" s="1"/>
  <c r="N60" i="5" s="1"/>
  <c r="J22" i="5"/>
  <c r="L22" i="5" s="1"/>
  <c r="P22" i="5" s="1"/>
  <c r="U60" i="5"/>
  <c r="J24" i="5"/>
  <c r="L24" i="5" s="1"/>
  <c r="R24" i="5" s="1"/>
  <c r="J18" i="5"/>
  <c r="L18" i="5" s="1"/>
  <c r="J21" i="5"/>
  <c r="L21" i="5" s="1"/>
  <c r="J20" i="5"/>
  <c r="L20" i="5" s="1"/>
  <c r="U59" i="5"/>
  <c r="T59" i="5"/>
  <c r="M59" i="5"/>
  <c r="N59" i="5" s="1"/>
  <c r="P59" i="5"/>
  <c r="L23" i="5"/>
  <c r="Q19" i="5"/>
  <c r="M19" i="5" s="1"/>
  <c r="N19" i="5" s="1"/>
  <c r="R19" i="5"/>
  <c r="U19" i="5"/>
  <c r="P19" i="5"/>
  <c r="L73" i="5" l="1"/>
  <c r="D3" i="15" s="1"/>
  <c r="N27" i="5"/>
  <c r="P18" i="5"/>
  <c r="U21" i="5"/>
  <c r="T21" i="5"/>
  <c r="Q26" i="5"/>
  <c r="M26" i="5" s="1"/>
  <c r="N26" i="5" s="1"/>
  <c r="P23" i="5"/>
  <c r="T23" i="5"/>
  <c r="Q21" i="5"/>
  <c r="AN26" i="1"/>
  <c r="Q18" i="5"/>
  <c r="U18" i="5"/>
  <c r="T18" i="5"/>
  <c r="R18" i="5"/>
  <c r="R22" i="5"/>
  <c r="T24" i="5"/>
  <c r="P24" i="5"/>
  <c r="R26" i="5"/>
  <c r="U26" i="5"/>
  <c r="T26" i="5"/>
  <c r="P26" i="5"/>
  <c r="R25" i="5"/>
  <c r="T22" i="5"/>
  <c r="U22" i="5"/>
  <c r="U24" i="5"/>
  <c r="Q24" i="5"/>
  <c r="M24" i="5" s="1"/>
  <c r="N24" i="5" s="1"/>
  <c r="Q22" i="5"/>
  <c r="M22" i="5" s="1"/>
  <c r="N22" i="5" s="1"/>
  <c r="P25" i="5"/>
  <c r="P21" i="5"/>
  <c r="U25" i="5"/>
  <c r="Q25" i="5"/>
  <c r="M25" i="5" s="1"/>
  <c r="N25" i="5" s="1"/>
  <c r="R21" i="5"/>
  <c r="Q23" i="5"/>
  <c r="M23" i="5" s="1"/>
  <c r="N23" i="5" s="1"/>
  <c r="R23" i="5"/>
  <c r="M21" i="5"/>
  <c r="N21" i="5" s="1"/>
  <c r="U23" i="5"/>
  <c r="P20" i="5"/>
  <c r="U20" i="5"/>
  <c r="Q20" i="5"/>
  <c r="M20" i="5" s="1"/>
  <c r="N20" i="5" s="1"/>
  <c r="R20" i="5"/>
  <c r="T20" i="5"/>
  <c r="AO28" i="1" l="1"/>
  <c r="AO29" i="1" s="1"/>
  <c r="AN28" i="1"/>
  <c r="AN29" i="1" s="1"/>
  <c r="M18" i="5"/>
  <c r="M67" i="5" s="1"/>
  <c r="G26" i="1" s="1"/>
  <c r="Q67" i="5"/>
  <c r="Z26" i="1" s="1"/>
  <c r="Z28" i="1" s="1"/>
  <c r="Y29" i="1" s="1"/>
  <c r="P67" i="5"/>
  <c r="U26" i="1" s="1"/>
  <c r="T28" i="1" s="1"/>
  <c r="S29" i="1" s="1"/>
  <c r="R67" i="5"/>
  <c r="AC26" i="1" s="1"/>
  <c r="AC28" i="1" s="1"/>
  <c r="AB29" i="1" s="1"/>
  <c r="T67" i="5"/>
  <c r="AF26" i="1" s="1"/>
  <c r="AF28" i="1" s="1"/>
  <c r="AF29" i="1" s="1"/>
  <c r="U67" i="5"/>
  <c r="AK26" i="1" s="1"/>
  <c r="AK28" i="1" s="1"/>
  <c r="AK29" i="1" s="1"/>
  <c r="D4" i="15"/>
  <c r="E2" i="15" s="1"/>
  <c r="N18" i="5"/>
  <c r="N67" i="5" s="1"/>
  <c r="I26" i="1" s="1"/>
  <c r="E3" i="15" l="1"/>
  <c r="AI34" i="1"/>
  <c r="AI35" i="1" s="1"/>
  <c r="AB34" i="1"/>
  <c r="AB35" i="1" s="1"/>
  <c r="Y34" i="1"/>
  <c r="Y35" i="1" s="1"/>
  <c r="V34" i="1"/>
  <c r="V35" i="1" s="1"/>
  <c r="AG34" i="1"/>
  <c r="AG35" i="1" s="1"/>
  <c r="L28" i="1" l="1"/>
  <c r="Y40" i="1"/>
  <c r="Y41" i="1" s="1"/>
  <c r="J28" i="1"/>
  <c r="N28" i="1" l="1"/>
  <c r="AP40" i="1"/>
  <c r="AP41" i="1" s="1"/>
  <c r="H28" i="1"/>
  <c r="I23" i="1"/>
  <c r="O28" i="1"/>
  <c r="G23" i="1"/>
  <c r="G28" i="1" s="1"/>
  <c r="F29" i="1" s="1"/>
  <c r="Q23" i="1"/>
  <c r="Q28" i="1" s="1"/>
  <c r="P29" i="1" s="1"/>
  <c r="K28" i="1"/>
  <c r="J29" i="1" s="1"/>
  <c r="M28" i="1"/>
  <c r="L29" i="1" s="1"/>
  <c r="R23" i="1"/>
  <c r="R28" i="1" s="1"/>
  <c r="R29" i="1" s="1"/>
  <c r="N29" i="1" l="1"/>
  <c r="Q56" i="16"/>
  <c r="I38" i="1" s="1"/>
  <c r="Q65" i="18"/>
  <c r="I39" i="1" s="1"/>
  <c r="Q65" i="7"/>
  <c r="I24" i="1" s="1"/>
  <c r="I28" i="1" s="1"/>
  <c r="H29" i="1" s="1"/>
  <c r="I40" i="1" l="1"/>
  <c r="H41" i="1" s="1"/>
</calcChain>
</file>

<file path=xl/comments1.xml><?xml version="1.0" encoding="utf-8"?>
<comments xmlns="http://schemas.openxmlformats.org/spreadsheetml/2006/main">
  <authors>
    <author>hartzelljh</author>
  </authors>
  <commentList>
    <comment ref="K59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to account for curved portion heading up ramp G.</t>
        </r>
      </text>
    </comment>
  </commentList>
</comments>
</file>

<file path=xl/comments2.xml><?xml version="1.0" encoding="utf-8"?>
<comments xmlns="http://schemas.openxmlformats.org/spreadsheetml/2006/main">
  <authors>
    <author>hartzelljh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
Put "-" if area will be measured in CADD.</t>
        </r>
      </text>
    </comment>
    <comment ref="AD8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Past E/P of outside gutters.</t>
        </r>
      </text>
    </comment>
    <comment ref="AG8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Underneath island cap.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</commentList>
</comments>
</file>

<file path=xl/comments3.xml><?xml version="1.0" encoding="utf-8"?>
<comments xmlns="http://schemas.openxmlformats.org/spreadsheetml/2006/main">
  <authors>
    <author>hartzelljh</author>
  </authors>
  <commentList>
    <comment ref="M5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sharedStrings.xml><?xml version="1.0" encoding="utf-8"?>
<sst xmlns="http://schemas.openxmlformats.org/spreadsheetml/2006/main" count="3130" uniqueCount="289">
  <si>
    <t>SIDE</t>
  </si>
  <si>
    <t>STATION</t>
  </si>
  <si>
    <t>FROM</t>
  </si>
  <si>
    <t>TO</t>
  </si>
  <si>
    <t>LENGTH</t>
  </si>
  <si>
    <t>FT</t>
  </si>
  <si>
    <t>SQ FT</t>
  </si>
  <si>
    <t>PROOF ROLLING</t>
  </si>
  <si>
    <t>SUBGRADE COMPACTION</t>
  </si>
  <si>
    <t>6" AGGREGATE BASE</t>
  </si>
  <si>
    <t>SQ YD</t>
  </si>
  <si>
    <t>HOUR</t>
  </si>
  <si>
    <t>CU YD</t>
  </si>
  <si>
    <t>GALLON</t>
  </si>
  <si>
    <t xml:space="preserve">TOTAL AREA </t>
  </si>
  <si>
    <t>LT</t>
  </si>
  <si>
    <t>RT</t>
  </si>
  <si>
    <t>SURFACE AREA
A = L x W</t>
  </si>
  <si>
    <t>CURING COAT</t>
  </si>
  <si>
    <t>CEMENT STABILIZED SUBGRADE, 12 INCHES DEEP</t>
  </si>
  <si>
    <t>AREA MEASURED
IN CADD</t>
  </si>
  <si>
    <t>AVERAGE WIDTH</t>
  </si>
  <si>
    <t>TON</t>
  </si>
  <si>
    <t>CEMENT</t>
  </si>
  <si>
    <t>FULL DEPTH PAVEMENT SAWING</t>
  </si>
  <si>
    <t>1.5" ASPHALT CONCRETE SURFACE COURSE,
12.5MM, TYPE A (446)</t>
  </si>
  <si>
    <t>1.75" ASPHALT CONCRETE INTERMEDIATE COURSE,
19MM, TYPE A (446)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</si>
  <si>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SIDES WITH CURB</t>
    </r>
  </si>
  <si>
    <t>APP SLAB</t>
  </si>
  <si>
    <t>14" NON-REINFORCED CONCRETE PAVEMENT</t>
  </si>
  <si>
    <t>RT / LT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</si>
  <si>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ASPHALT CONCRETE BASE</t>
    </r>
  </si>
  <si>
    <t>TACK COAT
(0.075 GAL/SQ YD)</t>
  </si>
  <si>
    <t>3" ASPHALT CONCRETE BASE, PG64-22</t>
  </si>
  <si>
    <t>3" AGGREGATE BASE</t>
  </si>
  <si>
    <t>DATE:</t>
  </si>
  <si>
    <t>CALCULATED BY:</t>
  </si>
  <si>
    <t>CHECKED BY:</t>
  </si>
  <si>
    <t>ROADWAY</t>
  </si>
  <si>
    <t>I-75 NB FLEXIBLE PAVEMENT</t>
  </si>
  <si>
    <t>I-75 SB FLEXIBLE PAVEMENT</t>
  </si>
  <si>
    <t>PAVEMENT REMOVED</t>
  </si>
  <si>
    <t>TACK COAT (0.075 GAL/SQ YD)</t>
  </si>
  <si>
    <t>GRAY STREET</t>
  </si>
  <si>
    <t>11.5" ASPHALT CONCRETE BASE, PG64-22</t>
  </si>
  <si>
    <t>TACK COAT FOR INTERMEDIATE COURSE
(0.04 GAL/SQ YD)</t>
  </si>
  <si>
    <t>TACK COAT FOR INTERMEDIATE COURSE (0.04 GAL/SQ YD)</t>
  </si>
  <si>
    <t>3" PAVEMENT PLANING, ASPHALT CONCRETE</t>
  </si>
  <si>
    <t>ITEM 302</t>
  </si>
  <si>
    <t>ITEM 304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</si>
  <si>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AGGREGATE BASE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</si>
  <si>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ASPHALT CONCRETE INTERMEDIATE COURSE</t>
    </r>
  </si>
  <si>
    <t>ITEM 442</t>
  </si>
  <si>
    <t>1015+00</t>
  </si>
  <si>
    <t>END BL</t>
  </si>
  <si>
    <t>BEGIN CL</t>
  </si>
  <si>
    <t>6" ASPHALT CONCRETE BASE, PG 64-22</t>
  </si>
  <si>
    <t>LIMA AVENUE</t>
  </si>
  <si>
    <t>LOGAN AVENUE</t>
  </si>
  <si>
    <t>LIMA RAMP A</t>
  </si>
  <si>
    <t>LIMA RAMP B</t>
  </si>
  <si>
    <t>LIMA RAMP E</t>
  </si>
  <si>
    <t>LIMA RAMP F</t>
  </si>
  <si>
    <t>LIMA RAMP G</t>
  </si>
  <si>
    <t>LIMA RAMP G1</t>
  </si>
  <si>
    <t>LIMA RAMP H</t>
  </si>
  <si>
    <t>S.R. 12 RAMP A</t>
  </si>
  <si>
    <t>U.S. 68 NB FLEXIBLE PAVEMENT</t>
  </si>
  <si>
    <t>U.S. 68 SB FLEXIBLE PAVEMENT</t>
  </si>
  <si>
    <t>U.S. 68 RAMP A FLEXIBLE PAVEMENT</t>
  </si>
  <si>
    <t>U.S. 68 RAMP B FLEXIBLE PAVEMENT</t>
  </si>
  <si>
    <t>U.S. 68 RAMP C FLEXIBLE PAVEMENT</t>
  </si>
  <si>
    <t>U.S. 68 RAMP D FLEXIBLE PAVEMENT</t>
  </si>
  <si>
    <t>S.R. 12 RAMP B</t>
  </si>
  <si>
    <t>S.R. 12 RAMP C</t>
  </si>
  <si>
    <t>S.R. 12 RAMP D</t>
  </si>
  <si>
    <t>U.S. 224 RAMP A</t>
  </si>
  <si>
    <t>U.S. 224 RAMP B</t>
  </si>
  <si>
    <t>U.S. 224 RAMP C</t>
  </si>
  <si>
    <t>U.S. 224 RAMP D</t>
  </si>
  <si>
    <t>925+45</t>
  </si>
  <si>
    <t>983+46</t>
  </si>
  <si>
    <t>1001+47</t>
  </si>
  <si>
    <t>905+15</t>
  </si>
  <si>
    <t>905+16</t>
  </si>
  <si>
    <t>899+94</t>
  </si>
  <si>
    <t>903+18</t>
  </si>
  <si>
    <t>884+87</t>
  </si>
  <si>
    <t>896+33</t>
  </si>
  <si>
    <t>816+31</t>
  </si>
  <si>
    <t>805+19</t>
  </si>
  <si>
    <t>813+37</t>
  </si>
  <si>
    <t>792+33</t>
  </si>
  <si>
    <t>803+17</t>
  </si>
  <si>
    <t>759+99</t>
  </si>
  <si>
    <t>744+28</t>
  </si>
  <si>
    <t>787+23</t>
  </si>
  <si>
    <t>797+78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</si>
  <si>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GUTTER STYLE</t>
    </r>
  </si>
  <si>
    <t>Findlay</t>
  </si>
  <si>
    <t>4' Wide</t>
  </si>
  <si>
    <t>-</t>
  </si>
  <si>
    <t>1.25" ASPHALT CONCRETE SURFACE COURSE, 12.5MM, TYPE A (448)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</si>
  <si>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LEFT SIDE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</si>
  <si>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RIGHT SIDE</t>
    </r>
  </si>
  <si>
    <t>Uncurbed</t>
  </si>
  <si>
    <t>Curbed</t>
  </si>
  <si>
    <t>E/S - E/S</t>
  </si>
  <si>
    <t>E/S - F/C</t>
  </si>
  <si>
    <t>F/C - F/C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</si>
  <si>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MEASURE FROM - TO</t>
    </r>
  </si>
  <si>
    <t>Med. Barr.</t>
  </si>
  <si>
    <t>Unique</t>
  </si>
  <si>
    <t>E/S - C/B</t>
  </si>
  <si>
    <t>F/C - C/B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</si>
  <si>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MINUS VOLUME FOR
ASPHALT CONCRETE SURFACE COURSE</t>
    </r>
  </si>
  <si>
    <t>C/B - C/B</t>
  </si>
  <si>
    <t>ITEM 452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</si>
  <si>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MINUS WIDTH FOR
CONCRETE PAVEMENT</t>
    </r>
  </si>
  <si>
    <t>E/P - E/P</t>
  </si>
  <si>
    <t>932+44</t>
  </si>
  <si>
    <t>930+26</t>
  </si>
  <si>
    <t>929+00</t>
  </si>
  <si>
    <t>932+45</t>
  </si>
  <si>
    <t>4" NON-REINFORCED CONCRETE PAVEMENT, MISC.: ISLAND CAP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</si>
  <si>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SHOULDERS</t>
    </r>
  </si>
  <si>
    <r>
      <t xml:space="preserve">HIDE THIS COLUMN
</t>
    </r>
    <r>
      <rPr>
        <sz val="10"/>
        <rFont val="Arial"/>
        <family val="2"/>
      </rPr>
      <t>NO. OF SIDES WITH CURB AND GUTTER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</si>
  <si>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SUBGRADE COMPACTION</t>
    </r>
  </si>
  <si>
    <t>ITEM 301</t>
  </si>
  <si>
    <t>6" ASPHALT CONCRETE BASE, PG64-22</t>
  </si>
  <si>
    <t>6" AGGRGATE BASE</t>
  </si>
  <si>
    <t>HARRISON STREET</t>
  </si>
  <si>
    <t>SERVICE ROAD</t>
  </si>
  <si>
    <t>2" ASPHALT CONCRETE SURFACE COURSE, 
TYPE 1, (448), PG64-22</t>
  </si>
  <si>
    <t>1.75" ASPHALT CONCRETE INTERMEDIATE COURSE, TYPE 2, (448)</t>
  </si>
  <si>
    <t>1 1/4" ASPHALT CONCRETE SURFACE COURSE, TYPE 1, (448) PG64-22</t>
  </si>
  <si>
    <t>1 3/4" ASPHALT CONCRETE INTERMEDIATE COURSE, TYPE 2, (448)</t>
  </si>
  <si>
    <t>RUMBLE STRIPS (ASPHALT CONCRETE), AS PER PLAN</t>
  </si>
  <si>
    <t>SPECIAL - PRESSURE RELIEF JOINT, TYPE A</t>
  </si>
  <si>
    <t>9" NON-REINFORCED CONCRETE PAVEMENT, AS PER PLAN</t>
  </si>
  <si>
    <t>OPTION A: ASPHALT PAVEMENT</t>
  </si>
  <si>
    <t>OPTION B: CONCRETE PAVEMENT</t>
  </si>
  <si>
    <t>PAVEMENT</t>
  </si>
  <si>
    <t>LIMA AVE RAMPS</t>
  </si>
  <si>
    <t>U.S. 68 RAMPS</t>
  </si>
  <si>
    <t>I-75</t>
  </si>
  <si>
    <t xml:space="preserve">U.S. 68 </t>
  </si>
  <si>
    <t>U.S. 68</t>
  </si>
  <si>
    <t>1.25" ASPHALT CONCRETE SURFACE COURSE,
12.5MM, TYPE A (448)</t>
  </si>
  <si>
    <t>JHH</t>
  </si>
  <si>
    <t>SERVICE RD &amp; HARRISON ST</t>
  </si>
  <si>
    <t>1.25" ASPHALT CONCRETE SURFACE COURSE, TYPE 1, (448) PG64-22</t>
  </si>
  <si>
    <t>2" ASPHALT CONCRETE SURFACE COURSE, TYPE 1, (448) PG64-22</t>
  </si>
  <si>
    <t>3" ASPHALT CONCRETE BASE, 
PG64-22</t>
  </si>
  <si>
    <t>EXCAVATION</t>
  </si>
  <si>
    <t>CU. YD.</t>
  </si>
  <si>
    <t xml:space="preserve">I-75 SB </t>
  </si>
  <si>
    <t>SPEC</t>
  </si>
  <si>
    <t>MISC.: MOW STRIP</t>
  </si>
  <si>
    <t>SQ. YD.</t>
  </si>
  <si>
    <t>OPTION C: ASPHALT CONCRETE MOW STRIP</t>
  </si>
  <si>
    <t>OPTION D: CONCRETE MOW STRIP</t>
  </si>
  <si>
    <t>ASPHALT MOW STRIP TOTALS:</t>
  </si>
  <si>
    <t>CONCRETE MOW STRIP TOTALS:</t>
  </si>
  <si>
    <t>RUMBLE STRIPS (CONCRETE)</t>
  </si>
  <si>
    <t>RUMBLE STRIPS, (CONCRETE)</t>
  </si>
  <si>
    <t>RUMBLE STRIPS, (ASPHALT CONCRETE)</t>
  </si>
  <si>
    <t>U.S. 68 MOT PAVEMENT</t>
  </si>
  <si>
    <t>NON-REINFORCED CONCRETE PAVEMENT, MISC.: 4" ISLAND CAP</t>
  </si>
  <si>
    <t>SUBGRADE
COMPACTION</t>
  </si>
  <si>
    <t>FULL DEPTH PAVEMENT
SAWING</t>
  </si>
  <si>
    <t>1.75" ASPHALT CONCRETE INTERMEDIATE COURSE, 
19MM, TYPE A (446)</t>
  </si>
  <si>
    <t>9" NON-REINFORCED 
CONCRETE PAVEMENT, 
AS PER PLAN</t>
  </si>
  <si>
    <t xml:space="preserve">SHEET TOTALS (COMBINED) </t>
  </si>
  <si>
    <t xml:space="preserve">PAVEMENT TOTALS (WITH PARTICIPATION SPLITS): </t>
  </si>
  <si>
    <t xml:space="preserve">PAVEMENT TOTALS (COMBINED): </t>
  </si>
  <si>
    <t>FLEXIBLE ALTERNATIVE TOTALS 
(WITH PARTICIPATION SPLITS):</t>
  </si>
  <si>
    <t>FLEXIBLE ALTERNATIVE TOTALS 
(COMBINED):</t>
  </si>
  <si>
    <t>RIGID ALTERNATIVE TOTALS
(WITH PARTICIPATION SPLITS):</t>
  </si>
  <si>
    <t>RIGID ALTERNATIVE TOTALS
(COMBINED):</t>
  </si>
  <si>
    <t>AVERAGE WIDTH 
(40' min Existing Pavement)</t>
  </si>
  <si>
    <t>&lt;-Total Area</t>
  </si>
  <si>
    <t>Reconstruct Area</t>
  </si>
  <si>
    <t>Reconstruct Area -&gt;</t>
  </si>
  <si>
    <t>&lt;- Added Capacity Area</t>
  </si>
  <si>
    <t>Added Capacity Area</t>
  </si>
  <si>
    <t>Total Area</t>
  </si>
  <si>
    <t>Percentage</t>
  </si>
  <si>
    <r>
      <rPr>
        <i/>
        <sz val="10"/>
        <rFont val="Arial"/>
        <family val="2"/>
      </rPr>
      <t xml:space="preserve">HIDE THIS COLUMN </t>
    </r>
    <r>
      <rPr>
        <sz val="10"/>
        <rFont val="Arial"/>
        <family val="2"/>
      </rPr>
      <t>MINUS VOLUME FOR ASPHALT CONC SURFACE COURSE</t>
    </r>
  </si>
  <si>
    <r>
      <rPr>
        <i/>
        <sz val="10"/>
        <rFont val="Arial"/>
        <family val="2"/>
      </rPr>
      <t xml:space="preserve">HIDE THIS COLUMN </t>
    </r>
    <r>
      <rPr>
        <sz val="10"/>
        <rFont val="Arial"/>
        <family val="2"/>
      </rPr>
      <t>EXTRA VOLUME FOR ASPHALT CONC INTERMEDIATE COURSE</t>
    </r>
  </si>
  <si>
    <t>OPTION A: ASPHALT PAVEMENT TOTALS</t>
  </si>
  <si>
    <t>U.S. 68 RESURFACING</t>
  </si>
  <si>
    <t>U.S. 68 NB RIGID PAVEMENT</t>
  </si>
  <si>
    <t>I-75 MOT PAVEMENT</t>
  </si>
  <si>
    <t>SUBGRADE 
COMPACTION</t>
  </si>
  <si>
    <t>11.5" ASPHALT 
CONCRETE BASE, 
PG64-22</t>
  </si>
  <si>
    <t>RUMBLE STRIPS 
(ASPHALT CONCRETE), 
AS PER PLAN</t>
  </si>
  <si>
    <t>1.75" ASPH. CONCRETE 
INTERMEDIATE COURSE, 
19MM, TYPE A (446)</t>
  </si>
  <si>
    <t>1.5" ASPH. CONCRETE SURFACE COURSE,
12.5MM, TYPE A (446)</t>
  </si>
  <si>
    <t>ITEM 204/206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</si>
  <si>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WIDTH FOR
204/206 STABILIZATION</t>
    </r>
  </si>
  <si>
    <t>OPTION B: RIGID PAVEMENT TOTALS</t>
  </si>
  <si>
    <t>U.S. 68 SB RIGID PAVEMENT</t>
  </si>
  <si>
    <t>1.75" ASPH. CONCRETE INTERMEDIATE COURSE,
19MM, TYPE A (446)</t>
  </si>
  <si>
    <t>I-75 NB RIGID PAVEMENT</t>
  </si>
  <si>
    <r>
      <rPr>
        <i/>
        <sz val="10"/>
        <rFont val="Arial"/>
        <family val="2"/>
      </rPr>
      <t xml:space="preserve">HIDE THIS COLUMN </t>
    </r>
    <r>
      <rPr>
        <sz val="10"/>
        <rFont val="Arial"/>
        <family val="2"/>
      </rPr>
      <t>MINUS WIDTH FOR CONCRETE PAVEMENT</t>
    </r>
  </si>
  <si>
    <t>I-75 SB RIGID PAVEMENT</t>
  </si>
  <si>
    <t>U.S. 68 RAMP A RIGID PAVEMENT</t>
  </si>
  <si>
    <t>U.S. 68 RAMP B RIGID PAVEMENT</t>
  </si>
  <si>
    <t>U.S. 68 RAMP C RIGID PAVEMENT</t>
  </si>
  <si>
    <t>U.S. 68 RAMP D RIGID PAVEMENT</t>
  </si>
  <si>
    <t>STEPPING VALUES TABLE</t>
  </si>
  <si>
    <t>&lt;- Edge of Shoulder to Edge of Shoulder</t>
  </si>
  <si>
    <t>&lt;- Edge of Shoulder to Face of Curb</t>
  </si>
  <si>
    <t>&lt;- Edge of Shoulder to Center of Barrier</t>
  </si>
  <si>
    <t>&lt;- Face of Curb to Center of Barrier</t>
  </si>
  <si>
    <t>&lt;- Face of Curb to Face of Curb</t>
  </si>
  <si>
    <t>&lt;- Center of Barrier to Center of Barrier</t>
  </si>
  <si>
    <t>Scenario</t>
  </si>
  <si>
    <t>Width (ft)</t>
  </si>
  <si>
    <r>
      <t>Area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</si>
  <si>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Past E/S</t>
  </si>
  <si>
    <t>Past F/C</t>
  </si>
  <si>
    <t>Past C/B</t>
  </si>
  <si>
    <t>Measured</t>
  </si>
  <si>
    <t>Shdr. Barr. B</t>
  </si>
  <si>
    <t>Shdr. Barr. D</t>
  </si>
  <si>
    <r>
      <t>Width (ft</t>
    </r>
    <r>
      <rPr>
        <sz val="10"/>
        <rFont val="Arial"/>
        <family val="2"/>
      </rPr>
      <t>)</t>
    </r>
  </si>
  <si>
    <t>Findlay C&amp;G</t>
  </si>
  <si>
    <t>4' Wide C&amp;G</t>
  </si>
  <si>
    <t>Past E/P</t>
  </si>
  <si>
    <t>R.A.B. 'A'</t>
  </si>
  <si>
    <t>R.A.B. 'B'</t>
  </si>
  <si>
    <r>
      <t>6" Thick Volume 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</si>
  <si>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3" Thick Volume 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</si>
  <si>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In CADD</t>
  </si>
  <si>
    <t>BIKE PATH (LIMA AVE. STATIONS)</t>
  </si>
  <si>
    <t>C&amp;G</t>
  </si>
  <si>
    <t>Harrison</t>
  </si>
  <si>
    <t>Service</t>
  </si>
  <si>
    <t>MCK</t>
  </si>
  <si>
    <t>I-75 PAVEMENT REMOVAL</t>
  </si>
  <si>
    <t xml:space="preserve">OPTION A: ASPHALT PAVEMENT SUB-TOTALS (WITH PARTICIPATION SPLITS) </t>
  </si>
  <si>
    <t>EX. U.S. 68 CONN. C  PAV'T REMOVAL</t>
  </si>
  <si>
    <t>U.S. 224 'C' PAV'T REMOVAL</t>
  </si>
  <si>
    <t>U.S. 224 'D' PAV'T REMOVAL</t>
  </si>
  <si>
    <t xml:space="preserve">OPTION B: RIGID PAVEMENT SUB-TOTALS (WITH PARTICIPATION SPLITS) </t>
  </si>
  <si>
    <t xml:space="preserve">PAVEMENT TOTALS </t>
  </si>
  <si>
    <t>EXCAVATION (6" DEEP)</t>
  </si>
  <si>
    <t>EXCAVATION (4" DEEP)</t>
  </si>
  <si>
    <t>OPTION C: ASPHALT CONC. MOW STRIP TOTALS</t>
  </si>
  <si>
    <t>OPTION D: CONCRETE MOW STRIP TOTALS</t>
  </si>
  <si>
    <t>LIMA AVE / GRAY ST / LOGAN AVE / BIKE PATH</t>
  </si>
  <si>
    <t>SR 12 &amp; US 224 RAMPS</t>
  </si>
  <si>
    <t xml:space="preserve"> 1.75" ASPHALT CONCRETE INTERMEDIATE COURSE, 
TYPE 2 (448)</t>
  </si>
  <si>
    <t>OPTION B: RIGID PAVEMENT TOTALS (WITH PARTICIPATION SPLITS)</t>
  </si>
  <si>
    <t>OPTION B: RIGID PAVEMENT TOTALS (COMBINED)</t>
  </si>
  <si>
    <t>03</t>
  </si>
  <si>
    <t>01</t>
  </si>
  <si>
    <t>LEGEND:</t>
  </si>
  <si>
    <t>03 = 03/IMS/PV FUNDING</t>
  </si>
  <si>
    <t>01 = 01/NHS/PV FUNDING</t>
  </si>
  <si>
    <t>PAV'T SUB-TOTALS (COMMON BETWEEN PAV'T OPTIONS A &amp; B)</t>
  </si>
  <si>
    <t>SHEET 1 OF 15</t>
  </si>
  <si>
    <t>SHEET 2 OF 15</t>
  </si>
  <si>
    <t>SHEET 3 OF 15</t>
  </si>
  <si>
    <t>SHEET 4 OF 15</t>
  </si>
  <si>
    <t>SHEET 5 OF 15</t>
  </si>
  <si>
    <t>SHEET 6 OF 15</t>
  </si>
  <si>
    <t>SHEET 7 OF 15</t>
  </si>
  <si>
    <t>SHEET 8 OF 15</t>
  </si>
  <si>
    <t>SHEET 9 OF 15</t>
  </si>
  <si>
    <t>SHEET 10 OF 15</t>
  </si>
  <si>
    <t>SHEET 12 OF 15</t>
  </si>
  <si>
    <t>SHEET 13 OF 15</t>
  </si>
  <si>
    <t>SHEET 14 OF 15</t>
  </si>
  <si>
    <t>SHEET 15 OF 15</t>
  </si>
  <si>
    <t>SHEET 11 OF 15</t>
  </si>
  <si>
    <t>ABS</t>
  </si>
  <si>
    <t>COMPACTED AGGREGATE (3.25" THICK)</t>
  </si>
  <si>
    <t>PAVEMENT SUB-TOTALS THIS SHEET 
(COMMON BETWEEN PAVEMENT OPTIONS A &amp; B)</t>
  </si>
  <si>
    <t xml:space="preserve">OPTION A: ASPHALT PAVEMENT TOTALS FROM SHEETS 2 &amp; 3 
(WITH PARTICIPATION SPLITS) </t>
  </si>
  <si>
    <t xml:space="preserve">TOTALS (COMBINED) </t>
  </si>
  <si>
    <t xml:space="preserve">SHEET TOTALS </t>
  </si>
  <si>
    <t>PAVEMENT SUB-TOTALS</t>
  </si>
  <si>
    <t>CLP</t>
  </si>
  <si>
    <t>COMPACTED AGGREGATE  (3.25" THICK)</t>
  </si>
  <si>
    <t>ITEM 206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</si>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</sst>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\+##.00"/>
    <numFmt numFmtId="165" formatCode="#,##0.000"/>
    <numFmt numFmtId="166" formatCode="##\+#0.00"/>
    <numFmt numFmtId="167" formatCode="#0\+00.00"/>
    <numFmt numFmtId="168" formatCode="##\+#0"/>
    <numFmt numFmtId="169" formatCode="#,##0.0"/>
    <numFmt numFmtId="170" formatCode="m/d/yy;@"/>
  </numFmts>
  <fonts count="17" x14ac:knownFonts="1">
    <font>
      <sz val="10"/>
      <name val="Arial"/>
    </font>
    <font>
      <sz val="10"/>
      <name val="Arial"/>
      <family val="2"/>
    </font>
    <font>
      <sz val="14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u/>
      <sz val="10"/>
      <color rgb="FFFF0000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b/>
      <i/>
      <u/>
      <sz val="10"/>
      <name val="Arial"/>
      <family val="2"/>
    </font>
    <font>
      <sz val="1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2F2F2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5" borderId="55" applyNumberFormat="0" applyAlignment="0" applyProtection="0"/>
    <xf numFmtId="9" fontId="13" fillId="0" borderId="0" applyFont="0" applyFill="0" applyBorder="0" applyAlignment="0" applyProtection="0"/>
    <xf numFmtId="0" fontId="14" fillId="5" borderId="56" applyNumberFormat="0" applyAlignment="0" applyProtection="0"/>
  </cellStyleXfs>
  <cellXfs count="785">
    <xf numFmtId="0" fontId="0" fillId="0" borderId="0" xfId="0"/>
    <xf numFmtId="0" fontId="0" fillId="0" borderId="0" xfId="0" applyFill="1"/>
    <xf numFmtId="1" fontId="3" fillId="0" borderId="10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0" xfId="0" applyNumberFormat="1" applyFill="1"/>
    <xf numFmtId="4" fontId="1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11" xfId="0" applyNumberFormat="1" applyFill="1" applyBorder="1" applyAlignment="1">
      <alignment horizontal="center" vertical="center"/>
    </xf>
    <xf numFmtId="4" fontId="0" fillId="0" borderId="0" xfId="0" applyNumberFormat="1" applyFill="1" applyBorder="1"/>
    <xf numFmtId="4" fontId="1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Border="1"/>
    <xf numFmtId="0" fontId="0" fillId="0" borderId="0" xfId="0" applyFill="1" applyBorder="1"/>
    <xf numFmtId="4" fontId="0" fillId="0" borderId="4" xfId="0" applyNumberFormat="1" applyFill="1" applyBorder="1" applyAlignment="1">
      <alignment horizontal="center"/>
    </xf>
    <xf numFmtId="3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2" xfId="0" quotePrefix="1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4" fontId="3" fillId="0" borderId="1" xfId="0" quotePrefix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4" fillId="0" borderId="0" xfId="0" applyNumberFormat="1" applyFont="1" applyFill="1"/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/>
    <xf numFmtId="1" fontId="0" fillId="0" borderId="0" xfId="0" applyNumberForma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/>
    <xf numFmtId="1" fontId="0" fillId="0" borderId="1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" fontId="0" fillId="0" borderId="13" xfId="0" applyNumberFormat="1" applyFill="1" applyBorder="1" applyAlignment="1">
      <alignment horizontal="center" vertical="center"/>
    </xf>
    <xf numFmtId="0" fontId="10" fillId="0" borderId="0" xfId="0" applyFont="1" applyFill="1"/>
    <xf numFmtId="0" fontId="4" fillId="0" borderId="0" xfId="0" applyFont="1" applyFill="1" applyBorder="1" applyAlignment="1"/>
    <xf numFmtId="4" fontId="1" fillId="0" borderId="1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vertical="center" textRotation="90"/>
    </xf>
    <xf numFmtId="3" fontId="3" fillId="0" borderId="10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3" fillId="0" borderId="12" xfId="0" quotePrefix="1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8" xfId="0" quotePrefix="1" applyNumberFormat="1" applyFont="1" applyFill="1" applyBorder="1" applyAlignment="1">
      <alignment horizontal="center" vertical="center"/>
    </xf>
    <xf numFmtId="2" fontId="1" fillId="0" borderId="12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164" fontId="1" fillId="0" borderId="7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0" xfId="0" applyNumberFormat="1" applyFill="1"/>
    <xf numFmtId="4" fontId="0" fillId="0" borderId="0" xfId="0" applyNumberFormat="1" applyFill="1" applyAlignment="1">
      <alignment horizontal="center"/>
    </xf>
    <xf numFmtId="4" fontId="1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Border="1"/>
    <xf numFmtId="0" fontId="0" fillId="0" borderId="0" xfId="0" applyFill="1" applyBorder="1"/>
    <xf numFmtId="3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0" fontId="1" fillId="0" borderId="0" xfId="0" applyFont="1" applyFill="1"/>
    <xf numFmtId="164" fontId="1" fillId="0" borderId="6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0" fillId="0" borderId="13" xfId="0" applyFill="1" applyBorder="1"/>
    <xf numFmtId="0" fontId="0" fillId="0" borderId="10" xfId="0" applyFill="1" applyBorder="1"/>
    <xf numFmtId="4" fontId="0" fillId="0" borderId="12" xfId="0" applyNumberForma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0" fillId="0" borderId="0" xfId="0" applyFont="1" applyFill="1"/>
    <xf numFmtId="0" fontId="4" fillId="0" borderId="0" xfId="0" applyFont="1" applyFill="1" applyBorder="1" applyAlignment="1"/>
    <xf numFmtId="4" fontId="1" fillId="0" borderId="1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vertical="center" textRotation="90"/>
    </xf>
    <xf numFmtId="0" fontId="0" fillId="0" borderId="0" xfId="0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/>
    <xf numFmtId="0" fontId="0" fillId="0" borderId="8" xfId="0" applyFill="1" applyBorder="1"/>
    <xf numFmtId="3" fontId="1" fillId="0" borderId="1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3" fontId="1" fillId="0" borderId="28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/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 vertical="center"/>
    </xf>
    <xf numFmtId="3" fontId="0" fillId="0" borderId="13" xfId="0" applyNumberFormat="1" applyFill="1" applyBorder="1"/>
    <xf numFmtId="2" fontId="3" fillId="0" borderId="28" xfId="0" applyNumberFormat="1" applyFont="1" applyFill="1" applyBorder="1" applyAlignment="1">
      <alignment horizontal="center" vertical="center"/>
    </xf>
    <xf numFmtId="4" fontId="3" fillId="0" borderId="11" xfId="0" quotePrefix="1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textRotation="90" wrapText="1"/>
    </xf>
    <xf numFmtId="4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4" fontId="4" fillId="0" borderId="27" xfId="0" applyNumberFormat="1" applyFont="1" applyFill="1" applyBorder="1" applyAlignment="1">
      <alignment horizontal="right"/>
    </xf>
    <xf numFmtId="4" fontId="0" fillId="0" borderId="26" xfId="0" applyNumberForma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textRotation="90"/>
    </xf>
    <xf numFmtId="4" fontId="3" fillId="0" borderId="16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2" fontId="1" fillId="0" borderId="28" xfId="0" quotePrefix="1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2" fontId="3" fillId="0" borderId="29" xfId="0" quotePrefix="1" applyNumberFormat="1" applyFont="1" applyFill="1" applyBorder="1" applyAlignment="1">
      <alignment horizontal="center" vertical="center"/>
    </xf>
    <xf numFmtId="2" fontId="1" fillId="0" borderId="29" xfId="0" quotePrefix="1" applyNumberFormat="1" applyFont="1" applyFill="1" applyBorder="1" applyAlignment="1">
      <alignment horizontal="center" vertical="center"/>
    </xf>
    <xf numFmtId="4" fontId="3" fillId="0" borderId="4" xfId="0" quotePrefix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textRotation="90" wrapText="1"/>
    </xf>
    <xf numFmtId="3" fontId="1" fillId="0" borderId="0" xfId="0" applyNumberFormat="1" applyFont="1" applyFill="1" applyBorder="1" applyAlignment="1">
      <alignment horizontal="center" vertical="center"/>
    </xf>
    <xf numFmtId="4" fontId="4" fillId="0" borderId="27" xfId="0" applyNumberFormat="1" applyFon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4" fontId="4" fillId="0" borderId="27" xfId="0" quotePrefix="1" applyNumberFormat="1" applyFont="1" applyFill="1" applyBorder="1" applyAlignment="1">
      <alignment horizontal="center"/>
    </xf>
    <xf numFmtId="4" fontId="4" fillId="0" borderId="21" xfId="0" quotePrefix="1" applyNumberFormat="1" applyFont="1" applyFill="1" applyBorder="1" applyAlignment="1">
      <alignment horizontal="center"/>
    </xf>
    <xf numFmtId="4" fontId="0" fillId="0" borderId="8" xfId="0" applyNumberFormat="1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textRotation="90" wrapText="1"/>
    </xf>
    <xf numFmtId="1" fontId="3" fillId="0" borderId="0" xfId="0" applyNumberFormat="1" applyFont="1" applyFill="1" applyBorder="1" applyAlignment="1">
      <alignment horizontal="center" textRotation="90" wrapText="1"/>
    </xf>
    <xf numFmtId="3" fontId="4" fillId="0" borderId="0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/>
    </xf>
    <xf numFmtId="9" fontId="12" fillId="5" borderId="55" xfId="1" applyNumberFormat="1" applyAlignment="1">
      <alignment horizontal="center"/>
    </xf>
    <xf numFmtId="3" fontId="0" fillId="0" borderId="0" xfId="0" applyNumberFormat="1" applyFill="1" applyAlignment="1"/>
    <xf numFmtId="3" fontId="12" fillId="5" borderId="55" xfId="1" applyNumberFormat="1"/>
    <xf numFmtId="3" fontId="12" fillId="5" borderId="55" xfId="1" applyNumberFormat="1" applyAlignment="1">
      <alignment horizontal="center"/>
    </xf>
    <xf numFmtId="3" fontId="14" fillId="5" borderId="56" xfId="3" applyNumberFormat="1"/>
    <xf numFmtId="0" fontId="4" fillId="0" borderId="0" xfId="0" applyFont="1"/>
    <xf numFmtId="0" fontId="4" fillId="0" borderId="0" xfId="0" applyFont="1" applyAlignment="1">
      <alignment horizontal="right"/>
    </xf>
    <xf numFmtId="9" fontId="14" fillId="5" borderId="56" xfId="2" applyFont="1" applyFill="1" applyBorder="1" applyAlignment="1">
      <alignment horizontal="center"/>
    </xf>
    <xf numFmtId="4" fontId="0" fillId="6" borderId="0" xfId="0" applyNumberFormat="1" applyFill="1" applyBorder="1" applyAlignment="1">
      <alignment horizontal="center"/>
    </xf>
    <xf numFmtId="3" fontId="4" fillId="0" borderId="0" xfId="0" applyNumberFormat="1" applyFont="1" applyFill="1" applyAlignment="1">
      <alignment horizontal="right"/>
    </xf>
    <xf numFmtId="0" fontId="3" fillId="0" borderId="31" xfId="0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2" fontId="3" fillId="0" borderId="13" xfId="0" quotePrefix="1" applyNumberFormat="1" applyFont="1" applyFill="1" applyBorder="1" applyAlignment="1">
      <alignment horizontal="center" vertical="center"/>
    </xf>
    <xf numFmtId="2" fontId="1" fillId="0" borderId="13" xfId="0" quotePrefix="1" applyNumberFormat="1" applyFont="1" applyFill="1" applyBorder="1" applyAlignment="1">
      <alignment horizontal="center" vertical="center"/>
    </xf>
    <xf numFmtId="4" fontId="3" fillId="0" borderId="10" xfId="0" quotePrefix="1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4" fontId="1" fillId="0" borderId="37" xfId="0" applyNumberFormat="1" applyFont="1" applyFill="1" applyBorder="1" applyAlignment="1">
      <alignment horizontal="center" vertical="center"/>
    </xf>
    <xf numFmtId="0" fontId="0" fillId="6" borderId="0" xfId="0" applyFill="1"/>
    <xf numFmtId="3" fontId="12" fillId="5" borderId="55" xfId="1" applyNumberFormat="1" applyAlignment="1">
      <alignment horizontal="center"/>
    </xf>
    <xf numFmtId="0" fontId="0" fillId="2" borderId="0" xfId="0" applyFill="1"/>
    <xf numFmtId="0" fontId="0" fillId="0" borderId="1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" fontId="0" fillId="0" borderId="13" xfId="0" applyNumberFormat="1" applyFill="1" applyBorder="1" applyAlignment="1">
      <alignment horizontal="center" vertical="center"/>
    </xf>
    <xf numFmtId="3" fontId="12" fillId="5" borderId="55" xfId="1" applyNumberFormat="1" applyAlignment="1">
      <alignment horizontal="center"/>
    </xf>
    <xf numFmtId="3" fontId="3" fillId="0" borderId="1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2" fontId="1" fillId="3" borderId="0" xfId="0" applyNumberFormat="1" applyFont="1" applyFill="1" applyBorder="1" applyAlignment="1"/>
    <xf numFmtId="0" fontId="0" fillId="0" borderId="10" xfId="0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70" fontId="4" fillId="0" borderId="13" xfId="0" quotePrefix="1" applyNumberFormat="1" applyFont="1" applyFill="1" applyBorder="1" applyAlignment="1">
      <alignment horizontal="center"/>
    </xf>
    <xf numFmtId="4" fontId="4" fillId="0" borderId="26" xfId="0" applyNumberFormat="1" applyFont="1" applyFill="1" applyBorder="1" applyAlignment="1">
      <alignment horizontal="right"/>
    </xf>
    <xf numFmtId="4" fontId="4" fillId="0" borderId="20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center"/>
    </xf>
    <xf numFmtId="4" fontId="4" fillId="0" borderId="57" xfId="0" applyNumberFormat="1" applyFont="1" applyFill="1" applyBorder="1" applyAlignment="1">
      <alignment horizontal="center"/>
    </xf>
    <xf numFmtId="4" fontId="4" fillId="0" borderId="57" xfId="0" quotePrefix="1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0" fontId="1" fillId="0" borderId="0" xfId="0" applyFont="1" applyFill="1" applyBorder="1"/>
    <xf numFmtId="3" fontId="1" fillId="0" borderId="6" xfId="0" applyNumberFormat="1" applyFont="1" applyFill="1" applyBorder="1" applyAlignment="1">
      <alignment horizontal="center" vertical="center"/>
    </xf>
    <xf numFmtId="3" fontId="1" fillId="0" borderId="40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1" fontId="3" fillId="0" borderId="26" xfId="0" applyNumberFormat="1" applyFont="1" applyFill="1" applyBorder="1" applyAlignment="1">
      <alignment horizontal="center" vertical="center"/>
    </xf>
    <xf numFmtId="4" fontId="0" fillId="0" borderId="21" xfId="0" applyNumberForma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8" xfId="0" applyBorder="1"/>
    <xf numFmtId="0" fontId="0" fillId="0" borderId="14" xfId="0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1" xfId="0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4" xfId="0" applyFill="1" applyBorder="1"/>
    <xf numFmtId="0" fontId="0" fillId="0" borderId="4" xfId="0" applyBorder="1"/>
    <xf numFmtId="1" fontId="0" fillId="0" borderId="1" xfId="0" applyNumberFormat="1" applyBorder="1"/>
    <xf numFmtId="1" fontId="0" fillId="0" borderId="4" xfId="0" applyNumberFormat="1" applyBorder="1"/>
    <xf numFmtId="1" fontId="0" fillId="0" borderId="14" xfId="0" applyNumberFormat="1" applyBorder="1"/>
    <xf numFmtId="1" fontId="0" fillId="0" borderId="4" xfId="0" applyNumberFormat="1" applyFill="1" applyBorder="1" applyAlignment="1">
      <alignment horizontal="center" vertical="center"/>
    </xf>
    <xf numFmtId="164" fontId="1" fillId="0" borderId="30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1" fillId="0" borderId="28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2" fontId="3" fillId="0" borderId="16" xfId="0" quotePrefix="1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2" fontId="3" fillId="0" borderId="31" xfId="0" quotePrefix="1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0" fillId="0" borderId="21" xfId="0" applyNumberForma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/>
    </xf>
    <xf numFmtId="1" fontId="3" fillId="0" borderId="2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3" fontId="1" fillId="0" borderId="47" xfId="0" applyNumberFormat="1" applyFont="1" applyFill="1" applyBorder="1" applyAlignment="1">
      <alignment horizontal="center" vertical="center"/>
    </xf>
    <xf numFmtId="3" fontId="1" fillId="0" borderId="48" xfId="0" applyNumberFormat="1" applyFont="1" applyFill="1" applyBorder="1" applyAlignment="1">
      <alignment horizontal="center" vertical="center"/>
    </xf>
    <xf numFmtId="3" fontId="1" fillId="0" borderId="3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/>
    <xf numFmtId="3" fontId="1" fillId="0" borderId="7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/>
    <xf numFmtId="3" fontId="1" fillId="0" borderId="6" xfId="0" applyNumberFormat="1" applyFont="1" applyFill="1" applyBorder="1" applyAlignment="1">
      <alignment horizontal="center"/>
    </xf>
    <xf numFmtId="3" fontId="1" fillId="0" borderId="44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3" fontId="1" fillId="0" borderId="41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29" xfId="0" applyNumberFormat="1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center" vertical="center" wrapText="1"/>
    </xf>
    <xf numFmtId="3" fontId="4" fillId="0" borderId="51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32" xfId="0" applyNumberFormat="1" applyFont="1" applyFill="1" applyBorder="1" applyAlignment="1">
      <alignment horizontal="center" vertical="center"/>
    </xf>
    <xf numFmtId="3" fontId="3" fillId="0" borderId="47" xfId="0" applyNumberFormat="1" applyFont="1" applyFill="1" applyBorder="1" applyAlignment="1">
      <alignment horizontal="center" vertical="center"/>
    </xf>
    <xf numFmtId="3" fontId="3" fillId="0" borderId="48" xfId="0" applyNumberFormat="1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center" vertical="center"/>
    </xf>
    <xf numFmtId="3" fontId="0" fillId="0" borderId="47" xfId="0" applyNumberFormat="1" applyFill="1" applyBorder="1" applyAlignment="1">
      <alignment horizontal="center" vertical="center"/>
    </xf>
    <xf numFmtId="3" fontId="0" fillId="0" borderId="48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3" fontId="3" fillId="0" borderId="54" xfId="0" applyNumberFormat="1" applyFont="1" applyFill="1" applyBorder="1" applyAlignment="1">
      <alignment horizontal="center" vertical="center"/>
    </xf>
    <xf numFmtId="3" fontId="3" fillId="0" borderId="53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0" fillId="0" borderId="54" xfId="0" applyNumberFormat="1" applyFill="1" applyBorder="1" applyAlignment="1">
      <alignment horizontal="center"/>
    </xf>
    <xf numFmtId="3" fontId="0" fillId="0" borderId="53" xfId="0" applyNumberFormat="1" applyFill="1" applyBorder="1" applyAlignment="1">
      <alignment horizontal="center"/>
    </xf>
    <xf numFmtId="3" fontId="0" fillId="0" borderId="54" xfId="0" applyNumberFormat="1" applyFill="1" applyBorder="1" applyAlignment="1">
      <alignment horizontal="center" vertical="center"/>
    </xf>
    <xf numFmtId="3" fontId="0" fillId="0" borderId="53" xfId="0" applyNumberFormat="1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center" vertical="center"/>
    </xf>
    <xf numFmtId="3" fontId="1" fillId="0" borderId="54" xfId="0" applyNumberFormat="1" applyFont="1" applyFill="1" applyBorder="1" applyAlignment="1">
      <alignment horizontal="center" vertical="center"/>
    </xf>
    <xf numFmtId="3" fontId="1" fillId="0" borderId="53" xfId="0" applyNumberFormat="1" applyFont="1" applyFill="1" applyBorder="1" applyAlignment="1">
      <alignment horizontal="center" vertical="center"/>
    </xf>
    <xf numFmtId="0" fontId="3" fillId="0" borderId="47" xfId="0" applyNumberFormat="1" applyFont="1" applyFill="1" applyBorder="1" applyAlignment="1">
      <alignment horizontal="center" vertical="center"/>
    </xf>
    <xf numFmtId="0" fontId="3" fillId="0" borderId="48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3" fontId="0" fillId="0" borderId="47" xfId="0" applyNumberFormat="1" applyFill="1" applyBorder="1" applyAlignment="1">
      <alignment horizontal="center"/>
    </xf>
    <xf numFmtId="3" fontId="0" fillId="0" borderId="48" xfId="0" applyNumberForma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3" fontId="0" fillId="0" borderId="49" xfId="0" applyNumberFormat="1" applyFill="1" applyBorder="1" applyAlignment="1">
      <alignment horizontal="center"/>
    </xf>
    <xf numFmtId="3" fontId="0" fillId="0" borderId="50" xfId="0" applyNumberFormat="1" applyFill="1" applyBorder="1" applyAlignment="1">
      <alignment horizontal="center"/>
    </xf>
    <xf numFmtId="3" fontId="0" fillId="0" borderId="49" xfId="0" applyNumberFormat="1" applyFill="1" applyBorder="1" applyAlignment="1">
      <alignment horizontal="center" vertical="center"/>
    </xf>
    <xf numFmtId="3" fontId="0" fillId="0" borderId="50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1" fillId="0" borderId="42" xfId="0" applyNumberFormat="1" applyFont="1" applyFill="1" applyBorder="1" applyAlignment="1">
      <alignment horizontal="center" vertical="center"/>
    </xf>
    <xf numFmtId="3" fontId="0" fillId="0" borderId="42" xfId="0" applyNumberFormat="1" applyFill="1" applyBorder="1" applyAlignment="1">
      <alignment horizontal="center"/>
    </xf>
    <xf numFmtId="4" fontId="0" fillId="0" borderId="42" xfId="0" applyNumberFormat="1" applyFill="1" applyBorder="1"/>
    <xf numFmtId="0" fontId="15" fillId="0" borderId="42" xfId="0" applyNumberFormat="1" applyFont="1" applyFill="1" applyBorder="1" applyAlignment="1">
      <alignment horizontal="center" vertical="center"/>
    </xf>
    <xf numFmtId="164" fontId="16" fillId="0" borderId="6" xfId="0" applyNumberFormat="1" applyFont="1" applyFill="1" applyBorder="1" applyAlignment="1">
      <alignment horizontal="center" vertical="center"/>
    </xf>
    <xf numFmtId="164" fontId="16" fillId="0" borderId="7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2" fontId="16" fillId="0" borderId="12" xfId="0" quotePrefix="1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" fontId="16" fillId="0" borderId="1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2" fontId="16" fillId="0" borderId="1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/>
    </xf>
    <xf numFmtId="1" fontId="16" fillId="0" borderId="1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4" fontId="16" fillId="0" borderId="1" xfId="0" quotePrefix="1" applyNumberFormat="1" applyFont="1" applyFill="1" applyBorder="1" applyAlignment="1">
      <alignment horizontal="center" vertical="center"/>
    </xf>
    <xf numFmtId="4" fontId="16" fillId="0" borderId="11" xfId="0" applyNumberFormat="1" applyFont="1" applyFill="1" applyBorder="1" applyAlignment="1">
      <alignment horizontal="center"/>
    </xf>
    <xf numFmtId="164" fontId="16" fillId="0" borderId="40" xfId="0" applyNumberFormat="1" applyFont="1" applyFill="1" applyBorder="1" applyAlignment="1">
      <alignment horizontal="center" vertical="center"/>
    </xf>
    <xf numFmtId="164" fontId="16" fillId="0" borderId="41" xfId="0" applyNumberFormat="1" applyFont="1" applyFill="1" applyBorder="1" applyAlignment="1">
      <alignment horizontal="center" vertical="center"/>
    </xf>
    <xf numFmtId="164" fontId="16" fillId="0" borderId="36" xfId="0" applyNumberFormat="1" applyFont="1" applyFill="1" applyBorder="1" applyAlignment="1">
      <alignment horizontal="center" vertical="center"/>
    </xf>
    <xf numFmtId="164" fontId="16" fillId="0" borderId="37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2" fontId="16" fillId="0" borderId="28" xfId="0" quotePrefix="1" applyNumberFormat="1" applyFont="1" applyFill="1" applyBorder="1" applyAlignment="1">
      <alignment horizontal="center" vertical="center"/>
    </xf>
    <xf numFmtId="2" fontId="16" fillId="0" borderId="31" xfId="0" applyNumberFormat="1" applyFont="1" applyFill="1" applyBorder="1" applyAlignment="1">
      <alignment horizontal="center" vertical="center"/>
    </xf>
    <xf numFmtId="2" fontId="16" fillId="0" borderId="31" xfId="0" quotePrefix="1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4" fontId="1" fillId="0" borderId="28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6" fillId="0" borderId="28" xfId="0" applyNumberFormat="1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/>
    </xf>
    <xf numFmtId="4" fontId="16" fillId="0" borderId="12" xfId="0" applyNumberFormat="1" applyFont="1" applyFill="1" applyBorder="1" applyAlignment="1">
      <alignment horizontal="center" vertical="center"/>
    </xf>
    <xf numFmtId="1" fontId="16" fillId="0" borderId="28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/>
    </xf>
    <xf numFmtId="166" fontId="16" fillId="0" borderId="40" xfId="0" applyNumberFormat="1" applyFont="1" applyFill="1" applyBorder="1" applyAlignment="1">
      <alignment horizontal="center" vertical="center"/>
    </xf>
    <xf numFmtId="166" fontId="16" fillId="0" borderId="41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/>
    </xf>
    <xf numFmtId="166" fontId="16" fillId="0" borderId="7" xfId="0" applyNumberFormat="1" applyFont="1" applyFill="1" applyBorder="1" applyAlignment="1">
      <alignment horizontal="center" vertical="center"/>
    </xf>
    <xf numFmtId="167" fontId="16" fillId="0" borderId="40" xfId="0" applyNumberFormat="1" applyFont="1" applyFill="1" applyBorder="1" applyAlignment="1">
      <alignment horizontal="center" vertical="center"/>
    </xf>
    <xf numFmtId="167" fontId="16" fillId="0" borderId="41" xfId="0" applyNumberFormat="1" applyFont="1" applyFill="1" applyBorder="1" applyAlignment="1">
      <alignment horizontal="center" vertical="center"/>
    </xf>
    <xf numFmtId="167" fontId="16" fillId="0" borderId="6" xfId="0" applyNumberFormat="1" applyFont="1" applyFill="1" applyBorder="1" applyAlignment="1">
      <alignment horizontal="center" vertical="center"/>
    </xf>
    <xf numFmtId="167" fontId="16" fillId="0" borderId="7" xfId="0" applyNumberFormat="1" applyFont="1" applyFill="1" applyBorder="1" applyAlignment="1">
      <alignment horizontal="center" vertical="center"/>
    </xf>
    <xf numFmtId="168" fontId="16" fillId="0" borderId="1" xfId="0" applyNumberFormat="1" applyFont="1" applyFill="1" applyBorder="1" applyAlignment="1">
      <alignment horizontal="center" vertical="center"/>
    </xf>
    <xf numFmtId="3" fontId="16" fillId="0" borderId="12" xfId="0" applyNumberFormat="1" applyFont="1" applyFill="1" applyBorder="1" applyAlignment="1">
      <alignment horizontal="center"/>
    </xf>
    <xf numFmtId="169" fontId="16" fillId="0" borderId="12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 vertical="center"/>
    </xf>
    <xf numFmtId="4" fontId="1" fillId="0" borderId="47" xfId="0" applyNumberFormat="1" applyFont="1" applyFill="1" applyBorder="1" applyAlignment="1">
      <alignment horizontal="center" vertical="center"/>
    </xf>
    <xf numFmtId="4" fontId="1" fillId="0" borderId="48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50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" xfId="0" applyNumberFormat="1" applyFont="1" applyFill="1" applyBorder="1" applyAlignment="1">
      <alignment horizontal="center" vertical="center"/>
    </xf>
    <xf numFmtId="4" fontId="1" fillId="0" borderId="40" xfId="0" applyNumberFormat="1" applyFont="1" applyFill="1" applyBorder="1" applyAlignment="1">
      <alignment horizontal="center" vertical="center"/>
    </xf>
    <xf numFmtId="4" fontId="1" fillId="0" borderId="41" xfId="0" applyNumberFormat="1" applyFont="1" applyFill="1" applyBorder="1" applyAlignment="1">
      <alignment horizontal="center" vertical="center"/>
    </xf>
    <xf numFmtId="3" fontId="1" fillId="0" borderId="49" xfId="0" applyNumberFormat="1" applyFont="1" applyFill="1" applyBorder="1" applyAlignment="1">
      <alignment horizontal="center" vertical="center"/>
    </xf>
    <xf numFmtId="3" fontId="1" fillId="0" borderId="50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3" fontId="16" fillId="0" borderId="41" xfId="0" applyNumberFormat="1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2" fontId="16" fillId="0" borderId="40" xfId="0" applyNumberFormat="1" applyFont="1" applyFill="1" applyBorder="1" applyAlignment="1">
      <alignment horizontal="center" vertical="center"/>
    </xf>
    <xf numFmtId="2" fontId="16" fillId="0" borderId="41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2" fontId="16" fillId="0" borderId="6" xfId="0" applyNumberFormat="1" applyFont="1" applyFill="1" applyBorder="1" applyAlignment="1">
      <alignment horizontal="center" vertical="center"/>
    </xf>
    <xf numFmtId="2" fontId="16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2" fontId="3" fillId="0" borderId="6" xfId="0" quotePrefix="1" applyNumberFormat="1" applyFont="1" applyFill="1" applyBorder="1" applyAlignment="1">
      <alignment horizontal="center" vertical="center"/>
    </xf>
    <xf numFmtId="2" fontId="3" fillId="0" borderId="7" xfId="0" quotePrefix="1" applyNumberFormat="1" applyFont="1" applyFill="1" applyBorder="1" applyAlignment="1">
      <alignment horizontal="center" vertical="center"/>
    </xf>
    <xf numFmtId="2" fontId="1" fillId="0" borderId="7" xfId="0" quotePrefix="1" applyNumberFormat="1" applyFont="1" applyFill="1" applyBorder="1" applyAlignment="1">
      <alignment horizontal="center" vertical="center"/>
    </xf>
    <xf numFmtId="4" fontId="0" fillId="0" borderId="47" xfId="0" applyNumberFormat="1" applyFill="1" applyBorder="1" applyAlignment="1">
      <alignment horizontal="center" vertical="center"/>
    </xf>
    <xf numFmtId="4" fontId="0" fillId="0" borderId="48" xfId="0" applyNumberForma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/>
    </xf>
    <xf numFmtId="4" fontId="1" fillId="0" borderId="6" xfId="0" applyNumberFormat="1" applyFont="1" applyFill="1" applyBorder="1" applyAlignment="1">
      <alignment horizontal="center" vertical="center"/>
    </xf>
    <xf numFmtId="4" fontId="3" fillId="0" borderId="6" xfId="0" quotePrefix="1" applyNumberFormat="1" applyFont="1" applyFill="1" applyBorder="1" applyAlignment="1">
      <alignment horizontal="center" vertical="center"/>
    </xf>
    <xf numFmtId="4" fontId="3" fillId="0" borderId="7" xfId="0" quotePrefix="1" applyNumberFormat="1" applyFont="1" applyFill="1" applyBorder="1" applyAlignment="1">
      <alignment horizontal="center" vertical="center"/>
    </xf>
    <xf numFmtId="4" fontId="16" fillId="0" borderId="6" xfId="0" quotePrefix="1" applyNumberFormat="1" applyFont="1" applyFill="1" applyBorder="1" applyAlignment="1">
      <alignment horizontal="center" vertical="center"/>
    </xf>
    <xf numFmtId="4" fontId="16" fillId="0" borderId="7" xfId="0" quotePrefix="1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4" fontId="1" fillId="0" borderId="37" xfId="0" applyNumberFormat="1" applyFont="1" applyFill="1" applyBorder="1" applyAlignment="1">
      <alignment horizontal="center" vertical="center"/>
    </xf>
    <xf numFmtId="4" fontId="16" fillId="0" borderId="49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3" fontId="16" fillId="0" borderId="49" xfId="0" applyNumberFormat="1" applyFont="1" applyFill="1" applyBorder="1" applyAlignment="1">
      <alignment horizontal="center" vertical="center"/>
    </xf>
    <xf numFmtId="3" fontId="16" fillId="0" borderId="50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4" fontId="0" fillId="0" borderId="40" xfId="0" applyNumberFormat="1" applyFill="1" applyBorder="1" applyAlignment="1">
      <alignment horizontal="center" vertical="center"/>
    </xf>
    <xf numFmtId="4" fontId="0" fillId="0" borderId="41" xfId="0" applyNumberFormat="1" applyFill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textRotation="90"/>
    </xf>
    <xf numFmtId="0" fontId="0" fillId="0" borderId="28" xfId="0" applyFill="1" applyBorder="1"/>
    <xf numFmtId="4" fontId="3" fillId="0" borderId="28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0" fontId="0" fillId="0" borderId="51" xfId="0" applyNumberFormat="1" applyFill="1" applyBorder="1"/>
    <xf numFmtId="0" fontId="0" fillId="0" borderId="52" xfId="0" applyNumberFormat="1" applyFill="1" applyBorder="1"/>
    <xf numFmtId="4" fontId="0" fillId="0" borderId="52" xfId="0" applyNumberFormat="1" applyFill="1" applyBorder="1"/>
    <xf numFmtId="4" fontId="0" fillId="0" borderId="51" xfId="0" applyNumberFormat="1" applyFill="1" applyBorder="1"/>
    <xf numFmtId="4" fontId="0" fillId="0" borderId="51" xfId="0" applyNumberFormat="1" applyFill="1" applyBorder="1" applyAlignment="1">
      <alignment horizontal="center"/>
    </xf>
    <xf numFmtId="4" fontId="0" fillId="0" borderId="52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51" xfId="0" applyNumberFormat="1" applyFill="1" applyBorder="1" applyAlignment="1">
      <alignment horizontal="center"/>
    </xf>
    <xf numFmtId="3" fontId="0" fillId="0" borderId="52" xfId="0" applyNumberForma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1" fillId="0" borderId="31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170" fontId="4" fillId="0" borderId="29" xfId="0" quotePrefix="1" applyNumberFormat="1" applyFont="1" applyFill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center"/>
    </xf>
    <xf numFmtId="2" fontId="3" fillId="0" borderId="31" xfId="0" applyNumberFormat="1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1" fontId="16" fillId="0" borderId="14" xfId="0" applyNumberFormat="1" applyFont="1" applyFill="1" applyBorder="1" applyAlignment="1">
      <alignment horizontal="center" vertical="center"/>
    </xf>
    <xf numFmtId="4" fontId="3" fillId="0" borderId="5" xfId="0" quotePrefix="1" applyNumberFormat="1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28" xfId="0" applyNumberForma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4" fontId="0" fillId="0" borderId="21" xfId="0" applyNumberFormat="1" applyFill="1" applyBorder="1" applyAlignment="1"/>
    <xf numFmtId="4" fontId="0" fillId="0" borderId="21" xfId="0" applyNumberForma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4" fontId="0" fillId="0" borderId="11" xfId="0" applyNumberForma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2" fontId="1" fillId="0" borderId="12" xfId="0" quotePrefix="1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3" fontId="16" fillId="0" borderId="54" xfId="0" applyNumberFormat="1" applyFont="1" applyFill="1" applyBorder="1" applyAlignment="1">
      <alignment horizontal="center" vertical="center"/>
    </xf>
    <xf numFmtId="3" fontId="16" fillId="0" borderId="53" xfId="0" applyNumberFormat="1" applyFont="1" applyFill="1" applyBorder="1" applyAlignment="1">
      <alignment horizontal="center" vertical="center"/>
    </xf>
    <xf numFmtId="3" fontId="1" fillId="0" borderId="36" xfId="0" applyNumberFormat="1" applyFont="1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/>
    </xf>
    <xf numFmtId="2" fontId="16" fillId="0" borderId="54" xfId="0" applyNumberFormat="1" applyFont="1" applyFill="1" applyBorder="1" applyAlignment="1">
      <alignment horizontal="center" vertical="center"/>
    </xf>
    <xf numFmtId="2" fontId="16" fillId="0" borderId="53" xfId="0" applyNumberFormat="1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center" vertical="center"/>
    </xf>
    <xf numFmtId="2" fontId="1" fillId="0" borderId="37" xfId="0" applyNumberFormat="1" applyFont="1" applyFill="1" applyBorder="1" applyAlignment="1">
      <alignment horizontal="center" vertical="center"/>
    </xf>
    <xf numFmtId="4" fontId="0" fillId="0" borderId="36" xfId="0" applyNumberFormat="1" applyFill="1" applyBorder="1" applyAlignment="1">
      <alignment horizontal="center"/>
    </xf>
    <xf numFmtId="4" fontId="0" fillId="0" borderId="37" xfId="0" applyNumberFormat="1" applyFill="1" applyBorder="1" applyAlignment="1">
      <alignment horizontal="center"/>
    </xf>
    <xf numFmtId="4" fontId="16" fillId="0" borderId="36" xfId="0" applyNumberFormat="1" applyFont="1" applyFill="1" applyBorder="1" applyAlignment="1">
      <alignment horizontal="center"/>
    </xf>
    <xf numFmtId="4" fontId="16" fillId="0" borderId="37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3" fontId="12" fillId="5" borderId="55" xfId="1" applyNumberFormat="1" applyAlignment="1">
      <alignment horizontal="center"/>
    </xf>
    <xf numFmtId="1" fontId="0" fillId="0" borderId="13" xfId="0" applyNumberForma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3" fontId="12" fillId="5" borderId="55" xfId="1" applyNumberFormat="1" applyAlignment="1">
      <alignment horizontal="center"/>
    </xf>
    <xf numFmtId="3" fontId="3" fillId="0" borderId="50" xfId="0" applyNumberFormat="1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4" fontId="1" fillId="0" borderId="23" xfId="0" applyNumberFormat="1" applyFont="1" applyFill="1" applyBorder="1" applyAlignment="1">
      <alignment horizontal="center" textRotation="90" wrapText="1"/>
    </xf>
    <xf numFmtId="4" fontId="1" fillId="0" borderId="31" xfId="0" applyNumberFormat="1" applyFont="1" applyFill="1" applyBorder="1" applyAlignment="1">
      <alignment horizontal="center" textRotation="90" wrapText="1"/>
    </xf>
    <xf numFmtId="4" fontId="1" fillId="0" borderId="8" xfId="0" applyNumberFormat="1" applyFont="1" applyFill="1" applyBorder="1" applyAlignment="1">
      <alignment horizontal="center" textRotation="90" wrapText="1"/>
    </xf>
    <xf numFmtId="4" fontId="1" fillId="0" borderId="16" xfId="0" applyNumberFormat="1" applyFont="1" applyFill="1" applyBorder="1" applyAlignment="1">
      <alignment horizontal="center" textRotation="90" wrapText="1"/>
    </xf>
    <xf numFmtId="4" fontId="1" fillId="0" borderId="24" xfId="0" applyNumberFormat="1" applyFont="1" applyFill="1" applyBorder="1" applyAlignment="1">
      <alignment horizontal="center" textRotation="90" wrapText="1"/>
    </xf>
    <xf numFmtId="4" fontId="1" fillId="0" borderId="28" xfId="0" applyNumberFormat="1" applyFont="1" applyFill="1" applyBorder="1" applyAlignment="1">
      <alignment horizontal="center" textRotation="90" wrapText="1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center" textRotation="90" wrapText="1"/>
    </xf>
    <xf numFmtId="4" fontId="3" fillId="0" borderId="31" xfId="0" applyNumberFormat="1" applyFont="1" applyFill="1" applyBorder="1" applyAlignment="1">
      <alignment horizontal="center" textRotation="90" wrapText="1"/>
    </xf>
    <xf numFmtId="4" fontId="3" fillId="0" borderId="8" xfId="0" applyNumberFormat="1" applyFont="1" applyFill="1" applyBorder="1" applyAlignment="1">
      <alignment horizontal="center" textRotation="90" wrapText="1"/>
    </xf>
    <xf numFmtId="4" fontId="3" fillId="0" borderId="16" xfId="0" applyNumberFormat="1" applyFont="1" applyFill="1" applyBorder="1" applyAlignment="1">
      <alignment horizontal="center" textRotation="90" wrapText="1"/>
    </xf>
    <xf numFmtId="4" fontId="3" fillId="0" borderId="24" xfId="0" applyNumberFormat="1" applyFont="1" applyFill="1" applyBorder="1" applyAlignment="1">
      <alignment horizontal="center" textRotation="90" wrapText="1"/>
    </xf>
    <xf numFmtId="4" fontId="3" fillId="0" borderId="28" xfId="0" applyNumberFormat="1" applyFont="1" applyFill="1" applyBorder="1" applyAlignment="1">
      <alignment horizontal="center" textRotation="90" wrapText="1"/>
    </xf>
    <xf numFmtId="4" fontId="1" fillId="0" borderId="5" xfId="0" applyNumberFormat="1" applyFont="1" applyFill="1" applyBorder="1" applyAlignment="1">
      <alignment horizontal="center" textRotation="90" wrapText="1"/>
    </xf>
    <xf numFmtId="4" fontId="3" fillId="0" borderId="14" xfId="0" applyNumberFormat="1" applyFont="1" applyFill="1" applyBorder="1" applyAlignment="1">
      <alignment horizontal="center" textRotation="90" wrapText="1"/>
    </xf>
    <xf numFmtId="4" fontId="3" fillId="0" borderId="11" xfId="0" applyNumberFormat="1" applyFont="1" applyFill="1" applyBorder="1" applyAlignment="1">
      <alignment horizontal="center" textRotation="90" wrapText="1"/>
    </xf>
    <xf numFmtId="4" fontId="1" fillId="0" borderId="14" xfId="0" applyNumberFormat="1" applyFont="1" applyFill="1" applyBorder="1" applyAlignment="1">
      <alignment horizontal="center" textRotation="90" wrapText="1"/>
    </xf>
    <xf numFmtId="4" fontId="1" fillId="0" borderId="11" xfId="0" applyNumberFormat="1" applyFont="1" applyFill="1" applyBorder="1" applyAlignment="1">
      <alignment horizontal="center" textRotation="90" wrapText="1"/>
    </xf>
    <xf numFmtId="3" fontId="1" fillId="0" borderId="23" xfId="0" applyNumberFormat="1" applyFont="1" applyFill="1" applyBorder="1" applyAlignment="1">
      <alignment horizontal="center" textRotation="90" wrapText="1"/>
    </xf>
    <xf numFmtId="3" fontId="1" fillId="0" borderId="31" xfId="0" applyNumberFormat="1" applyFont="1" applyFill="1" applyBorder="1" applyAlignment="1">
      <alignment horizontal="center" textRotation="90" wrapText="1"/>
    </xf>
    <xf numFmtId="3" fontId="1" fillId="0" borderId="8" xfId="0" applyNumberFormat="1" applyFont="1" applyFill="1" applyBorder="1" applyAlignment="1">
      <alignment horizontal="center" textRotation="90" wrapText="1"/>
    </xf>
    <xf numFmtId="3" fontId="1" fillId="0" borderId="16" xfId="0" applyNumberFormat="1" applyFont="1" applyFill="1" applyBorder="1" applyAlignment="1">
      <alignment horizontal="center" textRotation="90" wrapText="1"/>
    </xf>
    <xf numFmtId="3" fontId="1" fillId="0" borderId="24" xfId="0" applyNumberFormat="1" applyFont="1" applyFill="1" applyBorder="1" applyAlignment="1">
      <alignment horizontal="center" textRotation="90" wrapText="1"/>
    </xf>
    <xf numFmtId="3" fontId="1" fillId="0" borderId="28" xfId="0" applyNumberFormat="1" applyFont="1" applyFill="1" applyBorder="1" applyAlignment="1">
      <alignment horizontal="center" textRotation="90" wrapText="1"/>
    </xf>
    <xf numFmtId="0" fontId="0" fillId="0" borderId="14" xfId="0" applyFill="1" applyBorder="1" applyAlignment="1">
      <alignment horizontal="center" textRotation="90" wrapText="1"/>
    </xf>
    <xf numFmtId="0" fontId="0" fillId="0" borderId="11" xfId="0" applyFill="1" applyBorder="1" applyAlignment="1">
      <alignment horizontal="center" textRotation="90" wrapText="1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6" fillId="0" borderId="45" xfId="0" applyNumberFormat="1" applyFont="1" applyFill="1" applyBorder="1" applyAlignment="1">
      <alignment horizontal="center" vertical="center"/>
    </xf>
    <xf numFmtId="0" fontId="6" fillId="0" borderId="32" xfId="0" applyNumberFormat="1" applyFont="1" applyFill="1" applyBorder="1" applyAlignment="1">
      <alignment horizontal="center" vertical="center"/>
    </xf>
    <xf numFmtId="3" fontId="4" fillId="0" borderId="63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textRotation="90" wrapText="1"/>
    </xf>
    <xf numFmtId="1" fontId="1" fillId="0" borderId="14" xfId="0" applyNumberFormat="1" applyFont="1" applyFill="1" applyBorder="1" applyAlignment="1">
      <alignment horizontal="center" textRotation="90" wrapText="1"/>
    </xf>
    <xf numFmtId="1" fontId="1" fillId="0" borderId="11" xfId="0" applyNumberFormat="1" applyFont="1" applyFill="1" applyBorder="1" applyAlignment="1">
      <alignment horizontal="center" textRotation="90" wrapText="1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vertical="center" wrapText="1"/>
    </xf>
    <xf numFmtId="3" fontId="4" fillId="0" borderId="22" xfId="0" applyNumberFormat="1" applyFont="1" applyFill="1" applyBorder="1" applyAlignment="1">
      <alignment horizontal="right" vertical="center" wrapText="1"/>
    </xf>
    <xf numFmtId="3" fontId="4" fillId="0" borderId="17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4" fontId="0" fillId="0" borderId="21" xfId="0" applyNumberForma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3" fontId="3" fillId="0" borderId="60" xfId="0" applyNumberFormat="1" applyFont="1" applyFill="1" applyBorder="1" applyAlignment="1">
      <alignment horizontal="center" vertical="center"/>
    </xf>
    <xf numFmtId="3" fontId="0" fillId="0" borderId="49" xfId="0" applyNumberFormat="1" applyFill="1" applyBorder="1" applyAlignment="1">
      <alignment horizontal="center" vertical="center"/>
    </xf>
    <xf numFmtId="3" fontId="3" fillId="0" borderId="62" xfId="0" applyNumberFormat="1" applyFont="1" applyFill="1" applyBorder="1" applyAlignment="1">
      <alignment horizontal="center" vertical="center"/>
    </xf>
    <xf numFmtId="3" fontId="0" fillId="0" borderId="50" xfId="0" applyNumberForma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2" fontId="1" fillId="3" borderId="33" xfId="0" applyNumberFormat="1" applyFont="1" applyFill="1" applyBorder="1" applyAlignment="1">
      <alignment horizontal="center"/>
    </xf>
    <xf numFmtId="2" fontId="1" fillId="3" borderId="34" xfId="0" applyNumberFormat="1" applyFont="1" applyFill="1" applyBorder="1" applyAlignment="1">
      <alignment horizontal="center"/>
    </xf>
    <xf numFmtId="2" fontId="1" fillId="3" borderId="35" xfId="0" applyNumberFormat="1" applyFont="1" applyFill="1" applyBorder="1" applyAlignment="1">
      <alignment horizontal="center"/>
    </xf>
    <xf numFmtId="3" fontId="12" fillId="5" borderId="55" xfId="1" applyNumberFormat="1" applyAlignment="1">
      <alignment horizont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1" fontId="0" fillId="0" borderId="26" xfId="0" applyNumberForma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textRotation="90" wrapText="1"/>
    </xf>
    <xf numFmtId="3" fontId="1" fillId="0" borderId="19" xfId="0" applyNumberFormat="1" applyFont="1" applyFill="1" applyBorder="1" applyAlignment="1">
      <alignment horizontal="center" textRotation="90" wrapText="1"/>
    </xf>
    <xf numFmtId="3" fontId="3" fillId="0" borderId="17" xfId="0" applyNumberFormat="1" applyFont="1" applyFill="1" applyBorder="1" applyAlignment="1">
      <alignment horizontal="center" textRotation="90" wrapText="1"/>
    </xf>
    <xf numFmtId="3" fontId="3" fillId="0" borderId="19" xfId="0" applyNumberFormat="1" applyFont="1" applyFill="1" applyBorder="1" applyAlignment="1">
      <alignment horizontal="center" textRotation="90" wrapText="1"/>
    </xf>
    <xf numFmtId="3" fontId="3" fillId="0" borderId="8" xfId="0" applyNumberFormat="1" applyFont="1" applyFill="1" applyBorder="1" applyAlignment="1">
      <alignment horizontal="center" textRotation="90" wrapText="1"/>
    </xf>
    <xf numFmtId="3" fontId="3" fillId="0" borderId="16" xfId="0" applyNumberFormat="1" applyFont="1" applyFill="1" applyBorder="1" applyAlignment="1">
      <alignment horizontal="center" textRotation="90" wrapText="1"/>
    </xf>
    <xf numFmtId="3" fontId="3" fillId="0" borderId="24" xfId="0" applyNumberFormat="1" applyFont="1" applyFill="1" applyBorder="1" applyAlignment="1">
      <alignment horizontal="center" textRotation="90" wrapText="1"/>
    </xf>
    <xf numFmtId="3" fontId="3" fillId="0" borderId="28" xfId="0" applyNumberFormat="1" applyFont="1" applyFill="1" applyBorder="1" applyAlignment="1">
      <alignment horizontal="center" textRotation="90" wrapText="1"/>
    </xf>
    <xf numFmtId="0" fontId="1" fillId="0" borderId="25" xfId="0" applyFont="1" applyFill="1" applyBorder="1" applyAlignment="1">
      <alignment horizontal="left" textRotation="90" wrapText="1"/>
    </xf>
    <xf numFmtId="0" fontId="3" fillId="0" borderId="14" xfId="0" applyFont="1" applyFill="1" applyBorder="1" applyAlignment="1">
      <alignment horizontal="left" textRotation="90" wrapText="1"/>
    </xf>
    <xf numFmtId="3" fontId="1" fillId="0" borderId="1" xfId="0" applyNumberFormat="1" applyFont="1" applyFill="1" applyBorder="1" applyAlignment="1">
      <alignment horizontal="center" vertical="center" textRotation="90" wrapText="1"/>
    </xf>
    <xf numFmtId="3" fontId="3" fillId="0" borderId="1" xfId="0" applyNumberFormat="1" applyFont="1" applyFill="1" applyBorder="1" applyAlignment="1">
      <alignment horizontal="center" vertical="center" textRotation="90" wrapText="1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4" fontId="1" fillId="0" borderId="23" xfId="0" applyNumberFormat="1" applyFont="1" applyFill="1" applyBorder="1" applyAlignment="1">
      <alignment horizontal="center" vertical="center"/>
    </xf>
    <xf numFmtId="4" fontId="1" fillId="0" borderId="31" xfId="0" applyNumberFormat="1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>
      <alignment horizontal="center"/>
    </xf>
    <xf numFmtId="164" fontId="4" fillId="0" borderId="28" xfId="0" applyNumberFormat="1" applyFont="1" applyFill="1" applyBorder="1" applyAlignment="1">
      <alignment horizont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0" borderId="54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164" fontId="2" fillId="0" borderId="53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textRotation="90" wrapText="1"/>
    </xf>
    <xf numFmtId="4" fontId="1" fillId="0" borderId="19" xfId="0" applyNumberFormat="1" applyFont="1" applyFill="1" applyBorder="1" applyAlignment="1">
      <alignment horizontal="center" textRotation="90" wrapText="1"/>
    </xf>
    <xf numFmtId="164" fontId="2" fillId="0" borderId="17" xfId="0" applyNumberFormat="1" applyFon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4" fontId="3" fillId="0" borderId="25" xfId="0" applyNumberFormat="1" applyFont="1" applyFill="1" applyBorder="1" applyAlignment="1">
      <alignment horizontal="center" textRotation="90"/>
    </xf>
    <xf numFmtId="0" fontId="0" fillId="0" borderId="1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25" xfId="0" applyFont="1" applyFill="1" applyBorder="1" applyAlignment="1">
      <alignment horizontal="left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2" fontId="1" fillId="3" borderId="24" xfId="0" applyNumberFormat="1" applyFont="1" applyFill="1" applyBorder="1" applyAlignment="1">
      <alignment horizontal="center"/>
    </xf>
    <xf numFmtId="2" fontId="1" fillId="3" borderId="39" xfId="0" applyNumberFormat="1" applyFont="1" applyFill="1" applyBorder="1" applyAlignment="1">
      <alignment horizontal="center"/>
    </xf>
    <xf numFmtId="2" fontId="1" fillId="3" borderId="21" xfId="0" applyNumberFormat="1" applyFont="1" applyFill="1" applyBorder="1" applyAlignment="1">
      <alignment horizontal="center"/>
    </xf>
    <xf numFmtId="2" fontId="1" fillId="3" borderId="38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textRotation="90" wrapText="1"/>
    </xf>
    <xf numFmtId="4" fontId="3" fillId="0" borderId="1" xfId="0" applyNumberFormat="1" applyFont="1" applyFill="1" applyBorder="1" applyAlignment="1">
      <alignment horizontal="center" textRotation="90" wrapText="1"/>
    </xf>
    <xf numFmtId="0" fontId="4" fillId="0" borderId="46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/>
    </xf>
    <xf numFmtId="1" fontId="4" fillId="0" borderId="5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1" fontId="1" fillId="0" borderId="38" xfId="0" applyNumberFormat="1" applyFont="1" applyFill="1" applyBorder="1" applyAlignment="1">
      <alignment horizontal="center" vertical="center"/>
    </xf>
    <xf numFmtId="1" fontId="1" fillId="0" borderId="39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2" fontId="1" fillId="6" borderId="9" xfId="0" applyNumberFormat="1" applyFont="1" applyFill="1" applyBorder="1" applyAlignment="1">
      <alignment horizontal="center"/>
    </xf>
    <xf numFmtId="2" fontId="1" fillId="6" borderId="44" xfId="0" applyNumberFormat="1" applyFont="1" applyFill="1" applyBorder="1" applyAlignment="1">
      <alignment horizontal="center"/>
    </xf>
    <xf numFmtId="2" fontId="1" fillId="6" borderId="59" xfId="0" applyNumberFormat="1" applyFont="1" applyFill="1" applyBorder="1" applyAlignment="1">
      <alignment horizontal="center"/>
    </xf>
    <xf numFmtId="2" fontId="1" fillId="3" borderId="43" xfId="0" applyNumberFormat="1" applyFont="1" applyFill="1" applyBorder="1" applyAlignment="1">
      <alignment horizontal="center"/>
    </xf>
    <xf numFmtId="2" fontId="1" fillId="3" borderId="44" xfId="0" applyNumberFormat="1" applyFont="1" applyFill="1" applyBorder="1" applyAlignment="1">
      <alignment horizontal="center"/>
    </xf>
    <xf numFmtId="2" fontId="1" fillId="3" borderId="59" xfId="0" applyNumberFormat="1" applyFont="1" applyFill="1" applyBorder="1" applyAlignment="1">
      <alignment horizontal="center"/>
    </xf>
    <xf numFmtId="2" fontId="1" fillId="3" borderId="28" xfId="0" applyNumberFormat="1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1" xfId="0" applyNumberFormat="1" applyFont="1" applyFill="1" applyBorder="1" applyAlignment="1">
      <alignment horizontal="center"/>
    </xf>
    <xf numFmtId="1" fontId="4" fillId="0" borderId="17" xfId="0" applyNumberFormat="1" applyFont="1" applyFill="1" applyBorder="1" applyAlignment="1">
      <alignment horizontal="center" vertical="center"/>
    </xf>
    <xf numFmtId="1" fontId="4" fillId="0" borderId="61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0" fontId="0" fillId="0" borderId="14" xfId="0" applyFill="1" applyBorder="1"/>
    <xf numFmtId="0" fontId="0" fillId="0" borderId="15" xfId="0" applyFill="1" applyBorder="1"/>
    <xf numFmtId="164" fontId="4" fillId="0" borderId="19" xfId="0" applyNumberFormat="1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 textRotation="90" wrapText="1"/>
    </xf>
    <xf numFmtId="3" fontId="0" fillId="0" borderId="14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 textRotation="90" wrapText="1"/>
    </xf>
    <xf numFmtId="0" fontId="0" fillId="0" borderId="24" xfId="0" applyFill="1" applyBorder="1" applyAlignment="1">
      <alignment horizontal="center" textRotation="90" wrapText="1"/>
    </xf>
    <xf numFmtId="1" fontId="1" fillId="0" borderId="0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 textRotation="90" wrapText="1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164" fontId="16" fillId="0" borderId="9" xfId="0" applyNumberFormat="1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textRotation="90" wrapText="1"/>
    </xf>
    <xf numFmtId="1" fontId="3" fillId="0" borderId="1" xfId="0" applyNumberFormat="1" applyFont="1" applyFill="1" applyBorder="1" applyAlignment="1">
      <alignment horizontal="center" textRotation="90" wrapText="1"/>
    </xf>
    <xf numFmtId="1" fontId="3" fillId="0" borderId="23" xfId="0" applyNumberFormat="1" applyFont="1" applyFill="1" applyBorder="1" applyAlignment="1">
      <alignment horizontal="center" textRotation="90" wrapText="1"/>
    </xf>
    <xf numFmtId="1" fontId="0" fillId="0" borderId="8" xfId="0" applyNumberFormat="1" applyFill="1" applyBorder="1" applyAlignment="1">
      <alignment horizontal="center" textRotation="90" wrapText="1"/>
    </xf>
    <xf numFmtId="1" fontId="0" fillId="0" borderId="24" xfId="0" applyNumberFormat="1" applyFill="1" applyBorder="1" applyAlignment="1">
      <alignment horizontal="center" textRotation="90" wrapText="1"/>
    </xf>
    <xf numFmtId="1" fontId="3" fillId="0" borderId="25" xfId="0" applyNumberFormat="1" applyFont="1" applyFill="1" applyBorder="1" applyAlignment="1">
      <alignment horizontal="center" textRotation="90" wrapText="1"/>
    </xf>
    <xf numFmtId="1" fontId="0" fillId="0" borderId="14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1" fillId="3" borderId="39" xfId="0" applyNumberFormat="1" applyFont="1" applyFill="1" applyBorder="1" applyAlignment="1">
      <alignment horizontal="center"/>
    </xf>
    <xf numFmtId="1" fontId="1" fillId="3" borderId="21" xfId="0" applyNumberFormat="1" applyFont="1" applyFill="1" applyBorder="1" applyAlignment="1">
      <alignment horizontal="center"/>
    </xf>
    <xf numFmtId="1" fontId="1" fillId="3" borderId="38" xfId="0" applyNumberFormat="1" applyFont="1" applyFill="1" applyBorder="1" applyAlignment="1">
      <alignment horizontal="center"/>
    </xf>
    <xf numFmtId="1" fontId="1" fillId="3" borderId="22" xfId="0" applyNumberFormat="1" applyFont="1" applyFill="1" applyBorder="1" applyAlignment="1">
      <alignment horizontal="center"/>
    </xf>
    <xf numFmtId="1" fontId="1" fillId="3" borderId="43" xfId="0" applyNumberFormat="1" applyFont="1" applyFill="1" applyBorder="1" applyAlignment="1">
      <alignment horizontal="center"/>
    </xf>
    <xf numFmtId="1" fontId="1" fillId="3" borderId="44" xfId="0" applyNumberFormat="1" applyFont="1" applyFill="1" applyBorder="1" applyAlignment="1">
      <alignment horizontal="center"/>
    </xf>
    <xf numFmtId="1" fontId="1" fillId="3" borderId="59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3" fontId="1" fillId="0" borderId="25" xfId="0" applyNumberFormat="1" applyFont="1" applyFill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/>
    </xf>
    <xf numFmtId="1" fontId="1" fillId="0" borderId="27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 vertical="center"/>
    </xf>
    <xf numFmtId="4" fontId="1" fillId="0" borderId="25" xfId="0" applyNumberFormat="1" applyFont="1" applyFill="1" applyBorder="1" applyAlignment="1">
      <alignment horizontal="center" textRotation="90" wrapText="1"/>
    </xf>
    <xf numFmtId="1" fontId="1" fillId="0" borderId="26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textRotation="90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4" fontId="1" fillId="0" borderId="25" xfId="0" applyNumberFormat="1" applyFont="1" applyFill="1" applyBorder="1" applyAlignment="1">
      <alignment horizontal="center" textRotation="90"/>
    </xf>
    <xf numFmtId="4" fontId="1" fillId="0" borderId="14" xfId="0" applyNumberFormat="1" applyFont="1" applyFill="1" applyBorder="1" applyAlignment="1">
      <alignment horizontal="center" textRotation="90"/>
    </xf>
    <xf numFmtId="4" fontId="1" fillId="0" borderId="11" xfId="0" applyNumberFormat="1" applyFont="1" applyFill="1" applyBorder="1" applyAlignment="1">
      <alignment horizontal="center" textRotation="90"/>
    </xf>
    <xf numFmtId="0" fontId="1" fillId="0" borderId="2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center" textRotation="90" wrapText="1"/>
    </xf>
    <xf numFmtId="3" fontId="3" fillId="0" borderId="14" xfId="0" applyNumberFormat="1" applyFont="1" applyFill="1" applyBorder="1" applyAlignment="1">
      <alignment horizontal="center" textRotation="90" wrapText="1"/>
    </xf>
    <xf numFmtId="3" fontId="3" fillId="0" borderId="11" xfId="0" applyNumberFormat="1" applyFont="1" applyFill="1" applyBorder="1" applyAlignment="1">
      <alignment horizontal="center" textRotation="90" wrapText="1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 vertical="center"/>
    </xf>
    <xf numFmtId="3" fontId="0" fillId="0" borderId="20" xfId="0" applyNumberFormat="1" applyFill="1" applyBorder="1" applyAlignment="1">
      <alignment horizontal="center" vertical="center"/>
    </xf>
    <xf numFmtId="3" fontId="0" fillId="0" borderId="22" xfId="0" applyNumberForma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right" vertical="center"/>
    </xf>
    <xf numFmtId="1" fontId="3" fillId="4" borderId="26" xfId="0" applyNumberFormat="1" applyFont="1" applyFill="1" applyBorder="1" applyAlignment="1">
      <alignment horizontal="center" vertical="center"/>
    </xf>
    <xf numFmtId="1" fontId="3" fillId="4" borderId="27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textRotation="90" wrapText="1"/>
    </xf>
    <xf numFmtId="4" fontId="1" fillId="4" borderId="23" xfId="0" applyNumberFormat="1" applyFont="1" applyFill="1" applyBorder="1" applyAlignment="1">
      <alignment horizontal="center" textRotation="90" wrapText="1"/>
    </xf>
    <xf numFmtId="0" fontId="0" fillId="4" borderId="8" xfId="0" applyFill="1" applyBorder="1" applyAlignment="1">
      <alignment horizontal="center" textRotation="90" wrapText="1"/>
    </xf>
    <xf numFmtId="0" fontId="0" fillId="4" borderId="24" xfId="0" applyFill="1" applyBorder="1" applyAlignment="1">
      <alignment horizontal="center" textRotation="90" wrapText="1"/>
    </xf>
    <xf numFmtId="4" fontId="3" fillId="4" borderId="23" xfId="0" applyNumberFormat="1" applyFont="1" applyFill="1" applyBorder="1" applyAlignment="1">
      <alignment horizontal="center" textRotation="90" wrapText="1"/>
    </xf>
    <xf numFmtId="3" fontId="16" fillId="0" borderId="25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4" fillId="7" borderId="46" xfId="0" applyNumberFormat="1" applyFont="1" applyFill="1" applyBorder="1" applyAlignment="1">
      <alignment horizontal="center" vertical="center"/>
    </xf>
    <xf numFmtId="3" fontId="4" fillId="7" borderId="32" xfId="0" applyNumberFormat="1" applyFont="1" applyFill="1" applyBorder="1" applyAlignment="1">
      <alignment horizontal="center" vertical="center"/>
    </xf>
    <xf numFmtId="3" fontId="4" fillId="7" borderId="42" xfId="0" applyNumberFormat="1" applyFont="1" applyFill="1" applyBorder="1" applyAlignment="1">
      <alignment horizontal="center" vertical="center"/>
    </xf>
    <xf numFmtId="3" fontId="4" fillId="7" borderId="45" xfId="0" applyNumberFormat="1" applyFont="1" applyFill="1" applyBorder="1" applyAlignment="1">
      <alignment horizontal="center" vertical="center"/>
    </xf>
    <xf numFmtId="3" fontId="4" fillId="7" borderId="32" xfId="0" applyNumberFormat="1" applyFont="1" applyFill="1" applyBorder="1" applyAlignment="1">
      <alignment horizontal="center" vertical="center"/>
    </xf>
  </cellXfs>
  <cellStyles count="4">
    <cellStyle name="Calculation" xfId="3" builtinId="22"/>
    <cellStyle name="Normal" xfId="0" builtinId="0"/>
    <cellStyle name="Output" xfId="1" builtinId="2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9"/>
  <sheetViews>
    <sheetView tabSelected="1" view="pageBreakPreview" zoomScaleNormal="100" zoomScaleSheetLayoutView="100" workbookViewId="0">
      <pane xSplit="2" ySplit="21" topLeftCell="C22" activePane="bottomRight" state="frozen"/>
      <selection pane="topRight" activeCell="C1" sqref="C1"/>
      <selection pane="bottomLeft" activeCell="A22" sqref="A22"/>
      <selection pane="bottomRight" activeCell="C29" sqref="C29:O29"/>
    </sheetView>
  </sheetViews>
  <sheetFormatPr defaultRowHeight="12.75" x14ac:dyDescent="0.2"/>
  <cols>
    <col min="1" max="1" width="2.42578125" style="15" customWidth="1"/>
    <col min="2" max="2" width="48" style="36" customWidth="1"/>
    <col min="3" max="3" width="8.42578125" style="36" customWidth="1"/>
    <col min="4" max="4" width="6.7109375" style="36" customWidth="1"/>
    <col min="5" max="5" width="7.7109375" style="36" customWidth="1"/>
    <col min="6" max="6" width="7.85546875" style="36" customWidth="1"/>
    <col min="7" max="7" width="7.85546875" style="87" customWidth="1"/>
    <col min="8" max="8" width="4.85546875" style="8" customWidth="1"/>
    <col min="9" max="9" width="3" style="87" bestFit="1" customWidth="1"/>
    <col min="10" max="10" width="8.28515625" style="11" customWidth="1"/>
    <col min="11" max="11" width="8.42578125" style="88" customWidth="1"/>
    <col min="12" max="12" width="8.140625" style="11" customWidth="1"/>
    <col min="13" max="13" width="8.85546875" style="88" customWidth="1"/>
    <col min="14" max="14" width="6" style="11" customWidth="1"/>
    <col min="15" max="15" width="6.7109375" style="88" customWidth="1"/>
    <col min="16" max="16" width="5.28515625" style="13" customWidth="1"/>
    <col min="17" max="17" width="6.7109375" style="13" customWidth="1"/>
    <col min="18" max="20" width="9.140625" style="13" customWidth="1"/>
    <col min="21" max="21" width="9.28515625" style="13" customWidth="1"/>
    <col min="22" max="22" width="7.42578125" style="8" customWidth="1"/>
    <col min="23" max="23" width="7.42578125" style="87" customWidth="1"/>
    <col min="24" max="24" width="8.42578125" style="87" customWidth="1"/>
    <col min="25" max="25" width="7.7109375" style="8" customWidth="1"/>
    <col min="26" max="26" width="7.42578125" style="87" customWidth="1"/>
    <col min="27" max="27" width="10.140625" style="8" customWidth="1"/>
    <col min="28" max="28" width="7" style="8" customWidth="1"/>
    <col min="29" max="29" width="6.140625" style="87" customWidth="1"/>
    <col min="30" max="30" width="10.140625" style="87" customWidth="1"/>
    <col min="31" max="32" width="10.140625" style="8" customWidth="1"/>
    <col min="33" max="33" width="7.42578125" style="8" customWidth="1"/>
    <col min="34" max="34" width="6.7109375" style="87" customWidth="1"/>
    <col min="35" max="35" width="7.42578125" style="87" customWidth="1"/>
    <col min="36" max="36" width="6.28515625" style="8" customWidth="1"/>
    <col min="37" max="37" width="10.140625" style="87" customWidth="1"/>
    <col min="38" max="39" width="4.5703125" style="87" customWidth="1"/>
    <col min="40" max="40" width="10.140625" style="8" customWidth="1"/>
    <col min="41" max="41" width="10" style="8" customWidth="1"/>
    <col min="42" max="42" width="8.140625" style="8" customWidth="1"/>
    <col min="43" max="45" width="9.7109375" style="87" customWidth="1"/>
    <col min="46" max="46" width="8" style="87" customWidth="1"/>
    <col min="47" max="47" width="7.28515625" style="87" customWidth="1"/>
    <col min="48" max="48" width="8.140625" style="8" customWidth="1"/>
    <col min="49" max="49" width="7.42578125" style="87" customWidth="1"/>
    <col min="50" max="50" width="8.7109375" style="1" customWidth="1"/>
    <col min="51" max="16384" width="9.140625" style="1"/>
  </cols>
  <sheetData>
    <row r="1" spans="1:51" s="15" customFormat="1" x14ac:dyDescent="0.2">
      <c r="B1" s="35"/>
      <c r="C1" s="52"/>
      <c r="D1" s="52"/>
      <c r="E1" s="52"/>
      <c r="F1" s="52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20"/>
      <c r="AX1" s="120"/>
    </row>
    <row r="2" spans="1:51" s="15" customFormat="1" ht="13.5" thickBot="1" x14ac:dyDescent="0.25">
      <c r="A2" s="120"/>
      <c r="B2" s="52"/>
      <c r="C2" s="52"/>
      <c r="D2" s="52"/>
      <c r="E2" s="52"/>
      <c r="F2" s="52"/>
      <c r="G2" s="26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Q2" s="10"/>
      <c r="AR2" s="10"/>
      <c r="AS2" s="10"/>
      <c r="AT2" s="10"/>
      <c r="AU2" s="10"/>
      <c r="AV2" s="10"/>
      <c r="AW2" s="10"/>
      <c r="AX2" s="120"/>
      <c r="AY2" s="120"/>
    </row>
    <row r="3" spans="1:51" s="15" customFormat="1" x14ac:dyDescent="0.2">
      <c r="A3" s="120"/>
      <c r="B3" s="442" t="s">
        <v>259</v>
      </c>
      <c r="C3" s="52"/>
      <c r="D3" s="52"/>
      <c r="E3" s="52"/>
      <c r="F3" s="52"/>
      <c r="G3" s="5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20"/>
      <c r="AE3" s="120"/>
      <c r="AF3" s="120"/>
      <c r="AG3" s="120"/>
      <c r="AH3" s="120"/>
      <c r="AI3" s="120"/>
      <c r="AJ3" s="120"/>
      <c r="AK3" s="120"/>
      <c r="AL3" s="140"/>
      <c r="AM3" s="140"/>
      <c r="AN3" s="140"/>
      <c r="AO3" s="120"/>
      <c r="AQ3" s="10"/>
      <c r="AR3" s="10"/>
      <c r="AS3" s="146"/>
      <c r="AT3" s="145" t="s">
        <v>36</v>
      </c>
      <c r="AU3" s="168" t="s">
        <v>149</v>
      </c>
      <c r="AV3" s="443"/>
      <c r="AW3" s="170" t="s">
        <v>35</v>
      </c>
      <c r="AX3" s="211">
        <v>41922</v>
      </c>
    </row>
    <row r="4" spans="1:51" s="15" customFormat="1" ht="13.5" thickBot="1" x14ac:dyDescent="0.25">
      <c r="A4" s="120"/>
      <c r="B4" s="440" t="s">
        <v>260</v>
      </c>
      <c r="C4" s="436"/>
      <c r="D4" s="52"/>
      <c r="E4" s="52"/>
      <c r="F4" s="120"/>
      <c r="G4" s="43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20"/>
      <c r="AE4" s="120"/>
      <c r="AF4" s="120"/>
      <c r="AG4" s="120"/>
      <c r="AH4" s="120"/>
      <c r="AI4" s="120"/>
      <c r="AJ4" s="120"/>
      <c r="AK4" s="120"/>
      <c r="AL4" s="140"/>
      <c r="AM4" s="140"/>
      <c r="AN4" s="140"/>
      <c r="AO4" s="120"/>
      <c r="AQ4" s="10"/>
      <c r="AR4" s="10"/>
      <c r="AS4" s="45"/>
      <c r="AT4" s="46" t="s">
        <v>37</v>
      </c>
      <c r="AU4" s="169" t="s">
        <v>278</v>
      </c>
      <c r="AV4" s="444"/>
      <c r="AW4" s="171" t="s">
        <v>35</v>
      </c>
      <c r="AX4" s="472">
        <v>41926</v>
      </c>
    </row>
    <row r="5" spans="1:51" s="15" customFormat="1" ht="13.5" thickBot="1" x14ac:dyDescent="0.25">
      <c r="A5" s="120"/>
      <c r="B5" s="441" t="s">
        <v>261</v>
      </c>
      <c r="C5" s="52"/>
      <c r="D5" s="52"/>
      <c r="E5" s="52"/>
      <c r="F5" s="5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20"/>
      <c r="AQ5" s="120"/>
      <c r="AR5" s="120"/>
      <c r="AS5" s="120"/>
      <c r="AT5" s="10"/>
      <c r="AU5" s="10"/>
      <c r="AV5" s="10"/>
      <c r="AW5" s="10"/>
      <c r="AX5" s="231"/>
    </row>
    <row r="6" spans="1:51" s="16" customFormat="1" ht="12.75" customHeight="1" x14ac:dyDescent="0.2">
      <c r="A6" s="40"/>
      <c r="B6" s="556" t="s">
        <v>38</v>
      </c>
      <c r="C6" s="526">
        <v>202</v>
      </c>
      <c r="D6" s="528"/>
      <c r="E6" s="262">
        <v>203</v>
      </c>
      <c r="F6" s="526">
        <v>204</v>
      </c>
      <c r="G6" s="527"/>
      <c r="H6" s="527"/>
      <c r="I6" s="528"/>
      <c r="J6" s="526">
        <v>206</v>
      </c>
      <c r="K6" s="527"/>
      <c r="L6" s="527"/>
      <c r="M6" s="527"/>
      <c r="N6" s="527"/>
      <c r="O6" s="528"/>
      <c r="P6" s="526">
        <v>252</v>
      </c>
      <c r="Q6" s="528"/>
      <c r="R6" s="262">
        <v>254</v>
      </c>
      <c r="S6" s="526">
        <v>301</v>
      </c>
      <c r="T6" s="527"/>
      <c r="U6" s="528"/>
      <c r="V6" s="526">
        <v>302</v>
      </c>
      <c r="W6" s="528"/>
      <c r="X6" s="526">
        <v>304</v>
      </c>
      <c r="Y6" s="527"/>
      <c r="Z6" s="528"/>
      <c r="AA6" s="526">
        <v>407</v>
      </c>
      <c r="AB6" s="527"/>
      <c r="AC6" s="528"/>
      <c r="AD6" s="526">
        <v>441</v>
      </c>
      <c r="AE6" s="527"/>
      <c r="AF6" s="528"/>
      <c r="AG6" s="526">
        <v>442</v>
      </c>
      <c r="AH6" s="527"/>
      <c r="AI6" s="527"/>
      <c r="AJ6" s="527"/>
      <c r="AK6" s="528"/>
      <c r="AL6" s="527">
        <v>451</v>
      </c>
      <c r="AM6" s="528"/>
      <c r="AN6" s="526">
        <v>452</v>
      </c>
      <c r="AO6" s="527"/>
      <c r="AP6" s="527"/>
      <c r="AQ6" s="528"/>
      <c r="AR6" s="526">
        <v>617</v>
      </c>
      <c r="AS6" s="527"/>
      <c r="AT6" s="526">
        <v>618</v>
      </c>
      <c r="AU6" s="527"/>
      <c r="AV6" s="527"/>
      <c r="AW6" s="528"/>
      <c r="AX6" s="232" t="s">
        <v>157</v>
      </c>
      <c r="AY6" s="17"/>
    </row>
    <row r="7" spans="1:51" ht="12.75" customHeight="1" x14ac:dyDescent="0.2">
      <c r="B7" s="557"/>
      <c r="C7" s="529" t="s">
        <v>41</v>
      </c>
      <c r="D7" s="530"/>
      <c r="E7" s="543" t="s">
        <v>154</v>
      </c>
      <c r="F7" s="529" t="s">
        <v>8</v>
      </c>
      <c r="G7" s="530"/>
      <c r="H7" s="537" t="s">
        <v>7</v>
      </c>
      <c r="I7" s="538"/>
      <c r="J7" s="537" t="s">
        <v>18</v>
      </c>
      <c r="K7" s="538"/>
      <c r="L7" s="529" t="s">
        <v>19</v>
      </c>
      <c r="M7" s="530"/>
      <c r="N7" s="537" t="s">
        <v>23</v>
      </c>
      <c r="O7" s="538"/>
      <c r="P7" s="529" t="s">
        <v>170</v>
      </c>
      <c r="Q7" s="538"/>
      <c r="R7" s="543" t="s">
        <v>47</v>
      </c>
      <c r="S7" s="529" t="s">
        <v>33</v>
      </c>
      <c r="T7" s="530"/>
      <c r="U7" s="543" t="s">
        <v>129</v>
      </c>
      <c r="V7" s="529" t="s">
        <v>44</v>
      </c>
      <c r="W7" s="530"/>
      <c r="X7" s="543" t="s">
        <v>34</v>
      </c>
      <c r="Y7" s="537" t="s">
        <v>9</v>
      </c>
      <c r="Z7" s="538"/>
      <c r="AA7" s="543" t="s">
        <v>42</v>
      </c>
      <c r="AB7" s="529" t="s">
        <v>46</v>
      </c>
      <c r="AC7" s="530"/>
      <c r="AD7" s="543" t="s">
        <v>151</v>
      </c>
      <c r="AE7" s="543" t="s">
        <v>152</v>
      </c>
      <c r="AF7" s="543" t="s">
        <v>254</v>
      </c>
      <c r="AG7" s="537" t="s">
        <v>25</v>
      </c>
      <c r="AH7" s="538"/>
      <c r="AI7" s="529" t="s">
        <v>171</v>
      </c>
      <c r="AJ7" s="530"/>
      <c r="AK7" s="543" t="s">
        <v>148</v>
      </c>
      <c r="AL7" s="548" t="s">
        <v>138</v>
      </c>
      <c r="AM7" s="549"/>
      <c r="AN7" s="543" t="s">
        <v>172</v>
      </c>
      <c r="AO7" s="564" t="s">
        <v>168</v>
      </c>
      <c r="AP7" s="529" t="s">
        <v>29</v>
      </c>
      <c r="AQ7" s="530"/>
      <c r="AR7" s="529" t="s">
        <v>286</v>
      </c>
      <c r="AS7" s="530"/>
      <c r="AT7" s="529" t="s">
        <v>166</v>
      </c>
      <c r="AU7" s="530"/>
      <c r="AV7" s="529" t="s">
        <v>165</v>
      </c>
      <c r="AW7" s="530"/>
      <c r="AX7" s="543" t="s">
        <v>158</v>
      </c>
      <c r="AY7" s="18"/>
    </row>
    <row r="8" spans="1:51" ht="12.75" customHeight="1" x14ac:dyDescent="0.2">
      <c r="B8" s="557"/>
      <c r="C8" s="531"/>
      <c r="D8" s="532"/>
      <c r="E8" s="554"/>
      <c r="F8" s="531"/>
      <c r="G8" s="532"/>
      <c r="H8" s="539"/>
      <c r="I8" s="540"/>
      <c r="J8" s="539"/>
      <c r="K8" s="540"/>
      <c r="L8" s="531"/>
      <c r="M8" s="532"/>
      <c r="N8" s="539"/>
      <c r="O8" s="540"/>
      <c r="P8" s="539"/>
      <c r="Q8" s="540"/>
      <c r="R8" s="554"/>
      <c r="S8" s="531"/>
      <c r="T8" s="532"/>
      <c r="U8" s="544"/>
      <c r="V8" s="531"/>
      <c r="W8" s="532"/>
      <c r="X8" s="544"/>
      <c r="Y8" s="539"/>
      <c r="Z8" s="540"/>
      <c r="AA8" s="544"/>
      <c r="AB8" s="531"/>
      <c r="AC8" s="532"/>
      <c r="AD8" s="546"/>
      <c r="AE8" s="546"/>
      <c r="AF8" s="544"/>
      <c r="AG8" s="539"/>
      <c r="AH8" s="540"/>
      <c r="AI8" s="531"/>
      <c r="AJ8" s="532"/>
      <c r="AK8" s="544"/>
      <c r="AL8" s="550"/>
      <c r="AM8" s="551"/>
      <c r="AN8" s="544"/>
      <c r="AO8" s="565"/>
      <c r="AP8" s="531"/>
      <c r="AQ8" s="532"/>
      <c r="AR8" s="531"/>
      <c r="AS8" s="532"/>
      <c r="AT8" s="531"/>
      <c r="AU8" s="532"/>
      <c r="AV8" s="531"/>
      <c r="AW8" s="532"/>
      <c r="AX8" s="544"/>
      <c r="AY8" s="18"/>
    </row>
    <row r="9" spans="1:51" ht="12.75" customHeight="1" x14ac:dyDescent="0.2">
      <c r="B9" s="557"/>
      <c r="C9" s="531"/>
      <c r="D9" s="532"/>
      <c r="E9" s="554"/>
      <c r="F9" s="531"/>
      <c r="G9" s="532"/>
      <c r="H9" s="539"/>
      <c r="I9" s="540"/>
      <c r="J9" s="539"/>
      <c r="K9" s="540"/>
      <c r="L9" s="531"/>
      <c r="M9" s="532"/>
      <c r="N9" s="539"/>
      <c r="O9" s="540"/>
      <c r="P9" s="539"/>
      <c r="Q9" s="540"/>
      <c r="R9" s="554"/>
      <c r="S9" s="531"/>
      <c r="T9" s="532"/>
      <c r="U9" s="544"/>
      <c r="V9" s="531"/>
      <c r="W9" s="532"/>
      <c r="X9" s="544"/>
      <c r="Y9" s="539"/>
      <c r="Z9" s="540"/>
      <c r="AA9" s="544"/>
      <c r="AB9" s="531"/>
      <c r="AC9" s="532"/>
      <c r="AD9" s="546"/>
      <c r="AE9" s="546"/>
      <c r="AF9" s="544"/>
      <c r="AG9" s="539"/>
      <c r="AH9" s="540"/>
      <c r="AI9" s="531"/>
      <c r="AJ9" s="532"/>
      <c r="AK9" s="544"/>
      <c r="AL9" s="550"/>
      <c r="AM9" s="551"/>
      <c r="AN9" s="544"/>
      <c r="AO9" s="565"/>
      <c r="AP9" s="531"/>
      <c r="AQ9" s="532"/>
      <c r="AR9" s="531"/>
      <c r="AS9" s="532"/>
      <c r="AT9" s="531"/>
      <c r="AU9" s="532"/>
      <c r="AV9" s="531"/>
      <c r="AW9" s="532"/>
      <c r="AX9" s="544"/>
      <c r="AY9" s="18"/>
    </row>
    <row r="10" spans="1:51" ht="12.75" customHeight="1" x14ac:dyDescent="0.2">
      <c r="B10" s="557"/>
      <c r="C10" s="531"/>
      <c r="D10" s="532"/>
      <c r="E10" s="554"/>
      <c r="F10" s="531"/>
      <c r="G10" s="532"/>
      <c r="H10" s="539"/>
      <c r="I10" s="540"/>
      <c r="J10" s="539"/>
      <c r="K10" s="540"/>
      <c r="L10" s="531"/>
      <c r="M10" s="532"/>
      <c r="N10" s="539"/>
      <c r="O10" s="540"/>
      <c r="P10" s="539"/>
      <c r="Q10" s="540"/>
      <c r="R10" s="554"/>
      <c r="S10" s="531"/>
      <c r="T10" s="532"/>
      <c r="U10" s="544"/>
      <c r="V10" s="531"/>
      <c r="W10" s="532"/>
      <c r="X10" s="544"/>
      <c r="Y10" s="539"/>
      <c r="Z10" s="540"/>
      <c r="AA10" s="544"/>
      <c r="AB10" s="531"/>
      <c r="AC10" s="532"/>
      <c r="AD10" s="546"/>
      <c r="AE10" s="546"/>
      <c r="AF10" s="544"/>
      <c r="AG10" s="539"/>
      <c r="AH10" s="540"/>
      <c r="AI10" s="531"/>
      <c r="AJ10" s="532"/>
      <c r="AK10" s="544"/>
      <c r="AL10" s="550"/>
      <c r="AM10" s="551"/>
      <c r="AN10" s="544"/>
      <c r="AO10" s="565"/>
      <c r="AP10" s="531"/>
      <c r="AQ10" s="532"/>
      <c r="AR10" s="531"/>
      <c r="AS10" s="532"/>
      <c r="AT10" s="531"/>
      <c r="AU10" s="532"/>
      <c r="AV10" s="531"/>
      <c r="AW10" s="532"/>
      <c r="AX10" s="544"/>
      <c r="AY10" s="18"/>
    </row>
    <row r="11" spans="1:51" ht="12.75" customHeight="1" x14ac:dyDescent="0.2">
      <c r="B11" s="557"/>
      <c r="C11" s="531"/>
      <c r="D11" s="532"/>
      <c r="E11" s="554"/>
      <c r="F11" s="531"/>
      <c r="G11" s="532"/>
      <c r="H11" s="539"/>
      <c r="I11" s="540"/>
      <c r="J11" s="539"/>
      <c r="K11" s="540"/>
      <c r="L11" s="531"/>
      <c r="M11" s="532"/>
      <c r="N11" s="539"/>
      <c r="O11" s="540"/>
      <c r="P11" s="539"/>
      <c r="Q11" s="540"/>
      <c r="R11" s="554"/>
      <c r="S11" s="531"/>
      <c r="T11" s="532"/>
      <c r="U11" s="544"/>
      <c r="V11" s="531"/>
      <c r="W11" s="532"/>
      <c r="X11" s="544"/>
      <c r="Y11" s="539"/>
      <c r="Z11" s="540"/>
      <c r="AA11" s="544"/>
      <c r="AB11" s="531"/>
      <c r="AC11" s="532"/>
      <c r="AD11" s="546"/>
      <c r="AE11" s="546"/>
      <c r="AF11" s="544"/>
      <c r="AG11" s="539"/>
      <c r="AH11" s="540"/>
      <c r="AI11" s="531"/>
      <c r="AJ11" s="532"/>
      <c r="AK11" s="544"/>
      <c r="AL11" s="550"/>
      <c r="AM11" s="551"/>
      <c r="AN11" s="544"/>
      <c r="AO11" s="565"/>
      <c r="AP11" s="531"/>
      <c r="AQ11" s="532"/>
      <c r="AR11" s="531"/>
      <c r="AS11" s="532"/>
      <c r="AT11" s="531"/>
      <c r="AU11" s="532"/>
      <c r="AV11" s="531"/>
      <c r="AW11" s="532"/>
      <c r="AX11" s="544"/>
      <c r="AY11" s="18"/>
    </row>
    <row r="12" spans="1:51" ht="12.75" customHeight="1" x14ac:dyDescent="0.2">
      <c r="B12" s="557"/>
      <c r="C12" s="531"/>
      <c r="D12" s="532"/>
      <c r="E12" s="554"/>
      <c r="F12" s="531"/>
      <c r="G12" s="532"/>
      <c r="H12" s="539"/>
      <c r="I12" s="540"/>
      <c r="J12" s="539"/>
      <c r="K12" s="540"/>
      <c r="L12" s="531"/>
      <c r="M12" s="532"/>
      <c r="N12" s="539"/>
      <c r="O12" s="540"/>
      <c r="P12" s="539"/>
      <c r="Q12" s="540"/>
      <c r="R12" s="554"/>
      <c r="S12" s="531"/>
      <c r="T12" s="532"/>
      <c r="U12" s="544"/>
      <c r="V12" s="531"/>
      <c r="W12" s="532"/>
      <c r="X12" s="544"/>
      <c r="Y12" s="539"/>
      <c r="Z12" s="540"/>
      <c r="AA12" s="544"/>
      <c r="AB12" s="531"/>
      <c r="AC12" s="532"/>
      <c r="AD12" s="546"/>
      <c r="AE12" s="546"/>
      <c r="AF12" s="544"/>
      <c r="AG12" s="539"/>
      <c r="AH12" s="540"/>
      <c r="AI12" s="531"/>
      <c r="AJ12" s="532"/>
      <c r="AK12" s="544"/>
      <c r="AL12" s="550"/>
      <c r="AM12" s="551"/>
      <c r="AN12" s="544"/>
      <c r="AO12" s="565"/>
      <c r="AP12" s="531"/>
      <c r="AQ12" s="532"/>
      <c r="AR12" s="531"/>
      <c r="AS12" s="532"/>
      <c r="AT12" s="531"/>
      <c r="AU12" s="532"/>
      <c r="AV12" s="531"/>
      <c r="AW12" s="532"/>
      <c r="AX12" s="544"/>
      <c r="AY12" s="18"/>
    </row>
    <row r="13" spans="1:51" ht="12.75" customHeight="1" x14ac:dyDescent="0.2">
      <c r="B13" s="557"/>
      <c r="C13" s="531"/>
      <c r="D13" s="532"/>
      <c r="E13" s="554"/>
      <c r="F13" s="531"/>
      <c r="G13" s="532"/>
      <c r="H13" s="539"/>
      <c r="I13" s="540"/>
      <c r="J13" s="539"/>
      <c r="K13" s="540"/>
      <c r="L13" s="531"/>
      <c r="M13" s="532"/>
      <c r="N13" s="539"/>
      <c r="O13" s="540"/>
      <c r="P13" s="539"/>
      <c r="Q13" s="540"/>
      <c r="R13" s="554"/>
      <c r="S13" s="531"/>
      <c r="T13" s="532"/>
      <c r="U13" s="544"/>
      <c r="V13" s="531"/>
      <c r="W13" s="532"/>
      <c r="X13" s="544"/>
      <c r="Y13" s="539"/>
      <c r="Z13" s="540"/>
      <c r="AA13" s="544"/>
      <c r="AB13" s="531"/>
      <c r="AC13" s="532"/>
      <c r="AD13" s="546"/>
      <c r="AE13" s="546"/>
      <c r="AF13" s="544"/>
      <c r="AG13" s="539"/>
      <c r="AH13" s="540"/>
      <c r="AI13" s="531"/>
      <c r="AJ13" s="532"/>
      <c r="AK13" s="544"/>
      <c r="AL13" s="550"/>
      <c r="AM13" s="551"/>
      <c r="AN13" s="544"/>
      <c r="AO13" s="565"/>
      <c r="AP13" s="531"/>
      <c r="AQ13" s="532"/>
      <c r="AR13" s="531"/>
      <c r="AS13" s="532"/>
      <c r="AT13" s="531"/>
      <c r="AU13" s="532"/>
      <c r="AV13" s="531"/>
      <c r="AW13" s="532"/>
      <c r="AX13" s="544"/>
      <c r="AY13" s="18"/>
    </row>
    <row r="14" spans="1:51" ht="12.75" customHeight="1" x14ac:dyDescent="0.2">
      <c r="B14" s="557"/>
      <c r="C14" s="531"/>
      <c r="D14" s="532"/>
      <c r="E14" s="554"/>
      <c r="F14" s="531"/>
      <c r="G14" s="532"/>
      <c r="H14" s="539"/>
      <c r="I14" s="540"/>
      <c r="J14" s="539"/>
      <c r="K14" s="540"/>
      <c r="L14" s="531"/>
      <c r="M14" s="532"/>
      <c r="N14" s="539"/>
      <c r="O14" s="540"/>
      <c r="P14" s="539"/>
      <c r="Q14" s="540"/>
      <c r="R14" s="554"/>
      <c r="S14" s="531"/>
      <c r="T14" s="532"/>
      <c r="U14" s="544"/>
      <c r="V14" s="531"/>
      <c r="W14" s="532"/>
      <c r="X14" s="544"/>
      <c r="Y14" s="539"/>
      <c r="Z14" s="540"/>
      <c r="AA14" s="544"/>
      <c r="AB14" s="531"/>
      <c r="AC14" s="532"/>
      <c r="AD14" s="546"/>
      <c r="AE14" s="546"/>
      <c r="AF14" s="544"/>
      <c r="AG14" s="539"/>
      <c r="AH14" s="540"/>
      <c r="AI14" s="531"/>
      <c r="AJ14" s="532"/>
      <c r="AK14" s="544"/>
      <c r="AL14" s="550"/>
      <c r="AM14" s="551"/>
      <c r="AN14" s="544"/>
      <c r="AO14" s="565"/>
      <c r="AP14" s="531"/>
      <c r="AQ14" s="532"/>
      <c r="AR14" s="531"/>
      <c r="AS14" s="532"/>
      <c r="AT14" s="531"/>
      <c r="AU14" s="532"/>
      <c r="AV14" s="531"/>
      <c r="AW14" s="532"/>
      <c r="AX14" s="544"/>
      <c r="AY14" s="18"/>
    </row>
    <row r="15" spans="1:51" ht="12.75" customHeight="1" x14ac:dyDescent="0.2">
      <c r="B15" s="557"/>
      <c r="C15" s="531"/>
      <c r="D15" s="532"/>
      <c r="E15" s="554"/>
      <c r="F15" s="531"/>
      <c r="G15" s="532"/>
      <c r="H15" s="539"/>
      <c r="I15" s="540"/>
      <c r="J15" s="539"/>
      <c r="K15" s="540"/>
      <c r="L15" s="531"/>
      <c r="M15" s="532"/>
      <c r="N15" s="539"/>
      <c r="O15" s="540"/>
      <c r="P15" s="539"/>
      <c r="Q15" s="540"/>
      <c r="R15" s="554"/>
      <c r="S15" s="531"/>
      <c r="T15" s="532"/>
      <c r="U15" s="544"/>
      <c r="V15" s="531"/>
      <c r="W15" s="532"/>
      <c r="X15" s="544"/>
      <c r="Y15" s="539"/>
      <c r="Z15" s="540"/>
      <c r="AA15" s="544"/>
      <c r="AB15" s="531"/>
      <c r="AC15" s="532"/>
      <c r="AD15" s="546"/>
      <c r="AE15" s="546"/>
      <c r="AF15" s="544"/>
      <c r="AG15" s="539"/>
      <c r="AH15" s="540"/>
      <c r="AI15" s="531"/>
      <c r="AJ15" s="532"/>
      <c r="AK15" s="544"/>
      <c r="AL15" s="550"/>
      <c r="AM15" s="551"/>
      <c r="AN15" s="544"/>
      <c r="AO15" s="565"/>
      <c r="AP15" s="531"/>
      <c r="AQ15" s="532"/>
      <c r="AR15" s="531"/>
      <c r="AS15" s="532"/>
      <c r="AT15" s="531"/>
      <c r="AU15" s="532"/>
      <c r="AV15" s="531"/>
      <c r="AW15" s="532"/>
      <c r="AX15" s="544"/>
      <c r="AY15" s="18"/>
    </row>
    <row r="16" spans="1:51" ht="12.75" customHeight="1" x14ac:dyDescent="0.2">
      <c r="B16" s="557"/>
      <c r="C16" s="531"/>
      <c r="D16" s="532"/>
      <c r="E16" s="554"/>
      <c r="F16" s="531"/>
      <c r="G16" s="532"/>
      <c r="H16" s="539"/>
      <c r="I16" s="540"/>
      <c r="J16" s="539"/>
      <c r="K16" s="540"/>
      <c r="L16" s="531"/>
      <c r="M16" s="532"/>
      <c r="N16" s="539"/>
      <c r="O16" s="540"/>
      <c r="P16" s="539"/>
      <c r="Q16" s="540"/>
      <c r="R16" s="554"/>
      <c r="S16" s="531"/>
      <c r="T16" s="532"/>
      <c r="U16" s="544"/>
      <c r="V16" s="531"/>
      <c r="W16" s="532"/>
      <c r="X16" s="544"/>
      <c r="Y16" s="539"/>
      <c r="Z16" s="540"/>
      <c r="AA16" s="544"/>
      <c r="AB16" s="531"/>
      <c r="AC16" s="532"/>
      <c r="AD16" s="546"/>
      <c r="AE16" s="546"/>
      <c r="AF16" s="544"/>
      <c r="AG16" s="539"/>
      <c r="AH16" s="540"/>
      <c r="AI16" s="531"/>
      <c r="AJ16" s="532"/>
      <c r="AK16" s="544"/>
      <c r="AL16" s="550"/>
      <c r="AM16" s="551"/>
      <c r="AN16" s="544"/>
      <c r="AO16" s="565"/>
      <c r="AP16" s="531"/>
      <c r="AQ16" s="532"/>
      <c r="AR16" s="531"/>
      <c r="AS16" s="532"/>
      <c r="AT16" s="531"/>
      <c r="AU16" s="532"/>
      <c r="AV16" s="531"/>
      <c r="AW16" s="532"/>
      <c r="AX16" s="544"/>
      <c r="AY16" s="18"/>
    </row>
    <row r="17" spans="1:51" ht="12.75" customHeight="1" x14ac:dyDescent="0.2">
      <c r="B17" s="557"/>
      <c r="C17" s="531"/>
      <c r="D17" s="532"/>
      <c r="E17" s="554"/>
      <c r="F17" s="531"/>
      <c r="G17" s="532"/>
      <c r="H17" s="539"/>
      <c r="I17" s="540"/>
      <c r="J17" s="539"/>
      <c r="K17" s="540"/>
      <c r="L17" s="531"/>
      <c r="M17" s="532"/>
      <c r="N17" s="539"/>
      <c r="O17" s="540"/>
      <c r="P17" s="539"/>
      <c r="Q17" s="540"/>
      <c r="R17" s="554"/>
      <c r="S17" s="531"/>
      <c r="T17" s="532"/>
      <c r="U17" s="544"/>
      <c r="V17" s="531"/>
      <c r="W17" s="532"/>
      <c r="X17" s="544"/>
      <c r="Y17" s="539"/>
      <c r="Z17" s="540"/>
      <c r="AA17" s="544"/>
      <c r="AB17" s="531"/>
      <c r="AC17" s="532"/>
      <c r="AD17" s="546"/>
      <c r="AE17" s="546"/>
      <c r="AF17" s="544"/>
      <c r="AG17" s="539"/>
      <c r="AH17" s="540"/>
      <c r="AI17" s="531"/>
      <c r="AJ17" s="532"/>
      <c r="AK17" s="544"/>
      <c r="AL17" s="550"/>
      <c r="AM17" s="551"/>
      <c r="AN17" s="544"/>
      <c r="AO17" s="565"/>
      <c r="AP17" s="531"/>
      <c r="AQ17" s="532"/>
      <c r="AR17" s="531"/>
      <c r="AS17" s="532"/>
      <c r="AT17" s="531"/>
      <c r="AU17" s="532"/>
      <c r="AV17" s="531"/>
      <c r="AW17" s="532"/>
      <c r="AX17" s="544"/>
      <c r="AY17" s="18"/>
    </row>
    <row r="18" spans="1:51" ht="13.5" customHeight="1" x14ac:dyDescent="0.2">
      <c r="B18" s="557"/>
      <c r="C18" s="533"/>
      <c r="D18" s="534"/>
      <c r="E18" s="555"/>
      <c r="F18" s="533"/>
      <c r="G18" s="534"/>
      <c r="H18" s="541"/>
      <c r="I18" s="542"/>
      <c r="J18" s="541"/>
      <c r="K18" s="542"/>
      <c r="L18" s="533"/>
      <c r="M18" s="534"/>
      <c r="N18" s="541"/>
      <c r="O18" s="542"/>
      <c r="P18" s="541"/>
      <c r="Q18" s="542"/>
      <c r="R18" s="555"/>
      <c r="S18" s="533"/>
      <c r="T18" s="534"/>
      <c r="U18" s="545"/>
      <c r="V18" s="533"/>
      <c r="W18" s="534"/>
      <c r="X18" s="545"/>
      <c r="Y18" s="541"/>
      <c r="Z18" s="542"/>
      <c r="AA18" s="545"/>
      <c r="AB18" s="533"/>
      <c r="AC18" s="534"/>
      <c r="AD18" s="547"/>
      <c r="AE18" s="547"/>
      <c r="AF18" s="545"/>
      <c r="AG18" s="541"/>
      <c r="AH18" s="542"/>
      <c r="AI18" s="533"/>
      <c r="AJ18" s="534"/>
      <c r="AK18" s="545"/>
      <c r="AL18" s="552"/>
      <c r="AM18" s="553"/>
      <c r="AN18" s="545"/>
      <c r="AO18" s="566"/>
      <c r="AP18" s="533"/>
      <c r="AQ18" s="534"/>
      <c r="AR18" s="533"/>
      <c r="AS18" s="534"/>
      <c r="AT18" s="533"/>
      <c r="AU18" s="534"/>
      <c r="AV18" s="533"/>
      <c r="AW18" s="534"/>
      <c r="AX18" s="545"/>
      <c r="AY18" s="18"/>
    </row>
    <row r="19" spans="1:51" ht="12.75" customHeight="1" x14ac:dyDescent="0.2">
      <c r="B19" s="557"/>
      <c r="C19" s="535" t="s">
        <v>10</v>
      </c>
      <c r="D19" s="536"/>
      <c r="E19" s="83" t="s">
        <v>12</v>
      </c>
      <c r="F19" s="535" t="s">
        <v>10</v>
      </c>
      <c r="G19" s="536"/>
      <c r="H19" s="535" t="s">
        <v>11</v>
      </c>
      <c r="I19" s="536"/>
      <c r="J19" s="535" t="s">
        <v>10</v>
      </c>
      <c r="K19" s="536"/>
      <c r="L19" s="535" t="s">
        <v>10</v>
      </c>
      <c r="M19" s="536"/>
      <c r="N19" s="535" t="s">
        <v>22</v>
      </c>
      <c r="O19" s="536"/>
      <c r="P19" s="535" t="s">
        <v>5</v>
      </c>
      <c r="Q19" s="536"/>
      <c r="R19" s="437" t="s">
        <v>10</v>
      </c>
      <c r="S19" s="424" t="s">
        <v>12</v>
      </c>
      <c r="T19" s="456" t="s">
        <v>12</v>
      </c>
      <c r="U19" s="437" t="s">
        <v>12</v>
      </c>
      <c r="V19" s="535" t="s">
        <v>12</v>
      </c>
      <c r="W19" s="536"/>
      <c r="X19" s="437" t="s">
        <v>12</v>
      </c>
      <c r="Y19" s="535" t="s">
        <v>12</v>
      </c>
      <c r="Z19" s="536"/>
      <c r="AA19" s="437" t="s">
        <v>13</v>
      </c>
      <c r="AB19" s="535" t="s">
        <v>13</v>
      </c>
      <c r="AC19" s="536"/>
      <c r="AD19" s="437" t="s">
        <v>12</v>
      </c>
      <c r="AE19" s="437" t="s">
        <v>12</v>
      </c>
      <c r="AF19" s="437" t="s">
        <v>12</v>
      </c>
      <c r="AG19" s="535" t="s">
        <v>12</v>
      </c>
      <c r="AH19" s="536"/>
      <c r="AI19" s="535" t="s">
        <v>12</v>
      </c>
      <c r="AJ19" s="536"/>
      <c r="AK19" s="437" t="s">
        <v>12</v>
      </c>
      <c r="AL19" s="524" t="s">
        <v>5</v>
      </c>
      <c r="AM19" s="525"/>
      <c r="AN19" s="437" t="s">
        <v>10</v>
      </c>
      <c r="AO19" s="437" t="s">
        <v>10</v>
      </c>
      <c r="AP19" s="535" t="s">
        <v>10</v>
      </c>
      <c r="AQ19" s="536"/>
      <c r="AR19" s="524" t="s">
        <v>12</v>
      </c>
      <c r="AS19" s="536"/>
      <c r="AT19" s="524" t="s">
        <v>5</v>
      </c>
      <c r="AU19" s="525"/>
      <c r="AV19" s="524" t="s">
        <v>5</v>
      </c>
      <c r="AW19" s="525"/>
      <c r="AX19" s="83" t="s">
        <v>10</v>
      </c>
      <c r="AY19" s="18"/>
    </row>
    <row r="20" spans="1:51" s="81" customFormat="1" ht="12.75" customHeight="1" thickBot="1" x14ac:dyDescent="0.25">
      <c r="A20" s="90"/>
      <c r="B20" s="558"/>
      <c r="C20" s="438" t="s">
        <v>257</v>
      </c>
      <c r="D20" s="439" t="s">
        <v>258</v>
      </c>
      <c r="E20" s="435" t="s">
        <v>257</v>
      </c>
      <c r="F20" s="438" t="s">
        <v>257</v>
      </c>
      <c r="G20" s="439" t="s">
        <v>258</v>
      </c>
      <c r="H20" s="438" t="s">
        <v>257</v>
      </c>
      <c r="I20" s="439" t="s">
        <v>258</v>
      </c>
      <c r="J20" s="438" t="s">
        <v>257</v>
      </c>
      <c r="K20" s="439" t="s">
        <v>258</v>
      </c>
      <c r="L20" s="438" t="s">
        <v>257</v>
      </c>
      <c r="M20" s="439" t="s">
        <v>258</v>
      </c>
      <c r="N20" s="438" t="s">
        <v>257</v>
      </c>
      <c r="O20" s="439" t="s">
        <v>258</v>
      </c>
      <c r="P20" s="438" t="s">
        <v>257</v>
      </c>
      <c r="Q20" s="439" t="s">
        <v>258</v>
      </c>
      <c r="R20" s="439" t="s">
        <v>258</v>
      </c>
      <c r="S20" s="438" t="s">
        <v>257</v>
      </c>
      <c r="T20" s="439" t="s">
        <v>258</v>
      </c>
      <c r="U20" s="439" t="s">
        <v>258</v>
      </c>
      <c r="V20" s="438" t="s">
        <v>257</v>
      </c>
      <c r="W20" s="439" t="s">
        <v>258</v>
      </c>
      <c r="X20" s="438" t="s">
        <v>257</v>
      </c>
      <c r="Y20" s="438" t="s">
        <v>257</v>
      </c>
      <c r="Z20" s="439" t="s">
        <v>258</v>
      </c>
      <c r="AA20" s="439" t="s">
        <v>258</v>
      </c>
      <c r="AB20" s="438" t="s">
        <v>257</v>
      </c>
      <c r="AC20" s="439" t="s">
        <v>258</v>
      </c>
      <c r="AD20" s="439" t="s">
        <v>258</v>
      </c>
      <c r="AE20" s="439" t="s">
        <v>258</v>
      </c>
      <c r="AF20" s="439" t="s">
        <v>258</v>
      </c>
      <c r="AG20" s="438" t="s">
        <v>257</v>
      </c>
      <c r="AH20" s="439" t="s">
        <v>258</v>
      </c>
      <c r="AI20" s="438" t="s">
        <v>257</v>
      </c>
      <c r="AJ20" s="439" t="s">
        <v>258</v>
      </c>
      <c r="AK20" s="439" t="s">
        <v>258</v>
      </c>
      <c r="AL20" s="438" t="s">
        <v>257</v>
      </c>
      <c r="AM20" s="439" t="s">
        <v>258</v>
      </c>
      <c r="AN20" s="439" t="s">
        <v>258</v>
      </c>
      <c r="AO20" s="439" t="s">
        <v>258</v>
      </c>
      <c r="AP20" s="438" t="s">
        <v>257</v>
      </c>
      <c r="AQ20" s="439" t="s">
        <v>258</v>
      </c>
      <c r="AR20" s="438" t="s">
        <v>257</v>
      </c>
      <c r="AS20" s="439" t="s">
        <v>258</v>
      </c>
      <c r="AT20" s="438" t="s">
        <v>257</v>
      </c>
      <c r="AU20" s="439" t="s">
        <v>258</v>
      </c>
      <c r="AV20" s="438" t="s">
        <v>257</v>
      </c>
      <c r="AW20" s="439" t="s">
        <v>258</v>
      </c>
      <c r="AX20" s="435" t="s">
        <v>257</v>
      </c>
      <c r="AY20" s="93"/>
    </row>
    <row r="21" spans="1:51" s="37" customFormat="1" ht="25.5" customHeight="1" thickBot="1" x14ac:dyDescent="0.25">
      <c r="A21" s="41"/>
      <c r="B21" s="337" t="s">
        <v>142</v>
      </c>
      <c r="C21" s="559"/>
      <c r="D21" s="559"/>
      <c r="E21" s="559"/>
      <c r="F21" s="559"/>
      <c r="G21" s="559"/>
      <c r="H21" s="559"/>
      <c r="I21" s="559"/>
      <c r="J21" s="559"/>
      <c r="K21" s="559"/>
      <c r="L21" s="559"/>
      <c r="M21" s="559"/>
      <c r="N21" s="559"/>
      <c r="O21" s="559"/>
      <c r="P21" s="559"/>
      <c r="Q21" s="559"/>
      <c r="R21" s="559"/>
      <c r="S21" s="559"/>
      <c r="T21" s="559"/>
      <c r="U21" s="559"/>
      <c r="V21" s="559"/>
      <c r="W21" s="559"/>
      <c r="X21" s="559"/>
      <c r="Y21" s="559"/>
      <c r="Z21" s="559"/>
      <c r="AA21" s="559"/>
      <c r="AB21" s="559"/>
      <c r="AC21" s="559"/>
      <c r="AD21" s="559"/>
      <c r="AE21" s="559"/>
      <c r="AF21" s="559"/>
      <c r="AG21" s="559"/>
      <c r="AH21" s="559"/>
      <c r="AI21" s="559"/>
      <c r="AJ21" s="559"/>
      <c r="AK21" s="559"/>
      <c r="AL21" s="559"/>
      <c r="AM21" s="559"/>
      <c r="AN21" s="559"/>
      <c r="AO21" s="559"/>
      <c r="AP21" s="559"/>
      <c r="AQ21" s="559"/>
      <c r="AR21" s="559"/>
      <c r="AS21" s="559"/>
      <c r="AT21" s="559"/>
      <c r="AU21" s="559"/>
      <c r="AV21" s="559"/>
      <c r="AW21" s="559"/>
      <c r="AX21" s="560"/>
    </row>
    <row r="22" spans="1:51" s="37" customFormat="1" x14ac:dyDescent="0.2">
      <c r="A22" s="41"/>
      <c r="B22" s="263" t="s">
        <v>145</v>
      </c>
      <c r="C22" s="264">
        <f>'IR75 FLEXIBLE'!$V$177</f>
        <v>227505</v>
      </c>
      <c r="D22" s="265"/>
      <c r="E22" s="124"/>
      <c r="F22" s="264"/>
      <c r="G22" s="265"/>
      <c r="H22" s="264"/>
      <c r="I22" s="265"/>
      <c r="J22" s="264"/>
      <c r="K22" s="265"/>
      <c r="L22" s="264"/>
      <c r="M22" s="265"/>
      <c r="N22" s="264"/>
      <c r="O22" s="265"/>
      <c r="P22" s="264">
        <f>'IR75 FLEXIBLE'!$AG$177</f>
        <v>207</v>
      </c>
      <c r="Q22" s="265"/>
      <c r="R22" s="124"/>
      <c r="S22" s="264"/>
      <c r="T22" s="265"/>
      <c r="U22" s="118"/>
      <c r="V22" s="264"/>
      <c r="W22" s="265"/>
      <c r="X22" s="124"/>
      <c r="Y22" s="264"/>
      <c r="Z22" s="265"/>
      <c r="AA22" s="266"/>
      <c r="AB22" s="264">
        <f>'IR75 FLEXIBLE'!$AL$177</f>
        <v>1046</v>
      </c>
      <c r="AC22" s="265"/>
      <c r="AD22" s="124"/>
      <c r="AE22" s="124"/>
      <c r="AF22" s="124"/>
      <c r="AG22" s="264">
        <f>'IR75 FLEXIBLE'!$AN$177</f>
        <v>1090</v>
      </c>
      <c r="AH22" s="265"/>
      <c r="AI22" s="264"/>
      <c r="AJ22" s="265"/>
      <c r="AK22" s="124"/>
      <c r="AL22" s="264"/>
      <c r="AM22" s="265"/>
      <c r="AN22" s="266"/>
      <c r="AO22" s="124"/>
      <c r="AP22" s="264"/>
      <c r="AQ22" s="265"/>
      <c r="AR22" s="264"/>
      <c r="AS22" s="265"/>
      <c r="AT22" s="264"/>
      <c r="AU22" s="265"/>
      <c r="AV22" s="264"/>
      <c r="AW22" s="265"/>
      <c r="AX22" s="126"/>
    </row>
    <row r="23" spans="1:51" s="37" customFormat="1" x14ac:dyDescent="0.2">
      <c r="A23" s="41"/>
      <c r="B23" s="267" t="s">
        <v>147</v>
      </c>
      <c r="C23" s="268"/>
      <c r="D23" s="269">
        <f>'US68 FLEXIBLE'!$R$75</f>
        <v>2484</v>
      </c>
      <c r="E23" s="270"/>
      <c r="F23" s="268"/>
      <c r="G23" s="269">
        <f>'US68 FLEXIBLE'!$S$75</f>
        <v>719</v>
      </c>
      <c r="H23" s="221"/>
      <c r="I23" s="269">
        <f>'US68 FLEXIBLE'!$T$75</f>
        <v>1</v>
      </c>
      <c r="J23" s="221"/>
      <c r="K23" s="269"/>
      <c r="L23" s="271"/>
      <c r="M23" s="269"/>
      <c r="N23" s="271"/>
      <c r="O23" s="269"/>
      <c r="P23" s="221"/>
      <c r="Q23" s="269">
        <f>'US68 FLEXIBLE'!$X$75</f>
        <v>1029</v>
      </c>
      <c r="R23" s="123">
        <f>'US68 FLEXIBLE'!$Y$75</f>
        <v>7022</v>
      </c>
      <c r="S23" s="221"/>
      <c r="T23" s="269"/>
      <c r="U23" s="123"/>
      <c r="V23" s="221"/>
      <c r="W23" s="269">
        <f>'US68 FLEXIBLE'!$Z$75</f>
        <v>222</v>
      </c>
      <c r="X23" s="123"/>
      <c r="Y23" s="221"/>
      <c r="Z23" s="269">
        <f>'US68 FLEXIBLE'!$AA$75</f>
        <v>119</v>
      </c>
      <c r="AA23" s="272">
        <f>'US68 FLEXIBLE'!$AB$75</f>
        <v>527</v>
      </c>
      <c r="AB23" s="221"/>
      <c r="AC23" s="269">
        <f>'US68 FLEXIBLE'!$AC$75</f>
        <v>436</v>
      </c>
      <c r="AD23" s="123"/>
      <c r="AE23" s="123"/>
      <c r="AF23" s="123"/>
      <c r="AG23" s="221"/>
      <c r="AH23" s="269">
        <f>'US68 FLEXIBLE'!$AD$75</f>
        <v>454</v>
      </c>
      <c r="AI23" s="221"/>
      <c r="AJ23" s="269">
        <f>'US68 FLEXIBLE'!$AE$75</f>
        <v>375</v>
      </c>
      <c r="AK23" s="123"/>
      <c r="AL23" s="221"/>
      <c r="AM23" s="269"/>
      <c r="AN23" s="272"/>
      <c r="AO23" s="123"/>
      <c r="AP23" s="221"/>
      <c r="AQ23" s="269"/>
      <c r="AR23" s="221"/>
      <c r="AS23" s="269">
        <f>'US68 FLEXIBLE'!$AF$75</f>
        <v>62</v>
      </c>
      <c r="AT23" s="273"/>
      <c r="AU23" s="269">
        <f>'US68 FLEXIBLE'!$AG$75</f>
        <v>5685</v>
      </c>
      <c r="AV23" s="221"/>
      <c r="AW23" s="274"/>
      <c r="AX23" s="126"/>
    </row>
    <row r="24" spans="1:51" s="37" customFormat="1" x14ac:dyDescent="0.2">
      <c r="A24" s="41"/>
      <c r="B24" s="267" t="s">
        <v>143</v>
      </c>
      <c r="C24" s="221"/>
      <c r="D24" s="269"/>
      <c r="E24" s="270"/>
      <c r="F24" s="221"/>
      <c r="G24" s="269">
        <f>'LIMA RAMPS'!$P$65</f>
        <v>10818</v>
      </c>
      <c r="H24" s="221"/>
      <c r="I24" s="269">
        <f>'LIMA RAMPS'!$Q$65</f>
        <v>13</v>
      </c>
      <c r="J24" s="221"/>
      <c r="K24" s="269">
        <f>'LIMA RAMPS'!$R$65</f>
        <v>14192</v>
      </c>
      <c r="L24" s="271"/>
      <c r="M24" s="269">
        <f>'LIMA RAMPS'!$S$65</f>
        <v>14192</v>
      </c>
      <c r="N24" s="271"/>
      <c r="O24" s="269">
        <f>'LIMA RAMPS'!$T$65</f>
        <v>422</v>
      </c>
      <c r="P24" s="221"/>
      <c r="Q24" s="269"/>
      <c r="R24" s="123"/>
      <c r="S24" s="221"/>
      <c r="T24" s="269"/>
      <c r="U24" s="123"/>
      <c r="V24" s="221"/>
      <c r="W24" s="269"/>
      <c r="X24" s="123"/>
      <c r="Y24" s="221"/>
      <c r="Z24" s="269">
        <f>'LIMA RAMPS'!$U$65</f>
        <v>4181</v>
      </c>
      <c r="AA24" s="272"/>
      <c r="AB24" s="221"/>
      <c r="AC24" s="269"/>
      <c r="AD24" s="123"/>
      <c r="AE24" s="123"/>
      <c r="AF24" s="123"/>
      <c r="AG24" s="221"/>
      <c r="AH24" s="269"/>
      <c r="AI24" s="221"/>
      <c r="AJ24" s="269"/>
      <c r="AK24" s="123"/>
      <c r="AL24" s="221"/>
      <c r="AM24" s="269"/>
      <c r="AN24" s="272"/>
      <c r="AO24" s="123"/>
      <c r="AP24" s="221"/>
      <c r="AQ24" s="269">
        <f>'LIMA RAMPS'!$V$65</f>
        <v>22567</v>
      </c>
      <c r="AR24" s="221"/>
      <c r="AS24" s="269">
        <f>'LIMA RAMPS'!$W$65</f>
        <v>124</v>
      </c>
      <c r="AT24" s="221"/>
      <c r="AU24" s="269"/>
      <c r="AV24" s="221"/>
      <c r="AW24" s="269"/>
      <c r="AX24" s="127"/>
    </row>
    <row r="25" spans="1:51" ht="12.75" customHeight="1" x14ac:dyDescent="0.2">
      <c r="B25" s="267" t="s">
        <v>253</v>
      </c>
      <c r="C25" s="221"/>
      <c r="D25" s="269">
        <f>'SR12,US224 RAMPS'!$P$69</f>
        <v>1681</v>
      </c>
      <c r="E25" s="270"/>
      <c r="F25" s="221"/>
      <c r="G25" s="275"/>
      <c r="H25" s="271"/>
      <c r="I25" s="276">
        <f>'SR12,US224 RAMPS'!$Q$69</f>
        <v>8</v>
      </c>
      <c r="J25" s="277"/>
      <c r="K25" s="276">
        <f>'SR12,US224 RAMPS'!$R$69</f>
        <v>14906</v>
      </c>
      <c r="L25" s="277"/>
      <c r="M25" s="276">
        <f>'SR12,US224 RAMPS'!$S$69</f>
        <v>14906</v>
      </c>
      <c r="N25" s="277"/>
      <c r="O25" s="276">
        <f>'SR12,US224 RAMPS'!$T$69</f>
        <v>443</v>
      </c>
      <c r="P25" s="273"/>
      <c r="Q25" s="276">
        <f>'SR12,US224 RAMPS'!$U$69</f>
        <v>250</v>
      </c>
      <c r="R25" s="123"/>
      <c r="S25" s="221"/>
      <c r="T25" s="269"/>
      <c r="U25" s="123"/>
      <c r="V25" s="221"/>
      <c r="W25" s="269"/>
      <c r="X25" s="123"/>
      <c r="Y25" s="273"/>
      <c r="Z25" s="269">
        <f>'SR12,US224 RAMPS'!$V$69</f>
        <v>2474</v>
      </c>
      <c r="AA25" s="272"/>
      <c r="AB25" s="271"/>
      <c r="AC25" s="276"/>
      <c r="AD25" s="123"/>
      <c r="AE25" s="123"/>
      <c r="AF25" s="123"/>
      <c r="AG25" s="221"/>
      <c r="AH25" s="269"/>
      <c r="AI25" s="221"/>
      <c r="AJ25" s="269"/>
      <c r="AK25" s="123"/>
      <c r="AL25" s="221"/>
      <c r="AM25" s="269"/>
      <c r="AN25" s="272"/>
      <c r="AO25" s="123"/>
      <c r="AP25" s="273"/>
      <c r="AQ25" s="269">
        <f>'SR12,US224 RAMPS'!$W$69</f>
        <v>13448</v>
      </c>
      <c r="AR25" s="221"/>
      <c r="AS25" s="269">
        <f>'SR12,US224 RAMPS'!$X$69</f>
        <v>84</v>
      </c>
      <c r="AT25" s="221"/>
      <c r="AU25" s="269"/>
      <c r="AV25" s="221"/>
      <c r="AW25" s="269"/>
      <c r="AX25" s="127"/>
    </row>
    <row r="26" spans="1:51" ht="12.75" customHeight="1" x14ac:dyDescent="0.2">
      <c r="B26" s="278" t="s">
        <v>252</v>
      </c>
      <c r="C26" s="221"/>
      <c r="D26" s="269"/>
      <c r="E26" s="270"/>
      <c r="F26" s="221"/>
      <c r="G26" s="269">
        <f>'LIMA,GRAY,LOGAN,BIKE PATH'!$M$67</f>
        <v>14707</v>
      </c>
      <c r="H26" s="271"/>
      <c r="I26" s="276">
        <f>'LIMA,GRAY,LOGAN,BIKE PATH'!$N$67</f>
        <v>8</v>
      </c>
      <c r="J26" s="271"/>
      <c r="K26" s="276"/>
      <c r="L26" s="271"/>
      <c r="M26" s="276"/>
      <c r="N26" s="271"/>
      <c r="O26" s="276"/>
      <c r="P26" s="221"/>
      <c r="Q26" s="276">
        <f>'LIMA,GRAY,LOGAN,BIKE PATH'!$O$67</f>
        <v>471</v>
      </c>
      <c r="R26" s="123"/>
      <c r="S26" s="222"/>
      <c r="T26" s="274"/>
      <c r="U26" s="272">
        <f>'LIMA,GRAY,LOGAN,BIKE PATH'!$P$67</f>
        <v>2097</v>
      </c>
      <c r="V26" s="221"/>
      <c r="W26" s="269"/>
      <c r="X26" s="123"/>
      <c r="Y26" s="221"/>
      <c r="Z26" s="269">
        <f>'LIMA,GRAY,LOGAN,BIKE PATH'!$Q$67</f>
        <v>2811</v>
      </c>
      <c r="AA26" s="127"/>
      <c r="AB26" s="271"/>
      <c r="AC26" s="276">
        <f>'LIMA,GRAY,LOGAN,BIKE PATH'!$R$67</f>
        <v>455</v>
      </c>
      <c r="AD26" s="123"/>
      <c r="AE26" s="123">
        <f>'LIMA,GRAY,LOGAN,BIKE PATH'!$S$67</f>
        <v>120</v>
      </c>
      <c r="AF26" s="123">
        <f>'LIMA,GRAY,LOGAN,BIKE PATH'!$T$67</f>
        <v>552</v>
      </c>
      <c r="AG26" s="221"/>
      <c r="AH26" s="269"/>
      <c r="AI26" s="221"/>
      <c r="AJ26" s="269"/>
      <c r="AK26" s="123">
        <f>'LIMA,GRAY,LOGAN,BIKE PATH'!$U$67</f>
        <v>395</v>
      </c>
      <c r="AL26" s="221"/>
      <c r="AM26" s="269"/>
      <c r="AN26" s="123">
        <f>'LIMA,GRAY,LOGAN,BIKE PATH'!$V$67</f>
        <v>594</v>
      </c>
      <c r="AO26" s="272">
        <f>'LIMA,GRAY,LOGAN,BIKE PATH'!$W$67</f>
        <v>153</v>
      </c>
      <c r="AP26" s="221"/>
      <c r="AQ26" s="269"/>
      <c r="AR26" s="221"/>
      <c r="AS26" s="269"/>
      <c r="AT26" s="221"/>
      <c r="AU26" s="269"/>
      <c r="AV26" s="221"/>
      <c r="AW26" s="269"/>
      <c r="AX26" s="123"/>
    </row>
    <row r="27" spans="1:51" ht="13.5" thickBot="1" x14ac:dyDescent="0.25">
      <c r="A27" s="56"/>
      <c r="B27" s="279" t="s">
        <v>150</v>
      </c>
      <c r="C27" s="223"/>
      <c r="D27" s="280"/>
      <c r="E27" s="281"/>
      <c r="F27" s="223"/>
      <c r="G27" s="280"/>
      <c r="H27" s="282"/>
      <c r="I27" s="280">
        <f>'HARRISON,SERVICE RD'!$Q$46</f>
        <v>5</v>
      </c>
      <c r="J27" s="223"/>
      <c r="K27" s="280">
        <f>'HARRISON,SERVICE RD'!$R$46</f>
        <v>9033</v>
      </c>
      <c r="L27" s="223"/>
      <c r="M27" s="280">
        <f>'HARRISON,SERVICE RD'!$S$46</f>
        <v>9033</v>
      </c>
      <c r="N27" s="223"/>
      <c r="O27" s="280">
        <f>'HARRISON,SERVICE RD'!$T$46</f>
        <v>268</v>
      </c>
      <c r="P27" s="223"/>
      <c r="Q27" s="280">
        <f>'HARRISON,SERVICE RD'!$U$46</f>
        <v>59</v>
      </c>
      <c r="R27" s="119"/>
      <c r="S27" s="223"/>
      <c r="T27" s="280">
        <f>'HARRISON,SERVICE RD'!V46</f>
        <v>69</v>
      </c>
      <c r="U27" s="280">
        <f>'HARRISON,SERVICE RD'!W46</f>
        <v>1116</v>
      </c>
      <c r="V27" s="223"/>
      <c r="W27" s="280"/>
      <c r="X27" s="119"/>
      <c r="Y27" s="223"/>
      <c r="Z27" s="280">
        <f>'HARRISON,SERVICE RD'!$X$46</f>
        <v>1491</v>
      </c>
      <c r="AA27" s="283"/>
      <c r="AB27" s="282"/>
      <c r="AC27" s="280">
        <f>'HARRISON,SERVICE RD'!$Y$46</f>
        <v>300</v>
      </c>
      <c r="AD27" s="119">
        <f>'HARRISON,SERVICE RD'!$Z$46</f>
        <v>260</v>
      </c>
      <c r="AE27" s="119"/>
      <c r="AF27" s="119">
        <f>'HARRISON,SERVICE RD'!$AA$46</f>
        <v>365</v>
      </c>
      <c r="AG27" s="223"/>
      <c r="AH27" s="280"/>
      <c r="AI27" s="223"/>
      <c r="AJ27" s="280"/>
      <c r="AK27" s="119"/>
      <c r="AL27" s="223"/>
      <c r="AM27" s="280"/>
      <c r="AN27" s="283"/>
      <c r="AO27" s="119"/>
      <c r="AP27" s="223"/>
      <c r="AQ27" s="280"/>
      <c r="AR27" s="223"/>
      <c r="AS27" s="280"/>
      <c r="AT27" s="223"/>
      <c r="AU27" s="280"/>
      <c r="AV27" s="223"/>
      <c r="AW27" s="280"/>
      <c r="AX27" s="119"/>
    </row>
    <row r="28" spans="1:51" s="39" customFormat="1" ht="25.5" customHeight="1" thickBot="1" x14ac:dyDescent="0.25">
      <c r="A28" s="42"/>
      <c r="B28" s="284" t="s">
        <v>174</v>
      </c>
      <c r="C28" s="285">
        <f>SUM(C22:C27)</f>
        <v>227505</v>
      </c>
      <c r="D28" s="286">
        <f>SUM(D22:D27)</f>
        <v>4165</v>
      </c>
      <c r="E28" s="287"/>
      <c r="F28" s="285">
        <f t="shared" ref="F28:R28" si="0">SUM(F22:F27)</f>
        <v>0</v>
      </c>
      <c r="G28" s="286">
        <f t="shared" si="0"/>
        <v>26244</v>
      </c>
      <c r="H28" s="285">
        <f t="shared" si="0"/>
        <v>0</v>
      </c>
      <c r="I28" s="286">
        <f t="shared" si="0"/>
        <v>35</v>
      </c>
      <c r="J28" s="285">
        <f t="shared" si="0"/>
        <v>0</v>
      </c>
      <c r="K28" s="286">
        <f t="shared" si="0"/>
        <v>38131</v>
      </c>
      <c r="L28" s="285">
        <f t="shared" si="0"/>
        <v>0</v>
      </c>
      <c r="M28" s="286">
        <f t="shared" si="0"/>
        <v>38131</v>
      </c>
      <c r="N28" s="285">
        <f t="shared" si="0"/>
        <v>0</v>
      </c>
      <c r="O28" s="286">
        <f t="shared" si="0"/>
        <v>1133</v>
      </c>
      <c r="P28" s="285">
        <f t="shared" si="0"/>
        <v>207</v>
      </c>
      <c r="Q28" s="286">
        <f t="shared" si="0"/>
        <v>1809</v>
      </c>
      <c r="R28" s="287">
        <f t="shared" si="0"/>
        <v>7022</v>
      </c>
      <c r="S28" s="285">
        <f>SUM(S22:S27)</f>
        <v>0</v>
      </c>
      <c r="T28" s="561">
        <f>SUM(T22:T27,U22:U27)</f>
        <v>3282</v>
      </c>
      <c r="U28" s="562"/>
      <c r="V28" s="285">
        <f>SUM(V22:V27)</f>
        <v>0</v>
      </c>
      <c r="W28" s="286">
        <f>SUM(W22:W27)</f>
        <v>222</v>
      </c>
      <c r="X28" s="287"/>
      <c r="Y28" s="285">
        <f>SUM(Y22:Y27)</f>
        <v>0</v>
      </c>
      <c r="Z28" s="286">
        <f>SUM(Z22:Z27)</f>
        <v>11076</v>
      </c>
      <c r="AA28" s="288">
        <f>SUM(AA22:AA27)</f>
        <v>527</v>
      </c>
      <c r="AB28" s="285">
        <f>SUM(AB22:AB27)</f>
        <v>1046</v>
      </c>
      <c r="AC28" s="286">
        <f>SUM(AC22:AC27)</f>
        <v>1191</v>
      </c>
      <c r="AD28" s="522">
        <f>SUM(AD22:AD27,AE22:AE27)</f>
        <v>380</v>
      </c>
      <c r="AE28" s="523"/>
      <c r="AF28" s="287">
        <f t="shared" ref="AF28:AK28" si="1">SUM(AF22:AF27)</f>
        <v>917</v>
      </c>
      <c r="AG28" s="285">
        <f t="shared" si="1"/>
        <v>1090</v>
      </c>
      <c r="AH28" s="286">
        <f t="shared" si="1"/>
        <v>454</v>
      </c>
      <c r="AI28" s="285">
        <f t="shared" si="1"/>
        <v>0</v>
      </c>
      <c r="AJ28" s="286">
        <f t="shared" si="1"/>
        <v>375</v>
      </c>
      <c r="AK28" s="287">
        <f t="shared" si="1"/>
        <v>395</v>
      </c>
      <c r="AL28" s="285"/>
      <c r="AM28" s="286"/>
      <c r="AN28" s="288">
        <f t="shared" ref="AN28:AU28" si="2">SUM(AN22:AN27)</f>
        <v>594</v>
      </c>
      <c r="AO28" s="287">
        <f t="shared" si="2"/>
        <v>153</v>
      </c>
      <c r="AP28" s="285">
        <f t="shared" si="2"/>
        <v>0</v>
      </c>
      <c r="AQ28" s="286">
        <f t="shared" si="2"/>
        <v>36015</v>
      </c>
      <c r="AR28" s="285"/>
      <c r="AS28" s="468">
        <f>SUM(AS22:AS27)</f>
        <v>270</v>
      </c>
      <c r="AT28" s="285">
        <f t="shared" si="2"/>
        <v>0</v>
      </c>
      <c r="AU28" s="286">
        <f t="shared" si="2"/>
        <v>5685</v>
      </c>
      <c r="AV28" s="285"/>
      <c r="AW28" s="286"/>
      <c r="AX28" s="287"/>
    </row>
    <row r="29" spans="1:51" s="39" customFormat="1" ht="25.5" customHeight="1" thickBot="1" x14ac:dyDescent="0.25">
      <c r="A29" s="42"/>
      <c r="B29" s="289" t="s">
        <v>175</v>
      </c>
      <c r="C29" s="522">
        <f>C28+D28</f>
        <v>231670</v>
      </c>
      <c r="D29" s="523"/>
      <c r="E29" s="521"/>
      <c r="F29" s="522">
        <f>F28+G28</f>
        <v>26244</v>
      </c>
      <c r="G29" s="563"/>
      <c r="H29" s="522">
        <f>H28+I28</f>
        <v>35</v>
      </c>
      <c r="I29" s="563"/>
      <c r="J29" s="522">
        <f>J28+K28</f>
        <v>38131</v>
      </c>
      <c r="K29" s="563"/>
      <c r="L29" s="522">
        <f>L28+M28</f>
        <v>38131</v>
      </c>
      <c r="M29" s="563"/>
      <c r="N29" s="522">
        <f>N28+O28</f>
        <v>1133</v>
      </c>
      <c r="O29" s="563"/>
      <c r="P29" s="780">
        <f>P28+Q28</f>
        <v>2016</v>
      </c>
      <c r="Q29" s="781"/>
      <c r="R29" s="782">
        <f>R28</f>
        <v>7022</v>
      </c>
      <c r="S29" s="780">
        <f>T28</f>
        <v>3282</v>
      </c>
      <c r="T29" s="783"/>
      <c r="U29" s="781"/>
      <c r="V29" s="780">
        <f>W28</f>
        <v>222</v>
      </c>
      <c r="W29" s="781"/>
      <c r="X29" s="287"/>
      <c r="Y29" s="780">
        <f>Y28+Z28</f>
        <v>11076</v>
      </c>
      <c r="Z29" s="781"/>
      <c r="AA29" s="782">
        <f>AA28</f>
        <v>527</v>
      </c>
      <c r="AB29" s="780">
        <f>AB28+AC28</f>
        <v>2237</v>
      </c>
      <c r="AC29" s="781"/>
      <c r="AD29" s="780">
        <f>AD28</f>
        <v>380</v>
      </c>
      <c r="AE29" s="781"/>
      <c r="AF29" s="782">
        <f>AF28</f>
        <v>917</v>
      </c>
      <c r="AG29" s="780">
        <f>AG28+AH28</f>
        <v>1544</v>
      </c>
      <c r="AH29" s="781"/>
      <c r="AI29" s="780">
        <f>AI28+AJ28</f>
        <v>375</v>
      </c>
      <c r="AJ29" s="781"/>
      <c r="AK29" s="782">
        <f>AK28</f>
        <v>395</v>
      </c>
      <c r="AL29" s="522"/>
      <c r="AM29" s="523"/>
      <c r="AN29" s="782">
        <f>AN28</f>
        <v>594</v>
      </c>
      <c r="AO29" s="782">
        <f>AO28</f>
        <v>153</v>
      </c>
      <c r="AP29" s="780">
        <f>AP28+AQ28</f>
        <v>36015</v>
      </c>
      <c r="AQ29" s="781"/>
      <c r="AR29" s="780">
        <f>AR28+AS28</f>
        <v>270</v>
      </c>
      <c r="AS29" s="781"/>
      <c r="AT29" s="780">
        <f>AT28+AU28</f>
        <v>5685</v>
      </c>
      <c r="AU29" s="781"/>
      <c r="AV29" s="519"/>
      <c r="AW29" s="520"/>
      <c r="AX29" s="520"/>
    </row>
    <row r="30" spans="1:51" ht="24.75" customHeight="1" thickBot="1" x14ac:dyDescent="0.25">
      <c r="B30" s="337" t="s">
        <v>140</v>
      </c>
      <c r="C30" s="559"/>
      <c r="D30" s="559"/>
      <c r="E30" s="559"/>
      <c r="F30" s="559"/>
      <c r="G30" s="559"/>
      <c r="H30" s="559"/>
      <c r="I30" s="559"/>
      <c r="J30" s="559"/>
      <c r="K30" s="559"/>
      <c r="L30" s="559"/>
      <c r="M30" s="559"/>
      <c r="N30" s="559"/>
      <c r="O30" s="559"/>
      <c r="P30" s="559"/>
      <c r="Q30" s="559"/>
      <c r="R30" s="559"/>
      <c r="S30" s="559"/>
      <c r="T30" s="559"/>
      <c r="U30" s="559"/>
      <c r="V30" s="559"/>
      <c r="W30" s="559"/>
      <c r="X30" s="559"/>
      <c r="Y30" s="559"/>
      <c r="Z30" s="559"/>
      <c r="AA30" s="559"/>
      <c r="AB30" s="559"/>
      <c r="AC30" s="559"/>
      <c r="AD30" s="559"/>
      <c r="AE30" s="559"/>
      <c r="AF30" s="559"/>
      <c r="AG30" s="559"/>
      <c r="AH30" s="559"/>
      <c r="AI30" s="559"/>
      <c r="AJ30" s="559"/>
      <c r="AK30" s="559"/>
      <c r="AL30" s="559"/>
      <c r="AM30" s="559"/>
      <c r="AN30" s="559"/>
      <c r="AO30" s="559"/>
      <c r="AP30" s="559"/>
      <c r="AQ30" s="559"/>
      <c r="AR30" s="559"/>
      <c r="AS30" s="559"/>
      <c r="AT30" s="559"/>
      <c r="AU30" s="559"/>
      <c r="AV30" s="559"/>
      <c r="AW30" s="559"/>
      <c r="AX30" s="560"/>
    </row>
    <row r="31" spans="1:51" ht="12.75" customHeight="1" x14ac:dyDescent="0.2">
      <c r="A31" s="56"/>
      <c r="B31" s="263" t="s">
        <v>145</v>
      </c>
      <c r="C31" s="291"/>
      <c r="D31" s="292"/>
      <c r="E31" s="293"/>
      <c r="F31" s="291">
        <f>'IR75 FLEXIBLE'!W179</f>
        <v>38838</v>
      </c>
      <c r="G31" s="292">
        <f>'IR75 FLEXIBLE'!X179</f>
        <v>12835</v>
      </c>
      <c r="H31" s="291">
        <f>'IR75 FLEXIBLE'!Y179</f>
        <v>140</v>
      </c>
      <c r="I31" s="292">
        <f>'IR75 FLEXIBLE'!Z179</f>
        <v>57</v>
      </c>
      <c r="J31" s="291">
        <f>'IR75 FLEXIBLE'!AA179</f>
        <v>237987</v>
      </c>
      <c r="K31" s="292">
        <f>'IR75 FLEXIBLE'!AB179</f>
        <v>99213</v>
      </c>
      <c r="L31" s="291">
        <f>'IR75 FLEXIBLE'!AC179</f>
        <v>237987</v>
      </c>
      <c r="M31" s="292">
        <f>'IR75 FLEXIBLE'!AD179</f>
        <v>99213</v>
      </c>
      <c r="N31" s="291">
        <f>'IR75 FLEXIBLE'!AE179</f>
        <v>7069</v>
      </c>
      <c r="O31" s="292">
        <f>'IR75 FLEXIBLE'!AF179</f>
        <v>2947</v>
      </c>
      <c r="P31" s="294"/>
      <c r="Q31" s="295"/>
      <c r="R31" s="296"/>
      <c r="S31" s="294"/>
      <c r="T31" s="295"/>
      <c r="U31" s="296"/>
      <c r="V31" s="264">
        <f>'IR75 FLEXIBLE'!AH179</f>
        <v>85834</v>
      </c>
      <c r="W31" s="265">
        <f>'IR75 FLEXIBLE'!AI179</f>
        <v>35630</v>
      </c>
      <c r="X31" s="124"/>
      <c r="Y31" s="264">
        <f>'IR75 FLEXIBLE'!AJ179</f>
        <v>46084</v>
      </c>
      <c r="Z31" s="265">
        <f>'IR75 FLEXIBLE'!AK179</f>
        <v>18716</v>
      </c>
      <c r="AA31" s="124"/>
      <c r="AB31" s="264">
        <f>'IR75 FLEXIBLE'!AL179</f>
        <v>10600</v>
      </c>
      <c r="AC31" s="265">
        <f>'IR75 FLEXIBLE'!AM179</f>
        <v>4463</v>
      </c>
      <c r="AD31" s="124"/>
      <c r="AE31" s="124"/>
      <c r="AF31" s="124"/>
      <c r="AG31" s="264">
        <f>'IR75 FLEXIBLE'!AN179</f>
        <v>10701</v>
      </c>
      <c r="AH31" s="265">
        <f>'IR75 FLEXIBLE'!AO179</f>
        <v>4648</v>
      </c>
      <c r="AI31" s="264">
        <f>'IR75 FLEXIBLE'!AP179</f>
        <v>12914</v>
      </c>
      <c r="AJ31" s="265">
        <f>'IR75 FLEXIBLE'!AQ179</f>
        <v>5423</v>
      </c>
      <c r="AK31" s="124"/>
      <c r="AL31" s="264"/>
      <c r="AM31" s="265"/>
      <c r="AN31" s="124"/>
      <c r="AO31" s="124"/>
      <c r="AP31" s="264"/>
      <c r="AQ31" s="265"/>
      <c r="AR31" s="264">
        <f>'IR75 FLEXIBLE'!$AR$179</f>
        <v>810</v>
      </c>
      <c r="AS31" s="265"/>
      <c r="AT31" s="264">
        <f>'IR75 FLEXIBLE'!AS179</f>
        <v>108098</v>
      </c>
      <c r="AU31" s="265"/>
      <c r="AV31" s="264"/>
      <c r="AW31" s="265"/>
      <c r="AX31" s="124"/>
    </row>
    <row r="32" spans="1:51" ht="12.75" customHeight="1" x14ac:dyDescent="0.2">
      <c r="A32" s="56"/>
      <c r="B32" s="267" t="s">
        <v>146</v>
      </c>
      <c r="C32" s="297"/>
      <c r="D32" s="298"/>
      <c r="E32" s="299"/>
      <c r="F32" s="297"/>
      <c r="G32" s="298">
        <f>'US68 FLEXIBLE'!$S$56</f>
        <v>24349</v>
      </c>
      <c r="H32" s="300"/>
      <c r="I32" s="301">
        <f>'US68 FLEXIBLE'!$T$56</f>
        <v>20</v>
      </c>
      <c r="J32" s="300"/>
      <c r="K32" s="301">
        <f>'US68 FLEXIBLE'!$U$56</f>
        <v>15301</v>
      </c>
      <c r="L32" s="300"/>
      <c r="M32" s="301">
        <f>'US68 FLEXIBLE'!$V$56</f>
        <v>15301</v>
      </c>
      <c r="N32" s="300"/>
      <c r="O32" s="301">
        <f>'US68 FLEXIBLE'!$W$56</f>
        <v>455</v>
      </c>
      <c r="P32" s="302"/>
      <c r="Q32" s="303"/>
      <c r="R32" s="255"/>
      <c r="S32" s="302"/>
      <c r="T32" s="303"/>
      <c r="U32" s="123"/>
      <c r="V32" s="221"/>
      <c r="W32" s="269">
        <f>'US68 FLEXIBLE'!$Z$56</f>
        <v>12148</v>
      </c>
      <c r="X32" s="123"/>
      <c r="Y32" s="221"/>
      <c r="Z32" s="269">
        <f>'US68 FLEXIBLE'!$AA$56</f>
        <v>6586</v>
      </c>
      <c r="AA32" s="123"/>
      <c r="AB32" s="221"/>
      <c r="AC32" s="301">
        <f>'US68 FLEXIBLE'!$AC$56</f>
        <v>1508</v>
      </c>
      <c r="AD32" s="123"/>
      <c r="AE32" s="123"/>
      <c r="AF32" s="123"/>
      <c r="AG32" s="221"/>
      <c r="AH32" s="269">
        <f>'US68 FLEXIBLE'!$AD$56</f>
        <v>1525</v>
      </c>
      <c r="AI32" s="221"/>
      <c r="AJ32" s="269">
        <f>'US68 FLEXIBLE'!$AE$56</f>
        <v>1840</v>
      </c>
      <c r="AK32" s="123"/>
      <c r="AL32" s="221"/>
      <c r="AM32" s="269"/>
      <c r="AN32" s="123"/>
      <c r="AO32" s="123"/>
      <c r="AP32" s="221"/>
      <c r="AQ32" s="269"/>
      <c r="AR32" s="221"/>
      <c r="AS32" s="269">
        <f>'US68 FLEXIBLE'!$AF$56</f>
        <v>74</v>
      </c>
      <c r="AT32" s="221"/>
      <c r="AU32" s="269">
        <f>'US68 FLEXIBLE'!$AG$56</f>
        <v>13677</v>
      </c>
      <c r="AV32" s="221"/>
      <c r="AW32" s="269"/>
      <c r="AX32" s="123"/>
    </row>
    <row r="33" spans="1:50" ht="12.75" customHeight="1" thickBot="1" x14ac:dyDescent="0.25">
      <c r="A33" s="56"/>
      <c r="B33" s="304" t="s">
        <v>144</v>
      </c>
      <c r="C33" s="305"/>
      <c r="D33" s="306"/>
      <c r="E33" s="307"/>
      <c r="F33" s="305"/>
      <c r="G33" s="306">
        <f>'US68 RAMPS FLEXIBLE'!R65</f>
        <v>21453</v>
      </c>
      <c r="H33" s="308"/>
      <c r="I33" s="309">
        <f>'US68 RAMPS FLEXIBLE'!$S$65</f>
        <v>19</v>
      </c>
      <c r="J33" s="308"/>
      <c r="K33" s="309">
        <f>'US68 RAMPS FLEXIBLE'!$T$65</f>
        <v>16103</v>
      </c>
      <c r="L33" s="308"/>
      <c r="M33" s="309">
        <f>'US68 RAMPS FLEXIBLE'!$U$65</f>
        <v>16103</v>
      </c>
      <c r="N33" s="308"/>
      <c r="O33" s="309">
        <f>'US68 RAMPS FLEXIBLE'!$V$65</f>
        <v>479</v>
      </c>
      <c r="P33" s="310"/>
      <c r="Q33" s="311"/>
      <c r="R33" s="312"/>
      <c r="S33" s="329"/>
      <c r="T33" s="330"/>
      <c r="U33" s="165"/>
      <c r="V33" s="221"/>
      <c r="W33" s="309">
        <f>'US68 RAMPS FLEXIBLE'!$W$65</f>
        <v>11227</v>
      </c>
      <c r="X33" s="165"/>
      <c r="Y33" s="221"/>
      <c r="Z33" s="309">
        <f>'US68 RAMPS FLEXIBLE'!$X$65</f>
        <v>6329</v>
      </c>
      <c r="AA33" s="165"/>
      <c r="AB33" s="221"/>
      <c r="AC33" s="309">
        <f>'US68 RAMPS FLEXIBLE'!$Y$65</f>
        <v>1367</v>
      </c>
      <c r="AD33" s="165"/>
      <c r="AE33" s="165"/>
      <c r="AF33" s="165"/>
      <c r="AG33" s="313"/>
      <c r="AH33" s="309">
        <f>'US68 RAMPS FLEXIBLE'!$Z$65</f>
        <v>1417</v>
      </c>
      <c r="AI33" s="221"/>
      <c r="AJ33" s="309">
        <f>'US68 RAMPS FLEXIBLE'!$AA$65</f>
        <v>1664</v>
      </c>
      <c r="AK33" s="165"/>
      <c r="AL33" s="313"/>
      <c r="AM33" s="314"/>
      <c r="AN33" s="165"/>
      <c r="AO33" s="165"/>
      <c r="AP33" s="313"/>
      <c r="AQ33" s="314"/>
      <c r="AR33" s="313"/>
      <c r="AS33" s="314">
        <f>'US68 RAMPS FLEXIBLE'!$AB$65</f>
        <v>186</v>
      </c>
      <c r="AT33" s="221"/>
      <c r="AU33" s="314">
        <f>'US68 RAMPS FLEXIBLE'!$AC$65</f>
        <v>18461</v>
      </c>
      <c r="AV33" s="313"/>
      <c r="AW33" s="314"/>
      <c r="AX33" s="165"/>
    </row>
    <row r="34" spans="1:50" s="38" customFormat="1" ht="38.25" customHeight="1" thickBot="1" x14ac:dyDescent="0.25">
      <c r="A34" s="42"/>
      <c r="B34" s="284" t="s">
        <v>176</v>
      </c>
      <c r="C34" s="285"/>
      <c r="D34" s="286"/>
      <c r="E34" s="290"/>
      <c r="F34" s="285">
        <f>SUM(F31:F33)</f>
        <v>38838</v>
      </c>
      <c r="G34" s="286">
        <f>SUM(G31:G33)</f>
        <v>58637</v>
      </c>
      <c r="H34" s="285">
        <f t="shared" ref="H34:O34" si="3">SUM(H31:H33)</f>
        <v>140</v>
      </c>
      <c r="I34" s="286">
        <f t="shared" si="3"/>
        <v>96</v>
      </c>
      <c r="J34" s="285">
        <f t="shared" si="3"/>
        <v>237987</v>
      </c>
      <c r="K34" s="286">
        <f t="shared" si="3"/>
        <v>130617</v>
      </c>
      <c r="L34" s="285">
        <f t="shared" si="3"/>
        <v>237987</v>
      </c>
      <c r="M34" s="286">
        <f t="shared" si="3"/>
        <v>130617</v>
      </c>
      <c r="N34" s="285">
        <f t="shared" si="3"/>
        <v>7069</v>
      </c>
      <c r="O34" s="286">
        <f t="shared" si="3"/>
        <v>3881</v>
      </c>
      <c r="P34" s="285"/>
      <c r="Q34" s="286"/>
      <c r="R34" s="290"/>
      <c r="S34" s="285"/>
      <c r="T34" s="561"/>
      <c r="U34" s="562"/>
      <c r="V34" s="285">
        <f t="shared" ref="V34:AJ34" si="4">SUM(V31:V33)</f>
        <v>85834</v>
      </c>
      <c r="W34" s="286">
        <f t="shared" si="4"/>
        <v>59005</v>
      </c>
      <c r="X34" s="290"/>
      <c r="Y34" s="285">
        <f t="shared" si="4"/>
        <v>46084</v>
      </c>
      <c r="Z34" s="286">
        <f t="shared" si="4"/>
        <v>31631</v>
      </c>
      <c r="AA34" s="290"/>
      <c r="AB34" s="285">
        <f t="shared" si="4"/>
        <v>10600</v>
      </c>
      <c r="AC34" s="286">
        <f t="shared" si="4"/>
        <v>7338</v>
      </c>
      <c r="AD34" s="290"/>
      <c r="AE34" s="290"/>
      <c r="AF34" s="290"/>
      <c r="AG34" s="285">
        <f t="shared" si="4"/>
        <v>10701</v>
      </c>
      <c r="AH34" s="286">
        <f t="shared" si="4"/>
        <v>7590</v>
      </c>
      <c r="AI34" s="285">
        <f t="shared" si="4"/>
        <v>12914</v>
      </c>
      <c r="AJ34" s="286">
        <f t="shared" si="4"/>
        <v>8927</v>
      </c>
      <c r="AK34" s="290"/>
      <c r="AL34" s="285"/>
      <c r="AM34" s="286"/>
      <c r="AN34" s="290"/>
      <c r="AO34" s="290"/>
      <c r="AP34" s="285"/>
      <c r="AQ34" s="286"/>
      <c r="AR34" s="285">
        <f t="shared" ref="AR34:AU34" si="5">SUM(AR31:AR33)</f>
        <v>810</v>
      </c>
      <c r="AS34" s="468">
        <f t="shared" si="5"/>
        <v>260</v>
      </c>
      <c r="AT34" s="285">
        <f t="shared" si="5"/>
        <v>108098</v>
      </c>
      <c r="AU34" s="286">
        <f t="shared" si="5"/>
        <v>32138</v>
      </c>
      <c r="AV34" s="285"/>
      <c r="AW34" s="286"/>
      <c r="AX34" s="290"/>
    </row>
    <row r="35" spans="1:50" s="38" customFormat="1" ht="38.25" customHeight="1" thickBot="1" x14ac:dyDescent="0.25">
      <c r="A35" s="42"/>
      <c r="B35" s="284" t="s">
        <v>177</v>
      </c>
      <c r="C35" s="522"/>
      <c r="D35" s="523"/>
      <c r="E35" s="288"/>
      <c r="F35" s="780">
        <f>F34+G34</f>
        <v>97475</v>
      </c>
      <c r="G35" s="781"/>
      <c r="H35" s="780">
        <f>H34+I34</f>
        <v>236</v>
      </c>
      <c r="I35" s="781"/>
      <c r="J35" s="780">
        <f>J34+K34</f>
        <v>368604</v>
      </c>
      <c r="K35" s="781"/>
      <c r="L35" s="780">
        <f>L34+M34</f>
        <v>368604</v>
      </c>
      <c r="M35" s="781"/>
      <c r="N35" s="780">
        <f>N34+O34</f>
        <v>10950</v>
      </c>
      <c r="O35" s="781"/>
      <c r="P35" s="522"/>
      <c r="Q35" s="523"/>
      <c r="R35" s="288"/>
      <c r="S35" s="522"/>
      <c r="T35" s="563"/>
      <c r="U35" s="523"/>
      <c r="V35" s="780">
        <f>V34+W34</f>
        <v>144839</v>
      </c>
      <c r="W35" s="781"/>
      <c r="X35" s="288"/>
      <c r="Y35" s="780">
        <f>Y34+Z34</f>
        <v>77715</v>
      </c>
      <c r="Z35" s="781"/>
      <c r="AA35" s="288"/>
      <c r="AB35" s="780">
        <f>AB34+AC34</f>
        <v>17938</v>
      </c>
      <c r="AC35" s="781"/>
      <c r="AD35" s="522"/>
      <c r="AE35" s="523"/>
      <c r="AF35" s="288"/>
      <c r="AG35" s="780">
        <f>AG34+AH34</f>
        <v>18291</v>
      </c>
      <c r="AH35" s="781"/>
      <c r="AI35" s="780">
        <f>AI34+AJ34</f>
        <v>21841</v>
      </c>
      <c r="AJ35" s="781"/>
      <c r="AK35" s="288"/>
      <c r="AL35" s="522"/>
      <c r="AM35" s="523"/>
      <c r="AN35" s="522"/>
      <c r="AO35" s="523"/>
      <c r="AP35" s="522"/>
      <c r="AQ35" s="523"/>
      <c r="AR35" s="780">
        <f>AR34+AS34</f>
        <v>1070</v>
      </c>
      <c r="AS35" s="781"/>
      <c r="AT35" s="522">
        <f>AT34+AU34</f>
        <v>140236</v>
      </c>
      <c r="AU35" s="523"/>
      <c r="AV35" s="522"/>
      <c r="AW35" s="523"/>
      <c r="AX35" s="290"/>
    </row>
    <row r="36" spans="1:50" ht="25.5" customHeight="1" thickBot="1" x14ac:dyDescent="0.25">
      <c r="B36" s="337" t="s">
        <v>141</v>
      </c>
      <c r="C36" s="559"/>
      <c r="D36" s="559"/>
      <c r="E36" s="559"/>
      <c r="F36" s="559"/>
      <c r="G36" s="559"/>
      <c r="H36" s="559"/>
      <c r="I36" s="559"/>
      <c r="J36" s="559"/>
      <c r="K36" s="559"/>
      <c r="L36" s="559"/>
      <c r="M36" s="559"/>
      <c r="N36" s="559"/>
      <c r="O36" s="559"/>
      <c r="P36" s="559"/>
      <c r="Q36" s="559"/>
      <c r="R36" s="559"/>
      <c r="S36" s="559"/>
      <c r="T36" s="559"/>
      <c r="U36" s="559"/>
      <c r="V36" s="559"/>
      <c r="W36" s="559"/>
      <c r="X36" s="559"/>
      <c r="Y36" s="559"/>
      <c r="Z36" s="559"/>
      <c r="AA36" s="559"/>
      <c r="AB36" s="559"/>
      <c r="AC36" s="559"/>
      <c r="AD36" s="559"/>
      <c r="AE36" s="559"/>
      <c r="AF36" s="559"/>
      <c r="AG36" s="559"/>
      <c r="AH36" s="559"/>
      <c r="AI36" s="559"/>
      <c r="AJ36" s="559"/>
      <c r="AK36" s="559"/>
      <c r="AL36" s="559"/>
      <c r="AM36" s="559"/>
      <c r="AN36" s="559"/>
      <c r="AO36" s="559"/>
      <c r="AP36" s="559"/>
      <c r="AQ36" s="559"/>
      <c r="AR36" s="559"/>
      <c r="AS36" s="559"/>
      <c r="AT36" s="559"/>
      <c r="AU36" s="559"/>
      <c r="AV36" s="559"/>
      <c r="AW36" s="559"/>
      <c r="AX36" s="560"/>
    </row>
    <row r="37" spans="1:50" ht="12.75" customHeight="1" x14ac:dyDescent="0.2">
      <c r="A37" s="56"/>
      <c r="B37" s="263" t="s">
        <v>145</v>
      </c>
      <c r="C37" s="315"/>
      <c r="D37" s="316"/>
      <c r="E37" s="317"/>
      <c r="F37" s="291">
        <f>'IR75 RIGID'!T135</f>
        <v>38701</v>
      </c>
      <c r="G37" s="292">
        <f>'IR75 RIGID'!U135</f>
        <v>12767</v>
      </c>
      <c r="H37" s="291">
        <f>'IR75 RIGID'!V135</f>
        <v>138</v>
      </c>
      <c r="I37" s="292">
        <f>'IR75 RIGID'!W135</f>
        <v>57</v>
      </c>
      <c r="J37" s="291">
        <f>'IR75 RIGID'!X135</f>
        <v>235651</v>
      </c>
      <c r="K37" s="292">
        <f>'IR75 RIGID'!Y135</f>
        <v>99191</v>
      </c>
      <c r="L37" s="291">
        <f>'IR75 RIGID'!Z135</f>
        <v>235651</v>
      </c>
      <c r="M37" s="292">
        <f>'IR75 RIGID'!AA135</f>
        <v>99191</v>
      </c>
      <c r="N37" s="291">
        <f>'IR75 RIGID'!AB135</f>
        <v>7000</v>
      </c>
      <c r="O37" s="292">
        <f>'IR75 RIGID'!AC135</f>
        <v>2946</v>
      </c>
      <c r="P37" s="294"/>
      <c r="Q37" s="295"/>
      <c r="R37" s="296"/>
      <c r="S37" s="294"/>
      <c r="T37" s="295"/>
      <c r="U37" s="124"/>
      <c r="V37" s="264"/>
      <c r="W37" s="265"/>
      <c r="X37" s="124"/>
      <c r="Y37" s="264">
        <f>'IR75 RIGID'!AD135</f>
        <v>45674</v>
      </c>
      <c r="Z37" s="265">
        <f>'IR75 RIGID'!AE135</f>
        <v>18705</v>
      </c>
      <c r="AA37" s="124"/>
      <c r="AB37" s="318"/>
      <c r="AC37" s="319"/>
      <c r="AD37" s="124"/>
      <c r="AE37" s="124"/>
      <c r="AF37" s="124"/>
      <c r="AG37" s="264"/>
      <c r="AH37" s="265"/>
      <c r="AI37" s="264"/>
      <c r="AJ37" s="265"/>
      <c r="AK37" s="124"/>
      <c r="AL37" s="264">
        <f>'IR75 RIGID'!$AF$135</f>
        <v>991</v>
      </c>
      <c r="AM37" s="265"/>
      <c r="AN37" s="124"/>
      <c r="AO37" s="124"/>
      <c r="AP37" s="264">
        <f>'IR75 RIGID'!AG135</f>
        <v>255017</v>
      </c>
      <c r="AQ37" s="265">
        <f>'IR75 RIGID'!AH135</f>
        <v>111469</v>
      </c>
      <c r="AR37" s="264">
        <f>'IR75 RIGID'!$AI$135</f>
        <v>779</v>
      </c>
      <c r="AS37" s="265"/>
      <c r="AT37" s="264"/>
      <c r="AU37" s="265"/>
      <c r="AV37" s="264">
        <f>'IR75 RIGID'!$AJ$135</f>
        <v>105037</v>
      </c>
      <c r="AW37" s="265"/>
      <c r="AX37" s="124"/>
    </row>
    <row r="38" spans="1:50" ht="12.75" customHeight="1" x14ac:dyDescent="0.2">
      <c r="A38" s="56"/>
      <c r="B38" s="267" t="s">
        <v>147</v>
      </c>
      <c r="C38" s="320"/>
      <c r="D38" s="321"/>
      <c r="E38" s="322"/>
      <c r="F38" s="320"/>
      <c r="G38" s="298">
        <f>'US68 RIGID'!$P$56</f>
        <v>24331</v>
      </c>
      <c r="H38" s="300"/>
      <c r="I38" s="301">
        <f>'US68 RIGID'!$Q$56</f>
        <v>20</v>
      </c>
      <c r="J38" s="300"/>
      <c r="K38" s="301">
        <f>'US68 RIGID'!$R$56</f>
        <v>15301</v>
      </c>
      <c r="L38" s="300"/>
      <c r="M38" s="301">
        <f>'US68 RIGID'!$S$56</f>
        <v>15301</v>
      </c>
      <c r="N38" s="300"/>
      <c r="O38" s="301">
        <f>'US68 RIGID'!$T$56</f>
        <v>455</v>
      </c>
      <c r="P38" s="302"/>
      <c r="Q38" s="303"/>
      <c r="R38" s="255"/>
      <c r="S38" s="302"/>
      <c r="T38" s="303"/>
      <c r="U38" s="123"/>
      <c r="V38" s="221"/>
      <c r="W38" s="269"/>
      <c r="X38" s="123"/>
      <c r="Y38" s="221"/>
      <c r="Z38" s="301">
        <f>'US68 RIGID'!$U$56</f>
        <v>6569</v>
      </c>
      <c r="AA38" s="123"/>
      <c r="AB38" s="300"/>
      <c r="AC38" s="301"/>
      <c r="AD38" s="323"/>
      <c r="AE38" s="123"/>
      <c r="AF38" s="123"/>
      <c r="AG38" s="300"/>
      <c r="AH38" s="301"/>
      <c r="AI38" s="300"/>
      <c r="AJ38" s="301"/>
      <c r="AK38" s="323"/>
      <c r="AL38" s="300"/>
      <c r="AM38" s="269">
        <f>'US68 RIGID'!$V$56</f>
        <v>184</v>
      </c>
      <c r="AN38" s="123"/>
      <c r="AO38" s="123"/>
      <c r="AP38" s="221"/>
      <c r="AQ38" s="301">
        <f>'US68 RIGID'!$W$56</f>
        <v>36607</v>
      </c>
      <c r="AR38" s="300"/>
      <c r="AS38" s="301">
        <f>'US68 RIGID'!$X$56</f>
        <v>74</v>
      </c>
      <c r="AT38" s="221"/>
      <c r="AU38" s="269"/>
      <c r="AV38" s="221"/>
      <c r="AW38" s="269">
        <f>'US68 RIGID'!$Y$56</f>
        <v>13677</v>
      </c>
      <c r="AX38" s="123"/>
    </row>
    <row r="39" spans="1:50" ht="12.75" customHeight="1" thickBot="1" x14ac:dyDescent="0.25">
      <c r="A39" s="56"/>
      <c r="B39" s="279" t="s">
        <v>144</v>
      </c>
      <c r="C39" s="324"/>
      <c r="D39" s="325"/>
      <c r="E39" s="326"/>
      <c r="F39" s="324"/>
      <c r="G39" s="518">
        <f>'US68 RAMPS RIGID'!P65</f>
        <v>21344</v>
      </c>
      <c r="H39" s="327"/>
      <c r="I39" s="328">
        <f>'US68 RAMPS RIGID'!$Q$65</f>
        <v>19</v>
      </c>
      <c r="J39" s="327"/>
      <c r="K39" s="328">
        <f>'US68 RAMPS RIGID'!$R$65</f>
        <v>16103</v>
      </c>
      <c r="L39" s="327"/>
      <c r="M39" s="328">
        <f>'US68 RAMPS RIGID'!$S$65</f>
        <v>16103</v>
      </c>
      <c r="N39" s="327"/>
      <c r="O39" s="328">
        <f>'US68 RAMPS RIGID'!$T$65</f>
        <v>479</v>
      </c>
      <c r="P39" s="329"/>
      <c r="Q39" s="330"/>
      <c r="R39" s="331"/>
      <c r="S39" s="463"/>
      <c r="T39" s="464"/>
      <c r="U39" s="283"/>
      <c r="V39" s="223"/>
      <c r="W39" s="280"/>
      <c r="X39" s="283"/>
      <c r="Y39" s="223"/>
      <c r="Z39" s="328">
        <f>'US68 RAMPS RIGID'!$U$65</f>
        <v>6327</v>
      </c>
      <c r="AA39" s="283"/>
      <c r="AB39" s="332"/>
      <c r="AC39" s="333"/>
      <c r="AD39" s="283"/>
      <c r="AE39" s="283"/>
      <c r="AF39" s="283"/>
      <c r="AG39" s="223"/>
      <c r="AH39" s="280"/>
      <c r="AI39" s="223"/>
      <c r="AJ39" s="280"/>
      <c r="AK39" s="283"/>
      <c r="AL39" s="223"/>
      <c r="AM39" s="280">
        <f>'US68 RAMPS RIGID'!$V$65</f>
        <v>313</v>
      </c>
      <c r="AN39" s="283"/>
      <c r="AO39" s="283"/>
      <c r="AP39" s="223"/>
      <c r="AQ39" s="328">
        <f>'US68 RAMPS RIGID'!$W$65</f>
        <v>33988</v>
      </c>
      <c r="AR39" s="327"/>
      <c r="AS39" s="328">
        <f>'US68 RAMPS RIGID'!$X$65</f>
        <v>186</v>
      </c>
      <c r="AT39" s="223"/>
      <c r="AU39" s="280"/>
      <c r="AV39" s="223"/>
      <c r="AW39" s="280">
        <f>'US68 RAMPS RIGID'!$Y$65</f>
        <v>18461</v>
      </c>
      <c r="AX39" s="283"/>
    </row>
    <row r="40" spans="1:50" s="38" customFormat="1" ht="36" customHeight="1" thickBot="1" x14ac:dyDescent="0.25">
      <c r="A40" s="42"/>
      <c r="B40" s="284" t="s">
        <v>178</v>
      </c>
      <c r="C40" s="285"/>
      <c r="D40" s="286"/>
      <c r="E40" s="290"/>
      <c r="F40" s="285">
        <f t="shared" ref="F40:O40" si="6">SUM(F37:F39)</f>
        <v>38701</v>
      </c>
      <c r="G40" s="286">
        <f t="shared" si="6"/>
        <v>58442</v>
      </c>
      <c r="H40" s="285">
        <f t="shared" si="6"/>
        <v>138</v>
      </c>
      <c r="I40" s="286">
        <f t="shared" si="6"/>
        <v>96</v>
      </c>
      <c r="J40" s="285">
        <f t="shared" si="6"/>
        <v>235651</v>
      </c>
      <c r="K40" s="286">
        <f t="shared" si="6"/>
        <v>130595</v>
      </c>
      <c r="L40" s="285">
        <f t="shared" si="6"/>
        <v>235651</v>
      </c>
      <c r="M40" s="286">
        <f t="shared" si="6"/>
        <v>130595</v>
      </c>
      <c r="N40" s="285">
        <f t="shared" si="6"/>
        <v>7000</v>
      </c>
      <c r="O40" s="286">
        <f t="shared" si="6"/>
        <v>3880</v>
      </c>
      <c r="P40" s="285"/>
      <c r="Q40" s="286"/>
      <c r="R40" s="290"/>
      <c r="S40" s="285"/>
      <c r="T40" s="561"/>
      <c r="U40" s="562"/>
      <c r="V40" s="285"/>
      <c r="W40" s="286"/>
      <c r="X40" s="290"/>
      <c r="Y40" s="285">
        <f t="shared" ref="Y40:AW40" si="7">SUM(Y37:Y39)</f>
        <v>45674</v>
      </c>
      <c r="Z40" s="286">
        <f t="shared" si="7"/>
        <v>31601</v>
      </c>
      <c r="AA40" s="290"/>
      <c r="AB40" s="285"/>
      <c r="AC40" s="286"/>
      <c r="AD40" s="290"/>
      <c r="AE40" s="290"/>
      <c r="AF40" s="290"/>
      <c r="AG40" s="285"/>
      <c r="AH40" s="286"/>
      <c r="AI40" s="285"/>
      <c r="AJ40" s="286"/>
      <c r="AK40" s="290"/>
      <c r="AL40" s="285">
        <f t="shared" si="7"/>
        <v>991</v>
      </c>
      <c r="AM40" s="286">
        <f t="shared" si="7"/>
        <v>497</v>
      </c>
      <c r="AN40" s="290"/>
      <c r="AO40" s="290"/>
      <c r="AP40" s="285">
        <f t="shared" si="7"/>
        <v>255017</v>
      </c>
      <c r="AQ40" s="286">
        <f t="shared" si="7"/>
        <v>182064</v>
      </c>
      <c r="AR40" s="285">
        <f t="shared" ref="AR40:AS40" si="8">SUM(AR37:AR39)</f>
        <v>779</v>
      </c>
      <c r="AS40" s="468">
        <f t="shared" si="8"/>
        <v>260</v>
      </c>
      <c r="AT40" s="285"/>
      <c r="AU40" s="286"/>
      <c r="AV40" s="285">
        <f t="shared" si="7"/>
        <v>105037</v>
      </c>
      <c r="AW40" s="286">
        <f t="shared" si="7"/>
        <v>32138</v>
      </c>
      <c r="AX40" s="290"/>
    </row>
    <row r="41" spans="1:50" s="38" customFormat="1" ht="36" customHeight="1" thickBot="1" x14ac:dyDescent="0.25">
      <c r="A41" s="42"/>
      <c r="B41" s="284" t="s">
        <v>179</v>
      </c>
      <c r="C41" s="522"/>
      <c r="D41" s="523"/>
      <c r="E41" s="288"/>
      <c r="F41" s="780">
        <f>F40+G40</f>
        <v>97143</v>
      </c>
      <c r="G41" s="781"/>
      <c r="H41" s="780">
        <f>H40+I40</f>
        <v>234</v>
      </c>
      <c r="I41" s="781"/>
      <c r="J41" s="780">
        <f>J40+K40</f>
        <v>366246</v>
      </c>
      <c r="K41" s="781"/>
      <c r="L41" s="780">
        <f>L40+M40</f>
        <v>366246</v>
      </c>
      <c r="M41" s="781"/>
      <c r="N41" s="780">
        <f>N40+O40</f>
        <v>10880</v>
      </c>
      <c r="O41" s="781"/>
      <c r="P41" s="522"/>
      <c r="Q41" s="523"/>
      <c r="R41" s="287"/>
      <c r="S41" s="522"/>
      <c r="T41" s="563"/>
      <c r="U41" s="523"/>
      <c r="V41" s="522"/>
      <c r="W41" s="523"/>
      <c r="X41" s="288"/>
      <c r="Y41" s="780">
        <f>Y40+Z40</f>
        <v>77275</v>
      </c>
      <c r="Z41" s="781"/>
      <c r="AA41" s="288"/>
      <c r="AB41" s="522"/>
      <c r="AC41" s="523"/>
      <c r="AD41" s="522"/>
      <c r="AE41" s="523"/>
      <c r="AF41" s="288"/>
      <c r="AG41" s="522"/>
      <c r="AH41" s="523"/>
      <c r="AI41" s="522"/>
      <c r="AJ41" s="523"/>
      <c r="AK41" s="288"/>
      <c r="AL41" s="780">
        <f>AL40+AM40</f>
        <v>1488</v>
      </c>
      <c r="AM41" s="781"/>
      <c r="AN41" s="287"/>
      <c r="AO41" s="288"/>
      <c r="AP41" s="780">
        <f>AP40+AQ40</f>
        <v>437081</v>
      </c>
      <c r="AQ41" s="781"/>
      <c r="AR41" s="780">
        <f>AR40+AS40</f>
        <v>1039</v>
      </c>
      <c r="AS41" s="781"/>
      <c r="AT41" s="522"/>
      <c r="AU41" s="523"/>
      <c r="AV41" s="780">
        <f>AV40+AW40</f>
        <v>137175</v>
      </c>
      <c r="AW41" s="781"/>
      <c r="AX41" s="290"/>
    </row>
    <row r="42" spans="1:50" ht="27" customHeight="1" thickBot="1" x14ac:dyDescent="0.25">
      <c r="B42" s="337" t="s">
        <v>160</v>
      </c>
      <c r="C42" s="559"/>
      <c r="D42" s="559"/>
      <c r="E42" s="559"/>
      <c r="F42" s="559"/>
      <c r="G42" s="559"/>
      <c r="H42" s="559"/>
      <c r="I42" s="559"/>
      <c r="J42" s="559"/>
      <c r="K42" s="559"/>
      <c r="L42" s="559"/>
      <c r="M42" s="559"/>
      <c r="N42" s="559"/>
      <c r="O42" s="559"/>
      <c r="P42" s="559"/>
      <c r="Q42" s="559"/>
      <c r="R42" s="559"/>
      <c r="S42" s="559"/>
      <c r="T42" s="559"/>
      <c r="U42" s="559"/>
      <c r="V42" s="559"/>
      <c r="W42" s="559"/>
      <c r="X42" s="559"/>
      <c r="Y42" s="559"/>
      <c r="Z42" s="559"/>
      <c r="AA42" s="559"/>
      <c r="AB42" s="559"/>
      <c r="AC42" s="559"/>
      <c r="AD42" s="559"/>
      <c r="AE42" s="559"/>
      <c r="AF42" s="559"/>
      <c r="AG42" s="559"/>
      <c r="AH42" s="559"/>
      <c r="AI42" s="559"/>
      <c r="AJ42" s="559"/>
      <c r="AK42" s="559"/>
      <c r="AL42" s="559"/>
      <c r="AM42" s="559"/>
      <c r="AN42" s="559"/>
      <c r="AO42" s="559"/>
      <c r="AP42" s="559"/>
      <c r="AQ42" s="559"/>
      <c r="AR42" s="559"/>
      <c r="AS42" s="559"/>
      <c r="AT42" s="559"/>
      <c r="AU42" s="559"/>
      <c r="AV42" s="559"/>
      <c r="AW42" s="559"/>
      <c r="AX42" s="560"/>
    </row>
    <row r="43" spans="1:50" ht="13.5" thickBot="1" x14ac:dyDescent="0.25">
      <c r="B43" s="334" t="s">
        <v>145</v>
      </c>
      <c r="C43" s="457"/>
      <c r="D43" s="458"/>
      <c r="E43" s="335">
        <f>'CABLE BARRIER'!$I$26</f>
        <v>100</v>
      </c>
      <c r="F43" s="457"/>
      <c r="G43" s="459"/>
      <c r="H43" s="460"/>
      <c r="I43" s="459"/>
      <c r="J43" s="461"/>
      <c r="K43" s="462"/>
      <c r="L43" s="461"/>
      <c r="M43" s="462"/>
      <c r="N43" s="461"/>
      <c r="O43" s="462"/>
      <c r="P43" s="460"/>
      <c r="Q43" s="459"/>
      <c r="R43" s="336"/>
      <c r="S43" s="465">
        <f>'CABLE BARRIER'!$K$26</f>
        <v>50</v>
      </c>
      <c r="T43" s="466"/>
      <c r="U43" s="336"/>
      <c r="V43" s="460"/>
      <c r="W43" s="459"/>
      <c r="X43" s="335">
        <f>'CABLE BARRIER'!$L$26</f>
        <v>50</v>
      </c>
      <c r="Y43" s="460"/>
      <c r="Z43" s="459"/>
      <c r="AA43" s="336"/>
      <c r="AB43" s="460"/>
      <c r="AC43" s="459"/>
      <c r="AD43" s="336"/>
      <c r="AE43" s="336"/>
      <c r="AF43" s="336"/>
      <c r="AG43" s="460"/>
      <c r="AH43" s="459"/>
      <c r="AI43" s="460"/>
      <c r="AJ43" s="459"/>
      <c r="AK43" s="336"/>
      <c r="AL43" s="460"/>
      <c r="AM43" s="459"/>
      <c r="AN43" s="336"/>
      <c r="AO43" s="336"/>
      <c r="AP43" s="460"/>
      <c r="AQ43" s="459"/>
      <c r="AR43" s="460"/>
      <c r="AS43" s="459"/>
      <c r="AT43" s="460"/>
      <c r="AU43" s="459"/>
      <c r="AV43" s="460"/>
      <c r="AW43" s="459"/>
      <c r="AX43" s="336"/>
    </row>
    <row r="44" spans="1:50" s="38" customFormat="1" ht="36" customHeight="1" thickBot="1" x14ac:dyDescent="0.25">
      <c r="A44" s="42"/>
      <c r="B44" s="284" t="s">
        <v>162</v>
      </c>
      <c r="C44" s="522"/>
      <c r="D44" s="523"/>
      <c r="E44" s="784">
        <f>E43</f>
        <v>100</v>
      </c>
      <c r="F44" s="522"/>
      <c r="G44" s="523"/>
      <c r="H44" s="522"/>
      <c r="I44" s="523"/>
      <c r="J44" s="522"/>
      <c r="K44" s="523"/>
      <c r="L44" s="522"/>
      <c r="M44" s="523"/>
      <c r="N44" s="522"/>
      <c r="O44" s="523"/>
      <c r="P44" s="522"/>
      <c r="Q44" s="523"/>
      <c r="R44" s="290"/>
      <c r="S44" s="780">
        <f>S43</f>
        <v>50</v>
      </c>
      <c r="T44" s="783"/>
      <c r="U44" s="781"/>
      <c r="V44" s="522"/>
      <c r="W44" s="523"/>
      <c r="X44" s="784">
        <f>X43</f>
        <v>50</v>
      </c>
      <c r="Y44" s="522"/>
      <c r="Z44" s="523"/>
      <c r="AA44" s="290"/>
      <c r="AB44" s="522"/>
      <c r="AC44" s="523"/>
      <c r="AD44" s="522"/>
      <c r="AE44" s="523"/>
      <c r="AF44" s="290"/>
      <c r="AG44" s="522"/>
      <c r="AH44" s="523"/>
      <c r="AI44" s="522"/>
      <c r="AJ44" s="523"/>
      <c r="AK44" s="290"/>
      <c r="AL44" s="522"/>
      <c r="AM44" s="523"/>
      <c r="AN44" s="290"/>
      <c r="AO44" s="290"/>
      <c r="AP44" s="522"/>
      <c r="AQ44" s="523"/>
      <c r="AR44" s="522"/>
      <c r="AS44" s="523"/>
      <c r="AT44" s="522"/>
      <c r="AU44" s="523"/>
      <c r="AV44" s="522"/>
      <c r="AW44" s="523"/>
      <c r="AX44" s="290"/>
    </row>
    <row r="45" spans="1:50" ht="27" customHeight="1" thickBot="1" x14ac:dyDescent="0.25">
      <c r="B45" s="337" t="s">
        <v>161</v>
      </c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  <c r="X45" s="559"/>
      <c r="Y45" s="559"/>
      <c r="Z45" s="559"/>
      <c r="AA45" s="559"/>
      <c r="AB45" s="559"/>
      <c r="AC45" s="559"/>
      <c r="AD45" s="559"/>
      <c r="AE45" s="559"/>
      <c r="AF45" s="559"/>
      <c r="AG45" s="559"/>
      <c r="AH45" s="559"/>
      <c r="AI45" s="559"/>
      <c r="AJ45" s="559"/>
      <c r="AK45" s="559"/>
      <c r="AL45" s="559"/>
      <c r="AM45" s="559"/>
      <c r="AN45" s="559"/>
      <c r="AO45" s="559"/>
      <c r="AP45" s="559"/>
      <c r="AQ45" s="559"/>
      <c r="AR45" s="559"/>
      <c r="AS45" s="559"/>
      <c r="AT45" s="559"/>
      <c r="AU45" s="559"/>
      <c r="AV45" s="559"/>
      <c r="AW45" s="559"/>
      <c r="AX45" s="560"/>
    </row>
    <row r="46" spans="1:50" ht="13.5" thickBot="1" x14ac:dyDescent="0.25">
      <c r="B46" s="304" t="s">
        <v>145</v>
      </c>
      <c r="C46" s="457"/>
      <c r="D46" s="458"/>
      <c r="E46" s="335">
        <f>'CABLE BARRIER'!$J$28</f>
        <v>67</v>
      </c>
      <c r="F46" s="457"/>
      <c r="G46" s="459"/>
      <c r="H46" s="460"/>
      <c r="I46" s="459"/>
      <c r="J46" s="461"/>
      <c r="K46" s="462"/>
      <c r="L46" s="461"/>
      <c r="M46" s="462"/>
      <c r="N46" s="461"/>
      <c r="O46" s="462"/>
      <c r="P46" s="460"/>
      <c r="Q46" s="459"/>
      <c r="R46" s="336"/>
      <c r="S46" s="460"/>
      <c r="T46" s="459"/>
      <c r="U46" s="336"/>
      <c r="V46" s="460"/>
      <c r="W46" s="459"/>
      <c r="X46" s="336"/>
      <c r="Y46" s="460"/>
      <c r="Z46" s="459"/>
      <c r="AA46" s="336"/>
      <c r="AB46" s="460"/>
      <c r="AC46" s="459"/>
      <c r="AD46" s="336"/>
      <c r="AE46" s="336"/>
      <c r="AF46" s="336"/>
      <c r="AG46" s="460"/>
      <c r="AH46" s="459"/>
      <c r="AI46" s="460"/>
      <c r="AJ46" s="459"/>
      <c r="AK46" s="336"/>
      <c r="AL46" s="460"/>
      <c r="AM46" s="459"/>
      <c r="AN46" s="336"/>
      <c r="AO46" s="336"/>
      <c r="AP46" s="460"/>
      <c r="AQ46" s="459"/>
      <c r="AR46" s="460"/>
      <c r="AS46" s="459"/>
      <c r="AT46" s="460"/>
      <c r="AU46" s="459"/>
      <c r="AV46" s="460"/>
      <c r="AW46" s="459"/>
      <c r="AX46" s="335">
        <f>'CABLE BARRIER'!$M$28</f>
        <v>596</v>
      </c>
    </row>
    <row r="47" spans="1:50" s="38" customFormat="1" ht="36" customHeight="1" thickBot="1" x14ac:dyDescent="0.25">
      <c r="A47" s="42"/>
      <c r="B47" s="284" t="s">
        <v>163</v>
      </c>
      <c r="C47" s="522"/>
      <c r="D47" s="523"/>
      <c r="E47" s="784">
        <f>E46</f>
        <v>67</v>
      </c>
      <c r="F47" s="522"/>
      <c r="G47" s="523"/>
      <c r="H47" s="522"/>
      <c r="I47" s="523"/>
      <c r="J47" s="522"/>
      <c r="K47" s="523"/>
      <c r="L47" s="522"/>
      <c r="M47" s="523"/>
      <c r="N47" s="522"/>
      <c r="O47" s="523"/>
      <c r="P47" s="522"/>
      <c r="Q47" s="523"/>
      <c r="R47" s="290"/>
      <c r="S47" s="522"/>
      <c r="T47" s="563"/>
      <c r="U47" s="523"/>
      <c r="V47" s="522"/>
      <c r="W47" s="523"/>
      <c r="X47" s="290"/>
      <c r="Y47" s="522"/>
      <c r="Z47" s="523"/>
      <c r="AA47" s="290"/>
      <c r="AB47" s="522"/>
      <c r="AC47" s="523"/>
      <c r="AD47" s="522"/>
      <c r="AE47" s="523"/>
      <c r="AF47" s="290"/>
      <c r="AG47" s="522"/>
      <c r="AH47" s="523"/>
      <c r="AI47" s="522"/>
      <c r="AJ47" s="523"/>
      <c r="AK47" s="290"/>
      <c r="AL47" s="522"/>
      <c r="AM47" s="523"/>
      <c r="AN47" s="290"/>
      <c r="AO47" s="290"/>
      <c r="AP47" s="522"/>
      <c r="AQ47" s="523"/>
      <c r="AR47" s="522"/>
      <c r="AS47" s="523"/>
      <c r="AT47" s="522"/>
      <c r="AU47" s="523"/>
      <c r="AV47" s="522"/>
      <c r="AW47" s="523"/>
      <c r="AX47" s="784">
        <f t="shared" ref="AX47" si="9">SUM(AX44:AX46)</f>
        <v>596</v>
      </c>
    </row>
    <row r="48" spans="1:50" x14ac:dyDescent="0.2">
      <c r="B48" s="571" t="s">
        <v>263</v>
      </c>
      <c r="C48" s="567"/>
      <c r="D48" s="567"/>
      <c r="E48" s="567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7"/>
      <c r="T48" s="567"/>
      <c r="U48" s="567"/>
      <c r="V48" s="567"/>
      <c r="W48" s="567"/>
      <c r="X48" s="567"/>
      <c r="Y48" s="567"/>
      <c r="Z48" s="567"/>
      <c r="AA48" s="567"/>
      <c r="AB48" s="567"/>
      <c r="AC48" s="567"/>
      <c r="AD48" s="567"/>
      <c r="AE48" s="567"/>
      <c r="AF48" s="567"/>
      <c r="AG48" s="567"/>
      <c r="AH48" s="567"/>
      <c r="AI48" s="567"/>
      <c r="AJ48" s="567"/>
      <c r="AK48" s="567"/>
      <c r="AL48" s="567"/>
      <c r="AM48" s="567"/>
      <c r="AN48" s="567"/>
      <c r="AO48" s="567"/>
      <c r="AP48" s="567"/>
      <c r="AQ48" s="567"/>
      <c r="AR48" s="567"/>
      <c r="AS48" s="567"/>
      <c r="AT48" s="567"/>
      <c r="AU48" s="567"/>
      <c r="AV48" s="567"/>
      <c r="AW48" s="567"/>
      <c r="AX48" s="568"/>
    </row>
    <row r="49" spans="2:50" ht="13.5" thickBot="1" x14ac:dyDescent="0.25">
      <c r="B49" s="572"/>
      <c r="C49" s="569"/>
      <c r="D49" s="569"/>
      <c r="E49" s="569"/>
      <c r="F49" s="569"/>
      <c r="G49" s="569"/>
      <c r="H49" s="569"/>
      <c r="I49" s="569"/>
      <c r="J49" s="569"/>
      <c r="K49" s="569"/>
      <c r="L49" s="569"/>
      <c r="M49" s="569"/>
      <c r="N49" s="569"/>
      <c r="O49" s="569"/>
      <c r="P49" s="569"/>
      <c r="Q49" s="569"/>
      <c r="R49" s="569"/>
      <c r="S49" s="569"/>
      <c r="T49" s="569"/>
      <c r="U49" s="569"/>
      <c r="V49" s="569"/>
      <c r="W49" s="569"/>
      <c r="X49" s="569"/>
      <c r="Y49" s="569"/>
      <c r="Z49" s="569"/>
      <c r="AA49" s="569"/>
      <c r="AB49" s="569"/>
      <c r="AC49" s="569"/>
      <c r="AD49" s="569"/>
      <c r="AE49" s="569"/>
      <c r="AF49" s="569"/>
      <c r="AG49" s="569"/>
      <c r="AH49" s="569"/>
      <c r="AI49" s="569"/>
      <c r="AJ49" s="569"/>
      <c r="AK49" s="569"/>
      <c r="AL49" s="569"/>
      <c r="AM49" s="569"/>
      <c r="AN49" s="569"/>
      <c r="AO49" s="569"/>
      <c r="AP49" s="569"/>
      <c r="AQ49" s="569"/>
      <c r="AR49" s="569"/>
      <c r="AS49" s="569"/>
      <c r="AT49" s="569"/>
      <c r="AU49" s="569"/>
      <c r="AV49" s="569"/>
      <c r="AW49" s="569"/>
      <c r="AX49" s="570"/>
    </row>
  </sheetData>
  <customSheetViews>
    <customSheetView guid="{221143F3-72E3-4C4A-9811-2F859DD19779}" scale="85" fitToPage="1">
      <pane ySplit="20" topLeftCell="A21" activePane="bottomLeft" state="frozen"/>
      <selection pane="bottomLeft" activeCell="C20" sqref="C20"/>
      <pageMargins left="0.39" right="0.25" top="0.89" bottom="0.73" header="0.5" footer="0.5"/>
      <pageSetup paperSize="17" scale="69" orientation="landscape" r:id="rId1"/>
      <headerFooter alignWithMargins="0">
        <oddFooter>&amp;L&amp;D&amp;R&amp;F, &amp;A</oddFooter>
      </headerFooter>
    </customSheetView>
  </customSheetViews>
  <mergeCells count="168">
    <mergeCell ref="AV47:AW47"/>
    <mergeCell ref="AI44:AJ44"/>
    <mergeCell ref="AL44:AM44"/>
    <mergeCell ref="AP44:AQ44"/>
    <mergeCell ref="AT41:AU41"/>
    <mergeCell ref="AT44:AU44"/>
    <mergeCell ref="AV44:AW44"/>
    <mergeCell ref="C47:D47"/>
    <mergeCell ref="F47:G47"/>
    <mergeCell ref="H47:I47"/>
    <mergeCell ref="J47:K47"/>
    <mergeCell ref="L47:M47"/>
    <mergeCell ref="N47:O47"/>
    <mergeCell ref="P47:Q47"/>
    <mergeCell ref="S47:U47"/>
    <mergeCell ref="V47:W47"/>
    <mergeCell ref="Y47:Z47"/>
    <mergeCell ref="AB47:AC47"/>
    <mergeCell ref="AD47:AE47"/>
    <mergeCell ref="AG47:AH47"/>
    <mergeCell ref="AI47:AJ47"/>
    <mergeCell ref="AL47:AM47"/>
    <mergeCell ref="AP47:AQ47"/>
    <mergeCell ref="AT47:AU47"/>
    <mergeCell ref="C48:AX49"/>
    <mergeCell ref="B48:B49"/>
    <mergeCell ref="S7:T18"/>
    <mergeCell ref="S29:U29"/>
    <mergeCell ref="S6:U6"/>
    <mergeCell ref="C44:D44"/>
    <mergeCell ref="F44:G44"/>
    <mergeCell ref="H44:I44"/>
    <mergeCell ref="J44:K44"/>
    <mergeCell ref="L44:M44"/>
    <mergeCell ref="N44:O44"/>
    <mergeCell ref="P44:Q44"/>
    <mergeCell ref="S35:U35"/>
    <mergeCell ref="T34:U34"/>
    <mergeCell ref="S41:U41"/>
    <mergeCell ref="T40:U40"/>
    <mergeCell ref="S44:U44"/>
    <mergeCell ref="V44:W44"/>
    <mergeCell ref="Y44:Z44"/>
    <mergeCell ref="AB44:AC44"/>
    <mergeCell ref="AD44:AE44"/>
    <mergeCell ref="AG44:AH44"/>
    <mergeCell ref="AL41:AM41"/>
    <mergeCell ref="AP41:AQ41"/>
    <mergeCell ref="AV41:AW41"/>
    <mergeCell ref="AT29:AU29"/>
    <mergeCell ref="AT35:AU35"/>
    <mergeCell ref="AB29:AC29"/>
    <mergeCell ref="AG29:AH29"/>
    <mergeCell ref="AP29:AQ29"/>
    <mergeCell ref="AN35:AO35"/>
    <mergeCell ref="AP35:AQ35"/>
    <mergeCell ref="AV35:AW35"/>
    <mergeCell ref="AD41:AE41"/>
    <mergeCell ref="AG41:AH41"/>
    <mergeCell ref="AI41:AJ41"/>
    <mergeCell ref="AR29:AS29"/>
    <mergeCell ref="AR35:AS35"/>
    <mergeCell ref="AR41:AS41"/>
    <mergeCell ref="B6:B20"/>
    <mergeCell ref="C45:AX45"/>
    <mergeCell ref="C42:AX42"/>
    <mergeCell ref="C36:AX36"/>
    <mergeCell ref="C30:AX30"/>
    <mergeCell ref="C21:AX21"/>
    <mergeCell ref="T28:U28"/>
    <mergeCell ref="AD28:AE28"/>
    <mergeCell ref="C29:D29"/>
    <mergeCell ref="F29:G29"/>
    <mergeCell ref="H29:I29"/>
    <mergeCell ref="J29:K29"/>
    <mergeCell ref="L29:M29"/>
    <mergeCell ref="N29:O29"/>
    <mergeCell ref="P29:Q29"/>
    <mergeCell ref="Y29:Z29"/>
    <mergeCell ref="V29:W29"/>
    <mergeCell ref="AD29:AE29"/>
    <mergeCell ref="AI29:AJ29"/>
    <mergeCell ref="AL29:AM29"/>
    <mergeCell ref="U7:U18"/>
    <mergeCell ref="AO7:AO18"/>
    <mergeCell ref="R7:R18"/>
    <mergeCell ref="AA7:AA18"/>
    <mergeCell ref="Y19:Z19"/>
    <mergeCell ref="J6:O6"/>
    <mergeCell ref="J7:K18"/>
    <mergeCell ref="J19:K19"/>
    <mergeCell ref="L7:M18"/>
    <mergeCell ref="L19:M19"/>
    <mergeCell ref="N7:O18"/>
    <mergeCell ref="N19:O19"/>
    <mergeCell ref="C6:D6"/>
    <mergeCell ref="C7:D18"/>
    <mergeCell ref="C19:D19"/>
    <mergeCell ref="E7:E18"/>
    <mergeCell ref="P6:Q6"/>
    <mergeCell ref="P7:Q18"/>
    <mergeCell ref="F6:I6"/>
    <mergeCell ref="F7:G18"/>
    <mergeCell ref="F19:G19"/>
    <mergeCell ref="H7:I18"/>
    <mergeCell ref="H19:I19"/>
    <mergeCell ref="P19:Q19"/>
    <mergeCell ref="V6:W6"/>
    <mergeCell ref="V7:W18"/>
    <mergeCell ref="V19:W19"/>
    <mergeCell ref="AX7:AX18"/>
    <mergeCell ref="AD7:AD18"/>
    <mergeCell ref="AD6:AF6"/>
    <mergeCell ref="AF7:AF18"/>
    <mergeCell ref="AK7:AK18"/>
    <mergeCell ref="AN7:AN18"/>
    <mergeCell ref="AE7:AE18"/>
    <mergeCell ref="X7:X18"/>
    <mergeCell ref="AV7:AW18"/>
    <mergeCell ref="X6:Z6"/>
    <mergeCell ref="Y7:Z18"/>
    <mergeCell ref="AA6:AC6"/>
    <mergeCell ref="AB7:AC18"/>
    <mergeCell ref="AL6:AM6"/>
    <mergeCell ref="AL7:AM18"/>
    <mergeCell ref="AV19:AW19"/>
    <mergeCell ref="AT6:AW6"/>
    <mergeCell ref="AL19:AM19"/>
    <mergeCell ref="AP7:AQ18"/>
    <mergeCell ref="AP19:AQ19"/>
    <mergeCell ref="AT7:AU18"/>
    <mergeCell ref="AT19:AU19"/>
    <mergeCell ref="AB19:AC19"/>
    <mergeCell ref="AG7:AH18"/>
    <mergeCell ref="AG19:AH19"/>
    <mergeCell ref="AG6:AK6"/>
    <mergeCell ref="AI7:AJ18"/>
    <mergeCell ref="AI19:AJ19"/>
    <mergeCell ref="AN6:AQ6"/>
    <mergeCell ref="AR6:AS6"/>
    <mergeCell ref="AR7:AS18"/>
    <mergeCell ref="AR19:AS19"/>
    <mergeCell ref="C35:D35"/>
    <mergeCell ref="P35:Q35"/>
    <mergeCell ref="AD35:AE35"/>
    <mergeCell ref="AL35:AM35"/>
    <mergeCell ref="F35:G35"/>
    <mergeCell ref="H35:I35"/>
    <mergeCell ref="J35:K35"/>
    <mergeCell ref="L35:M35"/>
    <mergeCell ref="N35:O35"/>
    <mergeCell ref="AI35:AJ35"/>
    <mergeCell ref="V35:W35"/>
    <mergeCell ref="Y35:Z35"/>
    <mergeCell ref="AB35:AC35"/>
    <mergeCell ref="AG35:AH35"/>
    <mergeCell ref="AR44:AS44"/>
    <mergeCell ref="AR47:AS47"/>
    <mergeCell ref="C41:D41"/>
    <mergeCell ref="P41:Q41"/>
    <mergeCell ref="V41:W41"/>
    <mergeCell ref="AB41:AC41"/>
    <mergeCell ref="N41:O41"/>
    <mergeCell ref="L41:M41"/>
    <mergeCell ref="J41:K41"/>
    <mergeCell ref="H41:I41"/>
    <mergeCell ref="F41:G41"/>
    <mergeCell ref="Y41:Z41"/>
  </mergeCells>
  <pageMargins left="0.39" right="0.25" top="0.89" bottom="0.73" header="0.5" footer="0.5"/>
  <pageSetup paperSize="17" scale="49" orientation="landscape" r:id="rId2"/>
  <headerFooter scaleWithDoc="0" alignWithMargins="0">
    <oddHeader>&amp;LHAN-75-14.39</oddHead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49"/>
  <sheetViews>
    <sheetView view="pageBreakPreview" zoomScaleNormal="80" zoomScaleSheetLayoutView="100" workbookViewId="0">
      <pane ySplit="16" topLeftCell="A17" activePane="bottomLeft" state="frozen"/>
      <selection pane="bottomLeft" activeCell="E1" sqref="E1:J1048576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7" width="9.7109375" style="81" hidden="1" customWidth="1"/>
    <col min="8" max="10" width="8.5703125" style="81" hidden="1" customWidth="1"/>
    <col min="11" max="12" width="9.28515625" style="87" customWidth="1"/>
    <col min="13" max="13" width="10.7109375" style="94" customWidth="1"/>
    <col min="14" max="14" width="10" style="94" customWidth="1"/>
    <col min="15" max="17" width="10.7109375" style="94" customWidth="1"/>
    <col min="18" max="18" width="9.28515625" style="87" customWidth="1"/>
    <col min="19" max="21" width="9.28515625" style="88" customWidth="1"/>
    <col min="22" max="24" width="9.28515625" style="13" customWidth="1"/>
    <col min="25" max="25" width="9.28515625" style="87" customWidth="1"/>
    <col min="26" max="26" width="9.140625" style="90"/>
    <col min="27" max="27" width="11.85546875" style="90" bestFit="1" customWidth="1"/>
    <col min="28" max="28" width="9.85546875" style="90" bestFit="1" customWidth="1"/>
    <col min="29" max="29" width="9.7109375" style="90" customWidth="1"/>
    <col min="30" max="40" width="9.7109375" style="81" customWidth="1"/>
    <col min="41" max="16384" width="9.140625" style="81"/>
  </cols>
  <sheetData>
    <row r="1" spans="1:37" s="90" customFormat="1" ht="13.5" thickBot="1" x14ac:dyDescent="0.25">
      <c r="B1" s="97"/>
      <c r="C1" s="97"/>
      <c r="K1" s="88"/>
      <c r="L1" s="88"/>
      <c r="M1" s="105"/>
      <c r="N1" s="105"/>
      <c r="O1" s="105"/>
      <c r="P1" s="105"/>
      <c r="Q1" s="105"/>
      <c r="R1" s="88"/>
      <c r="S1" s="88">
        <v>12</v>
      </c>
      <c r="T1" s="88"/>
      <c r="U1" s="88">
        <v>6</v>
      </c>
      <c r="V1" s="10"/>
      <c r="W1" s="10"/>
      <c r="X1" s="10">
        <v>3.25</v>
      </c>
      <c r="Y1" s="88"/>
    </row>
    <row r="2" spans="1:37" s="90" customFormat="1" x14ac:dyDescent="0.2">
      <c r="A2" s="120"/>
      <c r="B2" s="52"/>
      <c r="C2" s="52"/>
      <c r="J2" s="10"/>
      <c r="K2" s="10"/>
      <c r="L2" s="10"/>
      <c r="M2" s="10"/>
      <c r="N2" s="10"/>
      <c r="O2" s="10"/>
      <c r="P2" s="10"/>
      <c r="Q2" s="10"/>
      <c r="R2" s="10"/>
      <c r="S2" s="146"/>
      <c r="T2" s="145" t="s">
        <v>36</v>
      </c>
      <c r="U2" s="168" t="s">
        <v>149</v>
      </c>
      <c r="V2" s="168"/>
      <c r="W2" s="170"/>
      <c r="X2" s="170" t="s">
        <v>35</v>
      </c>
      <c r="Y2" s="211">
        <v>41920</v>
      </c>
      <c r="AA2" s="224" t="s">
        <v>105</v>
      </c>
      <c r="AB2" s="141"/>
      <c r="AC2" s="224" t="s">
        <v>107</v>
      </c>
      <c r="AD2" s="219" t="s">
        <v>212</v>
      </c>
    </row>
    <row r="3" spans="1:37" s="90" customFormat="1" ht="13.5" thickBot="1" x14ac:dyDescent="0.25">
      <c r="A3" s="120"/>
      <c r="B3" s="52"/>
      <c r="C3" s="52"/>
      <c r="J3" s="10"/>
      <c r="K3" s="10"/>
      <c r="L3" s="10"/>
      <c r="M3" s="10"/>
      <c r="N3" s="10"/>
      <c r="O3" s="10"/>
      <c r="P3" s="10"/>
      <c r="Q3" s="10"/>
      <c r="R3" s="10"/>
      <c r="S3" s="45"/>
      <c r="T3" s="46" t="s">
        <v>37</v>
      </c>
      <c r="U3" s="169" t="s">
        <v>278</v>
      </c>
      <c r="V3" s="169"/>
      <c r="W3" s="171"/>
      <c r="X3" s="171" t="s">
        <v>35</v>
      </c>
      <c r="Y3" s="472">
        <v>41926</v>
      </c>
      <c r="AA3" s="225" t="s">
        <v>106</v>
      </c>
      <c r="AB3" s="166"/>
      <c r="AC3" s="225" t="s">
        <v>108</v>
      </c>
      <c r="AD3" s="106" t="s">
        <v>213</v>
      </c>
    </row>
    <row r="4" spans="1:37" s="90" customFormat="1" ht="13.5" thickBot="1" x14ac:dyDescent="0.25">
      <c r="A4" s="120"/>
      <c r="B4" s="52"/>
      <c r="C4" s="52"/>
      <c r="D4" s="52"/>
      <c r="E4" s="52"/>
      <c r="F4" s="5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225" t="s">
        <v>111</v>
      </c>
      <c r="AB4" s="142"/>
      <c r="AC4" s="225" t="s">
        <v>113</v>
      </c>
      <c r="AD4" s="106" t="s">
        <v>214</v>
      </c>
    </row>
    <row r="5" spans="1:37" s="91" customFormat="1" ht="12.75" customHeight="1" x14ac:dyDescent="0.2">
      <c r="B5" s="639" t="s">
        <v>1</v>
      </c>
      <c r="C5" s="640"/>
      <c r="D5" s="635" t="s">
        <v>0</v>
      </c>
      <c r="E5" s="649" t="s">
        <v>103</v>
      </c>
      <c r="F5" s="649" t="s">
        <v>104</v>
      </c>
      <c r="G5" s="649" t="s">
        <v>110</v>
      </c>
      <c r="H5" s="649" t="s">
        <v>200</v>
      </c>
      <c r="I5" s="649" t="s">
        <v>50</v>
      </c>
      <c r="J5" s="649" t="s">
        <v>118</v>
      </c>
      <c r="K5" s="645" t="s">
        <v>4</v>
      </c>
      <c r="L5" s="645" t="s">
        <v>21</v>
      </c>
      <c r="M5" s="699" t="s">
        <v>17</v>
      </c>
      <c r="N5" s="699" t="s">
        <v>20</v>
      </c>
      <c r="O5" s="699" t="s">
        <v>14</v>
      </c>
      <c r="P5" s="624">
        <v>204</v>
      </c>
      <c r="Q5" s="626"/>
      <c r="R5" s="771">
        <v>206</v>
      </c>
      <c r="S5" s="772"/>
      <c r="T5" s="772"/>
      <c r="U5" s="2">
        <v>304</v>
      </c>
      <c r="V5" s="62">
        <v>451</v>
      </c>
      <c r="W5" s="2">
        <v>452</v>
      </c>
      <c r="X5" s="49">
        <v>617</v>
      </c>
      <c r="Y5" s="49">
        <v>618</v>
      </c>
      <c r="Z5" s="141"/>
      <c r="AA5" s="225" t="s">
        <v>112</v>
      </c>
      <c r="AB5" s="142"/>
      <c r="AC5" s="225" t="s">
        <v>114</v>
      </c>
      <c r="AD5" s="106" t="s">
        <v>215</v>
      </c>
      <c r="AE5" s="116"/>
    </row>
    <row r="6" spans="1:37" ht="12.75" customHeight="1" thickBot="1" x14ac:dyDescent="0.25">
      <c r="B6" s="641"/>
      <c r="C6" s="642"/>
      <c r="D6" s="636"/>
      <c r="E6" s="694"/>
      <c r="F6" s="696"/>
      <c r="G6" s="696"/>
      <c r="H6" s="692"/>
      <c r="I6" s="692"/>
      <c r="J6" s="692"/>
      <c r="K6" s="646"/>
      <c r="L6" s="646"/>
      <c r="M6" s="700"/>
      <c r="N6" s="700"/>
      <c r="O6" s="700"/>
      <c r="P6" s="657" t="s">
        <v>194</v>
      </c>
      <c r="Q6" s="773" t="s">
        <v>7</v>
      </c>
      <c r="R6" s="773" t="s">
        <v>18</v>
      </c>
      <c r="S6" s="774" t="s">
        <v>19</v>
      </c>
      <c r="T6" s="777" t="s">
        <v>23</v>
      </c>
      <c r="U6" s="543" t="s">
        <v>9</v>
      </c>
      <c r="V6" s="761" t="s">
        <v>138</v>
      </c>
      <c r="W6" s="543" t="s">
        <v>29</v>
      </c>
      <c r="X6" s="657" t="s">
        <v>279</v>
      </c>
      <c r="Y6" s="657" t="s">
        <v>164</v>
      </c>
      <c r="Z6" s="166"/>
      <c r="AA6" s="226" t="s">
        <v>101</v>
      </c>
      <c r="AB6" s="142"/>
      <c r="AC6" s="225" t="s">
        <v>109</v>
      </c>
      <c r="AD6" s="220" t="s">
        <v>216</v>
      </c>
      <c r="AE6" s="116"/>
    </row>
    <row r="7" spans="1:37" ht="12.75" customHeight="1" thickBot="1" x14ac:dyDescent="0.25">
      <c r="B7" s="641"/>
      <c r="C7" s="642"/>
      <c r="D7" s="636"/>
      <c r="E7" s="694"/>
      <c r="F7" s="696"/>
      <c r="G7" s="696"/>
      <c r="H7" s="692"/>
      <c r="I7" s="692"/>
      <c r="J7" s="692"/>
      <c r="K7" s="646"/>
      <c r="L7" s="646"/>
      <c r="M7" s="700"/>
      <c r="N7" s="700"/>
      <c r="O7" s="700"/>
      <c r="P7" s="658"/>
      <c r="Q7" s="773"/>
      <c r="R7" s="773"/>
      <c r="S7" s="775"/>
      <c r="T7" s="775"/>
      <c r="U7" s="544"/>
      <c r="V7" s="762"/>
      <c r="W7" s="544"/>
      <c r="X7" s="658"/>
      <c r="Y7" s="658"/>
      <c r="Z7" s="142"/>
      <c r="AA7" s="142"/>
      <c r="AB7" s="142"/>
      <c r="AC7" s="226" t="s">
        <v>116</v>
      </c>
      <c r="AD7" s="220" t="s">
        <v>217</v>
      </c>
      <c r="AE7" s="116"/>
    </row>
    <row r="8" spans="1:37" ht="12.75" customHeight="1" thickBot="1" x14ac:dyDescent="0.25">
      <c r="B8" s="641"/>
      <c r="C8" s="642"/>
      <c r="D8" s="636"/>
      <c r="E8" s="694"/>
      <c r="F8" s="696"/>
      <c r="G8" s="696"/>
      <c r="H8" s="692"/>
      <c r="I8" s="692"/>
      <c r="J8" s="692"/>
      <c r="K8" s="646"/>
      <c r="L8" s="646"/>
      <c r="M8" s="700"/>
      <c r="N8" s="700"/>
      <c r="O8" s="700"/>
      <c r="P8" s="658"/>
      <c r="Q8" s="773"/>
      <c r="R8" s="773"/>
      <c r="S8" s="775"/>
      <c r="T8" s="775"/>
      <c r="U8" s="544"/>
      <c r="V8" s="762"/>
      <c r="W8" s="544"/>
      <c r="X8" s="658"/>
      <c r="Y8" s="658"/>
      <c r="Z8" s="142"/>
      <c r="AD8" s="142"/>
      <c r="AE8" s="116"/>
    </row>
    <row r="9" spans="1:37" ht="12.75" customHeight="1" thickBot="1" x14ac:dyDescent="0.25">
      <c r="B9" s="641"/>
      <c r="C9" s="642"/>
      <c r="D9" s="636"/>
      <c r="E9" s="694"/>
      <c r="F9" s="696"/>
      <c r="G9" s="696"/>
      <c r="H9" s="692"/>
      <c r="I9" s="692"/>
      <c r="J9" s="692"/>
      <c r="K9" s="646"/>
      <c r="L9" s="646"/>
      <c r="M9" s="700"/>
      <c r="N9" s="700"/>
      <c r="O9" s="700"/>
      <c r="P9" s="658"/>
      <c r="Q9" s="773"/>
      <c r="R9" s="773"/>
      <c r="S9" s="775"/>
      <c r="T9" s="775"/>
      <c r="U9" s="544"/>
      <c r="V9" s="762"/>
      <c r="W9" s="544"/>
      <c r="X9" s="658"/>
      <c r="Y9" s="658"/>
      <c r="Z9" s="142"/>
      <c r="AA9" s="659" t="s">
        <v>211</v>
      </c>
      <c r="AB9" s="660"/>
      <c r="AC9" s="660"/>
      <c r="AD9" s="660"/>
      <c r="AE9" s="660"/>
      <c r="AF9" s="660"/>
      <c r="AG9" s="660"/>
      <c r="AH9" s="660"/>
      <c r="AI9" s="660"/>
      <c r="AJ9" s="660"/>
      <c r="AK9" s="661"/>
    </row>
    <row r="10" spans="1:37" ht="12.75" customHeight="1" x14ac:dyDescent="0.2">
      <c r="B10" s="641"/>
      <c r="C10" s="642"/>
      <c r="D10" s="636"/>
      <c r="E10" s="694"/>
      <c r="F10" s="696"/>
      <c r="G10" s="696"/>
      <c r="H10" s="692"/>
      <c r="I10" s="692"/>
      <c r="J10" s="692"/>
      <c r="K10" s="646"/>
      <c r="L10" s="646"/>
      <c r="M10" s="700"/>
      <c r="N10" s="700"/>
      <c r="O10" s="700"/>
      <c r="P10" s="658"/>
      <c r="Q10" s="773"/>
      <c r="R10" s="773"/>
      <c r="S10" s="775"/>
      <c r="T10" s="775"/>
      <c r="U10" s="544"/>
      <c r="V10" s="762"/>
      <c r="W10" s="544"/>
      <c r="X10" s="658"/>
      <c r="Y10" s="658"/>
      <c r="Z10" s="142"/>
      <c r="AA10" s="662" t="s">
        <v>218</v>
      </c>
      <c r="AB10" s="664" t="s">
        <v>224</v>
      </c>
      <c r="AC10" s="686" t="s">
        <v>199</v>
      </c>
      <c r="AD10" s="668"/>
      <c r="AE10" s="687"/>
      <c r="AF10" s="667" t="s">
        <v>49</v>
      </c>
      <c r="AG10" s="668"/>
      <c r="AH10" s="687"/>
      <c r="AI10" s="667" t="s">
        <v>117</v>
      </c>
      <c r="AJ10" s="668"/>
      <c r="AK10" s="669"/>
    </row>
    <row r="11" spans="1:37" ht="12.75" customHeight="1" thickBot="1" x14ac:dyDescent="0.25">
      <c r="B11" s="641"/>
      <c r="C11" s="642"/>
      <c r="D11" s="636"/>
      <c r="E11" s="694"/>
      <c r="F11" s="696"/>
      <c r="G11" s="696"/>
      <c r="H11" s="692"/>
      <c r="I11" s="692"/>
      <c r="J11" s="692"/>
      <c r="K11" s="646"/>
      <c r="L11" s="646"/>
      <c r="M11" s="700"/>
      <c r="N11" s="700"/>
      <c r="O11" s="700"/>
      <c r="P11" s="658"/>
      <c r="Q11" s="773"/>
      <c r="R11" s="773"/>
      <c r="S11" s="775"/>
      <c r="T11" s="775"/>
      <c r="U11" s="544"/>
      <c r="V11" s="762"/>
      <c r="W11" s="544"/>
      <c r="X11" s="658"/>
      <c r="Y11" s="658"/>
      <c r="Z11" s="142"/>
      <c r="AA11" s="663"/>
      <c r="AB11" s="665"/>
      <c r="AC11" s="670" t="s">
        <v>219</v>
      </c>
      <c r="AD11" s="671"/>
      <c r="AE11" s="672"/>
      <c r="AF11" s="673" t="s">
        <v>220</v>
      </c>
      <c r="AG11" s="671"/>
      <c r="AH11" s="672"/>
      <c r="AI11" s="673" t="s">
        <v>227</v>
      </c>
      <c r="AJ11" s="671"/>
      <c r="AK11" s="674"/>
    </row>
    <row r="12" spans="1:37" ht="12.75" customHeight="1" x14ac:dyDescent="0.2">
      <c r="B12" s="641"/>
      <c r="C12" s="642"/>
      <c r="D12" s="636"/>
      <c r="E12" s="694"/>
      <c r="F12" s="696"/>
      <c r="G12" s="696"/>
      <c r="H12" s="692"/>
      <c r="I12" s="692"/>
      <c r="J12" s="692"/>
      <c r="K12" s="646"/>
      <c r="L12" s="646"/>
      <c r="M12" s="700"/>
      <c r="N12" s="700"/>
      <c r="O12" s="700"/>
      <c r="P12" s="658"/>
      <c r="Q12" s="773"/>
      <c r="R12" s="773"/>
      <c r="S12" s="775"/>
      <c r="T12" s="775"/>
      <c r="U12" s="544"/>
      <c r="V12" s="762"/>
      <c r="W12" s="544"/>
      <c r="X12" s="658"/>
      <c r="Y12" s="658"/>
      <c r="Z12" s="142"/>
      <c r="AA12" s="222" t="s">
        <v>105</v>
      </c>
      <c r="AB12" s="104" t="s">
        <v>221</v>
      </c>
      <c r="AC12" s="653">
        <v>1.5</v>
      </c>
      <c r="AD12" s="601"/>
      <c r="AE12" s="602"/>
      <c r="AF12" s="600">
        <v>0.75</v>
      </c>
      <c r="AG12" s="601"/>
      <c r="AH12" s="602"/>
      <c r="AI12" s="600" t="s">
        <v>101</v>
      </c>
      <c r="AJ12" s="601"/>
      <c r="AK12" s="681"/>
    </row>
    <row r="13" spans="1:37" ht="12.75" customHeight="1" x14ac:dyDescent="0.2">
      <c r="B13" s="641"/>
      <c r="C13" s="642"/>
      <c r="D13" s="636"/>
      <c r="E13" s="694"/>
      <c r="F13" s="696"/>
      <c r="G13" s="696"/>
      <c r="H13" s="692"/>
      <c r="I13" s="692"/>
      <c r="J13" s="692"/>
      <c r="K13" s="646"/>
      <c r="L13" s="646"/>
      <c r="M13" s="700"/>
      <c r="N13" s="700"/>
      <c r="O13" s="700"/>
      <c r="P13" s="658"/>
      <c r="Q13" s="773"/>
      <c r="R13" s="773"/>
      <c r="S13" s="775"/>
      <c r="T13" s="775"/>
      <c r="U13" s="544"/>
      <c r="V13" s="762"/>
      <c r="W13" s="544"/>
      <c r="X13" s="658"/>
      <c r="Y13" s="658"/>
      <c r="Z13" s="142"/>
      <c r="AA13" s="221" t="s">
        <v>106</v>
      </c>
      <c r="AB13" s="103" t="s">
        <v>222</v>
      </c>
      <c r="AC13" s="675">
        <v>2</v>
      </c>
      <c r="AD13" s="676"/>
      <c r="AE13" s="677"/>
      <c r="AF13" s="678">
        <v>0.75</v>
      </c>
      <c r="AG13" s="679"/>
      <c r="AH13" s="680"/>
      <c r="AI13" s="678" t="s">
        <v>101</v>
      </c>
      <c r="AJ13" s="679"/>
      <c r="AK13" s="711"/>
    </row>
    <row r="14" spans="1:37" ht="12.75" customHeight="1" x14ac:dyDescent="0.2">
      <c r="B14" s="641"/>
      <c r="C14" s="642"/>
      <c r="D14" s="636"/>
      <c r="E14" s="694"/>
      <c r="F14" s="696"/>
      <c r="G14" s="696"/>
      <c r="H14" s="692"/>
      <c r="I14" s="692"/>
      <c r="J14" s="692"/>
      <c r="K14" s="646"/>
      <c r="L14" s="646"/>
      <c r="M14" s="700"/>
      <c r="N14" s="700"/>
      <c r="O14" s="700"/>
      <c r="P14" s="658"/>
      <c r="Q14" s="773"/>
      <c r="R14" s="773"/>
      <c r="S14" s="775"/>
      <c r="T14" s="775"/>
      <c r="U14" s="544"/>
      <c r="V14" s="762"/>
      <c r="W14" s="544"/>
      <c r="X14" s="658"/>
      <c r="Y14" s="658"/>
      <c r="Z14" s="142"/>
      <c r="AA14" s="221" t="s">
        <v>111</v>
      </c>
      <c r="AB14" s="103" t="s">
        <v>223</v>
      </c>
      <c r="AC14" s="675" t="s">
        <v>101</v>
      </c>
      <c r="AD14" s="676"/>
      <c r="AE14" s="677"/>
      <c r="AF14" s="678" t="s">
        <v>101</v>
      </c>
      <c r="AG14" s="679"/>
      <c r="AH14" s="680"/>
      <c r="AI14" s="678">
        <v>-1.42</v>
      </c>
      <c r="AJ14" s="679"/>
      <c r="AK14" s="711"/>
    </row>
    <row r="15" spans="1:37" ht="12.75" customHeight="1" x14ac:dyDescent="0.2">
      <c r="B15" s="641"/>
      <c r="C15" s="642"/>
      <c r="D15" s="636"/>
      <c r="E15" s="694"/>
      <c r="F15" s="696"/>
      <c r="G15" s="696"/>
      <c r="H15" s="692"/>
      <c r="I15" s="692"/>
      <c r="J15" s="692"/>
      <c r="K15" s="647"/>
      <c r="L15" s="647"/>
      <c r="M15" s="701"/>
      <c r="N15" s="701"/>
      <c r="O15" s="701"/>
      <c r="P15" s="658"/>
      <c r="Q15" s="773"/>
      <c r="R15" s="773"/>
      <c r="S15" s="776"/>
      <c r="T15" s="776"/>
      <c r="U15" s="545"/>
      <c r="V15" s="763"/>
      <c r="W15" s="545"/>
      <c r="X15" s="658"/>
      <c r="Y15" s="658"/>
      <c r="Z15" s="142"/>
      <c r="AA15" s="221" t="s">
        <v>225</v>
      </c>
      <c r="AB15" s="103" t="s">
        <v>221</v>
      </c>
      <c r="AC15" s="653">
        <v>3.83</v>
      </c>
      <c r="AD15" s="601"/>
      <c r="AE15" s="602"/>
      <c r="AF15" s="600">
        <v>1.42</v>
      </c>
      <c r="AG15" s="601"/>
      <c r="AH15" s="602"/>
      <c r="AI15" s="600" t="s">
        <v>101</v>
      </c>
      <c r="AJ15" s="601"/>
      <c r="AK15" s="681"/>
    </row>
    <row r="16" spans="1:37" ht="12.75" customHeight="1" thickBot="1" x14ac:dyDescent="0.25">
      <c r="B16" s="98" t="s">
        <v>2</v>
      </c>
      <c r="C16" s="99" t="s">
        <v>3</v>
      </c>
      <c r="D16" s="693"/>
      <c r="E16" s="695"/>
      <c r="F16" s="697"/>
      <c r="G16" s="697"/>
      <c r="H16" s="5" t="s">
        <v>5</v>
      </c>
      <c r="I16" s="5" t="s">
        <v>12</v>
      </c>
      <c r="J16" s="84" t="s">
        <v>5</v>
      </c>
      <c r="K16" s="5" t="s">
        <v>5</v>
      </c>
      <c r="L16" s="5" t="s">
        <v>5</v>
      </c>
      <c r="M16" s="73" t="s">
        <v>6</v>
      </c>
      <c r="N16" s="73" t="s">
        <v>6</v>
      </c>
      <c r="O16" s="73" t="s">
        <v>6</v>
      </c>
      <c r="P16" s="84" t="s">
        <v>10</v>
      </c>
      <c r="Q16" s="206" t="s">
        <v>11</v>
      </c>
      <c r="R16" s="206" t="s">
        <v>10</v>
      </c>
      <c r="S16" s="206" t="s">
        <v>10</v>
      </c>
      <c r="T16" s="206" t="s">
        <v>22</v>
      </c>
      <c r="U16" s="73" t="s">
        <v>12</v>
      </c>
      <c r="V16" s="73" t="s">
        <v>5</v>
      </c>
      <c r="W16" s="73" t="s">
        <v>10</v>
      </c>
      <c r="X16" s="471" t="s">
        <v>12</v>
      </c>
      <c r="Y16" s="5" t="s">
        <v>5</v>
      </c>
      <c r="Z16" s="143"/>
      <c r="AA16" s="223" t="s">
        <v>226</v>
      </c>
      <c r="AB16" s="158" t="s">
        <v>221</v>
      </c>
      <c r="AC16" s="666">
        <v>3.17</v>
      </c>
      <c r="AD16" s="655"/>
      <c r="AE16" s="656"/>
      <c r="AF16" s="654">
        <v>1.0900000000000001</v>
      </c>
      <c r="AG16" s="655"/>
      <c r="AH16" s="656"/>
      <c r="AI16" s="654" t="s">
        <v>101</v>
      </c>
      <c r="AJ16" s="655"/>
      <c r="AK16" s="682"/>
    </row>
    <row r="17" spans="1:46" ht="12.75" customHeight="1" x14ac:dyDescent="0.2">
      <c r="A17" s="106"/>
      <c r="B17" s="643" t="s">
        <v>192</v>
      </c>
      <c r="C17" s="644"/>
      <c r="D17" s="100"/>
      <c r="E17" s="100"/>
      <c r="F17" s="100"/>
      <c r="G17" s="100"/>
      <c r="H17" s="192"/>
      <c r="I17" s="193"/>
      <c r="J17" s="193"/>
      <c r="K17" s="101"/>
      <c r="L17" s="101"/>
      <c r="M17" s="118"/>
      <c r="N17" s="118"/>
      <c r="O17" s="118"/>
      <c r="P17" s="118"/>
      <c r="Q17" s="118"/>
      <c r="R17" s="173"/>
      <c r="S17" s="173"/>
      <c r="T17" s="173"/>
      <c r="U17" s="173"/>
      <c r="V17" s="101"/>
      <c r="W17" s="101"/>
      <c r="X17" s="101"/>
      <c r="Y17" s="195"/>
      <c r="Z17" s="143"/>
      <c r="AA17" s="81"/>
      <c r="AB17" s="81"/>
      <c r="AC17" s="81"/>
    </row>
    <row r="18" spans="1:46" ht="12.75" customHeight="1" x14ac:dyDescent="0.2">
      <c r="B18" s="338">
        <v>73445</v>
      </c>
      <c r="C18" s="339">
        <v>74144.14</v>
      </c>
      <c r="D18" s="340" t="s">
        <v>16</v>
      </c>
      <c r="E18" s="340" t="s">
        <v>111</v>
      </c>
      <c r="F18" s="340" t="s">
        <v>105</v>
      </c>
      <c r="G18" s="103" t="str">
        <f t="shared" ref="G18:G34" si="0">IF(AND($E18=$AA$2,$F18=$AA$2),$AC$2,IF(OR(AND($E18=$AA$2,$F18=$AA$3),AND($E18=$AA$3,$F18=$AA$2)),$AC$3,IF(OR(AND($E18=$AA$2,$F18=$AA$4),AND($E18=$AA$4,$F18=$AA$2)),$AC$4,IF(OR(AND($E18=$AA$3,$F18=$AA$4),AND($E18=$AA$4,$F18=$AA$3)),$AC$5,IF(AND($E18=$AA$3,$F18=$AA$3),$AC$6,IF(AND($E18=$AA$4,$F18=$AA$4),$AC$7,"-"))))))</f>
        <v>E/S - C/B</v>
      </c>
      <c r="H18" s="77">
        <f>IF(AND($E18=$AA$2,$F18=$AA$2),2*$AC$12,IF(OR(AND($E18=$AA$2, $F18=$AA$3),AND($E18=$AA$3,$F18=$AA$2)),$AC$12+$AC$13,IF(OR(AND($E18=$AA$2,$F18=$AA$4),AND($E18=$AA$4,$F18=$AA$2)),$AC$12,IF(OR(AND($E18=$AA$3,$F18=$AA$4),AND($E18=$AA$4,$F18=$AA$3)),$AC$13,IF(AND($E18=$AA$3,$F18=$AA$3),2*$AC$13,0)))))</f>
        <v>1.5</v>
      </c>
      <c r="I18" s="27">
        <f>IF(AND($E18=$AA$2,$F18=$AA$2),2*$AF$12*$K18/27,IF(OR(AND($E18=$AA$2,$F18=$AA$3),AND($E18=$AA$3,$F18=$AA$2)),($AF$12+$AF$13)*$K18/27,IF(OR(AND($E18=$AA$2,$F18=$AA$4),AND($E18=$AA$4,$F18=$AA$2)),$AF$12*$K18/27,IF(OR(AND($E18=$AA$3,$F18=$AA$4),AND($E18=$AA$4,$F18=$AA$3)),$AF$13*$K18/27,IF(AND($E18=$AA$3,$F18=$AA$3),2*$AF$13*$K18/27,0)))))</f>
        <v>19.420555555555538</v>
      </c>
      <c r="J18" s="78">
        <f>IF(OR(AND($E18=$AA$2,$F18=$AA$4),AND($E18=$AA$4,$F18=$AA$2)),$AI$14,IF(OR(AND($E18=$AA$3,$F18=$AA$4),AND($E18=$AA$4,$F18=$AA$3)),$AI$14,IF(AND($E18=$AA$4,$F18=$AA$4),2*$AI$14,0)))</f>
        <v>-1.42</v>
      </c>
      <c r="K18" s="83">
        <f t="shared" ref="K18:K34" si="1">C18-B18</f>
        <v>699.13999999999942</v>
      </c>
      <c r="L18" s="345">
        <v>42.18</v>
      </c>
      <c r="M18" s="124">
        <f t="shared" ref="M18:M34" si="2">IF(L18="-",0,ROUNDUP($K18*L18,0))</f>
        <v>29490</v>
      </c>
      <c r="N18" s="347">
        <v>0</v>
      </c>
      <c r="O18" s="123">
        <f t="shared" ref="O18:O34" si="3">SUM(M18:N18)</f>
        <v>29490</v>
      </c>
      <c r="P18" s="85">
        <f>IF(OR($A18="APP SLAB",O18=0),0,($O18+$H18*$K18)/9)</f>
        <v>3393.19</v>
      </c>
      <c r="Q18" s="210">
        <f>IF(AND(P18=0,S18=0),0,IF(S18=0,P18/2000,S18/2000))</f>
        <v>1.6965950000000001</v>
      </c>
      <c r="R18" s="85">
        <f t="shared" ref="R18:R22" si="4">IF(OR(A18="APP SLAB",P18&lt;&gt;0),0,S18)</f>
        <v>0</v>
      </c>
      <c r="S18" s="85">
        <f t="shared" ref="S18:S22" si="5">IF(OR(A18="APP SLAB",P18&lt;&gt;0),0,($O18+H18*K18)/9)</f>
        <v>0</v>
      </c>
      <c r="T18" s="85">
        <f t="shared" ref="T18:T22" si="6">IF(OR(A18="APP SLAB",P18&lt;&gt;0),0,$S$1*S18*110*0.06*0.75/2000)</f>
        <v>0</v>
      </c>
      <c r="U18" s="85">
        <f>(O18*$U$1/12)/27+I18</f>
        <v>565.53166666666664</v>
      </c>
      <c r="V18" s="383">
        <v>0</v>
      </c>
      <c r="W18" s="111">
        <f>IF(A18="APP SLAB",0,(O18+J18*K18)/9)</f>
        <v>3166.3579111111112</v>
      </c>
      <c r="X18" s="467">
        <f>IF(AND($E18=$F18="Uncurbed"),(2*$K18*2*$X$1/12)/27,IF(OR($E18="Uncurbed",$F18="Uncurbed"),($K18*2*$X$1/12)/27,IF(OR(AND($E18="Med. Barr.",$F18="Curbed"),AND($E18="Curbed",$F18="Med. Barr."),$E18=$F18,$E18="Unique",$F18="Unique",$E18="-",$F18="-"),0,"?")))</f>
        <v>14.025956790123447</v>
      </c>
      <c r="Y18" s="85">
        <f>IF(A18="APP SLAB",0,(K18*2))</f>
        <v>1398.2799999999988</v>
      </c>
      <c r="Z18" s="143"/>
      <c r="AA18" s="81"/>
      <c r="AB18" s="81"/>
      <c r="AC18" s="81"/>
    </row>
    <row r="19" spans="1:46" ht="12.75" customHeight="1" x14ac:dyDescent="0.2">
      <c r="B19" s="338">
        <v>74144.14</v>
      </c>
      <c r="C19" s="339">
        <v>74242.990000000005</v>
      </c>
      <c r="D19" s="340" t="s">
        <v>16</v>
      </c>
      <c r="E19" s="340" t="s">
        <v>111</v>
      </c>
      <c r="F19" s="340" t="s">
        <v>105</v>
      </c>
      <c r="G19" s="103" t="str">
        <f t="shared" si="0"/>
        <v>E/S - C/B</v>
      </c>
      <c r="H19" s="77">
        <f t="shared" ref="H19:H34" si="7">IF(AND($E19=$AA$2,$F19=$AA$2),2*$AC$12,IF(OR(AND($E19=$AA$2, $F19=$AA$3),AND($E19=$AA$3,$F19=$AA$2)),$AC$12+$AC$13,IF(OR(AND($E19=$AA$2,$F19=$AA$4),AND($E19=$AA$4,$F19=$AA$2)),$AC$12,IF(OR(AND($E19=$AA$3,$F19=$AA$4),AND($E19=$AA$4,$F19=$AA$3)),$AC$13,IF(AND($E19=$AA$3,$F19=$AA$3),2*$AC$13,0)))))</f>
        <v>1.5</v>
      </c>
      <c r="I19" s="27">
        <f t="shared" ref="I19:I34" si="8">IF(AND($E19=$AA$2,$F19=$AA$2),2*$AF$12*$K19/27,IF(OR(AND($E19=$AA$2,$F19=$AA$3),AND($E19=$AA$3,$F19=$AA$2)),($AF$12+$AF$13)*$K19/27,IF(OR(AND($E19=$AA$2,$F19=$AA$4),AND($E19=$AA$4,$F19=$AA$2)),$AF$12*$K19/27,IF(OR(AND($E19=$AA$3,$F19=$AA$4),AND($E19=$AA$4,$F19=$AA$3)),$AF$13*$K19/27,IF(AND($E19=$AA$3,$F19=$AA$3),2*$AF$13*$K19/27,0)))))</f>
        <v>2.7458333333334952</v>
      </c>
      <c r="J19" s="78">
        <f t="shared" ref="J19:J34" si="9">IF(OR(AND($E19=$AA$2,$F19=$AA$4),AND($E19=$AA$4,$F19=$AA$2)),$AI$14,IF(OR(AND($E19=$AA$3,$F19=$AA$4),AND($E19=$AA$4,$F19=$AA$3)),$AI$14,IF(AND($E19=$AA$4,$F19=$AA$4),2*$AI$14,0)))</f>
        <v>-1.42</v>
      </c>
      <c r="K19" s="83">
        <f t="shared" si="1"/>
        <v>98.850000000005821</v>
      </c>
      <c r="L19" s="345">
        <v>45.15</v>
      </c>
      <c r="M19" s="124">
        <f t="shared" si="2"/>
        <v>4464</v>
      </c>
      <c r="N19" s="347">
        <v>0</v>
      </c>
      <c r="O19" s="123">
        <f t="shared" si="3"/>
        <v>4464</v>
      </c>
      <c r="P19" s="85">
        <f t="shared" ref="P19:P22" si="10">IF(OR($A19="APP SLAB",O19=0),0,($O19+$H19*$K19)/9)</f>
        <v>512.47500000000093</v>
      </c>
      <c r="Q19" s="210">
        <f t="shared" ref="Q19:Q34" si="11">IF(AND(P19=0,S19=0),0,IF(S19=0,P19/2000,S19/2000))</f>
        <v>0.25623750000000045</v>
      </c>
      <c r="R19" s="85">
        <f t="shared" si="4"/>
        <v>0</v>
      </c>
      <c r="S19" s="85">
        <f t="shared" si="5"/>
        <v>0</v>
      </c>
      <c r="T19" s="85">
        <f t="shared" si="6"/>
        <v>0</v>
      </c>
      <c r="U19" s="85">
        <f t="shared" ref="U19:U34" si="12">(O19*$U$1/12)/27+I19</f>
        <v>85.412500000000165</v>
      </c>
      <c r="V19" s="383">
        <v>0</v>
      </c>
      <c r="W19" s="111">
        <f t="shared" ref="W19:W34" si="13">IF(A19="APP SLAB",0,(O19+J19*K19)/9)</f>
        <v>480.40366666666574</v>
      </c>
      <c r="X19" s="467">
        <f t="shared" ref="X19:X34" si="14">IF(AND($E19=$F19="Uncurbed"),(2*$K19*2*$X$1/12)/27,IF(OR($E19="Uncurbed",$F19="Uncurbed"),($K19*2*$X$1/12)/27,IF(OR(AND($E19="Med. Barr.",$F19="Curbed"),AND($E19="Curbed",$F19="Med. Barr."),$E19=$F19,$E19="Unique",$F19="Unique",$E19="-",$F19="-"),0,"?")))</f>
        <v>1.9831018518519685</v>
      </c>
      <c r="Y19" s="85">
        <f t="shared" ref="Y19:Y34" si="15">IF(A19="APP SLAB",0,(K19*2))</f>
        <v>197.70000000001164</v>
      </c>
      <c r="Z19" s="143"/>
      <c r="AA19" s="81"/>
      <c r="AB19" s="81"/>
      <c r="AC19" s="81"/>
    </row>
    <row r="20" spans="1:46" ht="12.75" customHeight="1" x14ac:dyDescent="0.2">
      <c r="B20" s="338">
        <v>74242.990000000005</v>
      </c>
      <c r="C20" s="339">
        <v>74499.11</v>
      </c>
      <c r="D20" s="340" t="s">
        <v>16</v>
      </c>
      <c r="E20" s="340" t="s">
        <v>111</v>
      </c>
      <c r="F20" s="340" t="s">
        <v>105</v>
      </c>
      <c r="G20" s="103" t="str">
        <f t="shared" si="0"/>
        <v>E/S - C/B</v>
      </c>
      <c r="H20" s="77">
        <f t="shared" si="7"/>
        <v>1.5</v>
      </c>
      <c r="I20" s="27">
        <f t="shared" si="8"/>
        <v>7.1144444444443149</v>
      </c>
      <c r="J20" s="78">
        <f t="shared" si="9"/>
        <v>-1.42</v>
      </c>
      <c r="K20" s="83">
        <f t="shared" si="1"/>
        <v>256.11999999999534</v>
      </c>
      <c r="L20" s="345">
        <v>50.87</v>
      </c>
      <c r="M20" s="124">
        <f t="shared" si="2"/>
        <v>13029</v>
      </c>
      <c r="N20" s="347">
        <v>0</v>
      </c>
      <c r="O20" s="123">
        <f t="shared" si="3"/>
        <v>13029</v>
      </c>
      <c r="P20" s="85">
        <f t="shared" si="10"/>
        <v>1490.3533333333326</v>
      </c>
      <c r="Q20" s="210">
        <f t="shared" si="11"/>
        <v>0.74517666666666627</v>
      </c>
      <c r="R20" s="85">
        <f t="shared" si="4"/>
        <v>0</v>
      </c>
      <c r="S20" s="85">
        <f t="shared" si="5"/>
        <v>0</v>
      </c>
      <c r="T20" s="85">
        <f t="shared" si="6"/>
        <v>0</v>
      </c>
      <c r="U20" s="85">
        <f t="shared" si="12"/>
        <v>248.39222222222207</v>
      </c>
      <c r="V20" s="383">
        <v>0</v>
      </c>
      <c r="W20" s="111">
        <f t="shared" si="13"/>
        <v>1407.2566222222229</v>
      </c>
      <c r="X20" s="467">
        <f t="shared" si="14"/>
        <v>5.138209876543117</v>
      </c>
      <c r="Y20" s="85">
        <f t="shared" si="15"/>
        <v>512.23999999999069</v>
      </c>
      <c r="Z20" s="120"/>
      <c r="AA20" s="81"/>
      <c r="AB20" s="81"/>
      <c r="AC20" s="81"/>
    </row>
    <row r="21" spans="1:46" ht="12.75" customHeight="1" x14ac:dyDescent="0.2">
      <c r="B21" s="338">
        <v>74499.11</v>
      </c>
      <c r="C21" s="339">
        <v>74584.929999999993</v>
      </c>
      <c r="D21" s="340" t="s">
        <v>16</v>
      </c>
      <c r="E21" s="340" t="s">
        <v>111</v>
      </c>
      <c r="F21" s="340" t="s">
        <v>105</v>
      </c>
      <c r="G21" s="103" t="str">
        <f t="shared" si="0"/>
        <v>E/S - C/B</v>
      </c>
      <c r="H21" s="77">
        <f t="shared" si="7"/>
        <v>1.5</v>
      </c>
      <c r="I21" s="27">
        <f t="shared" si="8"/>
        <v>2.3838888888886789</v>
      </c>
      <c r="J21" s="78">
        <f t="shared" si="9"/>
        <v>-1.42</v>
      </c>
      <c r="K21" s="83">
        <f t="shared" si="1"/>
        <v>85.819999999992433</v>
      </c>
      <c r="L21" s="345">
        <v>50.42</v>
      </c>
      <c r="M21" s="124">
        <f t="shared" si="2"/>
        <v>4328</v>
      </c>
      <c r="N21" s="347">
        <v>0</v>
      </c>
      <c r="O21" s="123">
        <f t="shared" si="3"/>
        <v>4328</v>
      </c>
      <c r="P21" s="85">
        <f t="shared" si="10"/>
        <v>495.19222222222095</v>
      </c>
      <c r="Q21" s="210">
        <f t="shared" si="11"/>
        <v>0.24759611111111046</v>
      </c>
      <c r="R21" s="85">
        <f t="shared" si="4"/>
        <v>0</v>
      </c>
      <c r="S21" s="85">
        <f t="shared" si="5"/>
        <v>0</v>
      </c>
      <c r="T21" s="85">
        <f t="shared" si="6"/>
        <v>0</v>
      </c>
      <c r="U21" s="85">
        <f t="shared" si="12"/>
        <v>82.532037037036829</v>
      </c>
      <c r="V21" s="383">
        <v>0</v>
      </c>
      <c r="W21" s="111">
        <f t="shared" si="13"/>
        <v>467.34840000000116</v>
      </c>
      <c r="X21" s="467">
        <f t="shared" si="14"/>
        <v>1.7216975308640456</v>
      </c>
      <c r="Y21" s="85">
        <f t="shared" si="15"/>
        <v>171.63999999998487</v>
      </c>
      <c r="Z21" s="10"/>
      <c r="AA21" s="81"/>
      <c r="AB21" s="81"/>
      <c r="AC21" s="81"/>
    </row>
    <row r="22" spans="1:46" ht="12.75" customHeight="1" x14ac:dyDescent="0.2">
      <c r="B22" s="338">
        <v>74584.929999999993</v>
      </c>
      <c r="C22" s="339">
        <v>74587</v>
      </c>
      <c r="D22" s="340" t="s">
        <v>16</v>
      </c>
      <c r="E22" s="340" t="s">
        <v>111</v>
      </c>
      <c r="F22" s="340" t="s">
        <v>105</v>
      </c>
      <c r="G22" s="103" t="str">
        <f t="shared" si="0"/>
        <v>E/S - C/B</v>
      </c>
      <c r="H22" s="77">
        <f t="shared" si="7"/>
        <v>1.5</v>
      </c>
      <c r="I22" s="27">
        <f t="shared" si="8"/>
        <v>5.7500000000194028E-2</v>
      </c>
      <c r="J22" s="78">
        <f t="shared" si="9"/>
        <v>-1.42</v>
      </c>
      <c r="K22" s="83">
        <f t="shared" si="1"/>
        <v>2.0700000000069849</v>
      </c>
      <c r="L22" s="345" t="s">
        <v>101</v>
      </c>
      <c r="M22" s="124">
        <f t="shared" si="2"/>
        <v>0</v>
      </c>
      <c r="N22" s="347">
        <v>104</v>
      </c>
      <c r="O22" s="123">
        <f t="shared" si="3"/>
        <v>104</v>
      </c>
      <c r="P22" s="85">
        <f t="shared" si="10"/>
        <v>11.90055555555672</v>
      </c>
      <c r="Q22" s="210">
        <f t="shared" si="11"/>
        <v>5.9502777777783594E-3</v>
      </c>
      <c r="R22" s="85">
        <f t="shared" si="4"/>
        <v>0</v>
      </c>
      <c r="S22" s="85">
        <f t="shared" si="5"/>
        <v>0</v>
      </c>
      <c r="T22" s="85">
        <f t="shared" si="6"/>
        <v>0</v>
      </c>
      <c r="U22" s="85">
        <f t="shared" si="12"/>
        <v>1.9834259259261198</v>
      </c>
      <c r="V22" s="383">
        <v>0</v>
      </c>
      <c r="W22" s="111">
        <f t="shared" si="13"/>
        <v>11.228955555554453</v>
      </c>
      <c r="X22" s="467">
        <f t="shared" si="14"/>
        <v>4.1527777777917906E-2</v>
      </c>
      <c r="Y22" s="85">
        <f t="shared" si="15"/>
        <v>4.1400000000139698</v>
      </c>
      <c r="Z22" s="10"/>
      <c r="AA22" s="81"/>
      <c r="AB22" s="81"/>
      <c r="AC22" s="81"/>
    </row>
    <row r="23" spans="1:46" ht="12.75" customHeight="1" x14ac:dyDescent="0.2">
      <c r="B23" s="356">
        <v>74587</v>
      </c>
      <c r="C23" s="357">
        <v>75039.25</v>
      </c>
      <c r="D23" s="340" t="s">
        <v>16</v>
      </c>
      <c r="E23" s="340" t="s">
        <v>111</v>
      </c>
      <c r="F23" s="340" t="s">
        <v>105</v>
      </c>
      <c r="G23" s="103" t="str">
        <f t="shared" si="0"/>
        <v>E/S - C/B</v>
      </c>
      <c r="H23" s="77">
        <f t="shared" si="7"/>
        <v>1.5</v>
      </c>
      <c r="I23" s="27">
        <f t="shared" si="8"/>
        <v>12.5625</v>
      </c>
      <c r="J23" s="78">
        <f t="shared" si="9"/>
        <v>-1.42</v>
      </c>
      <c r="K23" s="89">
        <f t="shared" si="1"/>
        <v>452.25</v>
      </c>
      <c r="L23" s="345" t="s">
        <v>101</v>
      </c>
      <c r="M23" s="124">
        <f t="shared" si="2"/>
        <v>0</v>
      </c>
      <c r="N23" s="347">
        <v>26866</v>
      </c>
      <c r="O23" s="124">
        <f t="shared" si="3"/>
        <v>26866</v>
      </c>
      <c r="P23" s="352">
        <v>0</v>
      </c>
      <c r="Q23" s="210">
        <f t="shared" si="11"/>
        <v>1.5302430555555557</v>
      </c>
      <c r="R23" s="85">
        <f>IF(OR(A23="APP SLAB",P23&lt;&gt;0),0,S23)</f>
        <v>3060.4861111111113</v>
      </c>
      <c r="S23" s="85">
        <f>IF(OR(A23="APP SLAB",P23&lt;&gt;0),0,($O23+H23*K23)/9)</f>
        <v>3060.4861111111113</v>
      </c>
      <c r="T23" s="85">
        <f>IF(OR(A23="APP SLAB",P23&lt;&gt;0),0,$S$1*S23*110*0.06*0.75/2000)</f>
        <v>90.896437500000005</v>
      </c>
      <c r="U23" s="85">
        <f t="shared" si="12"/>
        <v>510.08101851851853</v>
      </c>
      <c r="V23" s="383">
        <v>0</v>
      </c>
      <c r="W23" s="111">
        <f t="shared" si="13"/>
        <v>2913.7561111111113</v>
      </c>
      <c r="X23" s="467">
        <f t="shared" si="14"/>
        <v>9.0729166666666661</v>
      </c>
      <c r="Y23" s="85">
        <f t="shared" si="15"/>
        <v>904.5</v>
      </c>
      <c r="Z23" s="10"/>
      <c r="AA23" s="81"/>
      <c r="AB23" s="81"/>
      <c r="AC23" s="81"/>
    </row>
    <row r="24" spans="1:46" ht="12.75" customHeight="1" x14ac:dyDescent="0.2">
      <c r="B24" s="356">
        <v>75039.25</v>
      </c>
      <c r="C24" s="357">
        <v>75100</v>
      </c>
      <c r="D24" s="340" t="s">
        <v>16</v>
      </c>
      <c r="E24" s="340" t="s">
        <v>111</v>
      </c>
      <c r="F24" s="340" t="s">
        <v>105</v>
      </c>
      <c r="G24" s="104" t="str">
        <f t="shared" si="0"/>
        <v>E/S - C/B</v>
      </c>
      <c r="H24" s="77">
        <f t="shared" si="7"/>
        <v>1.5</v>
      </c>
      <c r="I24" s="27">
        <f t="shared" si="8"/>
        <v>1.6875</v>
      </c>
      <c r="J24" s="78">
        <f t="shared" si="9"/>
        <v>-1.42</v>
      </c>
      <c r="K24" s="89">
        <f t="shared" si="1"/>
        <v>60.75</v>
      </c>
      <c r="L24" s="345">
        <v>42.42</v>
      </c>
      <c r="M24" s="124">
        <f t="shared" si="2"/>
        <v>2578</v>
      </c>
      <c r="N24" s="347">
        <v>0</v>
      </c>
      <c r="O24" s="124">
        <f t="shared" si="3"/>
        <v>2578</v>
      </c>
      <c r="P24" s="352">
        <v>0</v>
      </c>
      <c r="Q24" s="210">
        <f t="shared" si="11"/>
        <v>0.14828472222222222</v>
      </c>
      <c r="R24" s="85">
        <f t="shared" ref="R24:R34" si="16">IF(OR(A24="APP SLAB",P24&lt;&gt;0),0,S24)</f>
        <v>296.56944444444446</v>
      </c>
      <c r="S24" s="85">
        <f t="shared" ref="S24:S34" si="17">IF(OR(A24="APP SLAB",P24&lt;&gt;0),0,($O24+H24*K24)/9)</f>
        <v>296.56944444444446</v>
      </c>
      <c r="T24" s="85">
        <f t="shared" ref="T24:T34" si="18">IF(OR(A24="APP SLAB",P24&lt;&gt;0),0,$S$1*S24*110*0.06*0.75/2000)</f>
        <v>8.8081125</v>
      </c>
      <c r="U24" s="85">
        <f t="shared" si="12"/>
        <v>49.42824074074074</v>
      </c>
      <c r="V24" s="383">
        <v>0</v>
      </c>
      <c r="W24" s="111">
        <f t="shared" si="13"/>
        <v>276.85944444444448</v>
      </c>
      <c r="X24" s="467">
        <f t="shared" si="14"/>
        <v>1.21875</v>
      </c>
      <c r="Y24" s="85">
        <f t="shared" si="15"/>
        <v>121.5</v>
      </c>
      <c r="Z24" s="10"/>
      <c r="AA24" s="93"/>
      <c r="AB24" s="93"/>
      <c r="AC24" s="93"/>
      <c r="AD24" s="93"/>
      <c r="AE24" s="704"/>
      <c r="AF24" s="704"/>
      <c r="AG24" s="704"/>
      <c r="AH24" s="93"/>
      <c r="AI24" s="704"/>
      <c r="AJ24" s="704"/>
      <c r="AK24" s="704"/>
      <c r="AL24" s="704"/>
      <c r="AM24" s="704"/>
      <c r="AN24" s="704"/>
      <c r="AO24" s="704"/>
      <c r="AP24" s="704"/>
      <c r="AQ24" s="704"/>
      <c r="AR24" s="704"/>
      <c r="AS24" s="704"/>
      <c r="AT24" s="704"/>
    </row>
    <row r="25" spans="1:46" ht="12.75" customHeight="1" x14ac:dyDescent="0.2">
      <c r="B25" s="356">
        <v>75100</v>
      </c>
      <c r="C25" s="357">
        <v>75140</v>
      </c>
      <c r="D25" s="340" t="s">
        <v>16</v>
      </c>
      <c r="E25" s="340" t="s">
        <v>111</v>
      </c>
      <c r="F25" s="340" t="s">
        <v>105</v>
      </c>
      <c r="G25" s="104" t="str">
        <f t="shared" si="0"/>
        <v>E/S - C/B</v>
      </c>
      <c r="H25" s="77">
        <f t="shared" si="7"/>
        <v>1.5</v>
      </c>
      <c r="I25" s="27">
        <f t="shared" si="8"/>
        <v>1.1111111111111112</v>
      </c>
      <c r="J25" s="78">
        <f t="shared" si="9"/>
        <v>-1.42</v>
      </c>
      <c r="K25" s="495">
        <f t="shared" ref="K25" si="19">C25-B25</f>
        <v>40</v>
      </c>
      <c r="L25" s="345">
        <v>42.42</v>
      </c>
      <c r="M25" s="124">
        <f t="shared" ref="M25" si="20">IF(L25="-",0,ROUNDUP($K25*L25,0))</f>
        <v>1697</v>
      </c>
      <c r="N25" s="347">
        <v>0</v>
      </c>
      <c r="O25" s="124">
        <f t="shared" ref="O25" si="21">SUM(M25:N25)</f>
        <v>1697</v>
      </c>
      <c r="P25" s="493">
        <f t="shared" ref="P25:P32" si="22">IF(OR($A25="APP SLAB",O25=0),0,($O25+$H25*$K25)/9)</f>
        <v>195.22222222222223</v>
      </c>
      <c r="Q25" s="210">
        <f t="shared" ref="Q25" si="23">IF(AND(P25=0,S25=0),0,IF(S25=0,P25/2000,S25/2000))</f>
        <v>9.7611111111111121E-2</v>
      </c>
      <c r="R25" s="493">
        <f t="shared" ref="R25" si="24">IF(OR(A25="APP SLAB",P25&lt;&gt;0),0,S25)</f>
        <v>0</v>
      </c>
      <c r="S25" s="493">
        <f t="shared" ref="S25" si="25">IF(OR(A25="APP SLAB",P25&lt;&gt;0),0,($O25+H25*K25)/9)</f>
        <v>0</v>
      </c>
      <c r="T25" s="493">
        <f t="shared" ref="T25" si="26">IF(OR(A25="APP SLAB",P25&lt;&gt;0),0,$S$1*S25*110*0.06*0.75/2000)</f>
        <v>0</v>
      </c>
      <c r="U25" s="493">
        <f t="shared" ref="U25" si="27">(O25*$U$1/12)/27+I25</f>
        <v>32.537037037037038</v>
      </c>
      <c r="V25" s="383">
        <v>0</v>
      </c>
      <c r="W25" s="111">
        <f t="shared" ref="W25" si="28">IF(A25="APP SLAB",0,(O25+J25*K25)/9)</f>
        <v>182.24444444444444</v>
      </c>
      <c r="X25" s="511">
        <f t="shared" si="14"/>
        <v>0.80246913580246915</v>
      </c>
      <c r="Y25" s="493">
        <f t="shared" ref="Y25" si="29">IF(A25="APP SLAB",0,(K25*2))</f>
        <v>80</v>
      </c>
      <c r="Z25" s="10"/>
      <c r="AA25" s="93"/>
      <c r="AB25" s="93"/>
      <c r="AC25" s="93"/>
      <c r="AD25" s="93"/>
      <c r="AE25" s="514"/>
      <c r="AF25" s="514"/>
      <c r="AG25" s="514"/>
      <c r="AH25" s="93"/>
      <c r="AI25" s="514"/>
      <c r="AJ25" s="514"/>
      <c r="AK25" s="514"/>
      <c r="AL25" s="514"/>
      <c r="AM25" s="514"/>
      <c r="AN25" s="514"/>
      <c r="AO25" s="514"/>
      <c r="AP25" s="514"/>
      <c r="AQ25" s="514"/>
      <c r="AR25" s="514"/>
      <c r="AS25" s="514"/>
      <c r="AT25" s="514"/>
    </row>
    <row r="26" spans="1:46" ht="12.75" customHeight="1" x14ac:dyDescent="0.2">
      <c r="B26" s="338">
        <v>75140</v>
      </c>
      <c r="C26" s="339">
        <v>75778.14</v>
      </c>
      <c r="D26" s="340" t="s">
        <v>16</v>
      </c>
      <c r="E26" s="340" t="s">
        <v>111</v>
      </c>
      <c r="F26" s="340" t="s">
        <v>106</v>
      </c>
      <c r="G26" s="103" t="str">
        <f t="shared" si="0"/>
        <v>F/C - C/B</v>
      </c>
      <c r="H26" s="77">
        <f t="shared" si="7"/>
        <v>2</v>
      </c>
      <c r="I26" s="27">
        <f t="shared" si="8"/>
        <v>17.726111111111095</v>
      </c>
      <c r="J26" s="78">
        <f t="shared" si="9"/>
        <v>-1.42</v>
      </c>
      <c r="K26" s="83">
        <f t="shared" si="1"/>
        <v>638.13999999999942</v>
      </c>
      <c r="L26" s="345">
        <v>44.42</v>
      </c>
      <c r="M26" s="124">
        <f t="shared" si="2"/>
        <v>28347</v>
      </c>
      <c r="N26" s="347">
        <v>0</v>
      </c>
      <c r="O26" s="123">
        <f t="shared" si="3"/>
        <v>28347</v>
      </c>
      <c r="P26" s="493">
        <f t="shared" si="22"/>
        <v>3291.4755555555553</v>
      </c>
      <c r="Q26" s="210">
        <f t="shared" si="11"/>
        <v>1.6457377777777777</v>
      </c>
      <c r="R26" s="85">
        <f t="shared" si="16"/>
        <v>0</v>
      </c>
      <c r="S26" s="85">
        <f t="shared" si="17"/>
        <v>0</v>
      </c>
      <c r="T26" s="85">
        <f t="shared" si="18"/>
        <v>0</v>
      </c>
      <c r="U26" s="85">
        <f t="shared" si="12"/>
        <v>542.67055555555555</v>
      </c>
      <c r="V26" s="383">
        <v>0</v>
      </c>
      <c r="W26" s="111">
        <f t="shared" si="13"/>
        <v>3048.9823555555558</v>
      </c>
      <c r="X26" s="467">
        <f t="shared" si="14"/>
        <v>0</v>
      </c>
      <c r="Y26" s="85">
        <f t="shared" si="15"/>
        <v>1276.2799999999988</v>
      </c>
      <c r="Z26" s="189"/>
      <c r="AA26" s="93"/>
      <c r="AB26" s="93"/>
      <c r="AC26" s="93"/>
      <c r="AD26" s="93"/>
      <c r="AE26" s="705"/>
      <c r="AF26" s="705"/>
      <c r="AG26" s="705"/>
      <c r="AH26" s="93"/>
      <c r="AI26" s="705"/>
      <c r="AJ26" s="705"/>
      <c r="AK26" s="705"/>
      <c r="AL26" s="705"/>
      <c r="AM26" s="705"/>
      <c r="AN26" s="705"/>
      <c r="AO26" s="705"/>
      <c r="AP26" s="705"/>
      <c r="AQ26" s="705"/>
      <c r="AR26" s="705"/>
      <c r="AS26" s="705"/>
      <c r="AT26" s="705"/>
    </row>
    <row r="27" spans="1:46" ht="12.75" customHeight="1" x14ac:dyDescent="0.2">
      <c r="B27" s="338">
        <v>75778.14</v>
      </c>
      <c r="C27" s="339">
        <v>75788.42</v>
      </c>
      <c r="D27" s="340" t="s">
        <v>16</v>
      </c>
      <c r="E27" s="340" t="s">
        <v>111</v>
      </c>
      <c r="F27" s="340" t="s">
        <v>101</v>
      </c>
      <c r="G27" s="103" t="str">
        <f t="shared" si="0"/>
        <v>-</v>
      </c>
      <c r="H27" s="352">
        <v>0</v>
      </c>
      <c r="I27" s="341">
        <v>0</v>
      </c>
      <c r="J27" s="361">
        <v>-1.42</v>
      </c>
      <c r="K27" s="83">
        <f t="shared" si="1"/>
        <v>10.279999999998836</v>
      </c>
      <c r="L27" s="345" t="s">
        <v>101</v>
      </c>
      <c r="M27" s="124">
        <f t="shared" si="2"/>
        <v>0</v>
      </c>
      <c r="N27" s="347">
        <v>229</v>
      </c>
      <c r="O27" s="123">
        <f t="shared" si="3"/>
        <v>229</v>
      </c>
      <c r="P27" s="493">
        <f t="shared" si="22"/>
        <v>25.444444444444443</v>
      </c>
      <c r="Q27" s="210">
        <f t="shared" si="11"/>
        <v>1.2722222222222222E-2</v>
      </c>
      <c r="R27" s="85">
        <f t="shared" si="16"/>
        <v>0</v>
      </c>
      <c r="S27" s="85">
        <f t="shared" si="17"/>
        <v>0</v>
      </c>
      <c r="T27" s="85">
        <f t="shared" si="18"/>
        <v>0</v>
      </c>
      <c r="U27" s="85">
        <f t="shared" si="12"/>
        <v>4.2407407407407405</v>
      </c>
      <c r="V27" s="383">
        <v>0</v>
      </c>
      <c r="W27" s="111">
        <f t="shared" si="13"/>
        <v>23.822488888889072</v>
      </c>
      <c r="X27" s="467">
        <f t="shared" si="14"/>
        <v>0</v>
      </c>
      <c r="Y27" s="85">
        <f t="shared" si="15"/>
        <v>20.559999999997672</v>
      </c>
      <c r="Z27" s="189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</row>
    <row r="28" spans="1:46" ht="12.75" customHeight="1" x14ac:dyDescent="0.2">
      <c r="A28" s="81" t="s">
        <v>28</v>
      </c>
      <c r="B28" s="338">
        <v>75788.42</v>
      </c>
      <c r="C28" s="339">
        <v>75818.42</v>
      </c>
      <c r="D28" s="340" t="s">
        <v>16</v>
      </c>
      <c r="E28" s="340" t="s">
        <v>101</v>
      </c>
      <c r="F28" s="340" t="s">
        <v>101</v>
      </c>
      <c r="G28" s="103" t="str">
        <f t="shared" si="0"/>
        <v>-</v>
      </c>
      <c r="H28" s="77">
        <v>4</v>
      </c>
      <c r="I28" s="27">
        <f t="shared" si="8"/>
        <v>0</v>
      </c>
      <c r="J28" s="78">
        <f t="shared" si="9"/>
        <v>0</v>
      </c>
      <c r="K28" s="83">
        <f t="shared" si="1"/>
        <v>30</v>
      </c>
      <c r="L28" s="345" t="s">
        <v>101</v>
      </c>
      <c r="M28" s="124">
        <f t="shared" si="2"/>
        <v>0</v>
      </c>
      <c r="N28" s="347">
        <v>1413</v>
      </c>
      <c r="O28" s="123">
        <f t="shared" si="3"/>
        <v>1413</v>
      </c>
      <c r="P28" s="493">
        <f>IF(OR(O28=0),0,($O28+$H28*$K28)/9)</f>
        <v>170.33333333333334</v>
      </c>
      <c r="Q28" s="210">
        <f t="shared" si="11"/>
        <v>8.5166666666666668E-2</v>
      </c>
      <c r="R28" s="85">
        <f t="shared" si="16"/>
        <v>0</v>
      </c>
      <c r="S28" s="85">
        <f t="shared" si="17"/>
        <v>0</v>
      </c>
      <c r="T28" s="85">
        <f t="shared" si="18"/>
        <v>0</v>
      </c>
      <c r="U28" s="85">
        <f t="shared" si="12"/>
        <v>26.166666666666668</v>
      </c>
      <c r="V28" s="383">
        <v>46</v>
      </c>
      <c r="W28" s="111">
        <f t="shared" si="13"/>
        <v>0</v>
      </c>
      <c r="X28" s="467">
        <f t="shared" si="14"/>
        <v>0</v>
      </c>
      <c r="Y28" s="85">
        <f t="shared" si="15"/>
        <v>0</v>
      </c>
      <c r="Z28" s="189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</row>
    <row r="29" spans="1:46" ht="12.75" customHeight="1" x14ac:dyDescent="0.2">
      <c r="A29" s="81" t="s">
        <v>28</v>
      </c>
      <c r="B29" s="338">
        <v>75914.84</v>
      </c>
      <c r="C29" s="339">
        <v>75944.84</v>
      </c>
      <c r="D29" s="340" t="s">
        <v>16</v>
      </c>
      <c r="E29" s="340" t="s">
        <v>101</v>
      </c>
      <c r="F29" s="340" t="s">
        <v>101</v>
      </c>
      <c r="G29" s="103" t="str">
        <f t="shared" si="0"/>
        <v>-</v>
      </c>
      <c r="H29" s="77">
        <v>4</v>
      </c>
      <c r="I29" s="27">
        <f t="shared" si="8"/>
        <v>0</v>
      </c>
      <c r="J29" s="78">
        <f t="shared" si="9"/>
        <v>0</v>
      </c>
      <c r="K29" s="83">
        <f t="shared" si="1"/>
        <v>30</v>
      </c>
      <c r="L29" s="345" t="s">
        <v>101</v>
      </c>
      <c r="M29" s="124">
        <f t="shared" si="2"/>
        <v>0</v>
      </c>
      <c r="N29" s="347">
        <v>1413</v>
      </c>
      <c r="O29" s="123">
        <f t="shared" si="3"/>
        <v>1413</v>
      </c>
      <c r="P29" s="493">
        <f>IF(OR(O29=0),0,($O29+$H29*$K29)/9)</f>
        <v>170.33333333333334</v>
      </c>
      <c r="Q29" s="210">
        <f t="shared" si="11"/>
        <v>8.5166666666666668E-2</v>
      </c>
      <c r="R29" s="85">
        <f t="shared" si="16"/>
        <v>0</v>
      </c>
      <c r="S29" s="85">
        <f t="shared" si="17"/>
        <v>0</v>
      </c>
      <c r="T29" s="85">
        <f t="shared" si="18"/>
        <v>0</v>
      </c>
      <c r="U29" s="85">
        <f t="shared" si="12"/>
        <v>26.166666666666668</v>
      </c>
      <c r="V29" s="383">
        <v>46</v>
      </c>
      <c r="W29" s="111">
        <f t="shared" si="13"/>
        <v>0</v>
      </c>
      <c r="X29" s="467">
        <f t="shared" si="14"/>
        <v>0</v>
      </c>
      <c r="Y29" s="85">
        <f t="shared" si="15"/>
        <v>0</v>
      </c>
      <c r="Z29" s="10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</row>
    <row r="30" spans="1:46" ht="12.75" customHeight="1" x14ac:dyDescent="0.2">
      <c r="B30" s="338">
        <v>75934.570000000007</v>
      </c>
      <c r="C30" s="339">
        <v>75944.84</v>
      </c>
      <c r="D30" s="340" t="s">
        <v>16</v>
      </c>
      <c r="E30" s="340" t="s">
        <v>101</v>
      </c>
      <c r="F30" s="340" t="s">
        <v>106</v>
      </c>
      <c r="G30" s="103" t="str">
        <f t="shared" si="0"/>
        <v>-</v>
      </c>
      <c r="H30" s="352">
        <v>1.5</v>
      </c>
      <c r="I30" s="341">
        <v>0.19</v>
      </c>
      <c r="J30" s="361">
        <v>0</v>
      </c>
      <c r="K30" s="83">
        <f t="shared" si="1"/>
        <v>10.269999999989523</v>
      </c>
      <c r="L30" s="345" t="s">
        <v>101</v>
      </c>
      <c r="M30" s="124">
        <f t="shared" si="2"/>
        <v>0</v>
      </c>
      <c r="N30" s="347">
        <v>229</v>
      </c>
      <c r="O30" s="123">
        <f t="shared" si="3"/>
        <v>229</v>
      </c>
      <c r="P30" s="493">
        <f t="shared" si="22"/>
        <v>27.156111111109364</v>
      </c>
      <c r="Q30" s="210">
        <f t="shared" si="11"/>
        <v>1.3578055555554682E-2</v>
      </c>
      <c r="R30" s="85">
        <f t="shared" si="16"/>
        <v>0</v>
      </c>
      <c r="S30" s="85">
        <f t="shared" si="17"/>
        <v>0</v>
      </c>
      <c r="T30" s="85">
        <f t="shared" si="18"/>
        <v>0</v>
      </c>
      <c r="U30" s="85">
        <f t="shared" si="12"/>
        <v>4.4307407407407409</v>
      </c>
      <c r="V30" s="383">
        <v>0</v>
      </c>
      <c r="W30" s="111">
        <f t="shared" si="13"/>
        <v>25.444444444444443</v>
      </c>
      <c r="X30" s="467">
        <f t="shared" si="14"/>
        <v>0</v>
      </c>
      <c r="Y30" s="85">
        <f t="shared" si="15"/>
        <v>20.539999999979045</v>
      </c>
      <c r="Z30" s="10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</row>
    <row r="31" spans="1:46" ht="12.75" customHeight="1" x14ac:dyDescent="0.2">
      <c r="B31" s="338">
        <v>75944.84</v>
      </c>
      <c r="C31" s="339">
        <v>76085.570000000007</v>
      </c>
      <c r="D31" s="340" t="s">
        <v>16</v>
      </c>
      <c r="E31" s="340" t="s">
        <v>111</v>
      </c>
      <c r="F31" s="340" t="s">
        <v>106</v>
      </c>
      <c r="G31" s="103" t="str">
        <f t="shared" si="0"/>
        <v>F/C - C/B</v>
      </c>
      <c r="H31" s="77">
        <f t="shared" si="7"/>
        <v>2</v>
      </c>
      <c r="I31" s="27">
        <f t="shared" si="8"/>
        <v>3.9091666666669576</v>
      </c>
      <c r="J31" s="78">
        <f t="shared" si="9"/>
        <v>-1.42</v>
      </c>
      <c r="K31" s="83">
        <f t="shared" si="1"/>
        <v>140.73000000001048</v>
      </c>
      <c r="L31" s="345">
        <v>44.42</v>
      </c>
      <c r="M31" s="124">
        <f t="shared" si="2"/>
        <v>6252</v>
      </c>
      <c r="N31" s="347">
        <v>0</v>
      </c>
      <c r="O31" s="123">
        <f t="shared" si="3"/>
        <v>6252</v>
      </c>
      <c r="P31" s="493">
        <f t="shared" si="22"/>
        <v>725.94000000000233</v>
      </c>
      <c r="Q31" s="210">
        <f t="shared" si="11"/>
        <v>0.36297000000000118</v>
      </c>
      <c r="R31" s="85">
        <f t="shared" si="16"/>
        <v>0</v>
      </c>
      <c r="S31" s="85">
        <f t="shared" si="17"/>
        <v>0</v>
      </c>
      <c r="T31" s="85">
        <f t="shared" si="18"/>
        <v>0</v>
      </c>
      <c r="U31" s="85">
        <f t="shared" si="12"/>
        <v>119.68694444444473</v>
      </c>
      <c r="V31" s="383">
        <v>0</v>
      </c>
      <c r="W31" s="111">
        <f t="shared" si="13"/>
        <v>672.46259999999836</v>
      </c>
      <c r="X31" s="467">
        <f t="shared" si="14"/>
        <v>0</v>
      </c>
      <c r="Y31" s="85">
        <f t="shared" si="15"/>
        <v>281.46000000002095</v>
      </c>
      <c r="Z31" s="10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</row>
    <row r="32" spans="1:46" ht="12.75" customHeight="1" x14ac:dyDescent="0.2">
      <c r="B32" s="338">
        <v>76085.570000000007</v>
      </c>
      <c r="C32" s="339">
        <v>76300</v>
      </c>
      <c r="D32" s="340" t="s">
        <v>16</v>
      </c>
      <c r="E32" s="340" t="s">
        <v>111</v>
      </c>
      <c r="F32" s="340" t="s">
        <v>106</v>
      </c>
      <c r="G32" s="103" t="str">
        <f t="shared" si="0"/>
        <v>F/C - C/B</v>
      </c>
      <c r="H32" s="77">
        <f t="shared" si="7"/>
        <v>2</v>
      </c>
      <c r="I32" s="27">
        <f t="shared" si="8"/>
        <v>5.9563888888886947</v>
      </c>
      <c r="J32" s="78">
        <f t="shared" si="9"/>
        <v>-1.42</v>
      </c>
      <c r="K32" s="83">
        <f t="shared" si="1"/>
        <v>214.42999999999302</v>
      </c>
      <c r="L32" s="345" t="s">
        <v>101</v>
      </c>
      <c r="M32" s="124">
        <f t="shared" si="2"/>
        <v>0</v>
      </c>
      <c r="N32" s="347">
        <v>9812</v>
      </c>
      <c r="O32" s="123">
        <f t="shared" si="3"/>
        <v>9812</v>
      </c>
      <c r="P32" s="493">
        <f t="shared" si="22"/>
        <v>1137.8733333333319</v>
      </c>
      <c r="Q32" s="210">
        <f t="shared" si="11"/>
        <v>0.56893666666666598</v>
      </c>
      <c r="R32" s="85">
        <f t="shared" si="16"/>
        <v>0</v>
      </c>
      <c r="S32" s="85">
        <f t="shared" si="17"/>
        <v>0</v>
      </c>
      <c r="T32" s="85">
        <f t="shared" si="18"/>
        <v>0</v>
      </c>
      <c r="U32" s="85">
        <f t="shared" si="12"/>
        <v>187.66009259259238</v>
      </c>
      <c r="V32" s="383">
        <v>0</v>
      </c>
      <c r="W32" s="111">
        <f t="shared" si="13"/>
        <v>1056.3899333333345</v>
      </c>
      <c r="X32" s="467">
        <f t="shared" si="14"/>
        <v>0</v>
      </c>
      <c r="Y32" s="85">
        <f t="shared" si="15"/>
        <v>428.85999999998603</v>
      </c>
      <c r="Z32" s="10"/>
      <c r="AA32" s="81"/>
      <c r="AB32" s="81"/>
      <c r="AC32" s="81"/>
    </row>
    <row r="33" spans="1:30" ht="12.75" customHeight="1" x14ac:dyDescent="0.2">
      <c r="B33" s="338">
        <v>76300</v>
      </c>
      <c r="C33" s="339">
        <v>76681.61</v>
      </c>
      <c r="D33" s="340" t="s">
        <v>16</v>
      </c>
      <c r="E33" s="340" t="s">
        <v>111</v>
      </c>
      <c r="F33" s="340" t="s">
        <v>106</v>
      </c>
      <c r="G33" s="103" t="str">
        <f t="shared" si="0"/>
        <v>F/C - C/B</v>
      </c>
      <c r="H33" s="77">
        <f t="shared" si="7"/>
        <v>2</v>
      </c>
      <c r="I33" s="27">
        <f t="shared" si="8"/>
        <v>10.600277777777794</v>
      </c>
      <c r="J33" s="78">
        <f t="shared" si="9"/>
        <v>-1.42</v>
      </c>
      <c r="K33" s="492">
        <f t="shared" ref="K33" si="30">C33-B33</f>
        <v>381.61000000000058</v>
      </c>
      <c r="L33" s="345" t="s">
        <v>101</v>
      </c>
      <c r="M33" s="124">
        <f t="shared" ref="M33" si="31">IF(L33="-",0,ROUNDUP($K33*L33,0))</f>
        <v>0</v>
      </c>
      <c r="N33" s="347">
        <v>22175</v>
      </c>
      <c r="O33" s="123">
        <f t="shared" ref="O33" si="32">SUM(M33:N33)</f>
        <v>22175</v>
      </c>
      <c r="P33" s="352">
        <v>0</v>
      </c>
      <c r="Q33" s="210">
        <f t="shared" ref="Q33" si="33">IF(AND(P33=0,S33=0),0,IF(S33=0,P33/2000,S33/2000))</f>
        <v>1.2743455555555556</v>
      </c>
      <c r="R33" s="493">
        <f t="shared" ref="R33" si="34">IF(OR(A33="APP SLAB",P33&lt;&gt;0),0,S33)</f>
        <v>2548.6911111111112</v>
      </c>
      <c r="S33" s="493">
        <f t="shared" ref="S33" si="35">IF(OR(A33="APP SLAB",P33&lt;&gt;0),0,($O33+H33*K33)/9)</f>
        <v>2548.6911111111112</v>
      </c>
      <c r="T33" s="493">
        <f t="shared" ref="T33" si="36">IF(OR(A33="APP SLAB",P33&lt;&gt;0),0,$S$1*S33*110*0.06*0.75/2000)</f>
        <v>75.696125999999992</v>
      </c>
      <c r="U33" s="493">
        <f t="shared" ref="U33" si="37">(O33*$U$1/12)/27+I33</f>
        <v>421.24842592592597</v>
      </c>
      <c r="V33" s="383">
        <v>0</v>
      </c>
      <c r="W33" s="111">
        <f t="shared" ref="W33" si="38">IF(A33="APP SLAB",0,(O33+J33*K33)/9)</f>
        <v>2403.679311111111</v>
      </c>
      <c r="X33" s="511">
        <f t="shared" si="14"/>
        <v>0</v>
      </c>
      <c r="Y33" s="493">
        <f t="shared" ref="Y33" si="39">IF(A33="APP SLAB",0,(K33*2))</f>
        <v>763.22000000000116</v>
      </c>
      <c r="Z33" s="10"/>
      <c r="AA33" s="81"/>
      <c r="AB33" s="81"/>
      <c r="AC33" s="81"/>
    </row>
    <row r="34" spans="1:30" ht="12.75" customHeight="1" x14ac:dyDescent="0.2">
      <c r="B34" s="338">
        <v>76681.61</v>
      </c>
      <c r="C34" s="339">
        <v>76998.59</v>
      </c>
      <c r="D34" s="340" t="s">
        <v>16</v>
      </c>
      <c r="E34" s="340" t="s">
        <v>111</v>
      </c>
      <c r="F34" s="340" t="s">
        <v>105</v>
      </c>
      <c r="G34" s="103" t="str">
        <f t="shared" si="0"/>
        <v>E/S - C/B</v>
      </c>
      <c r="H34" s="77">
        <f t="shared" si="7"/>
        <v>1.5</v>
      </c>
      <c r="I34" s="27">
        <f t="shared" si="8"/>
        <v>8.804999999999886</v>
      </c>
      <c r="J34" s="78">
        <f t="shared" si="9"/>
        <v>-1.42</v>
      </c>
      <c r="K34" s="83">
        <f t="shared" si="1"/>
        <v>316.97999999999593</v>
      </c>
      <c r="L34" s="345">
        <v>28.42</v>
      </c>
      <c r="M34" s="124">
        <f t="shared" si="2"/>
        <v>9009</v>
      </c>
      <c r="N34" s="347">
        <v>0</v>
      </c>
      <c r="O34" s="123">
        <f t="shared" si="3"/>
        <v>9009</v>
      </c>
      <c r="P34" s="352">
        <v>0</v>
      </c>
      <c r="Q34" s="210">
        <f t="shared" si="11"/>
        <v>0.52691499999999958</v>
      </c>
      <c r="R34" s="85">
        <f t="shared" si="16"/>
        <v>1053.8299999999992</v>
      </c>
      <c r="S34" s="85">
        <f t="shared" si="17"/>
        <v>1053.8299999999992</v>
      </c>
      <c r="T34" s="85">
        <f t="shared" si="18"/>
        <v>31.298750999999982</v>
      </c>
      <c r="U34" s="85">
        <f t="shared" si="12"/>
        <v>175.63833333333324</v>
      </c>
      <c r="V34" s="383">
        <v>0</v>
      </c>
      <c r="W34" s="111">
        <f t="shared" si="13"/>
        <v>950.98760000000061</v>
      </c>
      <c r="X34" s="467">
        <f t="shared" si="14"/>
        <v>6.3591666666665851</v>
      </c>
      <c r="Y34" s="85">
        <f t="shared" si="15"/>
        <v>633.95999999999185</v>
      </c>
      <c r="Z34" s="10"/>
      <c r="AA34" s="81"/>
      <c r="AB34" s="81"/>
      <c r="AC34" s="81"/>
    </row>
    <row r="35" spans="1:30" ht="12.75" customHeight="1" thickBot="1" x14ac:dyDescent="0.25">
      <c r="B35" s="107"/>
      <c r="C35" s="82"/>
      <c r="D35" s="133"/>
      <c r="E35" s="158"/>
      <c r="F35" s="158"/>
      <c r="G35" s="158"/>
      <c r="H35" s="159"/>
      <c r="I35" s="160"/>
      <c r="J35" s="160"/>
      <c r="K35" s="84"/>
      <c r="L35" s="84"/>
      <c r="M35" s="119"/>
      <c r="N35" s="119"/>
      <c r="O35" s="119"/>
      <c r="P35" s="119"/>
      <c r="Q35" s="119"/>
      <c r="R35" s="19"/>
      <c r="S35" s="19"/>
      <c r="T35" s="19"/>
      <c r="U35" s="19"/>
      <c r="V35" s="84"/>
      <c r="W35" s="84"/>
      <c r="X35" s="84"/>
      <c r="Y35" s="162"/>
      <c r="Z35" s="10"/>
      <c r="AA35" s="81"/>
      <c r="AB35" s="81"/>
      <c r="AC35" s="81"/>
    </row>
    <row r="36" spans="1:30" ht="12.75" customHeight="1" x14ac:dyDescent="0.2">
      <c r="B36" s="643" t="s">
        <v>202</v>
      </c>
      <c r="C36" s="644"/>
      <c r="D36" s="104"/>
      <c r="E36" s="104"/>
      <c r="F36" s="104"/>
      <c r="G36" s="104"/>
      <c r="H36" s="138"/>
      <c r="I36" s="78"/>
      <c r="J36" s="78"/>
      <c r="K36" s="89"/>
      <c r="L36" s="89"/>
      <c r="M36" s="124"/>
      <c r="N36" s="124"/>
      <c r="O36" s="124"/>
      <c r="P36" s="124"/>
      <c r="Q36" s="124"/>
      <c r="R36" s="135"/>
      <c r="S36" s="135"/>
      <c r="T36" s="135"/>
      <c r="U36" s="135"/>
      <c r="V36" s="89"/>
      <c r="W36" s="89"/>
      <c r="X36" s="89"/>
      <c r="Y36" s="139"/>
      <c r="Z36" s="10"/>
      <c r="AA36" s="81"/>
      <c r="AB36" s="81"/>
      <c r="AC36" s="81"/>
    </row>
    <row r="37" spans="1:30" ht="12.75" customHeight="1" x14ac:dyDescent="0.2">
      <c r="B37" s="338">
        <v>73445</v>
      </c>
      <c r="C37" s="339">
        <v>74518.080000000002</v>
      </c>
      <c r="D37" s="340" t="s">
        <v>15</v>
      </c>
      <c r="E37" s="340" t="s">
        <v>105</v>
      </c>
      <c r="F37" s="340" t="s">
        <v>111</v>
      </c>
      <c r="G37" s="103" t="str">
        <f t="shared" ref="G37:G54" si="40">IF(AND($E37=$AA$2,$F37=$AA$2),$AC$2,IF(OR(AND($E37=$AA$2,$F37=$AA$3),AND($E37=$AA$3,$F37=$AA$2)),$AC$3,IF(OR(AND($E37=$AA$2,$F37=$AA$4),AND($E37=$AA$4,$F37=$AA$2)),$AC$4,IF(OR(AND($E37=$AA$3,$F37=$AA$4),AND($E37=$AA$4,$F37=$AA$3)),$AC$5,IF(AND($E37=$AA$3,$F37=$AA$3),$AC$6,IF(AND($E37=$AA$4,$F37=$AA$4),$AC$7,"-"))))))</f>
        <v>E/S - C/B</v>
      </c>
      <c r="H37" s="77">
        <f t="shared" ref="H37:H41" si="41">IF(AND($E37=$AA$2,$F37=$AA$2),2*$AC$12,IF(OR(AND($E37=$AA$2, $F37=$AA$3),AND($E37=$AA$3,$F37=$AA$2)),$AC$12+$AC$13,IF(OR(AND($E37=$AA$2,$F37=$AA$4),AND($E37=$AA$4,$F37=$AA$2)),$AC$12,IF(OR(AND($E37=$AA$3,$F37=$AA$4),AND($E37=$AA$4,$F37=$AA$3)),$AC$13,IF(AND($E37=$AA$3,$F37=$AA$3),2*$AC$13,0)))))</f>
        <v>1.5</v>
      </c>
      <c r="I37" s="27">
        <f t="shared" ref="I37:I41" si="42">IF(AND($E37=$AA$2,$F37=$AA$2),2*$AF$12*$K37/27,IF(OR(AND($E37=$AA$2,$F37=$AA$3),AND($E37=$AA$3,$F37=$AA$2)),($AF$12+$AF$13)*$K37/27,IF(OR(AND($E37=$AA$2,$F37=$AA$4),AND($E37=$AA$4,$F37=$AA$2)),$AF$12*$K37/27,IF(OR(AND($E37=$AA$3,$F37=$AA$4),AND($E37=$AA$4,$F37=$AA$3)),$AF$13*$K37/27,IF(AND($E37=$AA$3,$F37=$AA$3),2*$AF$13*$K37/27,0)))))</f>
        <v>29.807777777777826</v>
      </c>
      <c r="J37" s="78">
        <f t="shared" ref="J37:J41" si="43">IF(OR(AND($E37=$AA$2,$F37=$AA$4),AND($E37=$AA$4,$F37=$AA$2)),$AI$14,IF(OR(AND($E37=$AA$3,$F37=$AA$4),AND($E37=$AA$4,$F37=$AA$3)),$AI$14,IF(AND($E37=$AA$4,$F37=$AA$4),2*$AI$14,0)))</f>
        <v>-1.42</v>
      </c>
      <c r="K37" s="83">
        <f t="shared" ref="K37:K54" si="44">C37-B37</f>
        <v>1073.0800000000017</v>
      </c>
      <c r="L37" s="345">
        <v>54.1</v>
      </c>
      <c r="M37" s="124">
        <f t="shared" ref="M37:M54" si="45">IF(L37="-",0,ROUNDUP($K37*L37,0))</f>
        <v>58054</v>
      </c>
      <c r="N37" s="347">
        <v>0</v>
      </c>
      <c r="O37" s="123">
        <f t="shared" ref="O37:O54" si="46">SUM(M37:N37)</f>
        <v>58054</v>
      </c>
      <c r="P37" s="85">
        <f t="shared" ref="P37:P38" si="47">IF(OR($A37="APP SLAB",O37=0),0,($O37+$H37*$K37)/9)</f>
        <v>6629.2911111111116</v>
      </c>
      <c r="Q37" s="210">
        <f t="shared" ref="Q37:Q54" si="48">IF(AND(P37=0,S37=0),0,IF(S37=0,P37/2000,S37/2000))</f>
        <v>3.3146455555555558</v>
      </c>
      <c r="R37" s="85">
        <f t="shared" ref="R37:R54" si="49">IF(OR(A37="APP SLAB",P37&lt;&gt;0),0,S37)</f>
        <v>0</v>
      </c>
      <c r="S37" s="85">
        <f t="shared" ref="S37:S54" si="50">IF(OR(A37="APP SLAB",P37&lt;&gt;0),0,($O37+H37*K37)/9)</f>
        <v>0</v>
      </c>
      <c r="T37" s="85">
        <f t="shared" ref="T37:T54" si="51">IF(OR(A37="APP SLAB",P37&lt;&gt;0),0,$S$1*S37*110*0.06*0.75/2000)</f>
        <v>0</v>
      </c>
      <c r="U37" s="85">
        <f t="shared" ref="U37" si="52">(O37*$U$1/12)/27+I37</f>
        <v>1104.8818518518519</v>
      </c>
      <c r="V37" s="383">
        <v>0</v>
      </c>
      <c r="W37" s="111">
        <f t="shared" ref="W37" si="53">IF(A37="APP SLAB",0,(O37+J37*K37)/9)</f>
        <v>6281.1362666666664</v>
      </c>
      <c r="X37" s="467">
        <f t="shared" ref="X37:X54" si="54">IF(AND($E37=$F37="Uncurbed"),(2*$K37*2*$X$1/12)/27,IF(OR($E37="Uncurbed",$F37="Uncurbed"),($K37*2*$X$1/12)/27,IF(OR(AND($E37="Med. Barr.",$F37="Curbed"),AND($E37="Curbed",$F37="Med. Barr."),$E37=$F37,$E37="Unique",$F37="Unique",$E37="-",$F37="-"),0,"?")))</f>
        <v>21.527839506172874</v>
      </c>
      <c r="Y37" s="85">
        <f t="shared" ref="Y37" si="55">IF(A37="APP SLAB",0,(K37*2))</f>
        <v>2146.1600000000035</v>
      </c>
      <c r="Z37" s="10"/>
      <c r="AA37" s="93"/>
      <c r="AB37" s="93"/>
      <c r="AC37" s="93"/>
      <c r="AD37" s="93"/>
    </row>
    <row r="38" spans="1:30" ht="12.75" customHeight="1" x14ac:dyDescent="0.2">
      <c r="B38" s="338">
        <v>74518.080000000002</v>
      </c>
      <c r="C38" s="339">
        <v>74587</v>
      </c>
      <c r="D38" s="340" t="s">
        <v>15</v>
      </c>
      <c r="E38" s="340" t="s">
        <v>105</v>
      </c>
      <c r="F38" s="340" t="s">
        <v>111</v>
      </c>
      <c r="G38" s="103" t="str">
        <f t="shared" si="40"/>
        <v>E/S - C/B</v>
      </c>
      <c r="H38" s="77">
        <f t="shared" si="41"/>
        <v>1.5</v>
      </c>
      <c r="I38" s="27">
        <f t="shared" si="42"/>
        <v>1.914444444444396</v>
      </c>
      <c r="J38" s="78">
        <f t="shared" si="43"/>
        <v>-1.42</v>
      </c>
      <c r="K38" s="83">
        <f t="shared" si="44"/>
        <v>68.919999999998254</v>
      </c>
      <c r="L38" s="345" t="s">
        <v>101</v>
      </c>
      <c r="M38" s="124">
        <f t="shared" si="45"/>
        <v>0</v>
      </c>
      <c r="N38" s="347">
        <v>4518</v>
      </c>
      <c r="O38" s="123">
        <f t="shared" si="46"/>
        <v>4518</v>
      </c>
      <c r="P38" s="85">
        <f t="shared" si="47"/>
        <v>513.48666666666634</v>
      </c>
      <c r="Q38" s="210">
        <f t="shared" si="48"/>
        <v>0.25674333333333316</v>
      </c>
      <c r="R38" s="85">
        <f t="shared" si="49"/>
        <v>0</v>
      </c>
      <c r="S38" s="85">
        <f t="shared" si="50"/>
        <v>0</v>
      </c>
      <c r="T38" s="85">
        <f t="shared" si="51"/>
        <v>0</v>
      </c>
      <c r="U38" s="85">
        <f t="shared" ref="U38:U54" si="56">(O38*$U$1/12)/27+I38</f>
        <v>85.58111111111107</v>
      </c>
      <c r="V38" s="383">
        <v>0</v>
      </c>
      <c r="W38" s="111">
        <f t="shared" ref="W38:W54" si="57">IF(A38="APP SLAB",0,(O38+J38*K38)/9)</f>
        <v>491.12595555555589</v>
      </c>
      <c r="X38" s="467">
        <f t="shared" si="54"/>
        <v>1.3826543209876192</v>
      </c>
      <c r="Y38" s="85">
        <f t="shared" ref="Y38:Y54" si="58">IF(A38="APP SLAB",0,(K38*2))</f>
        <v>137.83999999999651</v>
      </c>
      <c r="Z38" s="10"/>
      <c r="AA38" s="81"/>
      <c r="AB38" s="81"/>
      <c r="AC38" s="81"/>
    </row>
    <row r="39" spans="1:30" ht="12.75" customHeight="1" x14ac:dyDescent="0.2">
      <c r="B39" s="356">
        <v>74587</v>
      </c>
      <c r="C39" s="357">
        <v>75050</v>
      </c>
      <c r="D39" s="340" t="s">
        <v>15</v>
      </c>
      <c r="E39" s="340" t="s">
        <v>105</v>
      </c>
      <c r="F39" s="340" t="s">
        <v>111</v>
      </c>
      <c r="G39" s="103" t="str">
        <f t="shared" si="40"/>
        <v>E/S - C/B</v>
      </c>
      <c r="H39" s="77">
        <f t="shared" si="41"/>
        <v>1.5</v>
      </c>
      <c r="I39" s="27">
        <f t="shared" si="42"/>
        <v>12.861111111111111</v>
      </c>
      <c r="J39" s="78">
        <f t="shared" si="43"/>
        <v>-1.42</v>
      </c>
      <c r="K39" s="83">
        <f t="shared" si="44"/>
        <v>463</v>
      </c>
      <c r="L39" s="345" t="s">
        <v>101</v>
      </c>
      <c r="M39" s="124">
        <f t="shared" si="45"/>
        <v>0</v>
      </c>
      <c r="N39" s="347">
        <v>32775</v>
      </c>
      <c r="O39" s="123">
        <f t="shared" si="46"/>
        <v>32775</v>
      </c>
      <c r="P39" s="352">
        <v>0</v>
      </c>
      <c r="Q39" s="210">
        <f t="shared" si="48"/>
        <v>1.8594166666666667</v>
      </c>
      <c r="R39" s="85">
        <f t="shared" si="49"/>
        <v>3718.8333333333335</v>
      </c>
      <c r="S39" s="85">
        <f t="shared" si="50"/>
        <v>3718.8333333333335</v>
      </c>
      <c r="T39" s="85">
        <f t="shared" si="51"/>
        <v>110.44935</v>
      </c>
      <c r="U39" s="85">
        <f t="shared" si="56"/>
        <v>619.80555555555554</v>
      </c>
      <c r="V39" s="383">
        <v>0</v>
      </c>
      <c r="W39" s="111">
        <f t="shared" si="57"/>
        <v>3568.6155555555556</v>
      </c>
      <c r="X39" s="467">
        <f t="shared" si="54"/>
        <v>9.2885802469135808</v>
      </c>
      <c r="Y39" s="85">
        <f t="shared" si="58"/>
        <v>926</v>
      </c>
      <c r="Z39" s="10"/>
      <c r="AA39" s="81"/>
      <c r="AB39" s="81"/>
      <c r="AC39" s="81"/>
    </row>
    <row r="40" spans="1:30" ht="12.75" customHeight="1" x14ac:dyDescent="0.2">
      <c r="B40" s="356">
        <v>75050</v>
      </c>
      <c r="C40" s="357">
        <v>75100</v>
      </c>
      <c r="D40" s="340" t="s">
        <v>15</v>
      </c>
      <c r="E40" s="340" t="s">
        <v>111</v>
      </c>
      <c r="F40" s="340" t="s">
        <v>111</v>
      </c>
      <c r="G40" s="104" t="str">
        <f t="shared" si="40"/>
        <v>C/B - C/B</v>
      </c>
      <c r="H40" s="77">
        <f t="shared" si="41"/>
        <v>0</v>
      </c>
      <c r="I40" s="27">
        <f t="shared" si="42"/>
        <v>0</v>
      </c>
      <c r="J40" s="78">
        <f t="shared" si="43"/>
        <v>-2.84</v>
      </c>
      <c r="K40" s="89">
        <f t="shared" si="44"/>
        <v>50</v>
      </c>
      <c r="L40" s="345">
        <v>42.42</v>
      </c>
      <c r="M40" s="124">
        <f t="shared" si="45"/>
        <v>2121</v>
      </c>
      <c r="N40" s="347">
        <v>0</v>
      </c>
      <c r="O40" s="124">
        <f t="shared" si="46"/>
        <v>2121</v>
      </c>
      <c r="P40" s="352">
        <v>0</v>
      </c>
      <c r="Q40" s="210">
        <f t="shared" si="48"/>
        <v>0.11783333333333333</v>
      </c>
      <c r="R40" s="85">
        <f t="shared" si="49"/>
        <v>235.66666666666666</v>
      </c>
      <c r="S40" s="85">
        <f t="shared" si="50"/>
        <v>235.66666666666666</v>
      </c>
      <c r="T40" s="85">
        <f t="shared" si="51"/>
        <v>6.999299999999999</v>
      </c>
      <c r="U40" s="85">
        <f t="shared" si="56"/>
        <v>39.277777777777779</v>
      </c>
      <c r="V40" s="383">
        <v>0</v>
      </c>
      <c r="W40" s="111">
        <f t="shared" si="57"/>
        <v>219.88888888888889</v>
      </c>
      <c r="X40" s="467">
        <f t="shared" si="54"/>
        <v>0</v>
      </c>
      <c r="Y40" s="85">
        <f t="shared" si="58"/>
        <v>100</v>
      </c>
      <c r="Z40" s="10"/>
      <c r="AA40" s="81"/>
      <c r="AB40" s="81"/>
      <c r="AC40" s="81"/>
    </row>
    <row r="41" spans="1:30" ht="12.75" customHeight="1" x14ac:dyDescent="0.2">
      <c r="B41" s="356">
        <v>75100</v>
      </c>
      <c r="C41" s="357">
        <v>75150</v>
      </c>
      <c r="D41" s="340" t="s">
        <v>15</v>
      </c>
      <c r="E41" s="340" t="s">
        <v>111</v>
      </c>
      <c r="F41" s="340" t="s">
        <v>111</v>
      </c>
      <c r="G41" s="104" t="str">
        <f t="shared" si="40"/>
        <v>C/B - C/B</v>
      </c>
      <c r="H41" s="77">
        <f t="shared" si="41"/>
        <v>0</v>
      </c>
      <c r="I41" s="27">
        <f t="shared" si="42"/>
        <v>0</v>
      </c>
      <c r="J41" s="78">
        <f t="shared" si="43"/>
        <v>-2.84</v>
      </c>
      <c r="K41" s="495">
        <f t="shared" ref="K41" si="59">C41-B41</f>
        <v>50</v>
      </c>
      <c r="L41" s="345">
        <v>42.42</v>
      </c>
      <c r="M41" s="124">
        <f t="shared" ref="M41" si="60">IF(L41="-",0,ROUNDUP($K41*L41,0))</f>
        <v>2121</v>
      </c>
      <c r="N41" s="347">
        <v>0</v>
      </c>
      <c r="O41" s="124">
        <f t="shared" ref="O41" si="61">SUM(M41:N41)</f>
        <v>2121</v>
      </c>
      <c r="P41" s="493">
        <f t="shared" ref="P41:P51" si="62">IF(OR($A41="APP SLAB",O41=0),0,($O41+$H41*$K41)/9)</f>
        <v>235.66666666666666</v>
      </c>
      <c r="Q41" s="210">
        <f t="shared" ref="Q41" si="63">IF(AND(P41=0,S41=0),0,IF(S41=0,P41/2000,S41/2000))</f>
        <v>0.11783333333333333</v>
      </c>
      <c r="R41" s="493">
        <f t="shared" ref="R41" si="64">IF(OR(A41="APP SLAB",P41&lt;&gt;0),0,S41)</f>
        <v>0</v>
      </c>
      <c r="S41" s="493">
        <f t="shared" ref="S41" si="65">IF(OR(A41="APP SLAB",P41&lt;&gt;0),0,($O41+H41*K41)/9)</f>
        <v>0</v>
      </c>
      <c r="T41" s="493">
        <f t="shared" ref="T41" si="66">IF(OR(A41="APP SLAB",P41&lt;&gt;0),0,$S$1*S41*110*0.06*0.75/2000)</f>
        <v>0</v>
      </c>
      <c r="U41" s="493">
        <f t="shared" ref="U41" si="67">(O41*$U$1/12)/27+I41</f>
        <v>39.277777777777779</v>
      </c>
      <c r="V41" s="383">
        <v>0</v>
      </c>
      <c r="W41" s="111">
        <f t="shared" ref="W41" si="68">IF(A41="APP SLAB",0,(O41+J41*K41)/9)</f>
        <v>219.88888888888889</v>
      </c>
      <c r="X41" s="511">
        <f t="shared" si="54"/>
        <v>0</v>
      </c>
      <c r="Y41" s="493">
        <f t="shared" ref="Y41" si="69">IF(A41="APP SLAB",0,(K41*2))</f>
        <v>100</v>
      </c>
      <c r="Z41" s="10"/>
      <c r="AA41" s="81"/>
      <c r="AB41" s="81"/>
      <c r="AC41" s="81"/>
    </row>
    <row r="42" spans="1:30" ht="12.75" customHeight="1" x14ac:dyDescent="0.2">
      <c r="B42" s="338">
        <v>75150</v>
      </c>
      <c r="C42" s="339">
        <v>75500</v>
      </c>
      <c r="D42" s="340" t="s">
        <v>15</v>
      </c>
      <c r="E42" s="340" t="s">
        <v>112</v>
      </c>
      <c r="F42" s="340" t="s">
        <v>111</v>
      </c>
      <c r="G42" s="103" t="str">
        <f t="shared" si="40"/>
        <v>-</v>
      </c>
      <c r="H42" s="352">
        <v>0</v>
      </c>
      <c r="I42" s="341">
        <v>0</v>
      </c>
      <c r="J42" s="361">
        <v>-1.42</v>
      </c>
      <c r="K42" s="83">
        <f t="shared" si="44"/>
        <v>350</v>
      </c>
      <c r="L42" s="345">
        <v>42.42</v>
      </c>
      <c r="M42" s="124">
        <f t="shared" si="45"/>
        <v>14847</v>
      </c>
      <c r="N42" s="347">
        <v>0</v>
      </c>
      <c r="O42" s="123">
        <f t="shared" si="46"/>
        <v>14847</v>
      </c>
      <c r="P42" s="493">
        <f t="shared" si="62"/>
        <v>1649.6666666666667</v>
      </c>
      <c r="Q42" s="210">
        <f t="shared" si="48"/>
        <v>0.82483333333333342</v>
      </c>
      <c r="R42" s="85">
        <f t="shared" si="49"/>
        <v>0</v>
      </c>
      <c r="S42" s="85">
        <f t="shared" si="50"/>
        <v>0</v>
      </c>
      <c r="T42" s="85">
        <f t="shared" si="51"/>
        <v>0</v>
      </c>
      <c r="U42" s="85">
        <f t="shared" si="56"/>
        <v>274.94444444444446</v>
      </c>
      <c r="V42" s="383">
        <v>0</v>
      </c>
      <c r="W42" s="111">
        <f t="shared" si="57"/>
        <v>1594.4444444444443</v>
      </c>
      <c r="X42" s="467">
        <f t="shared" si="54"/>
        <v>0</v>
      </c>
      <c r="Y42" s="85">
        <f t="shared" si="58"/>
        <v>700</v>
      </c>
      <c r="Z42" s="10"/>
      <c r="AA42" s="81"/>
      <c r="AB42" s="81"/>
      <c r="AC42" s="81"/>
    </row>
    <row r="43" spans="1:30" ht="12.75" customHeight="1" x14ac:dyDescent="0.2">
      <c r="B43" s="338">
        <v>75500</v>
      </c>
      <c r="C43" s="339">
        <v>75725</v>
      </c>
      <c r="D43" s="340" t="s">
        <v>15</v>
      </c>
      <c r="E43" s="340" t="s">
        <v>112</v>
      </c>
      <c r="F43" s="340" t="s">
        <v>111</v>
      </c>
      <c r="G43" s="103" t="str">
        <f t="shared" si="40"/>
        <v>-</v>
      </c>
      <c r="H43" s="352">
        <v>3.17</v>
      </c>
      <c r="I43" s="341">
        <v>9.08</v>
      </c>
      <c r="J43" s="361">
        <v>-1.42</v>
      </c>
      <c r="K43" s="83">
        <f t="shared" si="44"/>
        <v>225</v>
      </c>
      <c r="L43" s="345">
        <v>42.42</v>
      </c>
      <c r="M43" s="124">
        <f t="shared" si="45"/>
        <v>9545</v>
      </c>
      <c r="N43" s="347">
        <v>0</v>
      </c>
      <c r="O43" s="123">
        <f t="shared" si="46"/>
        <v>9545</v>
      </c>
      <c r="P43" s="493">
        <f t="shared" si="62"/>
        <v>1139.8055555555557</v>
      </c>
      <c r="Q43" s="210">
        <f t="shared" si="48"/>
        <v>0.56990277777777787</v>
      </c>
      <c r="R43" s="85">
        <f t="shared" si="49"/>
        <v>0</v>
      </c>
      <c r="S43" s="85">
        <f t="shared" si="50"/>
        <v>0</v>
      </c>
      <c r="T43" s="85">
        <f t="shared" si="51"/>
        <v>0</v>
      </c>
      <c r="U43" s="85">
        <f t="shared" si="56"/>
        <v>185.83925925925928</v>
      </c>
      <c r="V43" s="383">
        <v>0</v>
      </c>
      <c r="W43" s="111">
        <f t="shared" si="57"/>
        <v>1025.0555555555557</v>
      </c>
      <c r="X43" s="467">
        <f t="shared" si="54"/>
        <v>0</v>
      </c>
      <c r="Y43" s="85">
        <f t="shared" si="58"/>
        <v>450</v>
      </c>
      <c r="Z43" s="10"/>
      <c r="AA43" s="81"/>
      <c r="AB43" s="81"/>
      <c r="AC43" s="81"/>
    </row>
    <row r="44" spans="1:30" ht="12.75" customHeight="1" x14ac:dyDescent="0.2">
      <c r="B44" s="338">
        <v>75725</v>
      </c>
      <c r="C44" s="339">
        <v>75775</v>
      </c>
      <c r="D44" s="340" t="s">
        <v>15</v>
      </c>
      <c r="E44" s="340" t="s">
        <v>112</v>
      </c>
      <c r="F44" s="340" t="s">
        <v>111</v>
      </c>
      <c r="G44" s="103" t="str">
        <f t="shared" si="40"/>
        <v>-</v>
      </c>
      <c r="H44" s="352">
        <v>3.17</v>
      </c>
      <c r="I44" s="341">
        <v>2.02</v>
      </c>
      <c r="J44" s="361">
        <v>-1.42</v>
      </c>
      <c r="K44" s="83">
        <f t="shared" si="44"/>
        <v>50</v>
      </c>
      <c r="L44" s="345">
        <v>43.42</v>
      </c>
      <c r="M44" s="124">
        <f t="shared" si="45"/>
        <v>2171</v>
      </c>
      <c r="N44" s="347">
        <v>0</v>
      </c>
      <c r="O44" s="123">
        <f t="shared" si="46"/>
        <v>2171</v>
      </c>
      <c r="P44" s="493">
        <f t="shared" si="62"/>
        <v>258.83333333333331</v>
      </c>
      <c r="Q44" s="210">
        <f t="shared" si="48"/>
        <v>0.12941666666666665</v>
      </c>
      <c r="R44" s="85">
        <f t="shared" si="49"/>
        <v>0</v>
      </c>
      <c r="S44" s="85">
        <f t="shared" si="50"/>
        <v>0</v>
      </c>
      <c r="T44" s="85">
        <f t="shared" si="51"/>
        <v>0</v>
      </c>
      <c r="U44" s="85">
        <f t="shared" si="56"/>
        <v>42.223703703703706</v>
      </c>
      <c r="V44" s="383">
        <v>0</v>
      </c>
      <c r="W44" s="111">
        <f t="shared" si="57"/>
        <v>233.33333333333334</v>
      </c>
      <c r="X44" s="467">
        <f t="shared" si="54"/>
        <v>0</v>
      </c>
      <c r="Y44" s="85">
        <f t="shared" si="58"/>
        <v>100</v>
      </c>
      <c r="Z44" s="10"/>
      <c r="AA44" s="81"/>
      <c r="AB44" s="81"/>
      <c r="AC44" s="81"/>
    </row>
    <row r="45" spans="1:30" ht="12.75" customHeight="1" x14ac:dyDescent="0.2">
      <c r="B45" s="338">
        <v>75775</v>
      </c>
      <c r="C45" s="339">
        <v>75788.42</v>
      </c>
      <c r="D45" s="340" t="s">
        <v>15</v>
      </c>
      <c r="E45" s="340" t="s">
        <v>112</v>
      </c>
      <c r="F45" s="340" t="s">
        <v>111</v>
      </c>
      <c r="G45" s="103" t="str">
        <f t="shared" si="40"/>
        <v>-</v>
      </c>
      <c r="H45" s="352">
        <v>3.17</v>
      </c>
      <c r="I45" s="341">
        <v>0.54</v>
      </c>
      <c r="J45" s="361">
        <v>-1.42</v>
      </c>
      <c r="K45" s="83">
        <f t="shared" si="44"/>
        <v>13.419999999998254</v>
      </c>
      <c r="L45" s="345">
        <v>44.42</v>
      </c>
      <c r="M45" s="124">
        <f t="shared" si="45"/>
        <v>597</v>
      </c>
      <c r="N45" s="347">
        <v>0</v>
      </c>
      <c r="O45" s="123">
        <f t="shared" si="46"/>
        <v>597</v>
      </c>
      <c r="P45" s="493">
        <f t="shared" si="62"/>
        <v>71.060155555554942</v>
      </c>
      <c r="Q45" s="210">
        <f t="shared" si="48"/>
        <v>3.5530077777777475E-2</v>
      </c>
      <c r="R45" s="85">
        <f t="shared" si="49"/>
        <v>0</v>
      </c>
      <c r="S45" s="85">
        <f t="shared" si="50"/>
        <v>0</v>
      </c>
      <c r="T45" s="85">
        <f t="shared" si="51"/>
        <v>0</v>
      </c>
      <c r="U45" s="85">
        <f t="shared" si="56"/>
        <v>11.595555555555556</v>
      </c>
      <c r="V45" s="383">
        <v>0</v>
      </c>
      <c r="W45" s="111">
        <f t="shared" si="57"/>
        <v>64.215955555555823</v>
      </c>
      <c r="X45" s="467">
        <f t="shared" si="54"/>
        <v>0</v>
      </c>
      <c r="Y45" s="85">
        <f t="shared" si="58"/>
        <v>26.839999999996508</v>
      </c>
      <c r="Z45" s="10"/>
      <c r="AA45" s="81"/>
      <c r="AB45" s="81"/>
      <c r="AC45" s="81"/>
    </row>
    <row r="46" spans="1:30" ht="12.75" customHeight="1" x14ac:dyDescent="0.2">
      <c r="B46" s="338">
        <v>75788.42</v>
      </c>
      <c r="C46" s="339">
        <v>75798.7</v>
      </c>
      <c r="D46" s="340" t="s">
        <v>15</v>
      </c>
      <c r="E46" s="340" t="s">
        <v>112</v>
      </c>
      <c r="F46" s="340" t="s">
        <v>101</v>
      </c>
      <c r="G46" s="103" t="str">
        <f t="shared" si="40"/>
        <v>-</v>
      </c>
      <c r="H46" s="352">
        <v>3.17</v>
      </c>
      <c r="I46" s="341">
        <v>0.42</v>
      </c>
      <c r="J46" s="361">
        <v>0</v>
      </c>
      <c r="K46" s="83">
        <f t="shared" si="44"/>
        <v>10.279999999998836</v>
      </c>
      <c r="L46" s="345" t="s">
        <v>101</v>
      </c>
      <c r="M46" s="124">
        <f t="shared" si="45"/>
        <v>0</v>
      </c>
      <c r="N46" s="347">
        <v>229</v>
      </c>
      <c r="O46" s="123">
        <f t="shared" si="46"/>
        <v>229</v>
      </c>
      <c r="P46" s="493">
        <f t="shared" si="62"/>
        <v>29.065288888888478</v>
      </c>
      <c r="Q46" s="210">
        <f t="shared" si="48"/>
        <v>1.4532644444444239E-2</v>
      </c>
      <c r="R46" s="85">
        <f t="shared" si="49"/>
        <v>0</v>
      </c>
      <c r="S46" s="85">
        <f t="shared" si="50"/>
        <v>0</v>
      </c>
      <c r="T46" s="85">
        <f t="shared" si="51"/>
        <v>0</v>
      </c>
      <c r="U46" s="85">
        <f t="shared" si="56"/>
        <v>4.6607407407407404</v>
      </c>
      <c r="V46" s="383">
        <v>0</v>
      </c>
      <c r="W46" s="111">
        <f t="shared" si="57"/>
        <v>25.444444444444443</v>
      </c>
      <c r="X46" s="467">
        <f t="shared" si="54"/>
        <v>0</v>
      </c>
      <c r="Y46" s="85">
        <f t="shared" si="58"/>
        <v>20.559999999997672</v>
      </c>
      <c r="Z46" s="10"/>
      <c r="AA46" s="81"/>
      <c r="AB46" s="81"/>
      <c r="AC46" s="81"/>
    </row>
    <row r="47" spans="1:30" ht="12.75" customHeight="1" x14ac:dyDescent="0.2">
      <c r="A47" s="198" t="s">
        <v>28</v>
      </c>
      <c r="B47" s="338">
        <v>75788.42</v>
      </c>
      <c r="C47" s="339">
        <v>75818.42</v>
      </c>
      <c r="D47" s="340" t="s">
        <v>15</v>
      </c>
      <c r="E47" s="340" t="s">
        <v>101</v>
      </c>
      <c r="F47" s="340" t="s">
        <v>101</v>
      </c>
      <c r="G47" s="103" t="str">
        <f t="shared" si="40"/>
        <v>-</v>
      </c>
      <c r="H47" s="77">
        <v>4</v>
      </c>
      <c r="I47" s="27">
        <f t="shared" ref="I47:I54" si="70">IF(AND($E47=$AA$2,$F47=$AA$2),2*$AF$12*$K47/27,IF(OR(AND($E47=$AA$2,$F47=$AA$3),AND($E47=$AA$3,$F47=$AA$2)),($AF$12+$AF$13)*$K47/27,IF(OR(AND($E47=$AA$2,$F47=$AA$4),AND($E47=$AA$4,$F47=$AA$2)),$AF$12*$K47/27,IF(OR(AND($E47=$AA$3,$F47=$AA$4),AND($E47=$AA$4,$F47=$AA$3)),$AF$13*$K47/27,IF(AND($E47=$AA$3,$F47=$AA$3),2*$AF$13*$K47/27,0)))))</f>
        <v>0</v>
      </c>
      <c r="J47" s="78">
        <f t="shared" ref="J47:J54" si="71">IF(OR(AND($E47=$AA$2,$F47=$AA$4),AND($E47=$AA$4,$F47=$AA$2)),$AI$14,IF(OR(AND($E47=$AA$3,$F47=$AA$4),AND($E47=$AA$4,$F47=$AA$3)),$AI$14,IF(AND($E47=$AA$4,$F47=$AA$4),2*$AI$14,0)))</f>
        <v>0</v>
      </c>
      <c r="K47" s="83">
        <f t="shared" si="44"/>
        <v>30</v>
      </c>
      <c r="L47" s="345" t="s">
        <v>101</v>
      </c>
      <c r="M47" s="124">
        <f t="shared" si="45"/>
        <v>0</v>
      </c>
      <c r="N47" s="347">
        <v>1413</v>
      </c>
      <c r="O47" s="123">
        <f t="shared" si="46"/>
        <v>1413</v>
      </c>
      <c r="P47" s="493">
        <f>IF(OR(O47=0),0,($O47+$H47*$K47)/9)</f>
        <v>170.33333333333334</v>
      </c>
      <c r="Q47" s="210">
        <f t="shared" si="48"/>
        <v>8.5166666666666668E-2</v>
      </c>
      <c r="R47" s="85">
        <f t="shared" si="49"/>
        <v>0</v>
      </c>
      <c r="S47" s="85">
        <f t="shared" si="50"/>
        <v>0</v>
      </c>
      <c r="T47" s="85">
        <f t="shared" si="51"/>
        <v>0</v>
      </c>
      <c r="U47" s="85">
        <f t="shared" si="56"/>
        <v>26.166666666666668</v>
      </c>
      <c r="V47" s="383">
        <v>46</v>
      </c>
      <c r="W47" s="111">
        <f t="shared" si="57"/>
        <v>0</v>
      </c>
      <c r="X47" s="467">
        <f t="shared" si="54"/>
        <v>0</v>
      </c>
      <c r="Y47" s="85">
        <f t="shared" si="58"/>
        <v>0</v>
      </c>
      <c r="Z47" s="10"/>
      <c r="AA47" s="81"/>
      <c r="AB47" s="81"/>
      <c r="AC47" s="81"/>
    </row>
    <row r="48" spans="1:30" ht="12.75" customHeight="1" x14ac:dyDescent="0.2">
      <c r="A48" s="198" t="s">
        <v>28</v>
      </c>
      <c r="B48" s="338">
        <v>75914.84</v>
      </c>
      <c r="C48" s="339">
        <v>75944.84</v>
      </c>
      <c r="D48" s="340" t="s">
        <v>15</v>
      </c>
      <c r="E48" s="340" t="s">
        <v>101</v>
      </c>
      <c r="F48" s="340" t="s">
        <v>101</v>
      </c>
      <c r="G48" s="103" t="str">
        <f t="shared" si="40"/>
        <v>-</v>
      </c>
      <c r="H48" s="77">
        <v>4</v>
      </c>
      <c r="I48" s="27">
        <f t="shared" si="70"/>
        <v>0</v>
      </c>
      <c r="J48" s="78">
        <f t="shared" si="71"/>
        <v>0</v>
      </c>
      <c r="K48" s="83">
        <f t="shared" si="44"/>
        <v>30</v>
      </c>
      <c r="L48" s="345" t="s">
        <v>101</v>
      </c>
      <c r="M48" s="124">
        <f t="shared" si="45"/>
        <v>0</v>
      </c>
      <c r="N48" s="347">
        <v>1413</v>
      </c>
      <c r="O48" s="123">
        <f t="shared" si="46"/>
        <v>1413</v>
      </c>
      <c r="P48" s="493">
        <f>IF(OR(O48=0),0,($O48+$H48*$K48)/9)</f>
        <v>170.33333333333334</v>
      </c>
      <c r="Q48" s="210">
        <f t="shared" si="48"/>
        <v>8.5166666666666668E-2</v>
      </c>
      <c r="R48" s="85">
        <f t="shared" si="49"/>
        <v>0</v>
      </c>
      <c r="S48" s="85">
        <f t="shared" si="50"/>
        <v>0</v>
      </c>
      <c r="T48" s="85">
        <f t="shared" si="51"/>
        <v>0</v>
      </c>
      <c r="U48" s="85">
        <f t="shared" si="56"/>
        <v>26.166666666666668</v>
      </c>
      <c r="V48" s="383">
        <v>46</v>
      </c>
      <c r="W48" s="111">
        <f t="shared" si="57"/>
        <v>0</v>
      </c>
      <c r="X48" s="467">
        <f t="shared" si="54"/>
        <v>0</v>
      </c>
      <c r="Y48" s="85">
        <f t="shared" si="58"/>
        <v>0</v>
      </c>
      <c r="Z48" s="10"/>
    </row>
    <row r="49" spans="2:30" ht="12.75" customHeight="1" x14ac:dyDescent="0.2">
      <c r="B49" s="338">
        <v>75944.84</v>
      </c>
      <c r="C49" s="339">
        <v>75955.12</v>
      </c>
      <c r="D49" s="340" t="s">
        <v>15</v>
      </c>
      <c r="E49" s="340" t="s">
        <v>101</v>
      </c>
      <c r="F49" s="340" t="s">
        <v>111</v>
      </c>
      <c r="G49" s="103" t="str">
        <f t="shared" si="40"/>
        <v>-</v>
      </c>
      <c r="H49" s="352">
        <v>0</v>
      </c>
      <c r="I49" s="341">
        <v>0</v>
      </c>
      <c r="J49" s="361">
        <v>-1.42</v>
      </c>
      <c r="K49" s="83">
        <f t="shared" si="44"/>
        <v>10.279999999998836</v>
      </c>
      <c r="L49" s="345" t="s">
        <v>101</v>
      </c>
      <c r="M49" s="124">
        <f t="shared" si="45"/>
        <v>0</v>
      </c>
      <c r="N49" s="347">
        <v>229</v>
      </c>
      <c r="O49" s="123">
        <f t="shared" si="46"/>
        <v>229</v>
      </c>
      <c r="P49" s="493">
        <f t="shared" si="62"/>
        <v>25.444444444444443</v>
      </c>
      <c r="Q49" s="210">
        <f t="shared" si="48"/>
        <v>1.2722222222222222E-2</v>
      </c>
      <c r="R49" s="85">
        <f t="shared" si="49"/>
        <v>0</v>
      </c>
      <c r="S49" s="85">
        <f t="shared" si="50"/>
        <v>0</v>
      </c>
      <c r="T49" s="85">
        <f t="shared" si="51"/>
        <v>0</v>
      </c>
      <c r="U49" s="85">
        <f t="shared" si="56"/>
        <v>4.2407407407407405</v>
      </c>
      <c r="V49" s="383">
        <v>0</v>
      </c>
      <c r="W49" s="111">
        <f t="shared" si="57"/>
        <v>23.822488888889072</v>
      </c>
      <c r="X49" s="467">
        <f t="shared" si="54"/>
        <v>0</v>
      </c>
      <c r="Y49" s="85">
        <f t="shared" si="58"/>
        <v>20.559999999997672</v>
      </c>
      <c r="Z49" s="10"/>
    </row>
    <row r="50" spans="2:30" ht="12.75" customHeight="1" x14ac:dyDescent="0.2">
      <c r="B50" s="338">
        <v>75955.12</v>
      </c>
      <c r="C50" s="339">
        <v>76176.61</v>
      </c>
      <c r="D50" s="340" t="s">
        <v>15</v>
      </c>
      <c r="E50" s="340" t="s">
        <v>106</v>
      </c>
      <c r="F50" s="340" t="s">
        <v>111</v>
      </c>
      <c r="G50" s="103" t="str">
        <f t="shared" si="40"/>
        <v>F/C - C/B</v>
      </c>
      <c r="H50" s="77">
        <f t="shared" ref="H50:H54" si="72">IF(AND($E50=$AA$2,$F50=$AA$2),2*$AC$12,IF(OR(AND($E50=$AA$2, $F50=$AA$3),AND($E50=$AA$3,$F50=$AA$2)),$AC$12+$AC$13,IF(OR(AND($E50=$AA$2,$F50=$AA$4),AND($E50=$AA$4,$F50=$AA$2)),$AC$12,IF(OR(AND($E50=$AA$3,$F50=$AA$4),AND($E50=$AA$4,$F50=$AA$3)),$AC$13,IF(AND($E50=$AA$3,$F50=$AA$3),2*$AC$13,0)))))</f>
        <v>2</v>
      </c>
      <c r="I50" s="27">
        <f t="shared" si="70"/>
        <v>6.1525000000001455</v>
      </c>
      <c r="J50" s="78">
        <f t="shared" si="71"/>
        <v>-1.42</v>
      </c>
      <c r="K50" s="83">
        <f t="shared" si="44"/>
        <v>221.49000000000524</v>
      </c>
      <c r="L50" s="345">
        <v>44.42</v>
      </c>
      <c r="M50" s="124">
        <f t="shared" si="45"/>
        <v>9839</v>
      </c>
      <c r="N50" s="347">
        <v>0</v>
      </c>
      <c r="O50" s="123">
        <f t="shared" si="46"/>
        <v>9839</v>
      </c>
      <c r="P50" s="493">
        <f t="shared" si="62"/>
        <v>1142.4422222222233</v>
      </c>
      <c r="Q50" s="210">
        <f t="shared" si="48"/>
        <v>0.57122111111111162</v>
      </c>
      <c r="R50" s="85">
        <f t="shared" si="49"/>
        <v>0</v>
      </c>
      <c r="S50" s="85">
        <f t="shared" si="50"/>
        <v>0</v>
      </c>
      <c r="T50" s="85">
        <f t="shared" si="51"/>
        <v>0</v>
      </c>
      <c r="U50" s="85">
        <f t="shared" si="56"/>
        <v>188.35620370370384</v>
      </c>
      <c r="V50" s="383">
        <v>0</v>
      </c>
      <c r="W50" s="111">
        <f t="shared" si="57"/>
        <v>1058.2760222222214</v>
      </c>
      <c r="X50" s="467">
        <f t="shared" si="54"/>
        <v>0</v>
      </c>
      <c r="Y50" s="85">
        <f t="shared" si="58"/>
        <v>442.98000000001048</v>
      </c>
      <c r="Z50" s="10"/>
    </row>
    <row r="51" spans="2:30" ht="12.75" customHeight="1" x14ac:dyDescent="0.2">
      <c r="B51" s="338">
        <v>76176.61</v>
      </c>
      <c r="C51" s="339">
        <v>76300</v>
      </c>
      <c r="D51" s="340" t="s">
        <v>15</v>
      </c>
      <c r="E51" s="340" t="s">
        <v>106</v>
      </c>
      <c r="F51" s="340" t="s">
        <v>111</v>
      </c>
      <c r="G51" s="103" t="str">
        <f t="shared" si="40"/>
        <v>F/C - C/B</v>
      </c>
      <c r="H51" s="77">
        <f t="shared" si="72"/>
        <v>2</v>
      </c>
      <c r="I51" s="27">
        <f t="shared" si="70"/>
        <v>3.4274999999999838</v>
      </c>
      <c r="J51" s="78">
        <f t="shared" si="71"/>
        <v>-1.42</v>
      </c>
      <c r="K51" s="83">
        <f t="shared" si="44"/>
        <v>123.38999999999942</v>
      </c>
      <c r="L51" s="345">
        <v>45.3</v>
      </c>
      <c r="M51" s="124">
        <f t="shared" si="45"/>
        <v>5590</v>
      </c>
      <c r="N51" s="347">
        <v>0</v>
      </c>
      <c r="O51" s="123">
        <f t="shared" si="46"/>
        <v>5590</v>
      </c>
      <c r="P51" s="493">
        <f t="shared" si="62"/>
        <v>648.53111111111093</v>
      </c>
      <c r="Q51" s="210">
        <f t="shared" si="48"/>
        <v>0.32426555555555547</v>
      </c>
      <c r="R51" s="85">
        <f t="shared" si="49"/>
        <v>0</v>
      </c>
      <c r="S51" s="85">
        <f t="shared" si="50"/>
        <v>0</v>
      </c>
      <c r="T51" s="85">
        <f t="shared" si="51"/>
        <v>0</v>
      </c>
      <c r="U51" s="85">
        <f t="shared" si="56"/>
        <v>106.9460185185185</v>
      </c>
      <c r="V51" s="383">
        <v>0</v>
      </c>
      <c r="W51" s="111">
        <f t="shared" si="57"/>
        <v>601.64291111111118</v>
      </c>
      <c r="X51" s="467">
        <f t="shared" si="54"/>
        <v>0</v>
      </c>
      <c r="Y51" s="85">
        <f t="shared" si="58"/>
        <v>246.77999999999884</v>
      </c>
      <c r="Z51" s="10"/>
    </row>
    <row r="52" spans="2:30" ht="12.75" customHeight="1" x14ac:dyDescent="0.2">
      <c r="B52" s="338">
        <v>76300</v>
      </c>
      <c r="C52" s="339">
        <v>76736.5</v>
      </c>
      <c r="D52" s="340" t="s">
        <v>15</v>
      </c>
      <c r="E52" s="340" t="s">
        <v>106</v>
      </c>
      <c r="F52" s="340" t="s">
        <v>111</v>
      </c>
      <c r="G52" s="103" t="str">
        <f t="shared" si="40"/>
        <v>F/C - C/B</v>
      </c>
      <c r="H52" s="77">
        <f t="shared" si="72"/>
        <v>2</v>
      </c>
      <c r="I52" s="27">
        <f t="shared" si="70"/>
        <v>12.125</v>
      </c>
      <c r="J52" s="78">
        <f t="shared" si="71"/>
        <v>-1.42</v>
      </c>
      <c r="K52" s="492">
        <f t="shared" ref="K52" si="73">C52-B52</f>
        <v>436.5</v>
      </c>
      <c r="L52" s="345">
        <v>49.3</v>
      </c>
      <c r="M52" s="124">
        <f t="shared" ref="M52" si="74">IF(L52="-",0,ROUNDUP($K52*L52,0))</f>
        <v>21520</v>
      </c>
      <c r="N52" s="347">
        <v>0</v>
      </c>
      <c r="O52" s="123">
        <f t="shared" ref="O52" si="75">SUM(M52:N52)</f>
        <v>21520</v>
      </c>
      <c r="P52" s="352">
        <v>0</v>
      </c>
      <c r="Q52" s="210">
        <f t="shared" ref="Q52" si="76">IF(AND(P52=0,S52=0),0,IF(S52=0,P52/2000,S52/2000))</f>
        <v>1.2440555555555557</v>
      </c>
      <c r="R52" s="493">
        <f t="shared" ref="R52" si="77">IF(OR(A52="APP SLAB",P52&lt;&gt;0),0,S52)</f>
        <v>2488.1111111111113</v>
      </c>
      <c r="S52" s="493">
        <f t="shared" ref="S52" si="78">IF(OR(A52="APP SLAB",P52&lt;&gt;0),0,($O52+H52*K52)/9)</f>
        <v>2488.1111111111113</v>
      </c>
      <c r="T52" s="493">
        <f t="shared" ref="T52" si="79">IF(OR(A52="APP SLAB",P52&lt;&gt;0),0,$S$1*S52*110*0.06*0.75/2000)</f>
        <v>73.896900000000002</v>
      </c>
      <c r="U52" s="493">
        <f t="shared" ref="U52" si="80">(O52*$U$1/12)/27+I52</f>
        <v>410.64351851851853</v>
      </c>
      <c r="V52" s="383">
        <v>0</v>
      </c>
      <c r="W52" s="111">
        <f t="shared" ref="W52" si="81">IF(A52="APP SLAB",0,(O52+J52*K52)/9)</f>
        <v>2322.241111111111</v>
      </c>
      <c r="X52" s="511">
        <f t="shared" si="54"/>
        <v>0</v>
      </c>
      <c r="Y52" s="493">
        <f t="shared" ref="Y52" si="82">IF(A52="APP SLAB",0,(K52*2))</f>
        <v>873</v>
      </c>
      <c r="Z52" s="10"/>
    </row>
    <row r="53" spans="2:30" ht="12.75" customHeight="1" x14ac:dyDescent="0.2">
      <c r="B53" s="338">
        <v>76736.5</v>
      </c>
      <c r="C53" s="339">
        <v>77000</v>
      </c>
      <c r="D53" s="340" t="s">
        <v>15</v>
      </c>
      <c r="E53" s="340" t="s">
        <v>106</v>
      </c>
      <c r="F53" s="340" t="s">
        <v>111</v>
      </c>
      <c r="G53" s="103" t="str">
        <f t="shared" si="40"/>
        <v>F/C - C/B</v>
      </c>
      <c r="H53" s="77">
        <f t="shared" si="72"/>
        <v>2</v>
      </c>
      <c r="I53" s="27">
        <f t="shared" si="70"/>
        <v>7.3194444444444446</v>
      </c>
      <c r="J53" s="78">
        <f t="shared" si="71"/>
        <v>-1.42</v>
      </c>
      <c r="K53" s="83">
        <f t="shared" si="44"/>
        <v>263.5</v>
      </c>
      <c r="L53" s="345" t="s">
        <v>101</v>
      </c>
      <c r="M53" s="124">
        <f t="shared" si="45"/>
        <v>0</v>
      </c>
      <c r="N53" s="347">
        <v>15141</v>
      </c>
      <c r="O53" s="123">
        <f t="shared" si="46"/>
        <v>15141</v>
      </c>
      <c r="P53" s="352">
        <v>0</v>
      </c>
      <c r="Q53" s="210">
        <f t="shared" si="48"/>
        <v>0.87044444444444447</v>
      </c>
      <c r="R53" s="85">
        <f t="shared" si="49"/>
        <v>1740.8888888888889</v>
      </c>
      <c r="S53" s="85">
        <f t="shared" si="50"/>
        <v>1740.8888888888889</v>
      </c>
      <c r="T53" s="85">
        <f t="shared" si="51"/>
        <v>51.704399999999993</v>
      </c>
      <c r="U53" s="85">
        <f t="shared" si="56"/>
        <v>287.70833333333337</v>
      </c>
      <c r="V53" s="383">
        <v>0</v>
      </c>
      <c r="W53" s="111">
        <f t="shared" si="57"/>
        <v>1640.7588888888888</v>
      </c>
      <c r="X53" s="467">
        <f t="shared" si="54"/>
        <v>0</v>
      </c>
      <c r="Y53" s="85">
        <f t="shared" si="58"/>
        <v>527</v>
      </c>
      <c r="Z53" s="189"/>
    </row>
    <row r="54" spans="2:30" ht="12.75" customHeight="1" x14ac:dyDescent="0.2">
      <c r="B54" s="338">
        <v>77000</v>
      </c>
      <c r="C54" s="339">
        <v>77021.960000000006</v>
      </c>
      <c r="D54" s="340" t="s">
        <v>15</v>
      </c>
      <c r="E54" s="340" t="s">
        <v>106</v>
      </c>
      <c r="F54" s="340" t="s">
        <v>105</v>
      </c>
      <c r="G54" s="103" t="str">
        <f t="shared" si="40"/>
        <v>E/S - F/C</v>
      </c>
      <c r="H54" s="77">
        <f t="shared" si="72"/>
        <v>3.5</v>
      </c>
      <c r="I54" s="27">
        <f t="shared" si="70"/>
        <v>1.2200000000003557</v>
      </c>
      <c r="J54" s="78">
        <f t="shared" si="71"/>
        <v>0</v>
      </c>
      <c r="K54" s="83">
        <f t="shared" si="44"/>
        <v>21.960000000006403</v>
      </c>
      <c r="L54" s="345" t="s">
        <v>101</v>
      </c>
      <c r="M54" s="124">
        <f t="shared" si="45"/>
        <v>0</v>
      </c>
      <c r="N54" s="347">
        <v>1342</v>
      </c>
      <c r="O54" s="123">
        <f t="shared" si="46"/>
        <v>1342</v>
      </c>
      <c r="P54" s="352">
        <v>0</v>
      </c>
      <c r="Q54" s="210">
        <f t="shared" si="48"/>
        <v>7.88255555555568E-2</v>
      </c>
      <c r="R54" s="85">
        <f t="shared" si="49"/>
        <v>157.65111111111361</v>
      </c>
      <c r="S54" s="85">
        <f t="shared" si="50"/>
        <v>157.65111111111361</v>
      </c>
      <c r="T54" s="85">
        <f t="shared" si="51"/>
        <v>4.6822380000000736</v>
      </c>
      <c r="U54" s="85">
        <f t="shared" si="56"/>
        <v>26.071851851852205</v>
      </c>
      <c r="V54" s="383">
        <v>0</v>
      </c>
      <c r="W54" s="111">
        <f t="shared" si="57"/>
        <v>149.11111111111111</v>
      </c>
      <c r="X54" s="467">
        <f t="shared" si="54"/>
        <v>0.44055555555568404</v>
      </c>
      <c r="Y54" s="85">
        <f t="shared" si="58"/>
        <v>43.920000000012806</v>
      </c>
      <c r="Z54" s="189"/>
    </row>
    <row r="55" spans="2:30" ht="12.75" customHeight="1" thickBot="1" x14ac:dyDescent="0.25">
      <c r="B55" s="107"/>
      <c r="C55" s="82"/>
      <c r="D55" s="133"/>
      <c r="E55" s="158"/>
      <c r="F55" s="158"/>
      <c r="G55" s="158"/>
      <c r="H55" s="159"/>
      <c r="I55" s="160"/>
      <c r="J55" s="160"/>
      <c r="K55" s="84"/>
      <c r="L55" s="84"/>
      <c r="M55" s="119"/>
      <c r="N55" s="119"/>
      <c r="O55" s="119"/>
      <c r="P55" s="119"/>
      <c r="Q55" s="119"/>
      <c r="R55" s="19"/>
      <c r="S55" s="19"/>
      <c r="T55" s="19"/>
      <c r="U55" s="19"/>
      <c r="V55" s="84"/>
      <c r="W55" s="84"/>
      <c r="X55" s="84"/>
      <c r="Y55" s="162"/>
      <c r="Z55" s="189"/>
    </row>
    <row r="56" spans="2:30" ht="12.75" customHeight="1" thickBot="1" x14ac:dyDescent="0.25">
      <c r="B56" s="707" t="s">
        <v>274</v>
      </c>
      <c r="C56" s="664"/>
      <c r="D56" s="770" t="s">
        <v>201</v>
      </c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592">
        <f t="shared" ref="P56:W56" si="83">ROUNDUP(SUM(P18:P54),0)</f>
        <v>24331</v>
      </c>
      <c r="Q56" s="592">
        <f t="shared" si="83"/>
        <v>20</v>
      </c>
      <c r="R56" s="592">
        <f t="shared" si="83"/>
        <v>15301</v>
      </c>
      <c r="S56" s="592">
        <f t="shared" si="83"/>
        <v>15301</v>
      </c>
      <c r="T56" s="592">
        <f t="shared" si="83"/>
        <v>455</v>
      </c>
      <c r="U56" s="592">
        <f t="shared" si="83"/>
        <v>6569</v>
      </c>
      <c r="V56" s="592">
        <f t="shared" si="83"/>
        <v>184</v>
      </c>
      <c r="W56" s="592">
        <f t="shared" si="83"/>
        <v>36607</v>
      </c>
      <c r="X56" s="592">
        <f t="shared" ref="X56" si="84">ROUNDUP(SUM(X18:X54),0)</f>
        <v>74</v>
      </c>
      <c r="Y56" s="592">
        <f>ROUNDUP(SUM(Y18:Y54),0)</f>
        <v>13677</v>
      </c>
      <c r="Z56" s="10"/>
    </row>
    <row r="57" spans="2:30" ht="12.75" customHeight="1" thickBot="1" x14ac:dyDescent="0.25">
      <c r="B57" s="709"/>
      <c r="C57" s="665"/>
      <c r="D57" s="770"/>
      <c r="E57" s="770"/>
      <c r="F57" s="770"/>
      <c r="G57" s="770"/>
      <c r="H57" s="770"/>
      <c r="I57" s="770"/>
      <c r="J57" s="770"/>
      <c r="K57" s="770"/>
      <c r="L57" s="770"/>
      <c r="M57" s="770"/>
      <c r="N57" s="770"/>
      <c r="O57" s="770"/>
      <c r="P57" s="690"/>
      <c r="Q57" s="690"/>
      <c r="R57" s="690"/>
      <c r="S57" s="690"/>
      <c r="T57" s="690"/>
      <c r="U57" s="690"/>
      <c r="V57" s="690"/>
      <c r="W57" s="690"/>
      <c r="X57" s="690"/>
      <c r="Y57" s="690"/>
      <c r="Z57" s="10"/>
    </row>
    <row r="58" spans="2:30" ht="12.75" customHeight="1" x14ac:dyDescent="0.2">
      <c r="Z58" s="10"/>
      <c r="AA58" s="10"/>
      <c r="AB58" s="10"/>
      <c r="AC58" s="10"/>
      <c r="AD58" s="10"/>
    </row>
    <row r="59" spans="2:30" ht="12.75" customHeight="1" x14ac:dyDescent="0.2">
      <c r="Z59" s="10"/>
      <c r="AA59" s="10"/>
      <c r="AB59" s="10"/>
      <c r="AC59" s="10"/>
      <c r="AD59" s="10"/>
    </row>
    <row r="60" spans="2:30" ht="12.75" customHeight="1" x14ac:dyDescent="0.2">
      <c r="Z60" s="10"/>
    </row>
    <row r="61" spans="2:30" ht="12.75" customHeight="1" x14ac:dyDescent="0.2">
      <c r="Z61" s="10"/>
    </row>
    <row r="62" spans="2:30" ht="12.75" customHeight="1" x14ac:dyDescent="0.2">
      <c r="Z62" s="10"/>
    </row>
    <row r="63" spans="2:30" ht="12.75" customHeight="1" x14ac:dyDescent="0.2">
      <c r="Z63" s="10"/>
    </row>
    <row r="64" spans="2:30" ht="12.75" customHeight="1" x14ac:dyDescent="0.2">
      <c r="Z64" s="10"/>
    </row>
    <row r="65" spans="1:26" ht="12.75" customHeight="1" x14ac:dyDescent="0.2">
      <c r="Z65" s="10"/>
    </row>
    <row r="66" spans="1:26" ht="12.75" customHeight="1" x14ac:dyDescent="0.2">
      <c r="Z66" s="10"/>
    </row>
    <row r="67" spans="1:26" ht="12.75" customHeight="1" x14ac:dyDescent="0.2">
      <c r="Z67" s="10"/>
    </row>
    <row r="68" spans="1:26" ht="12.75" customHeight="1" x14ac:dyDescent="0.2">
      <c r="Z68" s="10"/>
    </row>
    <row r="69" spans="1:26" ht="12.75" customHeight="1" x14ac:dyDescent="0.2">
      <c r="C69" s="96"/>
      <c r="Z69" s="10"/>
    </row>
    <row r="70" spans="1:26" ht="12.75" customHeight="1" x14ac:dyDescent="0.2">
      <c r="C70" s="96"/>
      <c r="Z70" s="10"/>
    </row>
    <row r="71" spans="1:26" ht="12.75" customHeight="1" x14ac:dyDescent="0.2">
      <c r="C71" s="96"/>
      <c r="Z71" s="10"/>
    </row>
    <row r="72" spans="1:26" ht="12.75" customHeight="1" x14ac:dyDescent="0.2">
      <c r="A72" s="94"/>
      <c r="C72" s="96"/>
    </row>
    <row r="73" spans="1:26" ht="12.75" customHeight="1" x14ac:dyDescent="0.2">
      <c r="A73" s="94"/>
      <c r="C73" s="96"/>
    </row>
    <row r="74" spans="1:26" ht="12.75" customHeight="1" x14ac:dyDescent="0.2">
      <c r="C74" s="96"/>
    </row>
    <row r="75" spans="1:26" ht="12.75" customHeight="1" x14ac:dyDescent="0.25">
      <c r="C75" s="96"/>
      <c r="O75" s="199">
        <f>SUM(O17:O54)</f>
        <v>344900</v>
      </c>
      <c r="P75" s="204"/>
      <c r="Q75" s="179" t="s">
        <v>181</v>
      </c>
    </row>
    <row r="76" spans="1:26" ht="12.75" customHeight="1" x14ac:dyDescent="0.2">
      <c r="A76" s="94"/>
      <c r="C76" s="96"/>
    </row>
    <row r="77" spans="1:26" ht="12.75" customHeight="1" x14ac:dyDescent="0.2">
      <c r="A77" s="94"/>
    </row>
    <row r="78" spans="1:26" ht="12.75" customHeight="1" x14ac:dyDescent="0.2"/>
    <row r="79" spans="1:26" ht="12.75" customHeight="1" x14ac:dyDescent="0.2"/>
    <row r="80" spans="1:26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spans="31:56" ht="12.75" customHeight="1" x14ac:dyDescent="0.2"/>
    <row r="114" spans="31:56" ht="12.75" customHeight="1" x14ac:dyDescent="0.2"/>
    <row r="115" spans="31:56" ht="12.75" customHeight="1" x14ac:dyDescent="0.2"/>
    <row r="116" spans="31:56" ht="12.75" customHeight="1" x14ac:dyDescent="0.2"/>
    <row r="117" spans="31:56" ht="12.75" customHeight="1" x14ac:dyDescent="0.2"/>
    <row r="118" spans="31:56" ht="12.75" customHeight="1" x14ac:dyDescent="0.2"/>
    <row r="119" spans="31:56" ht="12.75" customHeight="1" x14ac:dyDescent="0.2"/>
    <row r="120" spans="31:56" ht="12.75" customHeight="1" x14ac:dyDescent="0.2"/>
    <row r="121" spans="31:56" ht="12.75" customHeight="1" x14ac:dyDescent="0.2"/>
    <row r="122" spans="31:56" ht="12.75" customHeight="1" x14ac:dyDescent="0.2"/>
    <row r="123" spans="31:56" ht="12.75" customHeight="1" x14ac:dyDescent="0.2"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</row>
    <row r="124" spans="31:56" ht="12.75" customHeight="1" x14ac:dyDescent="0.2"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</row>
    <row r="125" spans="31:56" ht="12.75" customHeight="1" x14ac:dyDescent="0.2"/>
    <row r="126" spans="31:56" ht="12.75" customHeight="1" x14ac:dyDescent="0.2"/>
    <row r="127" spans="31:56" ht="12.75" customHeight="1" x14ac:dyDescent="0.2"/>
    <row r="128" spans="31:56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spans="1:56" ht="12.75" customHeight="1" x14ac:dyDescent="0.2"/>
    <row r="146" spans="1:56" ht="12.75" customHeight="1" x14ac:dyDescent="0.2"/>
    <row r="147" spans="1:56" ht="12.75" customHeight="1" x14ac:dyDescent="0.2"/>
    <row r="148" spans="1:56" s="94" customFormat="1" ht="12.75" customHeight="1" x14ac:dyDescent="0.2">
      <c r="A148" s="81"/>
      <c r="B148" s="95"/>
      <c r="C148" s="95"/>
      <c r="D148" s="81"/>
      <c r="E148" s="81"/>
      <c r="F148" s="81"/>
      <c r="G148" s="81"/>
      <c r="H148" s="81"/>
      <c r="I148" s="81"/>
      <c r="J148" s="81"/>
      <c r="K148" s="87"/>
      <c r="L148" s="87"/>
      <c r="R148" s="87"/>
      <c r="S148" s="88"/>
      <c r="T148" s="88"/>
      <c r="U148" s="88"/>
      <c r="V148" s="13"/>
      <c r="W148" s="13"/>
      <c r="X148" s="13"/>
      <c r="Y148" s="87"/>
      <c r="Z148" s="90"/>
      <c r="AA148" s="90"/>
      <c r="AB148" s="90"/>
      <c r="AC148" s="90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</row>
    <row r="149" spans="1:56" s="94" customFormat="1" ht="12.75" customHeight="1" x14ac:dyDescent="0.2">
      <c r="A149" s="81"/>
      <c r="B149" s="95"/>
      <c r="C149" s="95"/>
      <c r="D149" s="81"/>
      <c r="E149" s="81"/>
      <c r="F149" s="81"/>
      <c r="G149" s="81"/>
      <c r="H149" s="81"/>
      <c r="I149" s="81"/>
      <c r="J149" s="81"/>
      <c r="K149" s="87"/>
      <c r="L149" s="87"/>
      <c r="R149" s="87"/>
      <c r="S149" s="88"/>
      <c r="T149" s="88"/>
      <c r="U149" s="88"/>
      <c r="V149" s="13"/>
      <c r="W149" s="13"/>
      <c r="X149" s="13"/>
      <c r="Y149" s="87"/>
      <c r="Z149" s="90"/>
      <c r="AA149" s="90"/>
      <c r="AB149" s="90"/>
      <c r="AC149" s="90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</row>
  </sheetData>
  <mergeCells count="73">
    <mergeCell ref="AC16:AE16"/>
    <mergeCell ref="AF16:AH16"/>
    <mergeCell ref="AI16:AK16"/>
    <mergeCell ref="AC13:AE13"/>
    <mergeCell ref="AF13:AH13"/>
    <mergeCell ref="AI13:AK13"/>
    <mergeCell ref="AC14:AE14"/>
    <mergeCell ref="AF14:AH14"/>
    <mergeCell ref="AI14:AK14"/>
    <mergeCell ref="AC15:AE15"/>
    <mergeCell ref="AF15:AH15"/>
    <mergeCell ref="AI15:AK15"/>
    <mergeCell ref="AF10:AH10"/>
    <mergeCell ref="AI10:AK10"/>
    <mergeCell ref="AC11:AE11"/>
    <mergeCell ref="AF11:AH11"/>
    <mergeCell ref="AI11:AK11"/>
    <mergeCell ref="K5:K15"/>
    <mergeCell ref="L5:L15"/>
    <mergeCell ref="AA10:AA11"/>
    <mergeCell ref="AB10:AB11"/>
    <mergeCell ref="AC10:AE10"/>
    <mergeCell ref="X6:X15"/>
    <mergeCell ref="B36:C36"/>
    <mergeCell ref="R5:T5"/>
    <mergeCell ref="B56:C57"/>
    <mergeCell ref="P6:P15"/>
    <mergeCell ref="P5:Q5"/>
    <mergeCell ref="P56:P57"/>
    <mergeCell ref="Q6:Q15"/>
    <mergeCell ref="R6:R15"/>
    <mergeCell ref="S6:S15"/>
    <mergeCell ref="T6:T15"/>
    <mergeCell ref="M5:M15"/>
    <mergeCell ref="N5:N15"/>
    <mergeCell ref="O5:O15"/>
    <mergeCell ref="I5:I15"/>
    <mergeCell ref="F5:F16"/>
    <mergeCell ref="B5:C15"/>
    <mergeCell ref="D5:D16"/>
    <mergeCell ref="E5:E16"/>
    <mergeCell ref="AE24:AG24"/>
    <mergeCell ref="AI24:AK24"/>
    <mergeCell ref="B17:C17"/>
    <mergeCell ref="AC12:AE12"/>
    <mergeCell ref="AF12:AH12"/>
    <mergeCell ref="AI12:AK12"/>
    <mergeCell ref="G5:G16"/>
    <mergeCell ref="H5:H15"/>
    <mergeCell ref="U6:U15"/>
    <mergeCell ref="V6:V15"/>
    <mergeCell ref="W6:W15"/>
    <mergeCell ref="Y6:Y15"/>
    <mergeCell ref="AA9:AK9"/>
    <mergeCell ref="J5:J15"/>
    <mergeCell ref="AL24:AN24"/>
    <mergeCell ref="AO24:AQ24"/>
    <mergeCell ref="AR24:AT24"/>
    <mergeCell ref="AE26:AG26"/>
    <mergeCell ref="AI26:AK26"/>
    <mergeCell ref="AL26:AN26"/>
    <mergeCell ref="AO26:AQ26"/>
    <mergeCell ref="AR26:AT26"/>
    <mergeCell ref="U56:U57"/>
    <mergeCell ref="V56:V57"/>
    <mergeCell ref="W56:W57"/>
    <mergeCell ref="Y56:Y57"/>
    <mergeCell ref="D56:O57"/>
    <mergeCell ref="Q56:Q57"/>
    <mergeCell ref="R56:R57"/>
    <mergeCell ref="S56:S57"/>
    <mergeCell ref="T56:T57"/>
    <mergeCell ref="X56:X57"/>
  </mergeCells>
  <dataValidations count="1">
    <dataValidation type="list" allowBlank="1" showInputMessage="1" showErrorMessage="1" sqref="E17:F54">
      <formula1>$AA$2:$AA$6</formula1>
    </dataValidation>
  </dataValidations>
  <printOptions horizontalCentered="1" verticalCentered="1"/>
  <pageMargins left="0.73" right="0.75" top="0.66" bottom="0.4" header="0.65" footer="0.25"/>
  <pageSetup paperSize="17" orientation="landscape" r:id="rId1"/>
  <headerFooter scaleWithDoc="0" alignWithMargins="0">
    <oddHeader>&amp;LHAN-75-14.39</oddHead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6"/>
  <sheetViews>
    <sheetView view="pageBreakPreview" zoomScaleNormal="80" zoomScaleSheetLayoutView="100" workbookViewId="0">
      <pane xSplit="4" ySplit="16" topLeftCell="E17" activePane="bottomRight" state="frozen"/>
      <selection pane="topRight" activeCell="E1" sqref="E1"/>
      <selection pane="bottomLeft" activeCell="A14" sqref="A14"/>
      <selection pane="bottomRight" activeCell="E1" sqref="E1:J1048576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7" width="9.7109375" style="81" hidden="1" customWidth="1"/>
    <col min="8" max="10" width="8.5703125" style="81" hidden="1" customWidth="1"/>
    <col min="11" max="12" width="9.28515625" style="87" customWidth="1"/>
    <col min="13" max="13" width="10.7109375" style="94" customWidth="1"/>
    <col min="14" max="14" width="10" style="94" customWidth="1"/>
    <col min="15" max="17" width="10.7109375" style="94" customWidth="1"/>
    <col min="18" max="20" width="9.28515625" style="88" customWidth="1"/>
    <col min="21" max="25" width="9.28515625" style="87" customWidth="1"/>
    <col min="26" max="26" width="9.140625" style="90" customWidth="1"/>
    <col min="27" max="27" width="11.85546875" style="81" bestFit="1" customWidth="1"/>
    <col min="28" max="28" width="9.85546875" style="81" bestFit="1" customWidth="1"/>
    <col min="29" max="36" width="9.7109375" style="81" customWidth="1"/>
    <col min="37" max="16384" width="9.140625" style="81"/>
  </cols>
  <sheetData>
    <row r="1" spans="2:37" s="90" customFormat="1" ht="13.5" thickBot="1" x14ac:dyDescent="0.25">
      <c r="B1" s="97"/>
      <c r="C1" s="97"/>
      <c r="K1" s="88"/>
      <c r="L1" s="88"/>
      <c r="M1" s="105"/>
      <c r="N1" s="105"/>
      <c r="O1" s="105"/>
      <c r="P1" s="105"/>
      <c r="Q1" s="105"/>
      <c r="R1" s="88"/>
      <c r="S1" s="88">
        <v>12</v>
      </c>
      <c r="T1" s="88"/>
      <c r="U1" s="88">
        <v>6</v>
      </c>
      <c r="V1" s="88"/>
      <c r="W1" s="88"/>
      <c r="X1" s="88">
        <v>3.25</v>
      </c>
      <c r="Y1" s="88"/>
    </row>
    <row r="2" spans="2:37" s="90" customFormat="1" x14ac:dyDescent="0.2">
      <c r="B2" s="97"/>
      <c r="C2" s="97"/>
      <c r="M2" s="105"/>
      <c r="N2" s="105"/>
      <c r="O2" s="105"/>
      <c r="P2" s="105"/>
      <c r="Q2" s="105"/>
      <c r="S2" s="146"/>
      <c r="T2" s="145" t="s">
        <v>36</v>
      </c>
      <c r="U2" s="168" t="s">
        <v>149</v>
      </c>
      <c r="V2" s="168"/>
      <c r="W2" s="170"/>
      <c r="X2" s="170" t="s">
        <v>35</v>
      </c>
      <c r="Y2" s="211">
        <v>41920</v>
      </c>
      <c r="AA2" s="224" t="s">
        <v>105</v>
      </c>
      <c r="AB2" s="81"/>
      <c r="AC2" s="224" t="s">
        <v>107</v>
      </c>
      <c r="AD2" s="219" t="s">
        <v>212</v>
      </c>
    </row>
    <row r="3" spans="2:37" s="90" customFormat="1" ht="13.5" thickBot="1" x14ac:dyDescent="0.25">
      <c r="B3" s="97"/>
      <c r="C3" s="97"/>
      <c r="M3" s="105"/>
      <c r="N3" s="105"/>
      <c r="O3" s="105"/>
      <c r="P3" s="105"/>
      <c r="Q3" s="105"/>
      <c r="S3" s="45"/>
      <c r="T3" s="46" t="s">
        <v>37</v>
      </c>
      <c r="U3" s="169" t="s">
        <v>278</v>
      </c>
      <c r="V3" s="216"/>
      <c r="W3" s="217"/>
      <c r="X3" s="217" t="s">
        <v>35</v>
      </c>
      <c r="Y3" s="472">
        <v>41926</v>
      </c>
      <c r="AA3" s="225" t="s">
        <v>106</v>
      </c>
      <c r="AB3" s="81"/>
      <c r="AC3" s="225" t="s">
        <v>108</v>
      </c>
      <c r="AD3" s="106" t="s">
        <v>213</v>
      </c>
    </row>
    <row r="4" spans="2:37" s="90" customFormat="1" ht="13.5" thickBot="1" x14ac:dyDescent="0.25">
      <c r="B4" s="97"/>
      <c r="C4" s="97"/>
      <c r="K4" s="88"/>
      <c r="L4" s="88"/>
      <c r="M4" s="105"/>
      <c r="N4" s="105"/>
      <c r="O4" s="105"/>
      <c r="P4" s="105"/>
      <c r="Q4" s="105"/>
      <c r="R4" s="88"/>
      <c r="S4" s="88"/>
      <c r="T4" s="88"/>
      <c r="U4" s="88"/>
      <c r="V4" s="88"/>
      <c r="W4" s="88"/>
      <c r="X4" s="88"/>
      <c r="Y4" s="88"/>
      <c r="AA4" s="225" t="s">
        <v>111</v>
      </c>
      <c r="AB4" s="81"/>
      <c r="AC4" s="225" t="s">
        <v>113</v>
      </c>
      <c r="AD4" s="106" t="s">
        <v>214</v>
      </c>
    </row>
    <row r="5" spans="2:37" s="91" customFormat="1" ht="12.75" customHeight="1" x14ac:dyDescent="0.2">
      <c r="B5" s="639" t="s">
        <v>1</v>
      </c>
      <c r="C5" s="640"/>
      <c r="D5" s="635" t="s">
        <v>0</v>
      </c>
      <c r="E5" s="649" t="s">
        <v>103</v>
      </c>
      <c r="F5" s="649" t="s">
        <v>104</v>
      </c>
      <c r="G5" s="649" t="s">
        <v>110</v>
      </c>
      <c r="H5" s="649" t="s">
        <v>200</v>
      </c>
      <c r="I5" s="649" t="s">
        <v>50</v>
      </c>
      <c r="J5" s="649" t="s">
        <v>118</v>
      </c>
      <c r="K5" s="645" t="s">
        <v>4</v>
      </c>
      <c r="L5" s="645" t="s">
        <v>21</v>
      </c>
      <c r="M5" s="699" t="s">
        <v>17</v>
      </c>
      <c r="N5" s="699" t="s">
        <v>20</v>
      </c>
      <c r="O5" s="699" t="s">
        <v>14</v>
      </c>
      <c r="P5" s="513">
        <v>204</v>
      </c>
      <c r="Q5" s="203">
        <v>204</v>
      </c>
      <c r="R5" s="526">
        <v>206</v>
      </c>
      <c r="S5" s="527"/>
      <c r="T5" s="528"/>
      <c r="U5" s="203">
        <v>304</v>
      </c>
      <c r="V5" s="62">
        <v>451</v>
      </c>
      <c r="W5" s="2">
        <v>452</v>
      </c>
      <c r="X5" s="49">
        <v>617</v>
      </c>
      <c r="Y5" s="49">
        <v>618</v>
      </c>
      <c r="Z5" s="141"/>
      <c r="AA5" s="225" t="s">
        <v>112</v>
      </c>
      <c r="AB5" s="81"/>
      <c r="AC5" s="225" t="s">
        <v>114</v>
      </c>
      <c r="AD5" s="106" t="s">
        <v>215</v>
      </c>
    </row>
    <row r="6" spans="2:37" ht="12.75" customHeight="1" thickBot="1" x14ac:dyDescent="0.25">
      <c r="B6" s="641"/>
      <c r="C6" s="642"/>
      <c r="D6" s="636"/>
      <c r="E6" s="694"/>
      <c r="F6" s="696"/>
      <c r="G6" s="696"/>
      <c r="H6" s="692"/>
      <c r="I6" s="692"/>
      <c r="J6" s="692"/>
      <c r="K6" s="646"/>
      <c r="L6" s="646"/>
      <c r="M6" s="700"/>
      <c r="N6" s="700"/>
      <c r="O6" s="700"/>
      <c r="P6" s="657" t="s">
        <v>194</v>
      </c>
      <c r="Q6" s="658" t="s">
        <v>7</v>
      </c>
      <c r="R6" s="658" t="s">
        <v>18</v>
      </c>
      <c r="S6" s="529" t="s">
        <v>19</v>
      </c>
      <c r="T6" s="537" t="s">
        <v>23</v>
      </c>
      <c r="U6" s="658" t="s">
        <v>9</v>
      </c>
      <c r="V6" s="761" t="s">
        <v>138</v>
      </c>
      <c r="W6" s="543" t="s">
        <v>29</v>
      </c>
      <c r="X6" s="657" t="s">
        <v>279</v>
      </c>
      <c r="Y6" s="657" t="s">
        <v>164</v>
      </c>
      <c r="Z6" s="166"/>
      <c r="AA6" s="226" t="s">
        <v>101</v>
      </c>
      <c r="AC6" s="225" t="s">
        <v>109</v>
      </c>
      <c r="AD6" s="220" t="s">
        <v>216</v>
      </c>
    </row>
    <row r="7" spans="2:37" ht="12.75" customHeight="1" thickBot="1" x14ac:dyDescent="0.25">
      <c r="B7" s="641"/>
      <c r="C7" s="642"/>
      <c r="D7" s="636"/>
      <c r="E7" s="694"/>
      <c r="F7" s="696"/>
      <c r="G7" s="696"/>
      <c r="H7" s="692"/>
      <c r="I7" s="692"/>
      <c r="J7" s="692"/>
      <c r="K7" s="646"/>
      <c r="L7" s="646"/>
      <c r="M7" s="700"/>
      <c r="N7" s="700"/>
      <c r="O7" s="700"/>
      <c r="P7" s="658"/>
      <c r="Q7" s="658"/>
      <c r="R7" s="658"/>
      <c r="S7" s="702"/>
      <c r="T7" s="702"/>
      <c r="U7" s="658"/>
      <c r="V7" s="762"/>
      <c r="W7" s="544"/>
      <c r="X7" s="658"/>
      <c r="Y7" s="658"/>
      <c r="Z7" s="142"/>
      <c r="AC7" s="226" t="s">
        <v>116</v>
      </c>
      <c r="AD7" s="220" t="s">
        <v>217</v>
      </c>
    </row>
    <row r="8" spans="2:37" ht="12.75" customHeight="1" thickBot="1" x14ac:dyDescent="0.25">
      <c r="B8" s="641"/>
      <c r="C8" s="642"/>
      <c r="D8" s="636"/>
      <c r="E8" s="694"/>
      <c r="F8" s="696"/>
      <c r="G8" s="696"/>
      <c r="H8" s="692"/>
      <c r="I8" s="692"/>
      <c r="J8" s="692"/>
      <c r="K8" s="646"/>
      <c r="L8" s="646"/>
      <c r="M8" s="700"/>
      <c r="N8" s="700"/>
      <c r="O8" s="700"/>
      <c r="P8" s="658"/>
      <c r="Q8" s="658"/>
      <c r="R8" s="658"/>
      <c r="S8" s="702"/>
      <c r="T8" s="702"/>
      <c r="U8" s="658"/>
      <c r="V8" s="762"/>
      <c r="W8" s="544"/>
      <c r="X8" s="658"/>
      <c r="Y8" s="658"/>
      <c r="Z8" s="142"/>
    </row>
    <row r="9" spans="2:37" ht="12.75" customHeight="1" thickBot="1" x14ac:dyDescent="0.25">
      <c r="B9" s="641"/>
      <c r="C9" s="642"/>
      <c r="D9" s="636"/>
      <c r="E9" s="694"/>
      <c r="F9" s="696"/>
      <c r="G9" s="696"/>
      <c r="H9" s="692"/>
      <c r="I9" s="692"/>
      <c r="J9" s="692"/>
      <c r="K9" s="646"/>
      <c r="L9" s="646"/>
      <c r="M9" s="700"/>
      <c r="N9" s="700"/>
      <c r="O9" s="700"/>
      <c r="P9" s="658"/>
      <c r="Q9" s="658"/>
      <c r="R9" s="658"/>
      <c r="S9" s="702"/>
      <c r="T9" s="702"/>
      <c r="U9" s="658"/>
      <c r="V9" s="762"/>
      <c r="W9" s="544"/>
      <c r="X9" s="658"/>
      <c r="Y9" s="658"/>
      <c r="Z9" s="142"/>
      <c r="AA9" s="659" t="s">
        <v>211</v>
      </c>
      <c r="AB9" s="660"/>
      <c r="AC9" s="660"/>
      <c r="AD9" s="660"/>
      <c r="AE9" s="660"/>
      <c r="AF9" s="660"/>
      <c r="AG9" s="660"/>
      <c r="AH9" s="660"/>
      <c r="AI9" s="660"/>
      <c r="AJ9" s="660"/>
      <c r="AK9" s="661"/>
    </row>
    <row r="10" spans="2:37" ht="12.75" customHeight="1" x14ac:dyDescent="0.2">
      <c r="B10" s="641"/>
      <c r="C10" s="642"/>
      <c r="D10" s="636"/>
      <c r="E10" s="694"/>
      <c r="F10" s="696"/>
      <c r="G10" s="696"/>
      <c r="H10" s="692"/>
      <c r="I10" s="692"/>
      <c r="J10" s="692"/>
      <c r="K10" s="646"/>
      <c r="L10" s="646"/>
      <c r="M10" s="700"/>
      <c r="N10" s="700"/>
      <c r="O10" s="700"/>
      <c r="P10" s="658"/>
      <c r="Q10" s="658"/>
      <c r="R10" s="658"/>
      <c r="S10" s="702"/>
      <c r="T10" s="702"/>
      <c r="U10" s="658"/>
      <c r="V10" s="762"/>
      <c r="W10" s="544"/>
      <c r="X10" s="658"/>
      <c r="Y10" s="658"/>
      <c r="Z10" s="142"/>
      <c r="AA10" s="662" t="s">
        <v>218</v>
      </c>
      <c r="AB10" s="664" t="s">
        <v>224</v>
      </c>
      <c r="AC10" s="686" t="s">
        <v>199</v>
      </c>
      <c r="AD10" s="668"/>
      <c r="AE10" s="687"/>
      <c r="AF10" s="667" t="s">
        <v>49</v>
      </c>
      <c r="AG10" s="668"/>
      <c r="AH10" s="687"/>
      <c r="AI10" s="667" t="s">
        <v>117</v>
      </c>
      <c r="AJ10" s="668"/>
      <c r="AK10" s="669"/>
    </row>
    <row r="11" spans="2:37" ht="12.75" customHeight="1" thickBot="1" x14ac:dyDescent="0.25">
      <c r="B11" s="641"/>
      <c r="C11" s="642"/>
      <c r="D11" s="636"/>
      <c r="E11" s="694"/>
      <c r="F11" s="696"/>
      <c r="G11" s="696"/>
      <c r="H11" s="692"/>
      <c r="I11" s="692"/>
      <c r="J11" s="692"/>
      <c r="K11" s="646"/>
      <c r="L11" s="646"/>
      <c r="M11" s="700"/>
      <c r="N11" s="700"/>
      <c r="O11" s="700"/>
      <c r="P11" s="658"/>
      <c r="Q11" s="658"/>
      <c r="R11" s="658"/>
      <c r="S11" s="702"/>
      <c r="T11" s="702"/>
      <c r="U11" s="658"/>
      <c r="V11" s="762"/>
      <c r="W11" s="544"/>
      <c r="X11" s="658"/>
      <c r="Y11" s="658"/>
      <c r="Z11" s="142"/>
      <c r="AA11" s="663"/>
      <c r="AB11" s="665"/>
      <c r="AC11" s="670" t="s">
        <v>219</v>
      </c>
      <c r="AD11" s="671"/>
      <c r="AE11" s="672"/>
      <c r="AF11" s="673" t="s">
        <v>220</v>
      </c>
      <c r="AG11" s="671"/>
      <c r="AH11" s="672"/>
      <c r="AI11" s="673" t="s">
        <v>227</v>
      </c>
      <c r="AJ11" s="671"/>
      <c r="AK11" s="674"/>
    </row>
    <row r="12" spans="2:37" ht="12.75" customHeight="1" x14ac:dyDescent="0.2">
      <c r="B12" s="641"/>
      <c r="C12" s="642"/>
      <c r="D12" s="636"/>
      <c r="E12" s="694"/>
      <c r="F12" s="696"/>
      <c r="G12" s="696"/>
      <c r="H12" s="692"/>
      <c r="I12" s="692"/>
      <c r="J12" s="692"/>
      <c r="K12" s="646"/>
      <c r="L12" s="646"/>
      <c r="M12" s="700"/>
      <c r="N12" s="700"/>
      <c r="O12" s="700"/>
      <c r="P12" s="658"/>
      <c r="Q12" s="658"/>
      <c r="R12" s="658"/>
      <c r="S12" s="702"/>
      <c r="T12" s="702"/>
      <c r="U12" s="658"/>
      <c r="V12" s="762"/>
      <c r="W12" s="544"/>
      <c r="X12" s="658"/>
      <c r="Y12" s="658"/>
      <c r="Z12" s="142"/>
      <c r="AA12" s="222" t="s">
        <v>105</v>
      </c>
      <c r="AB12" s="104" t="s">
        <v>221</v>
      </c>
      <c r="AC12" s="653">
        <v>1.5</v>
      </c>
      <c r="AD12" s="601"/>
      <c r="AE12" s="602"/>
      <c r="AF12" s="600">
        <v>0.75</v>
      </c>
      <c r="AG12" s="601"/>
      <c r="AH12" s="602"/>
      <c r="AI12" s="600" t="s">
        <v>101</v>
      </c>
      <c r="AJ12" s="601"/>
      <c r="AK12" s="681"/>
    </row>
    <row r="13" spans="2:37" ht="12.75" customHeight="1" x14ac:dyDescent="0.2">
      <c r="B13" s="641"/>
      <c r="C13" s="642"/>
      <c r="D13" s="636"/>
      <c r="E13" s="694"/>
      <c r="F13" s="696"/>
      <c r="G13" s="696"/>
      <c r="H13" s="692"/>
      <c r="I13" s="692"/>
      <c r="J13" s="692"/>
      <c r="K13" s="646"/>
      <c r="L13" s="646"/>
      <c r="M13" s="700"/>
      <c r="N13" s="700"/>
      <c r="O13" s="700"/>
      <c r="P13" s="658"/>
      <c r="Q13" s="658"/>
      <c r="R13" s="658"/>
      <c r="S13" s="702"/>
      <c r="T13" s="702"/>
      <c r="U13" s="658"/>
      <c r="V13" s="762"/>
      <c r="W13" s="544"/>
      <c r="X13" s="658"/>
      <c r="Y13" s="658"/>
      <c r="Z13" s="142"/>
      <c r="AA13" s="221" t="s">
        <v>106</v>
      </c>
      <c r="AB13" s="103" t="s">
        <v>222</v>
      </c>
      <c r="AC13" s="675">
        <v>2</v>
      </c>
      <c r="AD13" s="676"/>
      <c r="AE13" s="677"/>
      <c r="AF13" s="678">
        <v>0.75</v>
      </c>
      <c r="AG13" s="679"/>
      <c r="AH13" s="680"/>
      <c r="AI13" s="678" t="s">
        <v>101</v>
      </c>
      <c r="AJ13" s="679"/>
      <c r="AK13" s="711"/>
    </row>
    <row r="14" spans="2:37" ht="12.75" customHeight="1" x14ac:dyDescent="0.2">
      <c r="B14" s="641"/>
      <c r="C14" s="642"/>
      <c r="D14" s="636"/>
      <c r="E14" s="694"/>
      <c r="F14" s="696"/>
      <c r="G14" s="696"/>
      <c r="H14" s="692"/>
      <c r="I14" s="692"/>
      <c r="J14" s="692"/>
      <c r="K14" s="646"/>
      <c r="L14" s="646"/>
      <c r="M14" s="700"/>
      <c r="N14" s="700"/>
      <c r="O14" s="700"/>
      <c r="P14" s="658"/>
      <c r="Q14" s="658"/>
      <c r="R14" s="658"/>
      <c r="S14" s="702"/>
      <c r="T14" s="702"/>
      <c r="U14" s="658"/>
      <c r="V14" s="762"/>
      <c r="W14" s="544"/>
      <c r="X14" s="658"/>
      <c r="Y14" s="658"/>
      <c r="Z14" s="142"/>
      <c r="AA14" s="221" t="s">
        <v>111</v>
      </c>
      <c r="AB14" s="103" t="s">
        <v>223</v>
      </c>
      <c r="AC14" s="675" t="s">
        <v>101</v>
      </c>
      <c r="AD14" s="676"/>
      <c r="AE14" s="677"/>
      <c r="AF14" s="678" t="s">
        <v>101</v>
      </c>
      <c r="AG14" s="679"/>
      <c r="AH14" s="680"/>
      <c r="AI14" s="678">
        <v>-1.42</v>
      </c>
      <c r="AJ14" s="679"/>
      <c r="AK14" s="711"/>
    </row>
    <row r="15" spans="2:37" ht="12.75" customHeight="1" x14ac:dyDescent="0.2">
      <c r="B15" s="641"/>
      <c r="C15" s="642"/>
      <c r="D15" s="636"/>
      <c r="E15" s="694"/>
      <c r="F15" s="696"/>
      <c r="G15" s="696"/>
      <c r="H15" s="692"/>
      <c r="I15" s="692"/>
      <c r="J15" s="692"/>
      <c r="K15" s="647"/>
      <c r="L15" s="647"/>
      <c r="M15" s="701"/>
      <c r="N15" s="701"/>
      <c r="O15" s="701"/>
      <c r="P15" s="658"/>
      <c r="Q15" s="658"/>
      <c r="R15" s="658"/>
      <c r="S15" s="703"/>
      <c r="T15" s="703"/>
      <c r="U15" s="658"/>
      <c r="V15" s="763"/>
      <c r="W15" s="545"/>
      <c r="X15" s="658"/>
      <c r="Y15" s="658"/>
      <c r="Z15" s="142"/>
      <c r="AA15" s="221" t="s">
        <v>225</v>
      </c>
      <c r="AB15" s="103" t="s">
        <v>221</v>
      </c>
      <c r="AC15" s="653">
        <v>3.83</v>
      </c>
      <c r="AD15" s="601"/>
      <c r="AE15" s="602"/>
      <c r="AF15" s="600">
        <v>1.42</v>
      </c>
      <c r="AG15" s="601"/>
      <c r="AH15" s="602"/>
      <c r="AI15" s="600" t="s">
        <v>101</v>
      </c>
      <c r="AJ15" s="601"/>
      <c r="AK15" s="681"/>
    </row>
    <row r="16" spans="2:37" ht="12.75" customHeight="1" thickBot="1" x14ac:dyDescent="0.25">
      <c r="B16" s="98" t="s">
        <v>2</v>
      </c>
      <c r="C16" s="99" t="s">
        <v>3</v>
      </c>
      <c r="D16" s="693"/>
      <c r="E16" s="695"/>
      <c r="F16" s="697"/>
      <c r="G16" s="697"/>
      <c r="H16" s="5" t="s">
        <v>5</v>
      </c>
      <c r="I16" s="5" t="s">
        <v>12</v>
      </c>
      <c r="J16" s="5" t="s">
        <v>12</v>
      </c>
      <c r="K16" s="5" t="s">
        <v>5</v>
      </c>
      <c r="L16" s="5" t="s">
        <v>5</v>
      </c>
      <c r="M16" s="73" t="s">
        <v>6</v>
      </c>
      <c r="N16" s="73" t="s">
        <v>6</v>
      </c>
      <c r="O16" s="73" t="s">
        <v>6</v>
      </c>
      <c r="P16" s="84" t="s">
        <v>10</v>
      </c>
      <c r="Q16" s="5" t="s">
        <v>11</v>
      </c>
      <c r="R16" s="5" t="s">
        <v>10</v>
      </c>
      <c r="S16" s="5" t="s">
        <v>10</v>
      </c>
      <c r="T16" s="5" t="s">
        <v>22</v>
      </c>
      <c r="U16" s="5" t="s">
        <v>12</v>
      </c>
      <c r="V16" s="136" t="s">
        <v>5</v>
      </c>
      <c r="W16" s="55" t="s">
        <v>10</v>
      </c>
      <c r="X16" s="471" t="s">
        <v>12</v>
      </c>
      <c r="Y16" s="5" t="s">
        <v>5</v>
      </c>
      <c r="Z16" s="143"/>
      <c r="AA16" s="223" t="s">
        <v>226</v>
      </c>
      <c r="AB16" s="158" t="s">
        <v>221</v>
      </c>
      <c r="AC16" s="666">
        <v>3.17</v>
      </c>
      <c r="AD16" s="655"/>
      <c r="AE16" s="656"/>
      <c r="AF16" s="654">
        <v>1.0900000000000001</v>
      </c>
      <c r="AG16" s="655"/>
      <c r="AH16" s="656"/>
      <c r="AI16" s="654" t="s">
        <v>101</v>
      </c>
      <c r="AJ16" s="655"/>
      <c r="AK16" s="682"/>
    </row>
    <row r="17" spans="1:29" ht="12.75" customHeight="1" x14ac:dyDescent="0.2">
      <c r="B17" s="643" t="s">
        <v>207</v>
      </c>
      <c r="C17" s="644"/>
      <c r="D17" s="100"/>
      <c r="E17" s="100"/>
      <c r="F17" s="100"/>
      <c r="G17" s="100"/>
      <c r="H17" s="100"/>
      <c r="I17" s="100"/>
      <c r="J17" s="100"/>
      <c r="K17" s="101"/>
      <c r="L17" s="101"/>
      <c r="M17" s="118"/>
      <c r="N17" s="118"/>
      <c r="O17" s="118"/>
      <c r="P17" s="118"/>
      <c r="Q17" s="118"/>
      <c r="R17" s="101"/>
      <c r="S17" s="101"/>
      <c r="T17" s="102"/>
      <c r="U17" s="101"/>
      <c r="V17" s="137"/>
      <c r="W17" s="109"/>
      <c r="X17" s="101"/>
      <c r="Y17" s="85"/>
      <c r="Z17" s="120"/>
    </row>
    <row r="18" spans="1:29" ht="12.75" customHeight="1" x14ac:dyDescent="0.2">
      <c r="B18" s="338">
        <v>76998.59</v>
      </c>
      <c r="C18" s="339">
        <v>77149.119999999995</v>
      </c>
      <c r="D18" s="340" t="s">
        <v>30</v>
      </c>
      <c r="E18" s="340" t="s">
        <v>112</v>
      </c>
      <c r="F18" s="340" t="s">
        <v>105</v>
      </c>
      <c r="G18" s="103" t="str">
        <f t="shared" ref="G18:G23" si="0">IF(AND($E18=$AA$2,$F18=$AA$2),$AC$2,IF(OR(AND($E18=$AA$2,$F18=$AA$3),AND($E18=$AA$3,$F18=$AA$2)),$AC$3,IF(OR(AND($E18=$AA$2,$F18=$AA$4),AND($E18=$AA$4,$F18=$AA$2)),$AC$4,IF(OR(AND($E18=$AA$3,$F18=$AA$4),AND($E18=$AA$4,$F18=$AA$3)),$AC$5,IF(AND($E18=$AA$3,$F18=$AA$3),$AC$6,IF(AND($E18=$AA$4,$F18=$AA$4),$AC$7,"-"))))))</f>
        <v>-</v>
      </c>
      <c r="H18" s="352">
        <v>5.33</v>
      </c>
      <c r="I18" s="341">
        <v>12.1</v>
      </c>
      <c r="J18" s="361">
        <v>0</v>
      </c>
      <c r="K18" s="83">
        <f t="shared" ref="K18:K23" si="1">C18-B18</f>
        <v>150.52999999999884</v>
      </c>
      <c r="L18" s="345">
        <v>27</v>
      </c>
      <c r="M18" s="124">
        <f>IF(L18="-",0,ROUNDUP($K18*L18,0))</f>
        <v>4065</v>
      </c>
      <c r="N18" s="347">
        <v>0</v>
      </c>
      <c r="O18" s="123">
        <f t="shared" ref="O18:O63" si="2">SUM(M18:N18)</f>
        <v>4065</v>
      </c>
      <c r="P18" s="493">
        <f>IF(OR($A18="APP SLAB",O18=0),0,($O18+$H18*$K18)/9)</f>
        <v>540.81387777777718</v>
      </c>
      <c r="Q18" s="210">
        <f>IF(AND(P18=0,S18=0),0,IF(S18=0,P18/2000,S18/2000))</f>
        <v>0.27040693888888861</v>
      </c>
      <c r="R18" s="85">
        <f t="shared" ref="R18:R23" si="3">IF(A18="APP SLAB",0,S18)</f>
        <v>0</v>
      </c>
      <c r="S18" s="135">
        <f>IF(OR(A18="APP SLAB",P18&lt;&gt;0),0,(O18+H18*K18)/9)</f>
        <v>0</v>
      </c>
      <c r="T18" s="85">
        <f t="shared" ref="T18:T23" si="4">IF(A18="APP SLAB",0,$S$1*S18*110*0.06*0.75/2000)</f>
        <v>0</v>
      </c>
      <c r="U18" s="83">
        <f>IF(O18=0,0,(O18*$U$1/12)/27+I18)</f>
        <v>87.377777777777766</v>
      </c>
      <c r="V18" s="384">
        <v>0</v>
      </c>
      <c r="W18" s="111">
        <f>IF($A18="APP SLAB",0,(O18+K18*J18)/9)</f>
        <v>451.66666666666669</v>
      </c>
      <c r="X18" s="467">
        <f>IF(AND($E18=$F18="Uncurbed"),(2*$K18*2*$X$1/12)/27,IF(OR($E18="Uncurbed",$F18="Uncurbed"),($K18*2*$X$1/12)/27,IF(OR(AND($E18="Med. Barr.",$F18="Curbed"),AND($E18="Curbed",$F18="Med. Barr."),$E18=$F18,$E18="Unique",$F18="Unique",$E18="-",$F18="-"),0,"?")))</f>
        <v>3.0198919753086186</v>
      </c>
      <c r="Y18" s="85">
        <f>IF($A18="APP SLAB",0,($K18*2))</f>
        <v>301.05999999999767</v>
      </c>
      <c r="Z18" s="10"/>
    </row>
    <row r="19" spans="1:29" ht="12.75" customHeight="1" x14ac:dyDescent="0.2">
      <c r="B19" s="338">
        <v>77149.119999999995</v>
      </c>
      <c r="C19" s="339">
        <v>77700</v>
      </c>
      <c r="D19" s="340" t="s">
        <v>30</v>
      </c>
      <c r="E19" s="340" t="s">
        <v>105</v>
      </c>
      <c r="F19" s="340" t="s">
        <v>105</v>
      </c>
      <c r="G19" s="103" t="str">
        <f t="shared" si="0"/>
        <v>E/S - E/S</v>
      </c>
      <c r="H19" s="77">
        <f>IF(AND($E19=$AA$2,$F19=$AA$2),2*$AC$12,IF(OR(AND($E19=$AA$2, $F19=$AA$3),AND($E19=$AA$3,$F19=$AA$2)),$AC$12+$AC$13,IF(OR(AND($E19=$AA$2,$F19=$AA$4),AND($E19=$AA$4,$F19=$AA$2)),$AC$12,IF(OR(AND($E19=$AA$3,$F19=$AA$4),AND($E19=$AA$4,$F19=$AA$3)),$AC$13,IF(AND($E19=$AA$3,$F19=$AA$3),2*$AC$13,0)))))</f>
        <v>3</v>
      </c>
      <c r="I19" s="27">
        <f>IF(AND($E19=$AA$2,$F19=$AA$2),2*$AF$12*$K19/27,IF(OR(AND($E19=$AA$2,$F19=$AA$3),AND($E19=$AA$3,$F19=$AA$2)),($AF$12+$AF$13)*$K19/27,IF(OR(AND($E19=$AA$2,$F19=$AA$4),AND($E19=$AA$4,$F19=$AA$2)),$AF$12*$K19/27,IF(OR(AND($E19=$AA$3,$F19=$AA$4),AND($E19=$AA$4,$F19=$AA$3)),$AF$13*$K19/27,IF(AND($E19=$AA$3,$F19=$AA$3),2*$AF$13*$K19/27,0)))))</f>
        <v>30.604444444444702</v>
      </c>
      <c r="J19" s="78">
        <f>IF(OR(AND($E19=$AA$2,$F19=$AA$4),AND($E19=$AA$4,$F19=$AA$2)),$AI$14,IF(OR(AND($E19=$AA$3,$F19=$AA$4),AND($E19=$AA$4,$F19=$AA$3)),$AI$14,IF(AND($E19=$AA$4,$F19=$AA$4),2*$AI$14,0)))</f>
        <v>0</v>
      </c>
      <c r="K19" s="83">
        <f t="shared" si="1"/>
        <v>550.88000000000466</v>
      </c>
      <c r="L19" s="345">
        <v>26</v>
      </c>
      <c r="M19" s="124">
        <f t="shared" ref="M19:M23" si="5">IF(L19="-",0,ROUNDUP($K19*L19,0))</f>
        <v>14323</v>
      </c>
      <c r="N19" s="347">
        <v>0</v>
      </c>
      <c r="O19" s="123">
        <f t="shared" si="2"/>
        <v>14323</v>
      </c>
      <c r="P19" s="493">
        <f>IF(OR($A19="APP SLAB",O19=0),0,($O19+$H19*$K19)/9)</f>
        <v>1775.0711111111127</v>
      </c>
      <c r="Q19" s="210">
        <f t="shared" ref="Q19:Q23" si="6">IF(AND(P19=0,S19=0),0,IF(S19=0,P19/2000,S19/2000))</f>
        <v>0.88753555555555641</v>
      </c>
      <c r="R19" s="85">
        <f t="shared" si="3"/>
        <v>0</v>
      </c>
      <c r="S19" s="135">
        <f t="shared" ref="S19:S23" si="7">IF(OR(A19="APP SLAB",P19&lt;&gt;0),0,(O19+H19*K19)/9)</f>
        <v>0</v>
      </c>
      <c r="T19" s="85">
        <f t="shared" si="4"/>
        <v>0</v>
      </c>
      <c r="U19" s="83">
        <f t="shared" ref="U19:U23" si="8">IF(O19=0,0,(O19*$U$1/12)/27+I19)</f>
        <v>295.84518518518547</v>
      </c>
      <c r="V19" s="384">
        <v>0</v>
      </c>
      <c r="W19" s="111">
        <f t="shared" ref="W19:W23" si="9">IF($A19="APP SLAB",0,(O19+K19*J19)/9)</f>
        <v>1591.4444444444443</v>
      </c>
      <c r="X19" s="467">
        <f t="shared" ref="X19:X23" si="10">IF(AND($E19=$F19="Uncurbed"),(2*$K19*2*$X$1/12)/27,IF(OR($E19="Uncurbed",$F19="Uncurbed"),($K19*2*$X$1/12)/27,IF(OR(AND($E19="Med. Barr.",$F19="Curbed"),AND($E19="Curbed",$F19="Med. Barr."),$E19=$F19,$E19="Unique",$F19="Unique",$E19="-",$F19="-"),0,"?")))</f>
        <v>11.0516049382717</v>
      </c>
      <c r="Y19" s="85">
        <f>IF($A19="APP SLAB",0,($K19*2))</f>
        <v>1101.7600000000093</v>
      </c>
      <c r="Z19" s="10"/>
    </row>
    <row r="20" spans="1:29" ht="12.75" customHeight="1" x14ac:dyDescent="0.2">
      <c r="B20" s="338">
        <v>77700</v>
      </c>
      <c r="C20" s="339">
        <v>77882.509999999995</v>
      </c>
      <c r="D20" s="340" t="s">
        <v>30</v>
      </c>
      <c r="E20" s="340" t="s">
        <v>105</v>
      </c>
      <c r="F20" s="340" t="s">
        <v>105</v>
      </c>
      <c r="G20" s="103" t="str">
        <f t="shared" si="0"/>
        <v>E/S - E/S</v>
      </c>
      <c r="H20" s="77">
        <f>IF(AND($E20=$AA$2,$F20=$AA$2),2*$AC$12,IF(OR(AND($E20=$AA$2, $F20=$AA$3),AND($E20=$AA$3,$F20=$AA$2)),$AC$12+$AC$13,IF(OR(AND($E20=$AA$2,$F20=$AA$4),AND($E20=$AA$4,$F20=$AA$2)),$AC$12,IF(OR(AND($E20=$AA$3,$F20=$AA$4),AND($E20=$AA$4,$F20=$AA$3)),$AC$13,IF(AND($E20=$AA$3,$F20=$AA$3),2*$AC$13,0)))))</f>
        <v>3</v>
      </c>
      <c r="I20" s="27">
        <f>IF(AND($E20=$AA$2,$F20=$AA$2),2*$AF$12*$K20/27,IF(OR(AND($E20=$AA$2,$F20=$AA$3),AND($E20=$AA$3,$F20=$AA$2)),($AF$12+$AF$13)*$K20/27,IF(OR(AND($E20=$AA$2,$F20=$AA$4),AND($E20=$AA$4,$F20=$AA$2)),$AF$12*$K20/27,IF(OR(AND($E20=$AA$3,$F20=$AA$4),AND($E20=$AA$4,$F20=$AA$3)),$AF$13*$K20/27,IF(AND($E20=$AA$3,$F20=$AA$3),2*$AF$13*$K20/27,0)))))</f>
        <v>10.139444444444154</v>
      </c>
      <c r="J20" s="78">
        <f>IF(OR(AND($E20=$AA$2,$F20=$AA$4),AND($E20=$AA$4,$F20=$AA$2)),$AI$14,IF(OR(AND($E20=$AA$3,$F20=$AA$4),AND($E20=$AA$4,$F20=$AA$3)),$AI$14,IF(AND($E20=$AA$4,$F20=$AA$4),2*$AI$14,0)))</f>
        <v>0</v>
      </c>
      <c r="K20" s="492">
        <f t="shared" si="1"/>
        <v>182.50999999999476</v>
      </c>
      <c r="L20" s="345">
        <v>26</v>
      </c>
      <c r="M20" s="124">
        <f t="shared" ref="M20" si="11">IF(L20="-",0,ROUNDUP($K20*L20,0))</f>
        <v>4746</v>
      </c>
      <c r="N20" s="347">
        <v>0</v>
      </c>
      <c r="O20" s="123">
        <f t="shared" ref="O20" si="12">SUM(M20:N20)</f>
        <v>4746</v>
      </c>
      <c r="P20" s="347">
        <v>0</v>
      </c>
      <c r="Q20" s="210">
        <f t="shared" si="6"/>
        <v>0.29408499999999915</v>
      </c>
      <c r="R20" s="493">
        <f t="shared" si="3"/>
        <v>588.16999999999825</v>
      </c>
      <c r="S20" s="135">
        <f t="shared" si="7"/>
        <v>588.16999999999825</v>
      </c>
      <c r="T20" s="493">
        <f t="shared" si="4"/>
        <v>17.468648999999946</v>
      </c>
      <c r="U20" s="492">
        <f t="shared" ref="U20" si="13">IF(O20=0,0,(O20*$U$1/12)/27+I20)</f>
        <v>98.028333333333038</v>
      </c>
      <c r="V20" s="384">
        <v>0</v>
      </c>
      <c r="W20" s="111">
        <f t="shared" ref="W20" si="14">IF($A20="APP SLAB",0,(O20+K20*J20)/9)</f>
        <v>527.33333333333337</v>
      </c>
      <c r="X20" s="511">
        <f t="shared" si="10"/>
        <v>3.6614660493826108</v>
      </c>
      <c r="Y20" s="493">
        <f>IF($A20="APP SLAB",0,($K20*2))</f>
        <v>365.01999999998952</v>
      </c>
      <c r="Z20" s="10"/>
    </row>
    <row r="21" spans="1:29" ht="12.75" customHeight="1" x14ac:dyDescent="0.2">
      <c r="A21" s="106"/>
      <c r="B21" s="338">
        <v>77882.509999999995</v>
      </c>
      <c r="C21" s="339">
        <v>79287.81</v>
      </c>
      <c r="D21" s="340" t="s">
        <v>15</v>
      </c>
      <c r="E21" s="340" t="s">
        <v>105</v>
      </c>
      <c r="F21" s="340" t="s">
        <v>112</v>
      </c>
      <c r="G21" s="103" t="str">
        <f t="shared" si="0"/>
        <v>-</v>
      </c>
      <c r="H21" s="352">
        <v>1.5</v>
      </c>
      <c r="I21" s="341">
        <v>39.04</v>
      </c>
      <c r="J21" s="361">
        <v>0</v>
      </c>
      <c r="K21" s="83">
        <f t="shared" si="1"/>
        <v>1405.3000000000029</v>
      </c>
      <c r="L21" s="345">
        <v>20</v>
      </c>
      <c r="M21" s="124">
        <f t="shared" si="5"/>
        <v>28107</v>
      </c>
      <c r="N21" s="347">
        <v>0</v>
      </c>
      <c r="O21" s="123">
        <f t="shared" si="2"/>
        <v>28107</v>
      </c>
      <c r="P21" s="347">
        <v>0</v>
      </c>
      <c r="Q21" s="210">
        <f t="shared" si="6"/>
        <v>1.6786083333333335</v>
      </c>
      <c r="R21" s="85">
        <f t="shared" si="3"/>
        <v>3357.2166666666672</v>
      </c>
      <c r="S21" s="135">
        <f t="shared" si="7"/>
        <v>3357.2166666666672</v>
      </c>
      <c r="T21" s="85">
        <f t="shared" si="4"/>
        <v>99.709335000000024</v>
      </c>
      <c r="U21" s="83">
        <f t="shared" si="8"/>
        <v>559.54</v>
      </c>
      <c r="V21" s="384">
        <v>0</v>
      </c>
      <c r="W21" s="111">
        <f t="shared" si="9"/>
        <v>3123</v>
      </c>
      <c r="X21" s="467">
        <f t="shared" si="10"/>
        <v>28.192746913580304</v>
      </c>
      <c r="Y21" s="85">
        <f>IF($A21="APP SLAB",0,($K21))</f>
        <v>1405.3000000000029</v>
      </c>
      <c r="Z21" s="10"/>
    </row>
    <row r="22" spans="1:29" ht="12.75" customHeight="1" x14ac:dyDescent="0.2">
      <c r="A22" s="106"/>
      <c r="B22" s="338">
        <v>77882.509999999995</v>
      </c>
      <c r="C22" s="339">
        <v>79287.81</v>
      </c>
      <c r="D22" s="340" t="s">
        <v>16</v>
      </c>
      <c r="E22" s="340" t="s">
        <v>112</v>
      </c>
      <c r="F22" s="340" t="s">
        <v>105</v>
      </c>
      <c r="G22" s="103" t="str">
        <f t="shared" si="0"/>
        <v>-</v>
      </c>
      <c r="H22" s="352">
        <v>1.5</v>
      </c>
      <c r="I22" s="341">
        <v>39.04</v>
      </c>
      <c r="J22" s="361">
        <v>0</v>
      </c>
      <c r="K22" s="83">
        <f t="shared" si="1"/>
        <v>1405.3000000000029</v>
      </c>
      <c r="L22" s="345" t="s">
        <v>101</v>
      </c>
      <c r="M22" s="124">
        <f t="shared" si="5"/>
        <v>0</v>
      </c>
      <c r="N22" s="347">
        <v>29014</v>
      </c>
      <c r="O22" s="123">
        <f t="shared" si="2"/>
        <v>29014</v>
      </c>
      <c r="P22" s="347">
        <v>0</v>
      </c>
      <c r="Q22" s="210">
        <f t="shared" si="6"/>
        <v>1.7289972222222225</v>
      </c>
      <c r="R22" s="85">
        <f t="shared" si="3"/>
        <v>3457.994444444445</v>
      </c>
      <c r="S22" s="135">
        <f t="shared" si="7"/>
        <v>3457.994444444445</v>
      </c>
      <c r="T22" s="85">
        <f t="shared" si="4"/>
        <v>102.70243500000002</v>
      </c>
      <c r="U22" s="83">
        <f t="shared" si="8"/>
        <v>576.33629629629627</v>
      </c>
      <c r="V22" s="384">
        <v>0</v>
      </c>
      <c r="W22" s="111">
        <f t="shared" si="9"/>
        <v>3223.7777777777778</v>
      </c>
      <c r="X22" s="467">
        <f t="shared" si="10"/>
        <v>28.192746913580304</v>
      </c>
      <c r="Y22" s="85">
        <f>IF($A22="APP SLAB",0,($K22))</f>
        <v>1405.3000000000029</v>
      </c>
      <c r="Z22" s="10"/>
    </row>
    <row r="23" spans="1:29" ht="12.75" customHeight="1" x14ac:dyDescent="0.2">
      <c r="B23" s="338">
        <v>79287.81</v>
      </c>
      <c r="C23" s="339">
        <v>79829.320000000007</v>
      </c>
      <c r="D23" s="340" t="s">
        <v>30</v>
      </c>
      <c r="E23" s="340" t="s">
        <v>105</v>
      </c>
      <c r="F23" s="340" t="s">
        <v>105</v>
      </c>
      <c r="G23" s="103" t="str">
        <f t="shared" si="0"/>
        <v>E/S - E/S</v>
      </c>
      <c r="H23" s="77">
        <f>IF(AND($E23=$AA$2,$F23=$AA$2),2*$AC$12,IF(OR(AND($E23=$AA$2, $F23=$AA$3),AND($E23=$AA$3,$F23=$AA$2)),$AC$12+$AC$13,IF(OR(AND($E23=$AA$2,$F23=$AA$4),AND($E23=$AA$4,$F23=$AA$2)),$AC$12,IF(OR(AND($E23=$AA$3,$F23=$AA$4),AND($E23=$AA$4,$F23=$AA$3)),$AC$13,IF(AND($E23=$AA$3,$F23=$AA$3),2*$AC$13,0)))))</f>
        <v>3</v>
      </c>
      <c r="I23" s="27">
        <f>IF(AND($E23=$AA$2,$F23=$AA$2),2*$AF$12*$K23/27,IF(OR(AND($E23=$AA$2,$F23=$AA$3),AND($E23=$AA$3,$F23=$AA$2)),($AF$12+$AF$13)*$K23/27,IF(OR(AND($E23=$AA$2,$F23=$AA$4),AND($E23=$AA$4,$F23=$AA$2)),$AF$12*$K23/27,IF(OR(AND($E23=$AA$3,$F23=$AA$4),AND($E23=$AA$4,$F23=$AA$3)),$AF$13*$K23/27,IF(AND($E23=$AA$3,$F23=$AA$3),2*$AF$13*$K23/27,0)))))</f>
        <v>30.083888888889405</v>
      </c>
      <c r="J23" s="78">
        <f>IF(OR(AND($E23=$AA$2,$F23=$AA$4),AND($E23=$AA$4,$F23=$AA$2)),$AI$14,IF(OR(AND($E23=$AA$3,$F23=$AA$4),AND($E23=$AA$4,$F23=$AA$3)),$AI$14,IF(AND($E23=$AA$4,$F23=$AA$4),2*$AI$14,0)))</f>
        <v>0</v>
      </c>
      <c r="K23" s="83">
        <f t="shared" si="1"/>
        <v>541.51000000000931</v>
      </c>
      <c r="L23" s="345">
        <v>26</v>
      </c>
      <c r="M23" s="124">
        <f t="shared" si="5"/>
        <v>14080</v>
      </c>
      <c r="N23" s="347">
        <v>0</v>
      </c>
      <c r="O23" s="123">
        <f t="shared" si="2"/>
        <v>14080</v>
      </c>
      <c r="P23" s="347">
        <v>0</v>
      </c>
      <c r="Q23" s="210">
        <f t="shared" si="6"/>
        <v>0.87247388888889044</v>
      </c>
      <c r="R23" s="85">
        <f t="shared" si="3"/>
        <v>1744.9477777777809</v>
      </c>
      <c r="S23" s="135">
        <f t="shared" si="7"/>
        <v>1744.9477777777809</v>
      </c>
      <c r="T23" s="85">
        <f t="shared" si="4"/>
        <v>51.824949000000089</v>
      </c>
      <c r="U23" s="83">
        <f t="shared" si="8"/>
        <v>290.82462962963018</v>
      </c>
      <c r="V23" s="384">
        <v>0</v>
      </c>
      <c r="W23" s="111">
        <f t="shared" si="9"/>
        <v>1564.4444444444443</v>
      </c>
      <c r="X23" s="467">
        <f t="shared" si="10"/>
        <v>10.863626543210062</v>
      </c>
      <c r="Y23" s="85">
        <f>IF($A23="APP SLAB",0,($K23*2))</f>
        <v>1083.0200000000186</v>
      </c>
      <c r="Z23" s="10"/>
    </row>
    <row r="24" spans="1:29" ht="12.75" customHeight="1" thickBot="1" x14ac:dyDescent="0.25">
      <c r="B24" s="107"/>
      <c r="C24" s="82"/>
      <c r="D24" s="32"/>
      <c r="E24" s="32"/>
      <c r="F24" s="32"/>
      <c r="G24" s="32"/>
      <c r="H24" s="80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9"/>
      <c r="Z24" s="174"/>
    </row>
    <row r="25" spans="1:29" ht="12.75" customHeight="1" x14ac:dyDescent="0.2">
      <c r="B25" s="643" t="s">
        <v>208</v>
      </c>
      <c r="C25" s="644"/>
      <c r="D25" s="100"/>
      <c r="E25" s="100"/>
      <c r="F25" s="100"/>
      <c r="G25" s="100"/>
      <c r="H25" s="112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35"/>
      <c r="Z25" s="175"/>
    </row>
    <row r="26" spans="1:29" ht="12.75" customHeight="1" x14ac:dyDescent="0.2">
      <c r="B26" s="338">
        <v>78801.78</v>
      </c>
      <c r="C26" s="339">
        <v>79957</v>
      </c>
      <c r="D26" s="340" t="s">
        <v>30</v>
      </c>
      <c r="E26" s="340" t="s">
        <v>111</v>
      </c>
      <c r="F26" s="340" t="s">
        <v>105</v>
      </c>
      <c r="G26" s="103" t="str">
        <f>IF(AND($E26=$AA$2,$F26=$AA$2),$AC$2,IF(OR(AND($E26=$AA$2,$F26=$AA$3),AND($E26=$AA$3,$F26=$AA$2)),$AC$3,IF(OR(AND($E26=$AA$2,$F26=$AA$4),AND($E26=$AA$4,$F26=$AA$2)),$AC$4,IF(OR(AND($E26=$AA$3,$F26=$AA$4),AND($E26=$AA$4,$F26=$AA$3)),$AC$5,IF(AND($E26=$AA$3,$F26=$AA$3),$AC$6,IF(AND($E26=$AA$4,$F26=$AA$4),$AC$7,"-"))))))</f>
        <v>E/S - C/B</v>
      </c>
      <c r="H26" s="77">
        <f>IF(AND($E26=$AA$2,$F26=$AA$2),2*$AC$12,IF(OR(AND($E26=$AA$2, $F26=$AA$3),AND($E26=$AA$3,$F26=$AA$2)),$AC$12+$AC$13,IF(OR(AND($E26=$AA$2,$F26=$AA$4),AND($E26=$AA$4,$F26=$AA$2)),$AC$12,IF(OR(AND($E26=$AA$3,$F26=$AA$4),AND($E26=$AA$4,$F26=$AA$3)),$AC$13,IF(AND($E26=$AA$3,$F26=$AA$3),2*$AC$13,0)))))</f>
        <v>1.5</v>
      </c>
      <c r="I26" s="27">
        <f>IF(AND($E26=$AA$2,$F26=$AA$2),2*$AF$12*$K26/27,IF(OR(AND($E26=$AA$2,$F26=$AA$3),AND($E26=$AA$3,$F26=$AA$2)),($AF$12+$AF$13)*$K26/27,IF(OR(AND($E26=$AA$2,$F26=$AA$4),AND($E26=$AA$4,$F26=$AA$2)),$AF$12*$K26/27,IF(OR(AND($E26=$AA$3,$F26=$AA$4),AND($E26=$AA$4,$F26=$AA$3)),$AF$13*$K26/27,IF(AND($E26=$AA$3,$F26=$AA$3),2*$AF$13*$K26/27,0)))))</f>
        <v>32.089444444444474</v>
      </c>
      <c r="J26" s="78">
        <f>IF(OR(AND($E26=$AA$2,$F26=$AA$4),AND($E26=$AA$4,$F26=$AA$2)),$AI$14,IF(OR(AND($E26=$AA$3,$F26=$AA$4),AND($E26=$AA$4,$F26=$AA$3)),$AI$14,IF(AND($E26=$AA$4,$F26=$AA$4),2*$AI$14,0)))</f>
        <v>-1.42</v>
      </c>
      <c r="K26" s="83">
        <f>C26-B26</f>
        <v>1155.2200000000012</v>
      </c>
      <c r="L26" s="345" t="s">
        <v>101</v>
      </c>
      <c r="M26" s="124">
        <f t="shared" ref="M26:M63" si="15">IF(L26="-",0,ROUNDUP($K26*L26,0))</f>
        <v>0</v>
      </c>
      <c r="N26" s="347">
        <v>50909</v>
      </c>
      <c r="O26" s="123">
        <f t="shared" si="2"/>
        <v>50909</v>
      </c>
      <c r="P26" s="347">
        <v>0</v>
      </c>
      <c r="Q26" s="210">
        <f>IF(AND(P26=0,S26=0),0,IF(S26=0,P26/2000,S26/2000))</f>
        <v>2.9245461111111113</v>
      </c>
      <c r="R26" s="85">
        <f>IF(A26="APP SLAB",0,S26)</f>
        <v>5849.0922222222225</v>
      </c>
      <c r="S26" s="135">
        <f>IF(OR(A26="APP SLAB",P26&lt;&gt;0),0,(O26+H26*K26)/9)</f>
        <v>5849.0922222222225</v>
      </c>
      <c r="T26" s="85">
        <f>IF(A26="APP SLAB",0,$S$1*S26*110*0.06*0.75/2000)</f>
        <v>173.71803900000003</v>
      </c>
      <c r="U26" s="83">
        <f t="shared" ref="U26:U28" si="16">IF(O26=0,0,(O26*$U$1/12)/27+I26)</f>
        <v>974.84870370370368</v>
      </c>
      <c r="V26" s="384">
        <v>0</v>
      </c>
      <c r="W26" s="111">
        <f t="shared" ref="W26:W28" si="17">IF($A26="APP SLAB",0,(O26+K26*J26)/9)</f>
        <v>5474.2875111111107</v>
      </c>
      <c r="X26" s="467">
        <f t="shared" ref="X26:X28" si="18">IF(AND($E26=$F26="Uncurbed"),(2*$K26*2*$X$1/12)/27,IF(OR($E26="Uncurbed",$F26="Uncurbed"),($K26*2*$X$1/12)/27,IF(OR(AND($E26="Med. Barr.",$F26="Curbed"),AND($E26="Curbed",$F26="Med. Barr."),$E26=$F26,$E26="Unique",$F26="Unique",$E26="-",$F26="-"),0,"?")))</f>
        <v>23.175709876543234</v>
      </c>
      <c r="Y26" s="85">
        <f>IF($A26="APP SLAB",0,($K26*2))</f>
        <v>2310.4400000000023</v>
      </c>
      <c r="Z26" s="10"/>
    </row>
    <row r="27" spans="1:29" ht="12.75" customHeight="1" x14ac:dyDescent="0.2">
      <c r="B27" s="338">
        <v>79957</v>
      </c>
      <c r="C27" s="339">
        <v>80300</v>
      </c>
      <c r="D27" s="340" t="s">
        <v>30</v>
      </c>
      <c r="E27" s="340" t="s">
        <v>105</v>
      </c>
      <c r="F27" s="340" t="s">
        <v>105</v>
      </c>
      <c r="G27" s="103" t="str">
        <f>IF(AND($E27=$AA$2,$F27=$AA$2),$AC$2,IF(OR(AND($E27=$AA$2,$F27=$AA$3),AND($E27=$AA$3,$F27=$AA$2)),$AC$3,IF(OR(AND($E27=$AA$2,$F27=$AA$4),AND($E27=$AA$4,$F27=$AA$2)),$AC$4,IF(OR(AND($E27=$AA$3,$F27=$AA$4),AND($E27=$AA$4,$F27=$AA$3)),$AC$5,IF(AND($E27=$AA$3,$F27=$AA$3),$AC$6,IF(AND($E27=$AA$4,$F27=$AA$4),$AC$7,"-"))))))</f>
        <v>E/S - E/S</v>
      </c>
      <c r="H27" s="77">
        <f>IF(AND($E27=$AA$2,$F27=$AA$2),2*$AC$12,IF(OR(AND($E27=$AA$2, $F27=$AA$3),AND($E27=$AA$3,$F27=$AA$2)),$AC$12+$AC$13,IF(OR(AND($E27=$AA$2,$F27=$AA$4),AND($E27=$AA$4,$F27=$AA$2)),$AC$12,IF(OR(AND($E27=$AA$3,$F27=$AA$4),AND($E27=$AA$4,$F27=$AA$3)),$AC$13,IF(AND($E27=$AA$3,$F27=$AA$3),2*$AC$13,0)))))</f>
        <v>3</v>
      </c>
      <c r="I27" s="27">
        <f>IF(AND($E27=$AA$2,$F27=$AA$2),2*$AF$12*$K27/27,IF(OR(AND($E27=$AA$2,$F27=$AA$3),AND($E27=$AA$3,$F27=$AA$2)),($AF$12+$AF$13)*$K27/27,IF(OR(AND($E27=$AA$2,$F27=$AA$4),AND($E27=$AA$4,$F27=$AA$2)),$AF$12*$K27/27,IF(OR(AND($E27=$AA$3,$F27=$AA$4),AND($E27=$AA$4,$F27=$AA$3)),$AF$13*$K27/27,IF(AND($E27=$AA$3,$F27=$AA$3),2*$AF$13*$K27/27,0)))))</f>
        <v>19.055555555555557</v>
      </c>
      <c r="J27" s="78">
        <f>IF(OR(AND($E27=$AA$2,$F27=$AA$4),AND($E27=$AA$4,$F27=$AA$2)),$AI$14,IF(OR(AND($E27=$AA$3,$F27=$AA$4),AND($E27=$AA$4,$F27=$AA$3)),$AI$14,IF(AND($E27=$AA$4,$F27=$AA$4),2*$AI$14,0)))</f>
        <v>0</v>
      </c>
      <c r="K27" s="492">
        <f>C27-B27</f>
        <v>343</v>
      </c>
      <c r="L27" s="345">
        <v>26</v>
      </c>
      <c r="M27" s="124">
        <f t="shared" ref="M27" si="19">IF(L27="-",0,ROUNDUP($K27*L27,0))</f>
        <v>8918</v>
      </c>
      <c r="N27" s="347">
        <v>0</v>
      </c>
      <c r="O27" s="123">
        <f t="shared" ref="O27" si="20">SUM(M27:N27)</f>
        <v>8918</v>
      </c>
      <c r="P27" s="347">
        <v>0</v>
      </c>
      <c r="Q27" s="210">
        <f t="shared" ref="Q27:Q28" si="21">IF(AND(P27=0,S27=0),0,IF(S27=0,P27/2000,S27/2000))</f>
        <v>0.55261111111111105</v>
      </c>
      <c r="R27" s="493">
        <f>IF(A27="APP SLAB",0,S27)</f>
        <v>1105.2222222222222</v>
      </c>
      <c r="S27" s="135">
        <f t="shared" ref="S27:S28" si="22">IF(OR(A27="APP SLAB",P27&lt;&gt;0),0,(O27+H27*K27)/9)</f>
        <v>1105.2222222222222</v>
      </c>
      <c r="T27" s="493">
        <f>IF(A27="APP SLAB",0,$S$1*S27*110*0.06*0.75/2000)</f>
        <v>32.825099999999999</v>
      </c>
      <c r="U27" s="492">
        <f t="shared" ref="U27" si="23">IF(O27=0,0,(O27*$U$1/12)/27+I27)</f>
        <v>184.2037037037037</v>
      </c>
      <c r="V27" s="384">
        <v>0</v>
      </c>
      <c r="W27" s="111">
        <f t="shared" ref="W27" si="24">IF($A27="APP SLAB",0,(O27+K27*J27)/9)</f>
        <v>990.88888888888891</v>
      </c>
      <c r="X27" s="511">
        <f t="shared" si="18"/>
        <v>6.8811728395061724</v>
      </c>
      <c r="Y27" s="493">
        <f>IF($A27="APP SLAB",0,($K27*2))</f>
        <v>686</v>
      </c>
      <c r="Z27" s="10"/>
    </row>
    <row r="28" spans="1:29" ht="12.75" customHeight="1" x14ac:dyDescent="0.2">
      <c r="B28" s="338">
        <v>80300</v>
      </c>
      <c r="C28" s="339">
        <v>81216.600000000006</v>
      </c>
      <c r="D28" s="340" t="s">
        <v>30</v>
      </c>
      <c r="E28" s="340" t="s">
        <v>105</v>
      </c>
      <c r="F28" s="340" t="s">
        <v>105</v>
      </c>
      <c r="G28" s="103" t="str">
        <f>IF(AND($E28=$AA$2,$F28=$AA$2),$AC$2,IF(OR(AND($E28=$AA$2,$F28=$AA$3),AND($E28=$AA$3,$F28=$AA$2)),$AC$3,IF(OR(AND($E28=$AA$2,$F28=$AA$4),AND($E28=$AA$4,$F28=$AA$2)),$AC$4,IF(OR(AND($E28=$AA$3,$F28=$AA$4),AND($E28=$AA$4,$F28=$AA$3)),$AC$5,IF(AND($E28=$AA$3,$F28=$AA$3),$AC$6,IF(AND($E28=$AA$4,$F28=$AA$4),$AC$7,"-"))))))</f>
        <v>E/S - E/S</v>
      </c>
      <c r="H28" s="77">
        <f>IF(AND($E28=$AA$2,$F28=$AA$2),2*$AC$12,IF(OR(AND($E28=$AA$2, $F28=$AA$3),AND($E28=$AA$3,$F28=$AA$2)),$AC$12+$AC$13,IF(OR(AND($E28=$AA$2,$F28=$AA$4),AND($E28=$AA$4,$F28=$AA$2)),$AC$12,IF(OR(AND($E28=$AA$3,$F28=$AA$4),AND($E28=$AA$4,$F28=$AA$3)),$AC$13,IF(AND($E28=$AA$3,$F28=$AA$3),2*$AC$13,0)))))</f>
        <v>3</v>
      </c>
      <c r="I28" s="27">
        <f>IF(AND($E28=$AA$2,$F28=$AA$2),2*$AF$12*$K28/27,IF(OR(AND($E28=$AA$2,$F28=$AA$3),AND($E28=$AA$3,$F28=$AA$2)),($AF$12+$AF$13)*$K28/27,IF(OR(AND($E28=$AA$2,$F28=$AA$4),AND($E28=$AA$4,$F28=$AA$2)),$AF$12*$K28/27,IF(OR(AND($E28=$AA$3,$F28=$AA$4),AND($E28=$AA$4,$F28=$AA$3)),$AF$13*$K28/27,IF(AND($E28=$AA$3,$F28=$AA$3),2*$AF$13*$K28/27,0)))))</f>
        <v>50.922222222222544</v>
      </c>
      <c r="J28" s="78">
        <f>IF(OR(AND($E28=$AA$2,$F28=$AA$4),AND($E28=$AA$4,$F28=$AA$2)),$AI$14,IF(OR(AND($E28=$AA$3,$F28=$AA$4),AND($E28=$AA$4,$F28=$AA$3)),$AI$14,IF(AND($E28=$AA$4,$F28=$AA$4),2*$AI$14,0)))</f>
        <v>0</v>
      </c>
      <c r="K28" s="83">
        <f>C28-B28</f>
        <v>916.60000000000582</v>
      </c>
      <c r="L28" s="345">
        <v>26</v>
      </c>
      <c r="M28" s="124">
        <f t="shared" si="15"/>
        <v>23832</v>
      </c>
      <c r="N28" s="347">
        <v>0</v>
      </c>
      <c r="O28" s="123">
        <f t="shared" si="2"/>
        <v>23832</v>
      </c>
      <c r="P28" s="493">
        <f t="shared" ref="P28" si="25">IF(OR($A28="APP SLAB",O28=0),0,($O28+$H28*$K28)/9)</f>
        <v>2953.5333333333351</v>
      </c>
      <c r="Q28" s="210">
        <f t="shared" si="21"/>
        <v>1.4767666666666677</v>
      </c>
      <c r="R28" s="85">
        <f>IF(A28="APP SLAB",0,S28)</f>
        <v>0</v>
      </c>
      <c r="S28" s="135">
        <f t="shared" si="22"/>
        <v>0</v>
      </c>
      <c r="T28" s="85">
        <f>IF(A28="APP SLAB",0,$S$1*S28*110*0.06*0.75/2000)</f>
        <v>0</v>
      </c>
      <c r="U28" s="83">
        <f t="shared" si="16"/>
        <v>492.25555555555587</v>
      </c>
      <c r="V28" s="384">
        <v>0</v>
      </c>
      <c r="W28" s="111">
        <f t="shared" si="17"/>
        <v>2648</v>
      </c>
      <c r="X28" s="467">
        <f t="shared" si="18"/>
        <v>18.388580246913698</v>
      </c>
      <c r="Y28" s="85">
        <f>IF($A28="APP SLAB",0,($K28*2))</f>
        <v>1833.2000000000116</v>
      </c>
      <c r="Z28" s="10"/>
      <c r="AA28" s="93"/>
      <c r="AB28" s="93"/>
    </row>
    <row r="29" spans="1:29" ht="12.75" customHeight="1" thickBot="1" x14ac:dyDescent="0.25">
      <c r="B29" s="107"/>
      <c r="C29" s="82"/>
      <c r="D29" s="32"/>
      <c r="E29" s="32"/>
      <c r="F29" s="32"/>
      <c r="G29" s="32"/>
      <c r="H29" s="80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9"/>
      <c r="Z29" s="174"/>
      <c r="AA29" s="93"/>
      <c r="AB29" s="93"/>
      <c r="AC29" s="93"/>
    </row>
    <row r="30" spans="1:29" ht="12.75" customHeight="1" x14ac:dyDescent="0.2">
      <c r="B30" s="643" t="s">
        <v>209</v>
      </c>
      <c r="C30" s="644"/>
      <c r="D30" s="100"/>
      <c r="E30" s="100"/>
      <c r="F30" s="100"/>
      <c r="G30" s="100"/>
      <c r="H30" s="112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35"/>
      <c r="Z30" s="175"/>
      <c r="AA30" s="120"/>
      <c r="AB30" s="93"/>
    </row>
    <row r="31" spans="1:29" ht="12.75" customHeight="1" x14ac:dyDescent="0.2">
      <c r="B31" s="338">
        <v>78776.070000000007</v>
      </c>
      <c r="C31" s="339">
        <v>78810.09</v>
      </c>
      <c r="D31" s="340" t="s">
        <v>30</v>
      </c>
      <c r="E31" s="340" t="s">
        <v>106</v>
      </c>
      <c r="F31" s="340" t="s">
        <v>105</v>
      </c>
      <c r="G31" s="103" t="str">
        <f t="shared" ref="G31:G48" si="26">IF(AND($E31=$AA$2,$F31=$AA$2),$AC$2,IF(OR(AND($E31=$AA$2,$F31=$AA$3),AND($E31=$AA$3,$F31=$AA$2)),$AC$3,IF(OR(AND($E31=$AA$2,$F31=$AA$4),AND($E31=$AA$4,$F31=$AA$2)),$AC$4,IF(OR(AND($E31=$AA$3,$F31=$AA$4),AND($E31=$AA$4,$F31=$AA$3)),$AC$5,IF(AND($E31=$AA$3,$F31=$AA$3),$AC$6,IF(AND($E31=$AA$4,$F31=$AA$4),$AC$7,"-"))))))</f>
        <v>E/S - F/C</v>
      </c>
      <c r="H31" s="77">
        <f>IF(AND($E31=$AA$2,$F31=$AA$2),2*$AC$12,IF(OR(AND($E31=$AA$2, $F31=$AA$3),AND($E31=$AA$3,$F31=$AA$2)),$AC$12+$AC$13,IF(OR(AND($E31=$AA$2,$F31=$AA$4),AND($E31=$AA$4,$F31=$AA$2)),$AC$12,IF(OR(AND($E31=$AA$3,$F31=$AA$4),AND($E31=$AA$4,$F31=$AA$3)),$AC$13,IF(AND($E31=$AA$3,$F31=$AA$3),2*$AC$13,0)))))</f>
        <v>3.5</v>
      </c>
      <c r="I31" s="27">
        <f>IF(AND($E31=$AA$2,$F31=$AA$2),2*$AF$12*$K31/27,IF(OR(AND($E31=$AA$2,$F31=$AA$3),AND($E31=$AA$3,$F31=$AA$2)),($AF$12+$AF$13)*$K31/27,IF(OR(AND($E31=$AA$2,$F31=$AA$4),AND($E31=$AA$4,$F31=$AA$2)),$AF$12*$K31/27,IF(OR(AND($E31=$AA$3,$F31=$AA$4),AND($E31=$AA$4,$F31=$AA$3)),$AF$13*$K31/27,IF(AND($E31=$AA$3,$F31=$AA$3),2*$AF$13*$K31/27,0)))))</f>
        <v>1.8899999999994179</v>
      </c>
      <c r="J31" s="78">
        <f>IF(OR(AND($E31=$AA$2,$F31=$AA$4),AND($E31=$AA$4,$F31=$AA$2)),$AI$14,IF(OR(AND($E31=$AA$3,$F31=$AA$4),AND($E31=$AA$4,$F31=$AA$3)),$AI$14,IF(AND($E31=$AA$4,$F31=$AA$4),2*$AI$14,0)))</f>
        <v>0</v>
      </c>
      <c r="K31" s="83">
        <f t="shared" ref="K31:K48" si="27">C31-B31</f>
        <v>34.019999999989523</v>
      </c>
      <c r="L31" s="345">
        <v>28</v>
      </c>
      <c r="M31" s="124">
        <f t="shared" si="15"/>
        <v>953</v>
      </c>
      <c r="N31" s="347">
        <v>0</v>
      </c>
      <c r="O31" s="123">
        <f t="shared" si="2"/>
        <v>953</v>
      </c>
      <c r="P31" s="493">
        <f t="shared" ref="P31:P48" si="28">IF(OR($A31="APP SLAB",O31=0),0,($O31+$H31*$K31)/9)</f>
        <v>119.11888888888481</v>
      </c>
      <c r="Q31" s="210">
        <f t="shared" ref="Q31:Q48" si="29">IF(AND(P31=0,S31=0),0,IF(S31=0,P31/2000,S31/2000))</f>
        <v>5.9559444444442403E-2</v>
      </c>
      <c r="R31" s="85">
        <f t="shared" ref="R31:R48" si="30">IF(A31="APP SLAB",0,S31)</f>
        <v>0</v>
      </c>
      <c r="S31" s="135">
        <f t="shared" ref="S31:S48" si="31">IF(OR(A31="APP SLAB",P31&lt;&gt;0),0,(O31+H31*K31)/9)</f>
        <v>0</v>
      </c>
      <c r="T31" s="85">
        <f t="shared" ref="T31:T48" si="32">IF(A31="APP SLAB",0,$S$1*S31*110*0.06*0.75/2000)</f>
        <v>0</v>
      </c>
      <c r="U31" s="83">
        <f t="shared" ref="U31:U48" si="33">IF(O31=0,0,(O31*$U$1/12)/27+I31)</f>
        <v>19.538148148147567</v>
      </c>
      <c r="V31" s="384">
        <v>0</v>
      </c>
      <c r="W31" s="111">
        <f t="shared" ref="W31:W48" si="34">IF($A31="APP SLAB",0,(O31+K31*J31)/9)</f>
        <v>105.88888888888889</v>
      </c>
      <c r="X31" s="467">
        <f t="shared" ref="X31:X48" si="35">IF(AND($E31=$F31="Uncurbed"),(2*$K31*2*$X$1/12)/27,IF(OR($E31="Uncurbed",$F31="Uncurbed"),($K31*2*$X$1/12)/27,IF(OR(AND($E31="Med. Barr.",$F31="Curbed"),AND($E31="Curbed",$F31="Med. Barr."),$E31=$F31,$E31="Unique",$F31="Unique",$E31="-",$F31="-"),0,"?")))</f>
        <v>0.68249999999978983</v>
      </c>
      <c r="Y31" s="85">
        <f t="shared" ref="Y31:Y37" si="36">IF($A31="APP SLAB",0,($K31*2))</f>
        <v>68.039999999979045</v>
      </c>
      <c r="Z31" s="10"/>
    </row>
    <row r="32" spans="1:29" ht="12.75" customHeight="1" x14ac:dyDescent="0.2">
      <c r="B32" s="338">
        <v>78810.09</v>
      </c>
      <c r="C32" s="339">
        <v>79087.05</v>
      </c>
      <c r="D32" s="340" t="s">
        <v>30</v>
      </c>
      <c r="E32" s="340" t="s">
        <v>105</v>
      </c>
      <c r="F32" s="340" t="s">
        <v>105</v>
      </c>
      <c r="G32" s="103" t="str">
        <f t="shared" si="26"/>
        <v>E/S - E/S</v>
      </c>
      <c r="H32" s="77">
        <f t="shared" ref="H32:H33" si="37">IF(AND($E32=$AA$2,$F32=$AA$2),2*$AC$12,IF(OR(AND($E32=$AA$2, $F32=$AA$3),AND($E32=$AA$3,$F32=$AA$2)),$AC$12+$AC$13,IF(OR(AND($E32=$AA$2,$F32=$AA$4),AND($E32=$AA$4,$F32=$AA$2)),$AC$12,IF(OR(AND($E32=$AA$3,$F32=$AA$4),AND($E32=$AA$4,$F32=$AA$3)),$AC$13,IF(AND($E32=$AA$3,$F32=$AA$3),2*$AC$13,0)))))</f>
        <v>3</v>
      </c>
      <c r="I32" s="27">
        <f t="shared" ref="I32:I33" si="38">IF(AND($E32=$AA$2,$F32=$AA$2),2*$AF$12*$K32/27,IF(OR(AND($E32=$AA$2,$F32=$AA$3),AND($E32=$AA$3,$F32=$AA$2)),($AF$12+$AF$13)*$K32/27,IF(OR(AND($E32=$AA$2,$F32=$AA$4),AND($E32=$AA$4,$F32=$AA$2)),$AF$12*$K32/27,IF(OR(AND($E32=$AA$3,$F32=$AA$4),AND($E32=$AA$4,$F32=$AA$3)),$AF$13*$K32/27,IF(AND($E32=$AA$3,$F32=$AA$3),2*$AF$13*$K32/27,0)))))</f>
        <v>15.386666666667022</v>
      </c>
      <c r="J32" s="78">
        <f t="shared" ref="J32:J33" si="39">IF(OR(AND($E32=$AA$2,$F32=$AA$4),AND($E32=$AA$4,$F32=$AA$2)),$AI$14,IF(OR(AND($E32=$AA$3,$F32=$AA$4),AND($E32=$AA$4,$F32=$AA$3)),$AI$14,IF(AND($E32=$AA$4,$F32=$AA$4),2*$AI$14,0)))</f>
        <v>0</v>
      </c>
      <c r="K32" s="83">
        <f t="shared" si="27"/>
        <v>276.9600000000064</v>
      </c>
      <c r="L32" s="345">
        <v>26</v>
      </c>
      <c r="M32" s="124">
        <f t="shared" si="15"/>
        <v>7201</v>
      </c>
      <c r="N32" s="347">
        <v>0</v>
      </c>
      <c r="O32" s="123">
        <f t="shared" si="2"/>
        <v>7201</v>
      </c>
      <c r="P32" s="493">
        <f t="shared" si="28"/>
        <v>892.4311111111133</v>
      </c>
      <c r="Q32" s="210">
        <f t="shared" si="29"/>
        <v>0.44621555555555664</v>
      </c>
      <c r="R32" s="85">
        <f t="shared" si="30"/>
        <v>0</v>
      </c>
      <c r="S32" s="135">
        <f t="shared" si="31"/>
        <v>0</v>
      </c>
      <c r="T32" s="85">
        <f t="shared" si="32"/>
        <v>0</v>
      </c>
      <c r="U32" s="83">
        <f t="shared" si="33"/>
        <v>148.73851851851887</v>
      </c>
      <c r="V32" s="384">
        <v>0</v>
      </c>
      <c r="W32" s="111">
        <f t="shared" si="34"/>
        <v>800.11111111111109</v>
      </c>
      <c r="X32" s="467">
        <f t="shared" si="35"/>
        <v>5.5562962962964253</v>
      </c>
      <c r="Y32" s="85">
        <f t="shared" si="36"/>
        <v>553.92000000001281</v>
      </c>
      <c r="Z32" s="10"/>
    </row>
    <row r="33" spans="1:26" ht="12.75" customHeight="1" x14ac:dyDescent="0.2">
      <c r="B33" s="338">
        <v>79087.05</v>
      </c>
      <c r="C33" s="339">
        <v>79173.48</v>
      </c>
      <c r="D33" s="340" t="s">
        <v>30</v>
      </c>
      <c r="E33" s="340" t="s">
        <v>105</v>
      </c>
      <c r="F33" s="340" t="s">
        <v>106</v>
      </c>
      <c r="G33" s="103" t="str">
        <f t="shared" si="26"/>
        <v>E/S - F/C</v>
      </c>
      <c r="H33" s="77">
        <f t="shared" si="37"/>
        <v>3.5</v>
      </c>
      <c r="I33" s="27">
        <f t="shared" si="38"/>
        <v>4.8016666666662786</v>
      </c>
      <c r="J33" s="78">
        <f t="shared" si="39"/>
        <v>0</v>
      </c>
      <c r="K33" s="83">
        <f t="shared" si="27"/>
        <v>86.429999999993015</v>
      </c>
      <c r="L33" s="345">
        <v>28</v>
      </c>
      <c r="M33" s="124">
        <f t="shared" si="15"/>
        <v>2421</v>
      </c>
      <c r="N33" s="347">
        <v>0</v>
      </c>
      <c r="O33" s="123">
        <f t="shared" si="2"/>
        <v>2421</v>
      </c>
      <c r="P33" s="493">
        <f t="shared" si="28"/>
        <v>302.61166666666395</v>
      </c>
      <c r="Q33" s="210">
        <f t="shared" si="29"/>
        <v>0.15130583333333197</v>
      </c>
      <c r="R33" s="85">
        <f t="shared" si="30"/>
        <v>0</v>
      </c>
      <c r="S33" s="135">
        <f t="shared" si="31"/>
        <v>0</v>
      </c>
      <c r="T33" s="85">
        <f t="shared" si="32"/>
        <v>0</v>
      </c>
      <c r="U33" s="83">
        <f t="shared" si="33"/>
        <v>49.634999999999614</v>
      </c>
      <c r="V33" s="384">
        <v>0</v>
      </c>
      <c r="W33" s="111">
        <f t="shared" si="34"/>
        <v>269</v>
      </c>
      <c r="X33" s="467">
        <f t="shared" si="35"/>
        <v>1.7339351851850451</v>
      </c>
      <c r="Y33" s="85">
        <f t="shared" si="36"/>
        <v>172.85999999998603</v>
      </c>
      <c r="Z33" s="10"/>
    </row>
    <row r="34" spans="1:26" ht="12.75" customHeight="1" x14ac:dyDescent="0.2">
      <c r="A34" s="113"/>
      <c r="B34" s="338">
        <v>79173.48</v>
      </c>
      <c r="C34" s="339">
        <v>79321.27</v>
      </c>
      <c r="D34" s="340" t="s">
        <v>16</v>
      </c>
      <c r="E34" s="340" t="s">
        <v>112</v>
      </c>
      <c r="F34" s="340" t="s">
        <v>106</v>
      </c>
      <c r="G34" s="103" t="str">
        <f t="shared" si="26"/>
        <v>-</v>
      </c>
      <c r="H34" s="352">
        <v>1.5</v>
      </c>
      <c r="I34" s="341">
        <v>2.74</v>
      </c>
      <c r="J34" s="361">
        <v>0</v>
      </c>
      <c r="K34" s="83">
        <f t="shared" si="27"/>
        <v>147.79000000000815</v>
      </c>
      <c r="L34" s="345">
        <v>22</v>
      </c>
      <c r="M34" s="124">
        <f t="shared" si="15"/>
        <v>3252</v>
      </c>
      <c r="N34" s="347">
        <v>0</v>
      </c>
      <c r="O34" s="123">
        <f t="shared" si="2"/>
        <v>3252</v>
      </c>
      <c r="P34" s="493">
        <f t="shared" si="28"/>
        <v>385.96500000000134</v>
      </c>
      <c r="Q34" s="210">
        <f t="shared" si="29"/>
        <v>0.19298250000000067</v>
      </c>
      <c r="R34" s="85">
        <f t="shared" si="30"/>
        <v>0</v>
      </c>
      <c r="S34" s="135">
        <f t="shared" si="31"/>
        <v>0</v>
      </c>
      <c r="T34" s="85">
        <f t="shared" si="32"/>
        <v>0</v>
      </c>
      <c r="U34" s="83">
        <f t="shared" si="33"/>
        <v>62.962222222222223</v>
      </c>
      <c r="V34" s="384">
        <v>0</v>
      </c>
      <c r="W34" s="111">
        <f t="shared" si="34"/>
        <v>361.33333333333331</v>
      </c>
      <c r="X34" s="467">
        <f t="shared" si="35"/>
        <v>0</v>
      </c>
      <c r="Y34" s="85">
        <f t="shared" si="36"/>
        <v>295.5800000000163</v>
      </c>
      <c r="Z34" s="10"/>
    </row>
    <row r="35" spans="1:26" ht="12.75" customHeight="1" x14ac:dyDescent="0.2">
      <c r="A35" s="113"/>
      <c r="B35" s="338">
        <v>79321.27</v>
      </c>
      <c r="C35" s="339">
        <v>79420.97</v>
      </c>
      <c r="D35" s="340" t="s">
        <v>16</v>
      </c>
      <c r="E35" s="340" t="s">
        <v>112</v>
      </c>
      <c r="F35" s="340" t="s">
        <v>106</v>
      </c>
      <c r="G35" s="103" t="str">
        <f t="shared" si="26"/>
        <v>-</v>
      </c>
      <c r="H35" s="352">
        <v>1.5</v>
      </c>
      <c r="I35" s="341">
        <v>1.85</v>
      </c>
      <c r="J35" s="361">
        <v>0</v>
      </c>
      <c r="K35" s="83">
        <f t="shared" si="27"/>
        <v>99.69999999999709</v>
      </c>
      <c r="L35" s="345">
        <v>23</v>
      </c>
      <c r="M35" s="124">
        <f t="shared" si="15"/>
        <v>2294</v>
      </c>
      <c r="N35" s="347">
        <v>0</v>
      </c>
      <c r="O35" s="123">
        <f t="shared" si="2"/>
        <v>2294</v>
      </c>
      <c r="P35" s="493">
        <f t="shared" si="28"/>
        <v>271.50555555555508</v>
      </c>
      <c r="Q35" s="210">
        <f t="shared" si="29"/>
        <v>0.13575277777777753</v>
      </c>
      <c r="R35" s="85">
        <f t="shared" si="30"/>
        <v>0</v>
      </c>
      <c r="S35" s="135">
        <f t="shared" si="31"/>
        <v>0</v>
      </c>
      <c r="T35" s="85">
        <f t="shared" si="32"/>
        <v>0</v>
      </c>
      <c r="U35" s="83">
        <f t="shared" si="33"/>
        <v>44.331481481481482</v>
      </c>
      <c r="V35" s="384">
        <v>0</v>
      </c>
      <c r="W35" s="111">
        <f t="shared" si="34"/>
        <v>254.88888888888889</v>
      </c>
      <c r="X35" s="467">
        <f t="shared" si="35"/>
        <v>0</v>
      </c>
      <c r="Y35" s="85">
        <f t="shared" si="36"/>
        <v>199.39999999999418</v>
      </c>
      <c r="Z35" s="10"/>
    </row>
    <row r="36" spans="1:26" ht="12.75" customHeight="1" x14ac:dyDescent="0.2">
      <c r="A36" s="113"/>
      <c r="B36" s="338">
        <v>79420.97</v>
      </c>
      <c r="C36" s="339">
        <v>79436.990000000005</v>
      </c>
      <c r="D36" s="340" t="s">
        <v>16</v>
      </c>
      <c r="E36" s="340" t="s">
        <v>112</v>
      </c>
      <c r="F36" s="340" t="s">
        <v>101</v>
      </c>
      <c r="G36" s="103" t="str">
        <f t="shared" si="26"/>
        <v>-</v>
      </c>
      <c r="H36" s="352">
        <v>1.5</v>
      </c>
      <c r="I36" s="341">
        <v>0.3</v>
      </c>
      <c r="J36" s="361">
        <v>0</v>
      </c>
      <c r="K36" s="83">
        <f t="shared" si="27"/>
        <v>16.020000000004075</v>
      </c>
      <c r="L36" s="345" t="s">
        <v>101</v>
      </c>
      <c r="M36" s="124">
        <f t="shared" si="15"/>
        <v>0</v>
      </c>
      <c r="N36" s="347">
        <v>193</v>
      </c>
      <c r="O36" s="123">
        <f t="shared" si="2"/>
        <v>193</v>
      </c>
      <c r="P36" s="493">
        <f t="shared" si="28"/>
        <v>24.114444444445123</v>
      </c>
      <c r="Q36" s="210">
        <f t="shared" si="29"/>
        <v>1.2057222222222561E-2</v>
      </c>
      <c r="R36" s="85">
        <f t="shared" si="30"/>
        <v>0</v>
      </c>
      <c r="S36" s="135">
        <f t="shared" si="31"/>
        <v>0</v>
      </c>
      <c r="T36" s="85">
        <f t="shared" si="32"/>
        <v>0</v>
      </c>
      <c r="U36" s="83">
        <f t="shared" si="33"/>
        <v>3.8740740740740738</v>
      </c>
      <c r="V36" s="384">
        <v>0</v>
      </c>
      <c r="W36" s="111">
        <f t="shared" si="34"/>
        <v>21.444444444444443</v>
      </c>
      <c r="X36" s="467">
        <f t="shared" si="35"/>
        <v>0</v>
      </c>
      <c r="Y36" s="85">
        <f t="shared" si="36"/>
        <v>32.040000000008149</v>
      </c>
      <c r="Z36" s="10"/>
    </row>
    <row r="37" spans="1:26" ht="12.75" customHeight="1" x14ac:dyDescent="0.2">
      <c r="A37" s="106" t="s">
        <v>28</v>
      </c>
      <c r="B37" s="338">
        <v>79436.990000000005</v>
      </c>
      <c r="C37" s="339">
        <v>79466.990000000005</v>
      </c>
      <c r="D37" s="340" t="s">
        <v>16</v>
      </c>
      <c r="E37" s="340" t="s">
        <v>101</v>
      </c>
      <c r="F37" s="340" t="s">
        <v>101</v>
      </c>
      <c r="G37" s="103" t="str">
        <f t="shared" si="26"/>
        <v>-</v>
      </c>
      <c r="H37" s="77">
        <v>4</v>
      </c>
      <c r="I37" s="27">
        <f t="shared" ref="I37:I48" si="40">IF(AND($E37=$AA$2,$F37=$AA$2),2*$AF$12*$K37/27,IF(OR(AND($E37=$AA$2,$F37=$AA$3),AND($E37=$AA$3,$F37=$AA$2)),($AF$12+$AF$13)*$K37/27,IF(OR(AND($E37=$AA$2,$F37=$AA$4),AND($E37=$AA$4,$F37=$AA$2)),$AF$12*$K37/27,IF(OR(AND($E37=$AA$3,$F37=$AA$4),AND($E37=$AA$4,$F37=$AA$3)),$AF$13*$K37/27,IF(AND($E37=$AA$3,$F37=$AA$3),2*$AF$13*$K37/27,0)))))</f>
        <v>0</v>
      </c>
      <c r="J37" s="78">
        <f t="shared" ref="J37:J48" si="41">IF(OR(AND($E37=$AA$2,$F37=$AA$4),AND($E37=$AA$4,$F37=$AA$2)),$AI$14,IF(OR(AND($E37=$AA$3,$F37=$AA$4),AND($E37=$AA$4,$F37=$AA$3)),$AI$14,IF(AND($E37=$AA$4,$F37=$AA$4),2*$AI$14,0)))</f>
        <v>0</v>
      </c>
      <c r="K37" s="83">
        <f t="shared" si="27"/>
        <v>30</v>
      </c>
      <c r="L37" s="345" t="s">
        <v>101</v>
      </c>
      <c r="M37" s="124">
        <f t="shared" si="15"/>
        <v>0</v>
      </c>
      <c r="N37" s="347">
        <v>1348</v>
      </c>
      <c r="O37" s="123">
        <f t="shared" si="2"/>
        <v>1348</v>
      </c>
      <c r="P37" s="493">
        <f>IF(OR(O37=0),0,($O37+$H37*$K37)/9)</f>
        <v>163.11111111111111</v>
      </c>
      <c r="Q37" s="210">
        <f t="shared" si="29"/>
        <v>8.1555555555555562E-2</v>
      </c>
      <c r="R37" s="85">
        <f t="shared" si="30"/>
        <v>0</v>
      </c>
      <c r="S37" s="135">
        <f t="shared" si="31"/>
        <v>0</v>
      </c>
      <c r="T37" s="85">
        <f t="shared" si="32"/>
        <v>0</v>
      </c>
      <c r="U37" s="83">
        <f t="shared" si="33"/>
        <v>24.962962962962962</v>
      </c>
      <c r="V37" s="384">
        <v>53.3</v>
      </c>
      <c r="W37" s="111">
        <f t="shared" si="34"/>
        <v>0</v>
      </c>
      <c r="X37" s="467">
        <f t="shared" si="35"/>
        <v>0</v>
      </c>
      <c r="Y37" s="85">
        <f t="shared" si="36"/>
        <v>0</v>
      </c>
      <c r="Z37" s="10"/>
    </row>
    <row r="38" spans="1:26" ht="12.75" customHeight="1" x14ac:dyDescent="0.2">
      <c r="A38" s="106" t="s">
        <v>28</v>
      </c>
      <c r="B38" s="338">
        <v>79978.03</v>
      </c>
      <c r="C38" s="339">
        <v>80008.03</v>
      </c>
      <c r="D38" s="340" t="s">
        <v>30</v>
      </c>
      <c r="E38" s="340" t="s">
        <v>101</v>
      </c>
      <c r="F38" s="340" t="s">
        <v>101</v>
      </c>
      <c r="G38" s="103" t="str">
        <f t="shared" si="26"/>
        <v>-</v>
      </c>
      <c r="H38" s="77">
        <v>4</v>
      </c>
      <c r="I38" s="27">
        <f t="shared" si="40"/>
        <v>0</v>
      </c>
      <c r="J38" s="78">
        <f t="shared" si="41"/>
        <v>0</v>
      </c>
      <c r="K38" s="83">
        <f t="shared" si="27"/>
        <v>30</v>
      </c>
      <c r="L38" s="345" t="s">
        <v>101</v>
      </c>
      <c r="M38" s="124">
        <f t="shared" si="15"/>
        <v>0</v>
      </c>
      <c r="N38" s="347">
        <v>1330</v>
      </c>
      <c r="O38" s="123">
        <f t="shared" si="2"/>
        <v>1330</v>
      </c>
      <c r="P38" s="493">
        <f>IF(OR(O38=0),0,($O38+$H38*$K38)/9)</f>
        <v>161.11111111111111</v>
      </c>
      <c r="Q38" s="210">
        <f t="shared" si="29"/>
        <v>8.0555555555555561E-2</v>
      </c>
      <c r="R38" s="85">
        <f t="shared" si="30"/>
        <v>0</v>
      </c>
      <c r="S38" s="135">
        <f t="shared" si="31"/>
        <v>0</v>
      </c>
      <c r="T38" s="85">
        <f t="shared" si="32"/>
        <v>0</v>
      </c>
      <c r="U38" s="83">
        <f t="shared" si="33"/>
        <v>24.62962962962963</v>
      </c>
      <c r="V38" s="384">
        <v>43.1</v>
      </c>
      <c r="W38" s="111">
        <f t="shared" si="34"/>
        <v>0</v>
      </c>
      <c r="X38" s="467">
        <f t="shared" si="35"/>
        <v>0</v>
      </c>
      <c r="Y38" s="85">
        <f t="shared" ref="Y38:Y48" si="42">IF($A38="APP SLAB",0,($K38*2))</f>
        <v>0</v>
      </c>
      <c r="Z38" s="10"/>
    </row>
    <row r="39" spans="1:26" ht="12.75" customHeight="1" x14ac:dyDescent="0.2">
      <c r="A39" s="106"/>
      <c r="B39" s="338">
        <v>80008.03</v>
      </c>
      <c r="C39" s="339">
        <v>80033.55</v>
      </c>
      <c r="D39" s="340" t="s">
        <v>30</v>
      </c>
      <c r="E39" s="340" t="s">
        <v>106</v>
      </c>
      <c r="F39" s="340" t="s">
        <v>106</v>
      </c>
      <c r="G39" s="103" t="str">
        <f t="shared" si="26"/>
        <v>F/C - F/C</v>
      </c>
      <c r="H39" s="77">
        <f t="shared" ref="H39:H48" si="43">IF(AND($E39=$AA$2,$F39=$AA$2),2*$AC$12,IF(OR(AND($E39=$AA$2, $F39=$AA$3),AND($E39=$AA$3,$F39=$AA$2)),$AC$12+$AC$13,IF(OR(AND($E39=$AA$2,$F39=$AA$4),AND($E39=$AA$4,$F39=$AA$2)),$AC$12,IF(OR(AND($E39=$AA$3,$F39=$AA$4),AND($E39=$AA$4,$F39=$AA$3)),$AC$13,IF(AND($E39=$AA$3,$F39=$AA$3),2*$AC$13,0)))))</f>
        <v>4</v>
      </c>
      <c r="I39" s="27">
        <f t="shared" si="40"/>
        <v>1.4177777777780041</v>
      </c>
      <c r="J39" s="78">
        <f t="shared" si="41"/>
        <v>0</v>
      </c>
      <c r="K39" s="83">
        <f t="shared" si="27"/>
        <v>25.520000000004075</v>
      </c>
      <c r="L39" s="345">
        <v>42.03</v>
      </c>
      <c r="M39" s="124">
        <f t="shared" si="15"/>
        <v>1073</v>
      </c>
      <c r="N39" s="347">
        <v>0</v>
      </c>
      <c r="O39" s="123">
        <f t="shared" si="2"/>
        <v>1073</v>
      </c>
      <c r="P39" s="493">
        <f t="shared" si="28"/>
        <v>130.56444444444625</v>
      </c>
      <c r="Q39" s="210">
        <f t="shared" si="29"/>
        <v>6.528222222222313E-2</v>
      </c>
      <c r="R39" s="85">
        <f t="shared" si="30"/>
        <v>0</v>
      </c>
      <c r="S39" s="135">
        <f t="shared" si="31"/>
        <v>0</v>
      </c>
      <c r="T39" s="85">
        <f t="shared" si="32"/>
        <v>0</v>
      </c>
      <c r="U39" s="83">
        <f t="shared" si="33"/>
        <v>21.288148148148373</v>
      </c>
      <c r="V39" s="384">
        <v>0</v>
      </c>
      <c r="W39" s="111">
        <f t="shared" si="34"/>
        <v>119.22222222222223</v>
      </c>
      <c r="X39" s="467">
        <f t="shared" si="35"/>
        <v>0</v>
      </c>
      <c r="Y39" s="85">
        <f t="shared" si="42"/>
        <v>51.040000000008149</v>
      </c>
      <c r="Z39" s="10"/>
    </row>
    <row r="40" spans="1:26" ht="12.75" customHeight="1" x14ac:dyDescent="0.2">
      <c r="A40" s="106"/>
      <c r="B40" s="338">
        <v>80033.55</v>
      </c>
      <c r="C40" s="339">
        <v>80132.899999999994</v>
      </c>
      <c r="D40" s="340" t="s">
        <v>30</v>
      </c>
      <c r="E40" s="340" t="s">
        <v>106</v>
      </c>
      <c r="F40" s="340" t="s">
        <v>106</v>
      </c>
      <c r="G40" s="103" t="str">
        <f t="shared" si="26"/>
        <v>F/C - F/C</v>
      </c>
      <c r="H40" s="77">
        <f t="shared" si="43"/>
        <v>4</v>
      </c>
      <c r="I40" s="27">
        <f t="shared" si="40"/>
        <v>5.519444444443959</v>
      </c>
      <c r="J40" s="78">
        <f t="shared" si="41"/>
        <v>0</v>
      </c>
      <c r="K40" s="83">
        <f t="shared" si="27"/>
        <v>99.349999999991269</v>
      </c>
      <c r="L40" s="345">
        <v>36</v>
      </c>
      <c r="M40" s="124">
        <f t="shared" si="15"/>
        <v>3577</v>
      </c>
      <c r="N40" s="347">
        <v>0</v>
      </c>
      <c r="O40" s="123">
        <f t="shared" si="2"/>
        <v>3577</v>
      </c>
      <c r="P40" s="493">
        <f t="shared" si="28"/>
        <v>441.5999999999961</v>
      </c>
      <c r="Q40" s="210">
        <f t="shared" si="29"/>
        <v>0.22079999999999805</v>
      </c>
      <c r="R40" s="85">
        <f t="shared" si="30"/>
        <v>0</v>
      </c>
      <c r="S40" s="135">
        <f t="shared" si="31"/>
        <v>0</v>
      </c>
      <c r="T40" s="85">
        <f t="shared" si="32"/>
        <v>0</v>
      </c>
      <c r="U40" s="83">
        <f t="shared" si="33"/>
        <v>71.76018518518471</v>
      </c>
      <c r="V40" s="384">
        <v>0</v>
      </c>
      <c r="W40" s="111">
        <f t="shared" si="34"/>
        <v>397.44444444444446</v>
      </c>
      <c r="X40" s="467">
        <f t="shared" si="35"/>
        <v>0</v>
      </c>
      <c r="Y40" s="85">
        <f t="shared" si="42"/>
        <v>198.69999999998254</v>
      </c>
      <c r="Z40" s="10"/>
    </row>
    <row r="41" spans="1:26" ht="12.75" customHeight="1" x14ac:dyDescent="0.2">
      <c r="A41" s="106"/>
      <c r="B41" s="338">
        <v>80132.899999999994</v>
      </c>
      <c r="C41" s="339">
        <v>80188.87</v>
      </c>
      <c r="D41" s="340" t="s">
        <v>30</v>
      </c>
      <c r="E41" s="340" t="s">
        <v>106</v>
      </c>
      <c r="F41" s="340" t="s">
        <v>106</v>
      </c>
      <c r="G41" s="103" t="str">
        <f t="shared" si="26"/>
        <v>F/C - F/C</v>
      </c>
      <c r="H41" s="77">
        <f t="shared" si="43"/>
        <v>4</v>
      </c>
      <c r="I41" s="27">
        <f t="shared" si="40"/>
        <v>3.1094444444445091</v>
      </c>
      <c r="J41" s="78">
        <f t="shared" si="41"/>
        <v>0</v>
      </c>
      <c r="K41" s="83">
        <f t="shared" si="27"/>
        <v>55.970000000001164</v>
      </c>
      <c r="L41" s="345">
        <v>30</v>
      </c>
      <c r="M41" s="124">
        <f t="shared" si="15"/>
        <v>1680</v>
      </c>
      <c r="N41" s="347">
        <v>0</v>
      </c>
      <c r="O41" s="123">
        <f t="shared" si="2"/>
        <v>1680</v>
      </c>
      <c r="P41" s="493">
        <f t="shared" si="28"/>
        <v>211.54222222222273</v>
      </c>
      <c r="Q41" s="210">
        <f t="shared" si="29"/>
        <v>0.10577111111111137</v>
      </c>
      <c r="R41" s="85">
        <f t="shared" si="30"/>
        <v>0</v>
      </c>
      <c r="S41" s="135">
        <f t="shared" si="31"/>
        <v>0</v>
      </c>
      <c r="T41" s="85">
        <f t="shared" si="32"/>
        <v>0</v>
      </c>
      <c r="U41" s="83">
        <f t="shared" si="33"/>
        <v>34.22055555555562</v>
      </c>
      <c r="V41" s="384">
        <v>0</v>
      </c>
      <c r="W41" s="111">
        <f t="shared" si="34"/>
        <v>186.66666666666666</v>
      </c>
      <c r="X41" s="467">
        <f t="shared" si="35"/>
        <v>0</v>
      </c>
      <c r="Y41" s="85">
        <f t="shared" si="42"/>
        <v>111.94000000000233</v>
      </c>
      <c r="Z41" s="10"/>
    </row>
    <row r="42" spans="1:26" ht="12.75" customHeight="1" x14ac:dyDescent="0.2">
      <c r="A42" s="106" t="s">
        <v>28</v>
      </c>
      <c r="B42" s="338">
        <v>80188.87</v>
      </c>
      <c r="C42" s="339">
        <v>80218.87</v>
      </c>
      <c r="D42" s="340" t="s">
        <v>30</v>
      </c>
      <c r="E42" s="340" t="s">
        <v>101</v>
      </c>
      <c r="F42" s="340" t="s">
        <v>101</v>
      </c>
      <c r="G42" s="103" t="str">
        <f t="shared" si="26"/>
        <v>-</v>
      </c>
      <c r="H42" s="77">
        <f t="shared" si="43"/>
        <v>0</v>
      </c>
      <c r="I42" s="27">
        <f t="shared" si="40"/>
        <v>0</v>
      </c>
      <c r="J42" s="78">
        <f t="shared" si="41"/>
        <v>0</v>
      </c>
      <c r="K42" s="83">
        <f t="shared" si="27"/>
        <v>30</v>
      </c>
      <c r="L42" s="345" t="s">
        <v>101</v>
      </c>
      <c r="M42" s="124">
        <f t="shared" si="15"/>
        <v>0</v>
      </c>
      <c r="N42" s="347">
        <v>951</v>
      </c>
      <c r="O42" s="123">
        <f t="shared" si="2"/>
        <v>951</v>
      </c>
      <c r="P42" s="493">
        <f t="shared" si="28"/>
        <v>0</v>
      </c>
      <c r="Q42" s="210">
        <f t="shared" si="29"/>
        <v>0</v>
      </c>
      <c r="R42" s="85">
        <f t="shared" si="30"/>
        <v>0</v>
      </c>
      <c r="S42" s="135">
        <f t="shared" si="31"/>
        <v>0</v>
      </c>
      <c r="T42" s="85">
        <f t="shared" si="32"/>
        <v>0</v>
      </c>
      <c r="U42" s="83">
        <f t="shared" si="33"/>
        <v>17.611111111111111</v>
      </c>
      <c r="V42" s="384">
        <v>31</v>
      </c>
      <c r="W42" s="111">
        <f t="shared" si="34"/>
        <v>0</v>
      </c>
      <c r="X42" s="467">
        <f t="shared" si="35"/>
        <v>0</v>
      </c>
      <c r="Y42" s="85">
        <f t="shared" si="42"/>
        <v>0</v>
      </c>
      <c r="Z42" s="10"/>
    </row>
    <row r="43" spans="1:26" ht="12.75" customHeight="1" x14ac:dyDescent="0.2">
      <c r="A43" s="106" t="s">
        <v>28</v>
      </c>
      <c r="B43" s="338">
        <v>80503.63</v>
      </c>
      <c r="C43" s="339">
        <v>80533.63</v>
      </c>
      <c r="D43" s="340" t="s">
        <v>30</v>
      </c>
      <c r="E43" s="340" t="s">
        <v>101</v>
      </c>
      <c r="F43" s="340" t="s">
        <v>101</v>
      </c>
      <c r="G43" s="103" t="str">
        <f t="shared" si="26"/>
        <v>-</v>
      </c>
      <c r="H43" s="77">
        <f t="shared" si="43"/>
        <v>0</v>
      </c>
      <c r="I43" s="27">
        <f t="shared" si="40"/>
        <v>0</v>
      </c>
      <c r="J43" s="78">
        <f t="shared" si="41"/>
        <v>0</v>
      </c>
      <c r="K43" s="83">
        <f t="shared" si="27"/>
        <v>30</v>
      </c>
      <c r="L43" s="345" t="s">
        <v>101</v>
      </c>
      <c r="M43" s="124">
        <f t="shared" si="15"/>
        <v>0</v>
      </c>
      <c r="N43" s="347">
        <v>951</v>
      </c>
      <c r="O43" s="123">
        <f t="shared" si="2"/>
        <v>951</v>
      </c>
      <c r="P43" s="493">
        <f t="shared" si="28"/>
        <v>0</v>
      </c>
      <c r="Q43" s="210">
        <f t="shared" si="29"/>
        <v>0</v>
      </c>
      <c r="R43" s="85">
        <f t="shared" si="30"/>
        <v>0</v>
      </c>
      <c r="S43" s="135">
        <f t="shared" si="31"/>
        <v>0</v>
      </c>
      <c r="T43" s="85">
        <f t="shared" si="32"/>
        <v>0</v>
      </c>
      <c r="U43" s="83">
        <f t="shared" si="33"/>
        <v>17.611111111111111</v>
      </c>
      <c r="V43" s="384">
        <v>31</v>
      </c>
      <c r="W43" s="111">
        <f t="shared" si="34"/>
        <v>0</v>
      </c>
      <c r="X43" s="467">
        <f t="shared" si="35"/>
        <v>0</v>
      </c>
      <c r="Y43" s="85">
        <f t="shared" si="42"/>
        <v>0</v>
      </c>
      <c r="Z43" s="10"/>
    </row>
    <row r="44" spans="1:26" ht="12.75" customHeight="1" x14ac:dyDescent="0.2">
      <c r="B44" s="338">
        <v>80533.63</v>
      </c>
      <c r="C44" s="339">
        <v>80810.559999999998</v>
      </c>
      <c r="D44" s="340" t="s">
        <v>30</v>
      </c>
      <c r="E44" s="340" t="s">
        <v>106</v>
      </c>
      <c r="F44" s="340" t="s">
        <v>106</v>
      </c>
      <c r="G44" s="103" t="str">
        <f t="shared" si="26"/>
        <v>F/C - F/C</v>
      </c>
      <c r="H44" s="77">
        <f t="shared" si="43"/>
        <v>4</v>
      </c>
      <c r="I44" s="27">
        <f t="shared" si="40"/>
        <v>15.384999999999613</v>
      </c>
      <c r="J44" s="78">
        <f t="shared" si="41"/>
        <v>0</v>
      </c>
      <c r="K44" s="83">
        <f t="shared" si="27"/>
        <v>276.92999999999302</v>
      </c>
      <c r="L44" s="345">
        <v>30</v>
      </c>
      <c r="M44" s="124">
        <f t="shared" si="15"/>
        <v>8308</v>
      </c>
      <c r="N44" s="347">
        <v>0</v>
      </c>
      <c r="O44" s="123">
        <f t="shared" si="2"/>
        <v>8308</v>
      </c>
      <c r="P44" s="493">
        <f t="shared" si="28"/>
        <v>1046.1911111111081</v>
      </c>
      <c r="Q44" s="210">
        <f t="shared" si="29"/>
        <v>0.52309555555555398</v>
      </c>
      <c r="R44" s="85">
        <f t="shared" si="30"/>
        <v>0</v>
      </c>
      <c r="S44" s="135">
        <f t="shared" si="31"/>
        <v>0</v>
      </c>
      <c r="T44" s="85">
        <f t="shared" si="32"/>
        <v>0</v>
      </c>
      <c r="U44" s="83">
        <f t="shared" si="33"/>
        <v>169.23685185185147</v>
      </c>
      <c r="V44" s="384">
        <v>0</v>
      </c>
      <c r="W44" s="111">
        <f t="shared" si="34"/>
        <v>923.11111111111109</v>
      </c>
      <c r="X44" s="467">
        <f t="shared" si="35"/>
        <v>0</v>
      </c>
      <c r="Y44" s="85">
        <f t="shared" si="42"/>
        <v>553.85999999998603</v>
      </c>
      <c r="Z44" s="10"/>
    </row>
    <row r="45" spans="1:26" ht="12.75" customHeight="1" x14ac:dyDescent="0.2">
      <c r="B45" s="338">
        <v>80810.559999999998</v>
      </c>
      <c r="C45" s="339">
        <v>80813.539999999994</v>
      </c>
      <c r="D45" s="340" t="s">
        <v>30</v>
      </c>
      <c r="E45" s="340" t="s">
        <v>105</v>
      </c>
      <c r="F45" s="340" t="s">
        <v>106</v>
      </c>
      <c r="G45" s="103" t="str">
        <f t="shared" si="26"/>
        <v>E/S - F/C</v>
      </c>
      <c r="H45" s="77">
        <f t="shared" si="43"/>
        <v>3.5</v>
      </c>
      <c r="I45" s="27">
        <f t="shared" si="40"/>
        <v>0.16555555555532919</v>
      </c>
      <c r="J45" s="78">
        <f t="shared" si="41"/>
        <v>0</v>
      </c>
      <c r="K45" s="83">
        <f t="shared" si="27"/>
        <v>2.9799999999959255</v>
      </c>
      <c r="L45" s="345">
        <v>28</v>
      </c>
      <c r="M45" s="124">
        <f t="shared" si="15"/>
        <v>84</v>
      </c>
      <c r="N45" s="347">
        <v>0</v>
      </c>
      <c r="O45" s="123">
        <f t="shared" ref="O45:O46" si="44">SUM(M45:N45)</f>
        <v>84</v>
      </c>
      <c r="P45" s="493">
        <f t="shared" si="28"/>
        <v>10.492222222220638</v>
      </c>
      <c r="Q45" s="210">
        <f t="shared" si="29"/>
        <v>5.2461111111103192E-3</v>
      </c>
      <c r="R45" s="85">
        <f t="shared" si="30"/>
        <v>0</v>
      </c>
      <c r="S45" s="135">
        <f t="shared" si="31"/>
        <v>0</v>
      </c>
      <c r="T45" s="85">
        <f t="shared" si="32"/>
        <v>0</v>
      </c>
      <c r="U45" s="83">
        <f t="shared" si="33"/>
        <v>1.7211111111108848</v>
      </c>
      <c r="V45" s="384">
        <v>0</v>
      </c>
      <c r="W45" s="111">
        <f t="shared" si="34"/>
        <v>9.3333333333333339</v>
      </c>
      <c r="X45" s="467">
        <f t="shared" si="35"/>
        <v>5.9783950617202208E-2</v>
      </c>
      <c r="Y45" s="85">
        <f t="shared" si="42"/>
        <v>5.9599999999918509</v>
      </c>
      <c r="Z45" s="10"/>
    </row>
    <row r="46" spans="1:26" ht="12.75" customHeight="1" x14ac:dyDescent="0.2">
      <c r="B46" s="338">
        <v>80813.539999999994</v>
      </c>
      <c r="C46" s="339">
        <v>82090.16</v>
      </c>
      <c r="D46" s="340" t="s">
        <v>30</v>
      </c>
      <c r="E46" s="340" t="s">
        <v>105</v>
      </c>
      <c r="F46" s="340" t="s">
        <v>105</v>
      </c>
      <c r="G46" s="103" t="str">
        <f t="shared" si="26"/>
        <v>E/S - E/S</v>
      </c>
      <c r="H46" s="77">
        <f t="shared" si="43"/>
        <v>3</v>
      </c>
      <c r="I46" s="27">
        <f t="shared" si="40"/>
        <v>70.923333333333886</v>
      </c>
      <c r="J46" s="78">
        <f t="shared" si="41"/>
        <v>0</v>
      </c>
      <c r="K46" s="83">
        <f t="shared" si="27"/>
        <v>1276.6200000000099</v>
      </c>
      <c r="L46" s="345">
        <v>26</v>
      </c>
      <c r="M46" s="124">
        <f t="shared" si="15"/>
        <v>33193</v>
      </c>
      <c r="N46" s="347">
        <v>0</v>
      </c>
      <c r="O46" s="123">
        <f t="shared" si="44"/>
        <v>33193</v>
      </c>
      <c r="P46" s="493">
        <f t="shared" si="28"/>
        <v>4113.651111111114</v>
      </c>
      <c r="Q46" s="210">
        <f t="shared" si="29"/>
        <v>2.056825555555557</v>
      </c>
      <c r="R46" s="85">
        <f t="shared" si="30"/>
        <v>0</v>
      </c>
      <c r="S46" s="135">
        <f t="shared" si="31"/>
        <v>0</v>
      </c>
      <c r="T46" s="85">
        <f t="shared" si="32"/>
        <v>0</v>
      </c>
      <c r="U46" s="83">
        <f t="shared" si="33"/>
        <v>685.60851851851908</v>
      </c>
      <c r="V46" s="384">
        <v>0</v>
      </c>
      <c r="W46" s="111">
        <f t="shared" si="34"/>
        <v>3688.1111111111113</v>
      </c>
      <c r="X46" s="467">
        <f t="shared" si="35"/>
        <v>25.611203703703904</v>
      </c>
      <c r="Y46" s="85">
        <f t="shared" si="42"/>
        <v>2553.2400000000198</v>
      </c>
      <c r="Z46" s="10"/>
    </row>
    <row r="47" spans="1:26" ht="12.75" customHeight="1" x14ac:dyDescent="0.2">
      <c r="B47" s="338">
        <v>82090.16</v>
      </c>
      <c r="C47" s="339">
        <v>82138.67</v>
      </c>
      <c r="D47" s="340" t="s">
        <v>30</v>
      </c>
      <c r="E47" s="340" t="s">
        <v>105</v>
      </c>
      <c r="F47" s="340" t="s">
        <v>106</v>
      </c>
      <c r="G47" s="103" t="str">
        <f t="shared" si="26"/>
        <v>E/S - F/C</v>
      </c>
      <c r="H47" s="77">
        <f t="shared" si="43"/>
        <v>3.5</v>
      </c>
      <c r="I47" s="27">
        <f t="shared" si="40"/>
        <v>2.694999999999709</v>
      </c>
      <c r="J47" s="78">
        <f t="shared" si="41"/>
        <v>0</v>
      </c>
      <c r="K47" s="83">
        <f t="shared" si="27"/>
        <v>48.509999999994761</v>
      </c>
      <c r="L47" s="345">
        <v>26</v>
      </c>
      <c r="M47" s="124">
        <f t="shared" si="15"/>
        <v>1262</v>
      </c>
      <c r="N47" s="347">
        <v>0</v>
      </c>
      <c r="O47" s="123">
        <f t="shared" si="2"/>
        <v>1262</v>
      </c>
      <c r="P47" s="493">
        <f t="shared" si="28"/>
        <v>159.08722222222019</v>
      </c>
      <c r="Q47" s="210">
        <f t="shared" si="29"/>
        <v>7.9543611111110094E-2</v>
      </c>
      <c r="R47" s="85">
        <f t="shared" si="30"/>
        <v>0</v>
      </c>
      <c r="S47" s="135">
        <f t="shared" si="31"/>
        <v>0</v>
      </c>
      <c r="T47" s="85">
        <f t="shared" si="32"/>
        <v>0</v>
      </c>
      <c r="U47" s="83">
        <f t="shared" si="33"/>
        <v>26.065370370370079</v>
      </c>
      <c r="V47" s="384">
        <v>0</v>
      </c>
      <c r="W47" s="111">
        <f t="shared" si="34"/>
        <v>140.22222222222223</v>
      </c>
      <c r="X47" s="467">
        <f t="shared" si="35"/>
        <v>0.97319444444433933</v>
      </c>
      <c r="Y47" s="85">
        <f t="shared" si="42"/>
        <v>97.019999999989523</v>
      </c>
      <c r="Z47" s="10"/>
    </row>
    <row r="48" spans="1:26" ht="12.75" customHeight="1" x14ac:dyDescent="0.2">
      <c r="B48" s="338">
        <v>82138.67</v>
      </c>
      <c r="C48" s="339">
        <v>82188.67</v>
      </c>
      <c r="D48" s="340" t="s">
        <v>30</v>
      </c>
      <c r="E48" s="340" t="s">
        <v>105</v>
      </c>
      <c r="F48" s="340" t="s">
        <v>106</v>
      </c>
      <c r="G48" s="103" t="str">
        <f t="shared" si="26"/>
        <v>E/S - F/C</v>
      </c>
      <c r="H48" s="77">
        <f t="shared" si="43"/>
        <v>3.5</v>
      </c>
      <c r="I48" s="27">
        <f t="shared" si="40"/>
        <v>2.7777777777777777</v>
      </c>
      <c r="J48" s="78">
        <f t="shared" si="41"/>
        <v>0</v>
      </c>
      <c r="K48" s="83">
        <f t="shared" si="27"/>
        <v>50</v>
      </c>
      <c r="L48" s="345">
        <v>27</v>
      </c>
      <c r="M48" s="124">
        <f t="shared" si="15"/>
        <v>1350</v>
      </c>
      <c r="N48" s="347">
        <v>0</v>
      </c>
      <c r="O48" s="123">
        <f t="shared" si="2"/>
        <v>1350</v>
      </c>
      <c r="P48" s="493">
        <f t="shared" si="28"/>
        <v>169.44444444444446</v>
      </c>
      <c r="Q48" s="210">
        <f t="shared" si="29"/>
        <v>8.4722222222222227E-2</v>
      </c>
      <c r="R48" s="85">
        <f t="shared" si="30"/>
        <v>0</v>
      </c>
      <c r="S48" s="135">
        <f t="shared" si="31"/>
        <v>0</v>
      </c>
      <c r="T48" s="85">
        <f t="shared" si="32"/>
        <v>0</v>
      </c>
      <c r="U48" s="83">
        <f t="shared" si="33"/>
        <v>27.777777777777779</v>
      </c>
      <c r="V48" s="384">
        <v>0</v>
      </c>
      <c r="W48" s="111">
        <f t="shared" si="34"/>
        <v>150</v>
      </c>
      <c r="X48" s="467">
        <f t="shared" si="35"/>
        <v>1.0030864197530864</v>
      </c>
      <c r="Y48" s="85">
        <f t="shared" si="42"/>
        <v>100</v>
      </c>
      <c r="Z48" s="10"/>
    </row>
    <row r="49" spans="1:26" ht="12.75" customHeight="1" thickBot="1" x14ac:dyDescent="0.25">
      <c r="B49" s="107"/>
      <c r="C49" s="82"/>
      <c r="D49" s="32"/>
      <c r="E49" s="32"/>
      <c r="F49" s="32"/>
      <c r="G49" s="32"/>
      <c r="H49" s="80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9"/>
      <c r="Z49" s="174"/>
    </row>
    <row r="50" spans="1:26" ht="12.75" customHeight="1" x14ac:dyDescent="0.2">
      <c r="B50" s="643" t="s">
        <v>210</v>
      </c>
      <c r="C50" s="644"/>
      <c r="D50" s="100"/>
      <c r="E50" s="100"/>
      <c r="F50" s="100"/>
      <c r="G50" s="100"/>
      <c r="H50" s="112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35"/>
      <c r="Z50" s="175"/>
    </row>
    <row r="51" spans="1:26" ht="12.75" customHeight="1" x14ac:dyDescent="0.2">
      <c r="B51" s="338">
        <v>79735.179999999993</v>
      </c>
      <c r="C51" s="339">
        <v>79968.09</v>
      </c>
      <c r="D51" s="340" t="s">
        <v>30</v>
      </c>
      <c r="E51" s="340" t="s">
        <v>105</v>
      </c>
      <c r="F51" s="340" t="s">
        <v>106</v>
      </c>
      <c r="G51" s="103" t="str">
        <f t="shared" ref="G51:G63" si="45">IF(AND($E51=$AA$2,$F51=$AA$2),$AC$2,IF(OR(AND($E51=$AA$2,$F51=$AA$3),AND($E51=$AA$3,$F51=$AA$2)),$AC$3,IF(OR(AND($E51=$AA$2,$F51=$AA$4),AND($E51=$AA$4,$F51=$AA$2)),$AC$4,IF(OR(AND($E51=$AA$3,$F51=$AA$4),AND($E51=$AA$4,$F51=$AA$3)),$AC$5,IF(AND($E51=$AA$3,$F51=$AA$3),$AC$6,IF(AND($E51=$AA$4,$F51=$AA$4),$AC$7,"-"))))))</f>
        <v>E/S - F/C</v>
      </c>
      <c r="H51" s="77">
        <f t="shared" ref="H51:H53" si="46">IF(AND($E51=$AA$2,$F51=$AA$2),2*$AC$12,IF(OR(AND($E51=$AA$2, $F51=$AA$3),AND($E51=$AA$3,$F51=$AA$2)),$AC$12+$AC$13,IF(OR(AND($E51=$AA$2,$F51=$AA$4),AND($E51=$AA$4,$F51=$AA$2)),$AC$12,IF(OR(AND($E51=$AA$3,$F51=$AA$4),AND($E51=$AA$4,$F51=$AA$3)),$AC$13,IF(AND($E51=$AA$3,$F51=$AA$3),2*$AC$13,0)))))</f>
        <v>3.5</v>
      </c>
      <c r="I51" s="27">
        <f t="shared" ref="I51:I53" si="47">IF(AND($E51=$AA$2,$F51=$AA$2),2*$AF$12*$K51/27,IF(OR(AND($E51=$AA$2,$F51=$AA$3),AND($E51=$AA$3,$F51=$AA$2)),($AF$12+$AF$13)*$K51/27,IF(OR(AND($E51=$AA$2,$F51=$AA$4),AND($E51=$AA$4,$F51=$AA$2)),$AF$12*$K51/27,IF(OR(AND($E51=$AA$3,$F51=$AA$4),AND($E51=$AA$4,$F51=$AA$3)),$AF$13*$K51/27,IF(AND($E51=$AA$3,$F51=$AA$3),2*$AF$13*$K51/27,0)))))</f>
        <v>12.939444444444639</v>
      </c>
      <c r="J51" s="78">
        <f t="shared" ref="J51:J53" si="48">IF(OR(AND($E51=$AA$2,$F51=$AA$4),AND($E51=$AA$4,$F51=$AA$2)),$AI$14,IF(OR(AND($E51=$AA$3,$F51=$AA$4),AND($E51=$AA$4,$F51=$AA$3)),$AI$14,IF(AND($E51=$AA$4,$F51=$AA$4),2*$AI$14,0)))</f>
        <v>0</v>
      </c>
      <c r="K51" s="83">
        <f t="shared" ref="K51:K63" si="49">C51-B51</f>
        <v>232.91000000000349</v>
      </c>
      <c r="L51" s="345">
        <v>28</v>
      </c>
      <c r="M51" s="124">
        <f t="shared" si="15"/>
        <v>6522</v>
      </c>
      <c r="N51" s="347">
        <v>0</v>
      </c>
      <c r="O51" s="123">
        <f t="shared" si="2"/>
        <v>6522</v>
      </c>
      <c r="P51" s="493">
        <f t="shared" ref="P51:P63" si="50">IF(OR($A51="APP SLAB",O51=0),0,($O51+$H51*$K51)/9)</f>
        <v>815.24277777777911</v>
      </c>
      <c r="Q51" s="210">
        <f t="shared" ref="Q51:Q63" si="51">IF(AND(P51=0,S51=0),0,IF(S51=0,P51/2000,S51/2000))</f>
        <v>0.40762138888888955</v>
      </c>
      <c r="R51" s="85">
        <f t="shared" ref="R51:R63" si="52">IF(A51="APP SLAB",0,S51)</f>
        <v>0</v>
      </c>
      <c r="S51" s="135">
        <f t="shared" ref="S51:S63" si="53">IF(OR(A51="APP SLAB",P51&lt;&gt;0),0,(O51+H51*K51)/9)</f>
        <v>0</v>
      </c>
      <c r="T51" s="85">
        <f t="shared" ref="T51:T63" si="54">IF(A51="APP SLAB",0,$S$1*S51*110*0.06*0.75/2000)</f>
        <v>0</v>
      </c>
      <c r="U51" s="83">
        <f t="shared" ref="U51:U63" si="55">IF(O51=0,0,(O51*$U$1/12)/27+I51)</f>
        <v>133.7172222222224</v>
      </c>
      <c r="V51" s="384">
        <v>0</v>
      </c>
      <c r="W51" s="111">
        <f t="shared" ref="W51:W63" si="56">IF($A51="APP SLAB",0,(O51+K51*J51)/9)</f>
        <v>724.66666666666663</v>
      </c>
      <c r="X51" s="467">
        <f t="shared" ref="X51:X63" si="57">IF(AND($E51=$F51="Uncurbed"),(2*$K51*2*$X$1/12)/27,IF(OR($E51="Uncurbed",$F51="Uncurbed"),($K51*2*$X$1/12)/27,IF(OR(AND($E51="Med. Barr.",$F51="Curbed"),AND($E51="Curbed",$F51="Med. Barr."),$E51=$F51,$E51="Unique",$F51="Unique",$E51="-",$F51="-"),0,"?")))</f>
        <v>4.6725771604938968</v>
      </c>
      <c r="Y51" s="85">
        <f>IF($A51="APP SLAB",0,($K51*2))</f>
        <v>465.82000000000698</v>
      </c>
      <c r="Z51" s="10"/>
    </row>
    <row r="52" spans="1:26" ht="12.75" customHeight="1" x14ac:dyDescent="0.2">
      <c r="B52" s="338">
        <v>79968.09</v>
      </c>
      <c r="C52" s="339">
        <v>80213.09</v>
      </c>
      <c r="D52" s="340" t="s">
        <v>30</v>
      </c>
      <c r="E52" s="340" t="s">
        <v>105</v>
      </c>
      <c r="F52" s="340" t="s">
        <v>105</v>
      </c>
      <c r="G52" s="103" t="str">
        <f t="shared" si="45"/>
        <v>E/S - E/S</v>
      </c>
      <c r="H52" s="77">
        <f t="shared" si="46"/>
        <v>3</v>
      </c>
      <c r="I52" s="27">
        <f t="shared" si="47"/>
        <v>13.611111111111111</v>
      </c>
      <c r="J52" s="78">
        <f t="shared" si="48"/>
        <v>0</v>
      </c>
      <c r="K52" s="83">
        <f t="shared" si="49"/>
        <v>245</v>
      </c>
      <c r="L52" s="345">
        <v>26</v>
      </c>
      <c r="M52" s="124">
        <f t="shared" si="15"/>
        <v>6370</v>
      </c>
      <c r="N52" s="347">
        <v>0</v>
      </c>
      <c r="O52" s="123">
        <f t="shared" si="2"/>
        <v>6370</v>
      </c>
      <c r="P52" s="493">
        <f t="shared" si="50"/>
        <v>789.44444444444446</v>
      </c>
      <c r="Q52" s="210">
        <f t="shared" si="51"/>
        <v>0.39472222222222225</v>
      </c>
      <c r="R52" s="85">
        <f t="shared" si="52"/>
        <v>0</v>
      </c>
      <c r="S52" s="135">
        <f t="shared" si="53"/>
        <v>0</v>
      </c>
      <c r="T52" s="85">
        <f t="shared" si="54"/>
        <v>0</v>
      </c>
      <c r="U52" s="83">
        <f t="shared" si="55"/>
        <v>131.57407407407408</v>
      </c>
      <c r="V52" s="384">
        <v>0</v>
      </c>
      <c r="W52" s="111">
        <f t="shared" si="56"/>
        <v>707.77777777777783</v>
      </c>
      <c r="X52" s="467">
        <f t="shared" si="57"/>
        <v>4.9151234567901234</v>
      </c>
      <c r="Y52" s="85">
        <f>IF($A52="APP SLAB",0,($K52*2))</f>
        <v>490</v>
      </c>
      <c r="Z52" s="10"/>
    </row>
    <row r="53" spans="1:26" ht="12.75" customHeight="1" x14ac:dyDescent="0.2">
      <c r="B53" s="338">
        <v>80213.09</v>
      </c>
      <c r="C53" s="339">
        <v>80254.429999999993</v>
      </c>
      <c r="D53" s="340" t="s">
        <v>30</v>
      </c>
      <c r="E53" s="340" t="s">
        <v>106</v>
      </c>
      <c r="F53" s="340" t="s">
        <v>105</v>
      </c>
      <c r="G53" s="103" t="str">
        <f t="shared" si="45"/>
        <v>E/S - F/C</v>
      </c>
      <c r="H53" s="77">
        <f t="shared" si="46"/>
        <v>3.5</v>
      </c>
      <c r="I53" s="27">
        <f t="shared" si="47"/>
        <v>2.2966666666664728</v>
      </c>
      <c r="J53" s="78">
        <f t="shared" si="48"/>
        <v>0</v>
      </c>
      <c r="K53" s="83">
        <f t="shared" si="49"/>
        <v>41.339999999996508</v>
      </c>
      <c r="L53" s="345">
        <v>28</v>
      </c>
      <c r="M53" s="124">
        <f t="shared" si="15"/>
        <v>1158</v>
      </c>
      <c r="N53" s="347">
        <v>0</v>
      </c>
      <c r="O53" s="123">
        <f t="shared" si="2"/>
        <v>1158</v>
      </c>
      <c r="P53" s="493">
        <f t="shared" si="50"/>
        <v>144.74333333333198</v>
      </c>
      <c r="Q53" s="210">
        <f t="shared" si="51"/>
        <v>7.2371666666665987E-2</v>
      </c>
      <c r="R53" s="85">
        <f t="shared" si="52"/>
        <v>0</v>
      </c>
      <c r="S53" s="135">
        <f t="shared" si="53"/>
        <v>0</v>
      </c>
      <c r="T53" s="85">
        <f t="shared" si="54"/>
        <v>0</v>
      </c>
      <c r="U53" s="83">
        <f t="shared" si="55"/>
        <v>23.741111111110914</v>
      </c>
      <c r="V53" s="384">
        <v>0</v>
      </c>
      <c r="W53" s="111">
        <f t="shared" si="56"/>
        <v>128.66666666666666</v>
      </c>
      <c r="X53" s="467">
        <f t="shared" si="57"/>
        <v>0.82935185185178184</v>
      </c>
      <c r="Y53" s="85">
        <f>IF($A53="APP SLAB",0,($K53*2))</f>
        <v>82.679999999993015</v>
      </c>
      <c r="Z53" s="10"/>
    </row>
    <row r="54" spans="1:26" ht="12.75" customHeight="1" x14ac:dyDescent="0.2">
      <c r="B54" s="338">
        <v>80254.429999999993</v>
      </c>
      <c r="C54" s="339">
        <v>80563.850000000006</v>
      </c>
      <c r="D54" s="340" t="s">
        <v>15</v>
      </c>
      <c r="E54" s="340" t="s">
        <v>106</v>
      </c>
      <c r="F54" s="340" t="s">
        <v>112</v>
      </c>
      <c r="G54" s="103" t="str">
        <f t="shared" si="45"/>
        <v>-</v>
      </c>
      <c r="H54" s="352">
        <v>1.5</v>
      </c>
      <c r="I54" s="341">
        <v>5.73</v>
      </c>
      <c r="J54" s="361">
        <v>0</v>
      </c>
      <c r="K54" s="83">
        <f t="shared" si="49"/>
        <v>309.42000000001281</v>
      </c>
      <c r="L54" s="345">
        <v>22</v>
      </c>
      <c r="M54" s="124">
        <f t="shared" si="15"/>
        <v>6808</v>
      </c>
      <c r="N54" s="347">
        <v>0</v>
      </c>
      <c r="O54" s="123">
        <f t="shared" si="2"/>
        <v>6808</v>
      </c>
      <c r="P54" s="493">
        <f t="shared" si="50"/>
        <v>808.01444444444655</v>
      </c>
      <c r="Q54" s="210">
        <f t="shared" si="51"/>
        <v>0.40400722222222329</v>
      </c>
      <c r="R54" s="85">
        <f t="shared" si="52"/>
        <v>0</v>
      </c>
      <c r="S54" s="135">
        <f t="shared" si="53"/>
        <v>0</v>
      </c>
      <c r="T54" s="85">
        <f t="shared" si="54"/>
        <v>0</v>
      </c>
      <c r="U54" s="83">
        <f t="shared" si="55"/>
        <v>131.80407407407407</v>
      </c>
      <c r="V54" s="384">
        <v>0</v>
      </c>
      <c r="W54" s="111">
        <f t="shared" si="56"/>
        <v>756.44444444444446</v>
      </c>
      <c r="X54" s="467">
        <f t="shared" si="57"/>
        <v>0</v>
      </c>
      <c r="Y54" s="85">
        <f>IF($A54="APP SLAB",0,($K54))</f>
        <v>309.42000000001281</v>
      </c>
      <c r="Z54" s="10"/>
    </row>
    <row r="55" spans="1:26" ht="12.75" customHeight="1" x14ac:dyDescent="0.2">
      <c r="B55" s="338">
        <v>80254.429999999993</v>
      </c>
      <c r="C55" s="339">
        <v>80525.570000000007</v>
      </c>
      <c r="D55" s="340" t="s">
        <v>16</v>
      </c>
      <c r="E55" s="340" t="s">
        <v>112</v>
      </c>
      <c r="F55" s="340" t="s">
        <v>106</v>
      </c>
      <c r="G55" s="103" t="str">
        <f t="shared" si="45"/>
        <v>-</v>
      </c>
      <c r="H55" s="352">
        <v>1.5</v>
      </c>
      <c r="I55" s="341">
        <v>5.0199999999999996</v>
      </c>
      <c r="J55" s="361">
        <v>0</v>
      </c>
      <c r="K55" s="83">
        <f t="shared" si="49"/>
        <v>271.14000000001397</v>
      </c>
      <c r="L55" s="345" t="s">
        <v>101</v>
      </c>
      <c r="M55" s="124">
        <f t="shared" si="15"/>
        <v>0</v>
      </c>
      <c r="N55" s="347">
        <v>9983</v>
      </c>
      <c r="O55" s="123">
        <f t="shared" si="2"/>
        <v>9983</v>
      </c>
      <c r="P55" s="493">
        <f t="shared" si="50"/>
        <v>1154.4122222222245</v>
      </c>
      <c r="Q55" s="210">
        <f t="shared" si="51"/>
        <v>0.5772061111111122</v>
      </c>
      <c r="R55" s="85">
        <f t="shared" si="52"/>
        <v>0</v>
      </c>
      <c r="S55" s="135">
        <f t="shared" si="53"/>
        <v>0</v>
      </c>
      <c r="T55" s="85">
        <f t="shared" si="54"/>
        <v>0</v>
      </c>
      <c r="U55" s="83">
        <f t="shared" si="55"/>
        <v>189.89037037037039</v>
      </c>
      <c r="V55" s="384">
        <v>0</v>
      </c>
      <c r="W55" s="111">
        <f t="shared" si="56"/>
        <v>1109.2222222222222</v>
      </c>
      <c r="X55" s="467">
        <f t="shared" si="57"/>
        <v>0</v>
      </c>
      <c r="Y55" s="85">
        <f>IF($A55="APP SLAB",0,($K55))</f>
        <v>271.14000000001397</v>
      </c>
      <c r="Z55" s="10"/>
    </row>
    <row r="56" spans="1:26" ht="12.75" customHeight="1" x14ac:dyDescent="0.2">
      <c r="B56" s="338">
        <v>80525.570000000007</v>
      </c>
      <c r="C56" s="339">
        <v>80563.850000000006</v>
      </c>
      <c r="D56" s="340" t="s">
        <v>16</v>
      </c>
      <c r="E56" s="340" t="s">
        <v>112</v>
      </c>
      <c r="F56" s="340" t="s">
        <v>101</v>
      </c>
      <c r="G56" s="103" t="str">
        <f t="shared" si="45"/>
        <v>-</v>
      </c>
      <c r="H56" s="352">
        <v>0</v>
      </c>
      <c r="I56" s="341">
        <v>0</v>
      </c>
      <c r="J56" s="361">
        <v>0</v>
      </c>
      <c r="K56" s="83">
        <f t="shared" si="49"/>
        <v>38.279999999998836</v>
      </c>
      <c r="L56" s="345" t="s">
        <v>101</v>
      </c>
      <c r="M56" s="124">
        <f t="shared" si="15"/>
        <v>0</v>
      </c>
      <c r="N56" s="347">
        <v>682</v>
      </c>
      <c r="O56" s="123">
        <f t="shared" si="2"/>
        <v>682</v>
      </c>
      <c r="P56" s="493">
        <f t="shared" si="50"/>
        <v>75.777777777777771</v>
      </c>
      <c r="Q56" s="210">
        <f t="shared" si="51"/>
        <v>3.7888888888888889E-2</v>
      </c>
      <c r="R56" s="85">
        <f t="shared" si="52"/>
        <v>0</v>
      </c>
      <c r="S56" s="135">
        <f t="shared" si="53"/>
        <v>0</v>
      </c>
      <c r="T56" s="85">
        <f t="shared" si="54"/>
        <v>0</v>
      </c>
      <c r="U56" s="83">
        <f t="shared" si="55"/>
        <v>12.62962962962963</v>
      </c>
      <c r="V56" s="384">
        <v>0</v>
      </c>
      <c r="W56" s="111">
        <f t="shared" si="56"/>
        <v>75.777777777777771</v>
      </c>
      <c r="X56" s="467">
        <f t="shared" si="57"/>
        <v>0</v>
      </c>
      <c r="Y56" s="85">
        <f>IF($A56="APP SLAB",0,($K56))</f>
        <v>38.279999999998836</v>
      </c>
      <c r="Z56" s="10"/>
    </row>
    <row r="57" spans="1:26" ht="12.75" customHeight="1" x14ac:dyDescent="0.2">
      <c r="A57" s="106" t="s">
        <v>28</v>
      </c>
      <c r="B57" s="338">
        <v>80563.850000000006</v>
      </c>
      <c r="C57" s="339">
        <v>80593.850000000006</v>
      </c>
      <c r="D57" s="340" t="s">
        <v>30</v>
      </c>
      <c r="E57" s="340" t="s">
        <v>101</v>
      </c>
      <c r="F57" s="340" t="s">
        <v>101</v>
      </c>
      <c r="G57" s="103" t="str">
        <f t="shared" si="45"/>
        <v>-</v>
      </c>
      <c r="H57" s="77">
        <f t="shared" ref="H57:H58" si="58">IF(AND($E57=$AA$2,$F57=$AA$2),2*$AC$12,IF(OR(AND($E57=$AA$2, $F57=$AA$3),AND($E57=$AA$3,$F57=$AA$2)),$AC$12+$AC$13,IF(OR(AND($E57=$AA$2,$F57=$AA$4),AND($E57=$AA$4,$F57=$AA$2)),$AC$12,IF(OR(AND($E57=$AA$3,$F57=$AA$4),AND($E57=$AA$4,$F57=$AA$3)),$AC$13,IF(AND($E57=$AA$3,$F57=$AA$3),2*$AC$13,0)))))</f>
        <v>0</v>
      </c>
      <c r="I57" s="27">
        <f t="shared" ref="I57:I58" si="59">IF(AND($E57=$AA$2,$F57=$AA$2),2*$AF$12*$K57/27,IF(OR(AND($E57=$AA$2,$F57=$AA$3),AND($E57=$AA$3,$F57=$AA$2)),($AF$12+$AF$13)*$K57/27,IF(OR(AND($E57=$AA$2,$F57=$AA$4),AND($E57=$AA$4,$F57=$AA$2)),$AF$12*$K57/27,IF(OR(AND($E57=$AA$3,$F57=$AA$4),AND($E57=$AA$4,$F57=$AA$3)),$AF$13*$K57/27,IF(AND($E57=$AA$3,$F57=$AA$3),2*$AF$13*$K57/27,0)))))</f>
        <v>0</v>
      </c>
      <c r="J57" s="78">
        <f t="shared" ref="J57:J58" si="60">IF(OR(AND($E57=$AA$2,$F57=$AA$4),AND($E57=$AA$4,$F57=$AA$2)),$AI$14,IF(OR(AND($E57=$AA$3,$F57=$AA$4),AND($E57=$AA$4,$F57=$AA$3)),$AI$14,IF(AND($E57=$AA$4,$F57=$AA$4),2*$AI$14,0)))</f>
        <v>0</v>
      </c>
      <c r="K57" s="83">
        <f t="shared" si="49"/>
        <v>30</v>
      </c>
      <c r="L57" s="345" t="s">
        <v>101</v>
      </c>
      <c r="M57" s="124">
        <f t="shared" si="15"/>
        <v>0</v>
      </c>
      <c r="N57" s="347">
        <v>1890</v>
      </c>
      <c r="O57" s="123">
        <f t="shared" si="2"/>
        <v>1890</v>
      </c>
      <c r="P57" s="493">
        <f t="shared" si="50"/>
        <v>0</v>
      </c>
      <c r="Q57" s="210">
        <f t="shared" si="51"/>
        <v>0</v>
      </c>
      <c r="R57" s="85">
        <f t="shared" si="52"/>
        <v>0</v>
      </c>
      <c r="S57" s="135">
        <f t="shared" si="53"/>
        <v>0</v>
      </c>
      <c r="T57" s="85">
        <f t="shared" si="54"/>
        <v>0</v>
      </c>
      <c r="U57" s="83">
        <f t="shared" si="55"/>
        <v>35</v>
      </c>
      <c r="V57" s="384">
        <v>84.4</v>
      </c>
      <c r="W57" s="111">
        <f t="shared" si="56"/>
        <v>0</v>
      </c>
      <c r="X57" s="467">
        <f t="shared" si="57"/>
        <v>0</v>
      </c>
      <c r="Y57" s="85">
        <f>IF($A57="APP SLAB",0,($K57*2))</f>
        <v>0</v>
      </c>
      <c r="Z57" s="10"/>
    </row>
    <row r="58" spans="1:26" ht="12.75" customHeight="1" x14ac:dyDescent="0.2">
      <c r="A58" s="106" t="s">
        <v>28</v>
      </c>
      <c r="B58" s="338">
        <v>80693.98</v>
      </c>
      <c r="C58" s="339">
        <v>80723.98</v>
      </c>
      <c r="D58" s="340" t="s">
        <v>30</v>
      </c>
      <c r="E58" s="340" t="s">
        <v>101</v>
      </c>
      <c r="F58" s="340" t="s">
        <v>101</v>
      </c>
      <c r="G58" s="103" t="str">
        <f t="shared" si="45"/>
        <v>-</v>
      </c>
      <c r="H58" s="77">
        <f t="shared" si="58"/>
        <v>0</v>
      </c>
      <c r="I58" s="27">
        <f t="shared" si="59"/>
        <v>0</v>
      </c>
      <c r="J58" s="78">
        <f t="shared" si="60"/>
        <v>0</v>
      </c>
      <c r="K58" s="83">
        <f t="shared" si="49"/>
        <v>30</v>
      </c>
      <c r="L58" s="345" t="s">
        <v>101</v>
      </c>
      <c r="M58" s="124">
        <f t="shared" si="15"/>
        <v>0</v>
      </c>
      <c r="N58" s="347">
        <v>1803</v>
      </c>
      <c r="O58" s="123">
        <f t="shared" si="2"/>
        <v>1803</v>
      </c>
      <c r="P58" s="493">
        <f t="shared" si="50"/>
        <v>0</v>
      </c>
      <c r="Q58" s="210">
        <f t="shared" si="51"/>
        <v>0</v>
      </c>
      <c r="R58" s="85">
        <f t="shared" si="52"/>
        <v>0</v>
      </c>
      <c r="S58" s="135">
        <f t="shared" si="53"/>
        <v>0</v>
      </c>
      <c r="T58" s="85">
        <f t="shared" si="54"/>
        <v>0</v>
      </c>
      <c r="U58" s="83">
        <f t="shared" si="55"/>
        <v>33.388888888888886</v>
      </c>
      <c r="V58" s="384">
        <v>70.2</v>
      </c>
      <c r="W58" s="111">
        <f t="shared" si="56"/>
        <v>0</v>
      </c>
      <c r="X58" s="467">
        <f t="shared" si="57"/>
        <v>0</v>
      </c>
      <c r="Y58" s="85">
        <f>IF($A58="APP SLAB",0,($K58*2))</f>
        <v>0</v>
      </c>
      <c r="Z58" s="10"/>
    </row>
    <row r="59" spans="1:26" ht="12.75" customHeight="1" x14ac:dyDescent="0.2">
      <c r="B59" s="338">
        <v>80723.98</v>
      </c>
      <c r="C59" s="339">
        <v>80741.149999999994</v>
      </c>
      <c r="D59" s="340" t="s">
        <v>15</v>
      </c>
      <c r="E59" s="340" t="s">
        <v>101</v>
      </c>
      <c r="F59" s="340" t="s">
        <v>112</v>
      </c>
      <c r="G59" s="103" t="str">
        <f t="shared" si="45"/>
        <v>-</v>
      </c>
      <c r="H59" s="352">
        <v>0</v>
      </c>
      <c r="I59" s="341">
        <v>0</v>
      </c>
      <c r="J59" s="361">
        <v>0</v>
      </c>
      <c r="K59" s="83">
        <f t="shared" si="49"/>
        <v>17.169999999998254</v>
      </c>
      <c r="L59" s="345" t="s">
        <v>101</v>
      </c>
      <c r="M59" s="124">
        <f t="shared" si="15"/>
        <v>0</v>
      </c>
      <c r="N59" s="347">
        <v>189</v>
      </c>
      <c r="O59" s="123">
        <f t="shared" si="2"/>
        <v>189</v>
      </c>
      <c r="P59" s="493">
        <f t="shared" si="50"/>
        <v>21</v>
      </c>
      <c r="Q59" s="210">
        <f t="shared" si="51"/>
        <v>1.0500000000000001E-2</v>
      </c>
      <c r="R59" s="85">
        <f t="shared" si="52"/>
        <v>0</v>
      </c>
      <c r="S59" s="135">
        <f t="shared" si="53"/>
        <v>0</v>
      </c>
      <c r="T59" s="85">
        <f t="shared" si="54"/>
        <v>0</v>
      </c>
      <c r="U59" s="83">
        <f t="shared" si="55"/>
        <v>3.5</v>
      </c>
      <c r="V59" s="384">
        <v>0</v>
      </c>
      <c r="W59" s="111">
        <f t="shared" si="56"/>
        <v>21</v>
      </c>
      <c r="X59" s="467">
        <f t="shared" si="57"/>
        <v>0</v>
      </c>
      <c r="Y59" s="85">
        <v>0</v>
      </c>
      <c r="Z59" s="10"/>
    </row>
    <row r="60" spans="1:26" ht="12.75" customHeight="1" x14ac:dyDescent="0.2">
      <c r="B60" s="338">
        <v>80697.58</v>
      </c>
      <c r="C60" s="339">
        <v>81419.11</v>
      </c>
      <c r="D60" s="340" t="s">
        <v>30</v>
      </c>
      <c r="E60" s="340" t="s">
        <v>112</v>
      </c>
      <c r="F60" s="340" t="s">
        <v>106</v>
      </c>
      <c r="G60" s="103" t="str">
        <f t="shared" si="45"/>
        <v>-</v>
      </c>
      <c r="H60" s="352">
        <v>1.5</v>
      </c>
      <c r="I60" s="341">
        <v>13.36</v>
      </c>
      <c r="J60" s="361">
        <v>0</v>
      </c>
      <c r="K60" s="83">
        <f t="shared" si="49"/>
        <v>721.52999999999884</v>
      </c>
      <c r="L60" s="345" t="s">
        <v>101</v>
      </c>
      <c r="M60" s="124">
        <f t="shared" si="15"/>
        <v>0</v>
      </c>
      <c r="N60" s="347">
        <v>18404</v>
      </c>
      <c r="O60" s="123">
        <f t="shared" si="2"/>
        <v>18404</v>
      </c>
      <c r="P60" s="493">
        <f t="shared" si="50"/>
        <v>2165.1438888888888</v>
      </c>
      <c r="Q60" s="210">
        <f t="shared" si="51"/>
        <v>1.0825719444444444</v>
      </c>
      <c r="R60" s="85">
        <f t="shared" si="52"/>
        <v>0</v>
      </c>
      <c r="S60" s="135">
        <f t="shared" si="53"/>
        <v>0</v>
      </c>
      <c r="T60" s="85">
        <f t="shared" si="54"/>
        <v>0</v>
      </c>
      <c r="U60" s="83">
        <f t="shared" si="55"/>
        <v>354.17481481481485</v>
      </c>
      <c r="V60" s="384">
        <v>0</v>
      </c>
      <c r="W60" s="111">
        <f t="shared" si="56"/>
        <v>2044.8888888888889</v>
      </c>
      <c r="X60" s="467">
        <f t="shared" si="57"/>
        <v>0</v>
      </c>
      <c r="Y60" s="85">
        <f>IF($A60="APP SLAB",0,($K60))</f>
        <v>721.52999999999884</v>
      </c>
      <c r="Z60" s="10"/>
    </row>
    <row r="61" spans="1:26" ht="12.75" customHeight="1" x14ac:dyDescent="0.2">
      <c r="B61" s="338">
        <v>80741.149999999994</v>
      </c>
      <c r="C61" s="339">
        <v>81059.83</v>
      </c>
      <c r="D61" s="340" t="s">
        <v>15</v>
      </c>
      <c r="E61" s="340" t="s">
        <v>106</v>
      </c>
      <c r="F61" s="340" t="s">
        <v>112</v>
      </c>
      <c r="G61" s="103" t="str">
        <f t="shared" si="45"/>
        <v>-</v>
      </c>
      <c r="H61" s="352">
        <v>1.5</v>
      </c>
      <c r="I61" s="341">
        <v>5.9</v>
      </c>
      <c r="J61" s="361">
        <v>0</v>
      </c>
      <c r="K61" s="83">
        <f t="shared" si="49"/>
        <v>318.68000000000757</v>
      </c>
      <c r="L61" s="345">
        <v>22</v>
      </c>
      <c r="M61" s="124">
        <f t="shared" si="15"/>
        <v>7011</v>
      </c>
      <c r="N61" s="347">
        <v>0</v>
      </c>
      <c r="O61" s="123">
        <f t="shared" si="2"/>
        <v>7011</v>
      </c>
      <c r="P61" s="493">
        <f t="shared" si="50"/>
        <v>832.11333333333459</v>
      </c>
      <c r="Q61" s="210">
        <f t="shared" si="51"/>
        <v>0.4160566666666673</v>
      </c>
      <c r="R61" s="85">
        <f t="shared" si="52"/>
        <v>0</v>
      </c>
      <c r="S61" s="135">
        <f t="shared" si="53"/>
        <v>0</v>
      </c>
      <c r="T61" s="85">
        <f t="shared" si="54"/>
        <v>0</v>
      </c>
      <c r="U61" s="83">
        <f t="shared" si="55"/>
        <v>135.73333333333335</v>
      </c>
      <c r="V61" s="384">
        <v>0</v>
      </c>
      <c r="W61" s="111">
        <f t="shared" si="56"/>
        <v>779</v>
      </c>
      <c r="X61" s="467">
        <f t="shared" si="57"/>
        <v>0</v>
      </c>
      <c r="Y61" s="85">
        <f>IF($A61="APP SLAB",0,($K61))</f>
        <v>318.68000000000757</v>
      </c>
      <c r="Z61" s="10"/>
    </row>
    <row r="62" spans="1:26" ht="12.75" customHeight="1" x14ac:dyDescent="0.2">
      <c r="B62" s="338">
        <v>81059.83</v>
      </c>
      <c r="C62" s="339">
        <v>81338.28</v>
      </c>
      <c r="D62" s="340" t="s">
        <v>15</v>
      </c>
      <c r="E62" s="340" t="s">
        <v>105</v>
      </c>
      <c r="F62" s="340" t="s">
        <v>112</v>
      </c>
      <c r="G62" s="103" t="str">
        <f t="shared" si="45"/>
        <v>-</v>
      </c>
      <c r="H62" s="352">
        <v>1.5</v>
      </c>
      <c r="I62" s="341">
        <v>7.73</v>
      </c>
      <c r="J62" s="361">
        <v>0</v>
      </c>
      <c r="K62" s="83">
        <f t="shared" si="49"/>
        <v>278.44999999999709</v>
      </c>
      <c r="L62" s="345">
        <v>20</v>
      </c>
      <c r="M62" s="124">
        <f t="shared" si="15"/>
        <v>5569</v>
      </c>
      <c r="N62" s="347">
        <v>0</v>
      </c>
      <c r="O62" s="123">
        <f t="shared" si="2"/>
        <v>5569</v>
      </c>
      <c r="P62" s="493">
        <f t="shared" si="50"/>
        <v>665.18611111111068</v>
      </c>
      <c r="Q62" s="210">
        <f t="shared" si="51"/>
        <v>0.33259305555555535</v>
      </c>
      <c r="R62" s="85">
        <f t="shared" si="52"/>
        <v>0</v>
      </c>
      <c r="S62" s="135">
        <f t="shared" si="53"/>
        <v>0</v>
      </c>
      <c r="T62" s="85">
        <f t="shared" si="54"/>
        <v>0</v>
      </c>
      <c r="U62" s="83">
        <f t="shared" si="55"/>
        <v>110.85962962962964</v>
      </c>
      <c r="V62" s="384">
        <v>0</v>
      </c>
      <c r="W62" s="111">
        <f t="shared" si="56"/>
        <v>618.77777777777783</v>
      </c>
      <c r="X62" s="467">
        <f t="shared" si="57"/>
        <v>5.5861882716048799</v>
      </c>
      <c r="Y62" s="85">
        <f>IF($A62="APP SLAB",0,($K62))</f>
        <v>278.44999999999709</v>
      </c>
      <c r="Z62" s="10"/>
    </row>
    <row r="63" spans="1:26" ht="12.75" customHeight="1" x14ac:dyDescent="0.2">
      <c r="A63" s="106" t="s">
        <v>28</v>
      </c>
      <c r="B63" s="338">
        <v>81383.960000000006</v>
      </c>
      <c r="C63" s="339">
        <v>81412.460000000006</v>
      </c>
      <c r="D63" s="340" t="s">
        <v>30</v>
      </c>
      <c r="E63" s="340" t="s">
        <v>101</v>
      </c>
      <c r="F63" s="340" t="s">
        <v>101</v>
      </c>
      <c r="G63" s="103" t="str">
        <f t="shared" si="45"/>
        <v>-</v>
      </c>
      <c r="H63" s="77">
        <f t="shared" ref="H63" si="61">IF(AND($E63=$AA$2,$F63=$AA$2),2*$AC$12,IF(OR(AND($E63=$AA$2, $F63=$AA$3),AND($E63=$AA$3,$F63=$AA$2)),$AC$12+$AC$13,IF(OR(AND($E63=$AA$2,$F63=$AA$4),AND($E63=$AA$4,$F63=$AA$2)),$AC$12,IF(OR(AND($E63=$AA$3,$F63=$AA$4),AND($E63=$AA$4,$F63=$AA$3)),$AC$13,IF(AND($E63=$AA$3,$F63=$AA$3),2*$AC$13,0)))))</f>
        <v>0</v>
      </c>
      <c r="I63" s="27">
        <f t="shared" ref="I63" si="62">IF(AND($E63=$AA$2,$F63=$AA$2),2*$AF$12*$K63/27,IF(OR(AND($E63=$AA$2,$F63=$AA$3),AND($E63=$AA$3,$F63=$AA$2)),($AF$12+$AF$13)*$K63/27,IF(OR(AND($E63=$AA$2,$F63=$AA$4),AND($E63=$AA$4,$F63=$AA$2)),$AF$12*$K63/27,IF(OR(AND($E63=$AA$3,$F63=$AA$4),AND($E63=$AA$4,$F63=$AA$3)),$AF$13*$K63/27,IF(AND($E63=$AA$3,$F63=$AA$3),2*$AF$13*$K63/27,0)))))</f>
        <v>0</v>
      </c>
      <c r="J63" s="78">
        <f t="shared" ref="J63" si="63">IF(OR(AND($E63=$AA$2,$F63=$AA$4),AND($E63=$AA$4,$F63=$AA$2)),$AI$14,IF(OR(AND($E63=$AA$3,$F63=$AA$4),AND($E63=$AA$4,$F63=$AA$3)),$AI$14,IF(AND($E63=$AA$4,$F63=$AA$4),2*$AI$14,0)))</f>
        <v>0</v>
      </c>
      <c r="K63" s="83">
        <f t="shared" si="49"/>
        <v>28.5</v>
      </c>
      <c r="L63" s="345" t="s">
        <v>101</v>
      </c>
      <c r="M63" s="124">
        <f t="shared" si="15"/>
        <v>0</v>
      </c>
      <c r="N63" s="347">
        <v>1038</v>
      </c>
      <c r="O63" s="123">
        <f t="shared" si="2"/>
        <v>1038</v>
      </c>
      <c r="P63" s="493">
        <f t="shared" si="50"/>
        <v>0</v>
      </c>
      <c r="Q63" s="210">
        <f t="shared" si="51"/>
        <v>0</v>
      </c>
      <c r="R63" s="85">
        <f t="shared" si="52"/>
        <v>0</v>
      </c>
      <c r="S63" s="135">
        <f t="shared" si="53"/>
        <v>0</v>
      </c>
      <c r="T63" s="85">
        <f t="shared" si="54"/>
        <v>0</v>
      </c>
      <c r="U63" s="83">
        <f t="shared" si="55"/>
        <v>19.222222222222221</v>
      </c>
      <c r="V63" s="384">
        <v>0</v>
      </c>
      <c r="W63" s="111">
        <f t="shared" si="56"/>
        <v>0</v>
      </c>
      <c r="X63" s="467">
        <f t="shared" si="57"/>
        <v>0</v>
      </c>
      <c r="Y63" s="85">
        <f>IF($A63="APP SLAB",0,($K63*2))</f>
        <v>0</v>
      </c>
      <c r="Z63" s="10"/>
    </row>
    <row r="64" spans="1:26" ht="12.75" customHeight="1" thickBot="1" x14ac:dyDescent="0.25">
      <c r="B64" s="107"/>
      <c r="C64" s="8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174"/>
    </row>
    <row r="65" spans="1:26" ht="12.75" customHeight="1" x14ac:dyDescent="0.2">
      <c r="A65" s="94"/>
      <c r="B65" s="707" t="s">
        <v>275</v>
      </c>
      <c r="C65" s="708"/>
      <c r="D65" s="585" t="s">
        <v>201</v>
      </c>
      <c r="E65" s="586"/>
      <c r="F65" s="586"/>
      <c r="G65" s="586"/>
      <c r="H65" s="586"/>
      <c r="I65" s="586"/>
      <c r="J65" s="586"/>
      <c r="K65" s="586"/>
      <c r="L65" s="586"/>
      <c r="M65" s="586"/>
      <c r="N65" s="586"/>
      <c r="O65" s="587"/>
      <c r="P65" s="592">
        <f>ROUNDUP(SUM(P18:P63),0)</f>
        <v>21344</v>
      </c>
      <c r="Q65" s="592">
        <f>ROUNDUP(SUM(Q18:Q63),0)</f>
        <v>19</v>
      </c>
      <c r="R65" s="592">
        <f>ROUNDUP(SUM(R18:R63),0)</f>
        <v>16103</v>
      </c>
      <c r="S65" s="592">
        <f t="shared" ref="S65:Y65" si="64">ROUNDUP(SUM(S18:S63),0)</f>
        <v>16103</v>
      </c>
      <c r="T65" s="592">
        <f t="shared" si="64"/>
        <v>479</v>
      </c>
      <c r="U65" s="592">
        <f t="shared" si="64"/>
        <v>6327</v>
      </c>
      <c r="V65" s="592">
        <f t="shared" si="64"/>
        <v>313</v>
      </c>
      <c r="W65" s="592">
        <f t="shared" si="64"/>
        <v>33988</v>
      </c>
      <c r="X65" s="592">
        <f t="shared" ref="X65" si="65">ROUNDUP(SUM(X18:X63),0)</f>
        <v>186</v>
      </c>
      <c r="Y65" s="592">
        <f t="shared" si="64"/>
        <v>18461</v>
      </c>
      <c r="Z65" s="144"/>
    </row>
    <row r="66" spans="1:26" ht="12.75" customHeight="1" thickBot="1" x14ac:dyDescent="0.25">
      <c r="A66" s="94"/>
      <c r="B66" s="709"/>
      <c r="C66" s="710"/>
      <c r="D66" s="588"/>
      <c r="E66" s="589"/>
      <c r="F66" s="589"/>
      <c r="G66" s="589"/>
      <c r="H66" s="589"/>
      <c r="I66" s="589"/>
      <c r="J66" s="589"/>
      <c r="K66" s="589"/>
      <c r="L66" s="589"/>
      <c r="M66" s="589"/>
      <c r="N66" s="589"/>
      <c r="O66" s="590"/>
      <c r="P66" s="593"/>
      <c r="Q66" s="593"/>
      <c r="R66" s="593"/>
      <c r="S66" s="593"/>
      <c r="T66" s="593"/>
      <c r="U66" s="593"/>
      <c r="V66" s="593"/>
      <c r="W66" s="593"/>
      <c r="X66" s="593"/>
      <c r="Y66" s="593"/>
      <c r="Z66" s="44"/>
    </row>
    <row r="67" spans="1:26" ht="12.75" customHeight="1" x14ac:dyDescent="0.2"/>
    <row r="68" spans="1:26" ht="12.75" customHeight="1" x14ac:dyDescent="0.2">
      <c r="A68" s="94"/>
      <c r="C68" s="96"/>
    </row>
    <row r="69" spans="1:26" ht="12.75" customHeight="1" x14ac:dyDescent="0.2">
      <c r="A69" s="94"/>
      <c r="C69" s="96"/>
    </row>
    <row r="70" spans="1:26" ht="12.75" customHeight="1" x14ac:dyDescent="0.2">
      <c r="C70" s="96"/>
    </row>
    <row r="71" spans="1:26" ht="12.75" customHeight="1" x14ac:dyDescent="0.25">
      <c r="C71" s="96"/>
      <c r="O71" s="204">
        <f>SUM(O18:O63)</f>
        <v>316842</v>
      </c>
      <c r="P71" s="512"/>
      <c r="Q71" s="179" t="s">
        <v>181</v>
      </c>
      <c r="T71" s="87"/>
      <c r="Y71" s="90"/>
      <c r="Z71" s="81"/>
    </row>
    <row r="72" spans="1:26" ht="12.75" customHeight="1" x14ac:dyDescent="0.2">
      <c r="C72" s="96"/>
    </row>
    <row r="73" spans="1:26" ht="12.75" customHeight="1" x14ac:dyDescent="0.2">
      <c r="C73" s="96"/>
    </row>
    <row r="74" spans="1:26" ht="12.75" customHeight="1" x14ac:dyDescent="0.2">
      <c r="C74" s="96"/>
    </row>
    <row r="75" spans="1:26" ht="12.75" customHeight="1" x14ac:dyDescent="0.2">
      <c r="C75" s="96"/>
    </row>
    <row r="76" spans="1:26" ht="12.75" customHeight="1" x14ac:dyDescent="0.2"/>
    <row r="77" spans="1:26" ht="12.75" customHeight="1" x14ac:dyDescent="0.2"/>
    <row r="78" spans="1:26" ht="12.75" customHeight="1" x14ac:dyDescent="0.2"/>
    <row r="79" spans="1:26" ht="12.75" customHeight="1" x14ac:dyDescent="0.2"/>
    <row r="80" spans="1:26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spans="28:53" ht="12.75" customHeight="1" x14ac:dyDescent="0.2"/>
    <row r="98" spans="28:53" ht="12.75" customHeight="1" x14ac:dyDescent="0.2"/>
    <row r="99" spans="28:53" ht="12.75" customHeight="1" x14ac:dyDescent="0.2"/>
    <row r="100" spans="28:53" ht="12.75" customHeight="1" x14ac:dyDescent="0.2"/>
    <row r="101" spans="28:53" ht="12.75" customHeight="1" x14ac:dyDescent="0.2"/>
    <row r="102" spans="28:53" ht="12.75" customHeight="1" x14ac:dyDescent="0.2"/>
    <row r="103" spans="28:53" ht="12.75" customHeight="1" x14ac:dyDescent="0.2"/>
    <row r="104" spans="28:53" ht="12.75" customHeight="1" x14ac:dyDescent="0.2"/>
    <row r="105" spans="28:53" ht="12.75" customHeight="1" x14ac:dyDescent="0.2"/>
    <row r="106" spans="28:53" ht="12.75" customHeight="1" x14ac:dyDescent="0.2"/>
    <row r="107" spans="28:53" ht="12.75" customHeight="1" x14ac:dyDescent="0.2"/>
    <row r="108" spans="28:53" ht="12.75" customHeight="1" x14ac:dyDescent="0.2"/>
    <row r="109" spans="28:53" ht="12.75" customHeight="1" x14ac:dyDescent="0.2"/>
    <row r="110" spans="28:53" ht="12.75" customHeight="1" x14ac:dyDescent="0.2"/>
    <row r="111" spans="28:53" ht="12.75" customHeight="1" x14ac:dyDescent="0.2"/>
    <row r="112" spans="28:53" ht="12.75" customHeight="1" x14ac:dyDescent="0.2"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</row>
    <row r="113" spans="28:53" ht="12.75" customHeight="1" x14ac:dyDescent="0.2"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</row>
    <row r="114" spans="28:53" ht="12.75" customHeight="1" x14ac:dyDescent="0.2"/>
    <row r="115" spans="28:53" ht="12.75" customHeight="1" x14ac:dyDescent="0.2"/>
    <row r="116" spans="28:53" ht="12.75" customHeight="1" x14ac:dyDescent="0.2"/>
    <row r="117" spans="28:53" ht="12.75" customHeight="1" x14ac:dyDescent="0.2"/>
    <row r="118" spans="28:53" ht="12.75" customHeight="1" x14ac:dyDescent="0.2"/>
    <row r="119" spans="28:53" ht="12.75" customHeight="1" x14ac:dyDescent="0.2"/>
    <row r="120" spans="28:53" ht="12.75" customHeight="1" x14ac:dyDescent="0.2"/>
    <row r="121" spans="28:53" ht="12.75" customHeight="1" x14ac:dyDescent="0.2"/>
    <row r="122" spans="28:53" ht="12.75" customHeight="1" x14ac:dyDescent="0.2"/>
    <row r="123" spans="28:53" ht="12.75" customHeight="1" x14ac:dyDescent="0.2"/>
    <row r="124" spans="28:53" ht="12.75" customHeight="1" x14ac:dyDescent="0.2"/>
    <row r="125" spans="28:53" ht="12.75" customHeight="1" x14ac:dyDescent="0.2"/>
    <row r="126" spans="28:53" ht="12.75" customHeight="1" x14ac:dyDescent="0.2"/>
    <row r="127" spans="28:53" ht="12.75" customHeight="1" x14ac:dyDescent="0.2"/>
    <row r="128" spans="28:53" ht="12.75" customHeight="1" x14ac:dyDescent="0.2"/>
    <row r="129" spans="1:53" ht="12.75" customHeight="1" x14ac:dyDescent="0.2"/>
    <row r="130" spans="1:53" ht="12.75" customHeight="1" x14ac:dyDescent="0.2"/>
    <row r="131" spans="1:53" ht="12.75" customHeight="1" x14ac:dyDescent="0.2"/>
    <row r="132" spans="1:53" ht="12.75" customHeight="1" x14ac:dyDescent="0.2"/>
    <row r="133" spans="1:53" ht="12.75" customHeight="1" x14ac:dyDescent="0.2"/>
    <row r="134" spans="1:53" ht="12.75" customHeight="1" x14ac:dyDescent="0.2"/>
    <row r="135" spans="1:53" s="94" customFormat="1" ht="12.75" customHeight="1" x14ac:dyDescent="0.2">
      <c r="A135" s="81"/>
      <c r="B135" s="95"/>
      <c r="C135" s="95"/>
      <c r="D135" s="81"/>
      <c r="E135" s="81"/>
      <c r="F135" s="81"/>
      <c r="G135" s="81"/>
      <c r="H135" s="81"/>
      <c r="I135" s="81"/>
      <c r="J135" s="81"/>
      <c r="K135" s="87"/>
      <c r="L135" s="87"/>
      <c r="R135" s="88"/>
      <c r="S135" s="88"/>
      <c r="T135" s="88"/>
      <c r="U135" s="87"/>
      <c r="V135" s="87"/>
      <c r="W135" s="87"/>
      <c r="X135" s="87"/>
      <c r="Y135" s="87"/>
      <c r="Z135" s="90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</row>
    <row r="136" spans="1:53" s="94" customFormat="1" ht="12.75" customHeight="1" x14ac:dyDescent="0.2">
      <c r="A136" s="81"/>
      <c r="B136" s="95"/>
      <c r="C136" s="95"/>
      <c r="D136" s="81"/>
      <c r="E136" s="81"/>
      <c r="F136" s="81"/>
      <c r="G136" s="81"/>
      <c r="H136" s="81"/>
      <c r="I136" s="81"/>
      <c r="J136" s="81"/>
      <c r="K136" s="87"/>
      <c r="L136" s="87"/>
      <c r="R136" s="88"/>
      <c r="S136" s="88"/>
      <c r="T136" s="88"/>
      <c r="U136" s="87"/>
      <c r="V136" s="87"/>
      <c r="W136" s="87"/>
      <c r="X136" s="87"/>
      <c r="Y136" s="87"/>
      <c r="Z136" s="90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</row>
  </sheetData>
  <mergeCells count="64">
    <mergeCell ref="AC16:AE16"/>
    <mergeCell ref="AF16:AH16"/>
    <mergeCell ref="AI16:AK16"/>
    <mergeCell ref="AF13:AH13"/>
    <mergeCell ref="AI13:AK13"/>
    <mergeCell ref="AC14:AE14"/>
    <mergeCell ref="AF14:AH14"/>
    <mergeCell ref="AI14:AK14"/>
    <mergeCell ref="AC15:AE15"/>
    <mergeCell ref="AF15:AH15"/>
    <mergeCell ref="AI15:AK15"/>
    <mergeCell ref="AC13:AE13"/>
    <mergeCell ref="AA9:AK9"/>
    <mergeCell ref="AA10:AA11"/>
    <mergeCell ref="AB10:AB11"/>
    <mergeCell ref="AC10:AE10"/>
    <mergeCell ref="AF10:AH10"/>
    <mergeCell ref="AI10:AK10"/>
    <mergeCell ref="AC11:AE11"/>
    <mergeCell ref="U65:U66"/>
    <mergeCell ref="V65:V66"/>
    <mergeCell ref="W65:W66"/>
    <mergeCell ref="Y65:Y66"/>
    <mergeCell ref="B65:C66"/>
    <mergeCell ref="D65:O66"/>
    <mergeCell ref="Q65:Q66"/>
    <mergeCell ref="R65:R66"/>
    <mergeCell ref="S65:S66"/>
    <mergeCell ref="T65:T66"/>
    <mergeCell ref="X65:X66"/>
    <mergeCell ref="P65:P66"/>
    <mergeCell ref="B50:C50"/>
    <mergeCell ref="B30:C30"/>
    <mergeCell ref="B17:C17"/>
    <mergeCell ref="B25:C25"/>
    <mergeCell ref="AI11:AK11"/>
    <mergeCell ref="AI12:AK12"/>
    <mergeCell ref="Q6:Q15"/>
    <mergeCell ref="R6:R15"/>
    <mergeCell ref="S6:S15"/>
    <mergeCell ref="T6:T15"/>
    <mergeCell ref="U6:U15"/>
    <mergeCell ref="V6:V15"/>
    <mergeCell ref="W6:W15"/>
    <mergeCell ref="AF11:AH11"/>
    <mergeCell ref="AC12:AE12"/>
    <mergeCell ref="AF12:AH12"/>
    <mergeCell ref="M5:M15"/>
    <mergeCell ref="N5:N15"/>
    <mergeCell ref="O5:O15"/>
    <mergeCell ref="R5:T5"/>
    <mergeCell ref="Y6:Y15"/>
    <mergeCell ref="X6:X15"/>
    <mergeCell ref="P6:P15"/>
    <mergeCell ref="I5:I15"/>
    <mergeCell ref="J5:J15"/>
    <mergeCell ref="K5:K15"/>
    <mergeCell ref="L5:L15"/>
    <mergeCell ref="B5:C15"/>
    <mergeCell ref="D5:D16"/>
    <mergeCell ref="E5:E16"/>
    <mergeCell ref="F5:F16"/>
    <mergeCell ref="G5:G16"/>
    <mergeCell ref="H5:H15"/>
  </mergeCells>
  <dataValidations count="1">
    <dataValidation type="list" allowBlank="1" showInputMessage="1" showErrorMessage="1" sqref="E18:F63">
      <formula1>$AA$2:$AA$6</formula1>
    </dataValidation>
  </dataValidations>
  <printOptions horizontalCentered="1" verticalCentered="1"/>
  <pageMargins left="0.73" right="0.75" top="0.66" bottom="0.4" header="0.65" footer="0.25"/>
  <pageSetup paperSize="17" scale="88" orientation="landscape" r:id="rId1"/>
  <headerFooter scaleWithDoc="0" alignWithMargins="0">
    <oddHeader>&amp;LHAN-75-14.39</oddHead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view="pageBreakPreview" zoomScaleNormal="100" zoomScaleSheetLayoutView="100" workbookViewId="0">
      <pane ySplit="16" topLeftCell="A17" activePane="bottomLeft" state="frozen"/>
      <selection pane="bottomLeft" activeCell="P20" sqref="P20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6" width="9.28515625" style="87" customWidth="1"/>
    <col min="7" max="9" width="10.7109375" style="94" customWidth="1"/>
    <col min="10" max="10" width="9.28515625" style="88" customWidth="1"/>
    <col min="11" max="11" width="9.28515625" style="87" customWidth="1"/>
    <col min="12" max="12" width="9.28515625" style="88" customWidth="1"/>
    <col min="13" max="16384" width="9.140625" style="81"/>
  </cols>
  <sheetData>
    <row r="1" spans="2:13" s="90" customFormat="1" ht="13.5" thickBot="1" x14ac:dyDescent="0.25">
      <c r="B1" s="97"/>
      <c r="C1" s="97"/>
      <c r="E1" s="88"/>
      <c r="F1" s="88"/>
      <c r="G1" s="105"/>
      <c r="H1" s="105"/>
      <c r="I1" s="88">
        <v>0.5</v>
      </c>
      <c r="J1" s="88">
        <v>0.33300000000000002</v>
      </c>
      <c r="K1" s="88">
        <v>0.25</v>
      </c>
      <c r="L1" s="88">
        <v>0.25</v>
      </c>
    </row>
    <row r="2" spans="2:13" s="90" customFormat="1" x14ac:dyDescent="0.2">
      <c r="H2" s="146"/>
      <c r="I2" s="145" t="s">
        <v>36</v>
      </c>
      <c r="J2" s="168" t="s">
        <v>240</v>
      </c>
      <c r="K2" s="168"/>
      <c r="L2" s="170" t="s">
        <v>35</v>
      </c>
      <c r="M2" s="211">
        <v>41920</v>
      </c>
    </row>
    <row r="3" spans="2:13" s="90" customFormat="1" ht="13.5" thickBot="1" x14ac:dyDescent="0.25">
      <c r="H3" s="45"/>
      <c r="I3" s="46" t="s">
        <v>37</v>
      </c>
      <c r="J3" s="169" t="s">
        <v>278</v>
      </c>
      <c r="K3" s="216"/>
      <c r="L3" s="217" t="s">
        <v>35</v>
      </c>
      <c r="M3" s="472">
        <v>41926</v>
      </c>
    </row>
    <row r="4" spans="2:13" s="90" customFormat="1" ht="13.5" thickBot="1" x14ac:dyDescent="0.25">
      <c r="B4" s="97"/>
      <c r="C4" s="97"/>
      <c r="E4" s="88"/>
      <c r="F4" s="88"/>
      <c r="G4" s="105"/>
      <c r="H4" s="105"/>
      <c r="I4" s="88"/>
      <c r="J4" s="88"/>
      <c r="K4" s="88"/>
      <c r="L4" s="88"/>
    </row>
    <row r="5" spans="2:13" s="91" customFormat="1" ht="12.75" customHeight="1" x14ac:dyDescent="0.2">
      <c r="B5" s="639" t="s">
        <v>1</v>
      </c>
      <c r="C5" s="640"/>
      <c r="D5" s="635" t="s">
        <v>0</v>
      </c>
      <c r="E5" s="645" t="s">
        <v>4</v>
      </c>
      <c r="F5" s="645" t="s">
        <v>21</v>
      </c>
      <c r="G5" s="699" t="s">
        <v>17</v>
      </c>
      <c r="H5" s="699" t="s">
        <v>14</v>
      </c>
      <c r="I5" s="624">
        <v>203</v>
      </c>
      <c r="J5" s="626"/>
      <c r="K5" s="51">
        <v>301</v>
      </c>
      <c r="L5" s="49">
        <v>304</v>
      </c>
      <c r="M5" s="129" t="s">
        <v>157</v>
      </c>
    </row>
    <row r="6" spans="2:13" ht="12.75" customHeight="1" x14ac:dyDescent="0.2">
      <c r="B6" s="641"/>
      <c r="C6" s="642"/>
      <c r="D6" s="636"/>
      <c r="E6" s="646"/>
      <c r="F6" s="646"/>
      <c r="G6" s="700"/>
      <c r="H6" s="700"/>
      <c r="I6" s="657" t="s">
        <v>248</v>
      </c>
      <c r="J6" s="657" t="s">
        <v>249</v>
      </c>
      <c r="K6" s="657" t="s">
        <v>153</v>
      </c>
      <c r="L6" s="657" t="s">
        <v>34</v>
      </c>
      <c r="M6" s="657" t="s">
        <v>158</v>
      </c>
    </row>
    <row r="7" spans="2:13" ht="12.75" customHeight="1" x14ac:dyDescent="0.2">
      <c r="B7" s="641"/>
      <c r="C7" s="642"/>
      <c r="D7" s="636"/>
      <c r="E7" s="646"/>
      <c r="F7" s="646"/>
      <c r="G7" s="700"/>
      <c r="H7" s="700"/>
      <c r="I7" s="658"/>
      <c r="J7" s="658"/>
      <c r="K7" s="658"/>
      <c r="L7" s="658"/>
      <c r="M7" s="658"/>
    </row>
    <row r="8" spans="2:13" ht="12.75" customHeight="1" x14ac:dyDescent="0.2">
      <c r="B8" s="641"/>
      <c r="C8" s="642"/>
      <c r="D8" s="636"/>
      <c r="E8" s="646"/>
      <c r="F8" s="646"/>
      <c r="G8" s="700"/>
      <c r="H8" s="700"/>
      <c r="I8" s="658"/>
      <c r="J8" s="658"/>
      <c r="K8" s="658"/>
      <c r="L8" s="658"/>
      <c r="M8" s="658"/>
    </row>
    <row r="9" spans="2:13" ht="12.75" customHeight="1" x14ac:dyDescent="0.2">
      <c r="B9" s="641"/>
      <c r="C9" s="642"/>
      <c r="D9" s="636"/>
      <c r="E9" s="646"/>
      <c r="F9" s="646"/>
      <c r="G9" s="700"/>
      <c r="H9" s="700"/>
      <c r="I9" s="658"/>
      <c r="J9" s="658"/>
      <c r="K9" s="658"/>
      <c r="L9" s="658"/>
      <c r="M9" s="658"/>
    </row>
    <row r="10" spans="2:13" ht="12.75" customHeight="1" x14ac:dyDescent="0.2">
      <c r="B10" s="641"/>
      <c r="C10" s="642"/>
      <c r="D10" s="636"/>
      <c r="E10" s="646"/>
      <c r="F10" s="646"/>
      <c r="G10" s="700"/>
      <c r="H10" s="700"/>
      <c r="I10" s="658"/>
      <c r="J10" s="658"/>
      <c r="K10" s="658"/>
      <c r="L10" s="658"/>
      <c r="M10" s="658"/>
    </row>
    <row r="11" spans="2:13" ht="12.75" customHeight="1" x14ac:dyDescent="0.2">
      <c r="B11" s="641"/>
      <c r="C11" s="642"/>
      <c r="D11" s="636"/>
      <c r="E11" s="646"/>
      <c r="F11" s="646"/>
      <c r="G11" s="700"/>
      <c r="H11" s="700"/>
      <c r="I11" s="658"/>
      <c r="J11" s="658"/>
      <c r="K11" s="658"/>
      <c r="L11" s="658"/>
      <c r="M11" s="658"/>
    </row>
    <row r="12" spans="2:13" ht="12.75" customHeight="1" x14ac:dyDescent="0.2">
      <c r="B12" s="641"/>
      <c r="C12" s="642"/>
      <c r="D12" s="636"/>
      <c r="E12" s="646"/>
      <c r="F12" s="646"/>
      <c r="G12" s="700"/>
      <c r="H12" s="700"/>
      <c r="I12" s="658"/>
      <c r="J12" s="658"/>
      <c r="K12" s="658"/>
      <c r="L12" s="658"/>
      <c r="M12" s="658"/>
    </row>
    <row r="13" spans="2:13" ht="12.75" customHeight="1" x14ac:dyDescent="0.2">
      <c r="B13" s="641"/>
      <c r="C13" s="642"/>
      <c r="D13" s="636"/>
      <c r="E13" s="646"/>
      <c r="F13" s="646"/>
      <c r="G13" s="700"/>
      <c r="H13" s="700"/>
      <c r="I13" s="658"/>
      <c r="J13" s="658"/>
      <c r="K13" s="658"/>
      <c r="L13" s="658"/>
      <c r="M13" s="658"/>
    </row>
    <row r="14" spans="2:13" ht="12.75" customHeight="1" x14ac:dyDescent="0.2">
      <c r="B14" s="641"/>
      <c r="C14" s="642"/>
      <c r="D14" s="636"/>
      <c r="E14" s="646"/>
      <c r="F14" s="646"/>
      <c r="G14" s="700"/>
      <c r="H14" s="700"/>
      <c r="I14" s="658"/>
      <c r="J14" s="658"/>
      <c r="K14" s="658"/>
      <c r="L14" s="658"/>
      <c r="M14" s="658"/>
    </row>
    <row r="15" spans="2:13" ht="12.75" customHeight="1" x14ac:dyDescent="0.2">
      <c r="B15" s="641"/>
      <c r="C15" s="642"/>
      <c r="D15" s="636"/>
      <c r="E15" s="647"/>
      <c r="F15" s="647"/>
      <c r="G15" s="701"/>
      <c r="H15" s="701"/>
      <c r="I15" s="658"/>
      <c r="J15" s="658"/>
      <c r="K15" s="658"/>
      <c r="L15" s="658"/>
      <c r="M15" s="658"/>
    </row>
    <row r="16" spans="2:13" ht="12.75" customHeight="1" thickBot="1" x14ac:dyDescent="0.25">
      <c r="B16" s="98" t="s">
        <v>2</v>
      </c>
      <c r="C16" s="99" t="s">
        <v>3</v>
      </c>
      <c r="D16" s="693"/>
      <c r="E16" s="5" t="s">
        <v>5</v>
      </c>
      <c r="F16" s="5" t="s">
        <v>5</v>
      </c>
      <c r="G16" s="73" t="s">
        <v>6</v>
      </c>
      <c r="H16" s="73" t="s">
        <v>6</v>
      </c>
      <c r="I16" s="84" t="s">
        <v>155</v>
      </c>
      <c r="J16" s="84" t="s">
        <v>155</v>
      </c>
      <c r="K16" s="5" t="s">
        <v>12</v>
      </c>
      <c r="L16" s="5" t="s">
        <v>12</v>
      </c>
      <c r="M16" s="84" t="s">
        <v>159</v>
      </c>
    </row>
    <row r="17" spans="1:13" ht="12.75" customHeight="1" thickBot="1" x14ac:dyDescent="0.25">
      <c r="B17" s="107"/>
      <c r="C17" s="82"/>
      <c r="D17" s="32"/>
      <c r="E17" s="83"/>
      <c r="F17" s="83"/>
      <c r="G17" s="124"/>
      <c r="H17" s="123"/>
      <c r="I17" s="123"/>
      <c r="J17" s="123"/>
      <c r="K17" s="85"/>
      <c r="L17" s="85"/>
      <c r="M17" s="85"/>
    </row>
    <row r="18" spans="1:13" ht="12.75" customHeight="1" x14ac:dyDescent="0.2">
      <c r="B18" s="643" t="s">
        <v>156</v>
      </c>
      <c r="C18" s="644"/>
      <c r="D18" s="385"/>
      <c r="E18" s="101"/>
      <c r="F18" s="101"/>
      <c r="G18" s="118"/>
      <c r="H18" s="118"/>
      <c r="I18" s="118"/>
      <c r="J18" s="118"/>
      <c r="K18" s="101"/>
      <c r="L18" s="101"/>
      <c r="M18" s="101"/>
    </row>
    <row r="19" spans="1:13" ht="12.75" customHeight="1" x14ac:dyDescent="0.2">
      <c r="B19" s="338">
        <v>74700</v>
      </c>
      <c r="C19" s="339">
        <v>75390</v>
      </c>
      <c r="D19" s="340" t="s">
        <v>15</v>
      </c>
      <c r="E19" s="83">
        <f>C19-B19</f>
        <v>690</v>
      </c>
      <c r="F19" s="345">
        <v>4</v>
      </c>
      <c r="G19" s="124">
        <f>IF(F19="-",0,ROUNDUP($E19*F19,0))</f>
        <v>2760</v>
      </c>
      <c r="H19" s="348">
        <f>SUM(G19:G19)</f>
        <v>2760</v>
      </c>
      <c r="I19" s="85">
        <f>IF($A19="APP SLAB",0,($H19*$I1)/27)</f>
        <v>51.111111111111114</v>
      </c>
      <c r="J19" s="350">
        <v>0</v>
      </c>
      <c r="K19" s="85">
        <f>IF($A19="APP SLAB",0,($H19*$K1)/27)</f>
        <v>25.555555555555557</v>
      </c>
      <c r="L19" s="85">
        <f>IF($A19="APP SLAB",0,($H19*$K1)/27)</f>
        <v>25.555555555555557</v>
      </c>
      <c r="M19" s="350">
        <v>0</v>
      </c>
    </row>
    <row r="20" spans="1:13" ht="12.75" customHeight="1" x14ac:dyDescent="0.2">
      <c r="B20" s="338">
        <v>75550</v>
      </c>
      <c r="C20" s="339">
        <v>76200</v>
      </c>
      <c r="D20" s="340" t="s">
        <v>15</v>
      </c>
      <c r="E20" s="83">
        <f>C20-B20</f>
        <v>650</v>
      </c>
      <c r="F20" s="345">
        <v>4</v>
      </c>
      <c r="G20" s="124">
        <f>IF(F20="-",0,ROUNDUP($E20*F20,0))</f>
        <v>2600</v>
      </c>
      <c r="H20" s="348">
        <f>SUM(G20:G20)</f>
        <v>2600</v>
      </c>
      <c r="I20" s="85">
        <f>IF($A20="APP SLAB",0,($H20*$I1)/27)</f>
        <v>48.148148148148145</v>
      </c>
      <c r="J20" s="350">
        <v>0</v>
      </c>
      <c r="K20" s="85">
        <f>IF($A20="APP SLAB",0,($H20*$K1)/27)</f>
        <v>24.074074074074073</v>
      </c>
      <c r="L20" s="85">
        <f>IF($A20="APP SLAB",0,($H20*$K1)/27)</f>
        <v>24.074074074074073</v>
      </c>
      <c r="M20" s="350">
        <v>0</v>
      </c>
    </row>
    <row r="21" spans="1:13" ht="12.75" customHeight="1" thickBot="1" x14ac:dyDescent="0.25">
      <c r="B21" s="107"/>
      <c r="C21" s="82"/>
      <c r="D21" s="103"/>
      <c r="E21" s="83"/>
      <c r="F21" s="83"/>
      <c r="G21" s="123"/>
      <c r="H21" s="123"/>
      <c r="I21" s="85"/>
      <c r="J21" s="85"/>
      <c r="K21" s="85"/>
      <c r="L21" s="85"/>
      <c r="M21" s="85"/>
    </row>
    <row r="22" spans="1:13" ht="12.75" customHeight="1" x14ac:dyDescent="0.2">
      <c r="B22" s="643" t="s">
        <v>156</v>
      </c>
      <c r="C22" s="644"/>
      <c r="D22" s="100"/>
      <c r="E22" s="101"/>
      <c r="F22" s="101"/>
      <c r="G22" s="118"/>
      <c r="H22" s="118"/>
      <c r="I22" s="118"/>
      <c r="J22" s="118"/>
      <c r="K22" s="101"/>
      <c r="L22" s="101"/>
      <c r="M22" s="101"/>
    </row>
    <row r="23" spans="1:13" ht="12.75" customHeight="1" x14ac:dyDescent="0.2">
      <c r="B23" s="338">
        <v>74700</v>
      </c>
      <c r="C23" s="339">
        <v>75390</v>
      </c>
      <c r="D23" s="340" t="s">
        <v>15</v>
      </c>
      <c r="E23" s="83">
        <f>C23-B23</f>
        <v>690</v>
      </c>
      <c r="F23" s="345">
        <v>4</v>
      </c>
      <c r="G23" s="124">
        <f>IF(F23="-",0,ROUNDUP($E23*F23,0))</f>
        <v>2760</v>
      </c>
      <c r="H23" s="348">
        <f>SUM(G23:G23)</f>
        <v>2760</v>
      </c>
      <c r="I23" s="350">
        <v>0</v>
      </c>
      <c r="J23" s="85">
        <f>IF($A23="APP SLAB",0,($H23*$J$1)/27)</f>
        <v>34.04</v>
      </c>
      <c r="K23" s="350">
        <v>0</v>
      </c>
      <c r="L23" s="350">
        <v>0</v>
      </c>
      <c r="M23" s="85">
        <f>IF(A23="APP SLAB",0,H23/9)</f>
        <v>306.66666666666669</v>
      </c>
    </row>
    <row r="24" spans="1:13" ht="12.75" customHeight="1" x14ac:dyDescent="0.2">
      <c r="B24" s="338">
        <v>75550</v>
      </c>
      <c r="C24" s="339">
        <v>76200</v>
      </c>
      <c r="D24" s="340" t="s">
        <v>15</v>
      </c>
      <c r="E24" s="83">
        <f>C24-B24</f>
        <v>650</v>
      </c>
      <c r="F24" s="345">
        <v>4</v>
      </c>
      <c r="G24" s="124">
        <f>IF(F24="-",0,ROUNDUP($E24*F24,0))</f>
        <v>2600</v>
      </c>
      <c r="H24" s="348">
        <f>SUM(G24:G24)</f>
        <v>2600</v>
      </c>
      <c r="I24" s="350">
        <v>0</v>
      </c>
      <c r="J24" s="85">
        <f>IF($A24="APP SLAB",0,($H24*$J$1)/27)</f>
        <v>32.06666666666667</v>
      </c>
      <c r="K24" s="350">
        <v>0</v>
      </c>
      <c r="L24" s="350">
        <v>0</v>
      </c>
      <c r="M24" s="85">
        <f>IF(A24="APP SLAB",0,H24/9)</f>
        <v>288.88888888888891</v>
      </c>
    </row>
    <row r="25" spans="1:13" ht="12.75" customHeight="1" thickBot="1" x14ac:dyDescent="0.25">
      <c r="B25" s="107"/>
      <c r="C25" s="82"/>
      <c r="D25" s="103"/>
      <c r="E25" s="83"/>
      <c r="F25" s="83"/>
      <c r="G25" s="123"/>
      <c r="H25" s="123"/>
      <c r="I25" s="85"/>
      <c r="J25" s="85"/>
      <c r="K25" s="85"/>
      <c r="L25" s="85"/>
      <c r="M25" s="85"/>
    </row>
    <row r="26" spans="1:13" ht="12.75" customHeight="1" x14ac:dyDescent="0.2">
      <c r="B26" s="707" t="s">
        <v>276</v>
      </c>
      <c r="C26" s="664"/>
      <c r="D26" s="585" t="s">
        <v>250</v>
      </c>
      <c r="E26" s="586"/>
      <c r="F26" s="586"/>
      <c r="G26" s="586"/>
      <c r="H26" s="587"/>
      <c r="I26" s="592">
        <f>ROUNDUP(SUM(I19:I20),0)</f>
        <v>100</v>
      </c>
      <c r="J26" s="778">
        <v>0</v>
      </c>
      <c r="K26" s="592">
        <f>ROUNDUP(SUM(K19:K20),0)</f>
        <v>50</v>
      </c>
      <c r="L26" s="592">
        <f>ROUNDUP(SUM(L19:L20),0)</f>
        <v>50</v>
      </c>
      <c r="M26" s="778">
        <v>0</v>
      </c>
    </row>
    <row r="27" spans="1:13" ht="12.75" customHeight="1" thickBot="1" x14ac:dyDescent="0.25">
      <c r="B27" s="764"/>
      <c r="C27" s="765"/>
      <c r="D27" s="588"/>
      <c r="E27" s="589"/>
      <c r="F27" s="589"/>
      <c r="G27" s="589"/>
      <c r="H27" s="590"/>
      <c r="I27" s="593"/>
      <c r="J27" s="779"/>
      <c r="K27" s="593"/>
      <c r="L27" s="593"/>
      <c r="M27" s="779"/>
    </row>
    <row r="28" spans="1:13" ht="12.75" customHeight="1" x14ac:dyDescent="0.2">
      <c r="B28" s="764"/>
      <c r="C28" s="765"/>
      <c r="D28" s="585" t="s">
        <v>251</v>
      </c>
      <c r="E28" s="586"/>
      <c r="F28" s="586"/>
      <c r="G28" s="586"/>
      <c r="H28" s="587"/>
      <c r="I28" s="778">
        <v>0</v>
      </c>
      <c r="J28" s="592">
        <f>ROUNDUP(SUM(J23:J24),0)</f>
        <v>67</v>
      </c>
      <c r="K28" s="778">
        <v>0</v>
      </c>
      <c r="L28" s="778">
        <v>0</v>
      </c>
      <c r="M28" s="592">
        <f>ROUNDUP(SUM(M23:M24),0)</f>
        <v>596</v>
      </c>
    </row>
    <row r="29" spans="1:13" ht="12.75" customHeight="1" thickBot="1" x14ac:dyDescent="0.25">
      <c r="B29" s="709"/>
      <c r="C29" s="665"/>
      <c r="D29" s="588"/>
      <c r="E29" s="589"/>
      <c r="F29" s="589"/>
      <c r="G29" s="589"/>
      <c r="H29" s="590"/>
      <c r="I29" s="779"/>
      <c r="J29" s="593"/>
      <c r="K29" s="779"/>
      <c r="L29" s="779"/>
      <c r="M29" s="593"/>
    </row>
    <row r="30" spans="1:13" x14ac:dyDescent="0.2">
      <c r="A30" s="94"/>
    </row>
    <row r="31" spans="1:13" x14ac:dyDescent="0.2">
      <c r="A31" s="94"/>
    </row>
    <row r="32" spans="1:13" x14ac:dyDescent="0.2">
      <c r="C32" s="96"/>
    </row>
    <row r="33" spans="3:3" x14ac:dyDescent="0.2">
      <c r="C33" s="96"/>
    </row>
    <row r="34" spans="3:3" x14ac:dyDescent="0.2">
      <c r="C34" s="96"/>
    </row>
    <row r="35" spans="3:3" x14ac:dyDescent="0.2">
      <c r="C35" s="96"/>
    </row>
    <row r="36" spans="3:3" x14ac:dyDescent="0.2">
      <c r="C36" s="96"/>
    </row>
    <row r="37" spans="3:3" x14ac:dyDescent="0.2">
      <c r="C37" s="96"/>
    </row>
    <row r="38" spans="3:3" x14ac:dyDescent="0.2">
      <c r="C38" s="96"/>
    </row>
    <row r="39" spans="3:3" x14ac:dyDescent="0.2">
      <c r="C39" s="96"/>
    </row>
  </sheetData>
  <customSheetViews>
    <customSheetView guid="{221143F3-72E3-4C4A-9811-2F859DD19779}" fitToPage="1">
      <pane ySplit="13" topLeftCell="A14" activePane="bottomLeft" state="frozen"/>
      <selection pane="bottomLeft" activeCell="D21" sqref="D21"/>
      <pageMargins left="0.73" right="0.75" top="0.66" bottom="0.4" header="0.65" footer="0.25"/>
      <printOptions horizontalCentered="1" verticalCentered="1"/>
      <pageSetup paperSize="17" scale="63" orientation="landscape" r:id="rId1"/>
      <headerFooter alignWithMargins="0">
        <oddFooter>&amp;L&amp;D&amp;R&amp;F, &amp;A</oddFooter>
      </headerFooter>
    </customSheetView>
  </customSheetViews>
  <mergeCells count="27">
    <mergeCell ref="B18:C18"/>
    <mergeCell ref="K26:K27"/>
    <mergeCell ref="B5:C15"/>
    <mergeCell ref="D5:D16"/>
    <mergeCell ref="I5:J5"/>
    <mergeCell ref="B22:C22"/>
    <mergeCell ref="B26:C29"/>
    <mergeCell ref="D28:H29"/>
    <mergeCell ref="I26:I27"/>
    <mergeCell ref="J26:J27"/>
    <mergeCell ref="I6:I15"/>
    <mergeCell ref="G5:G15"/>
    <mergeCell ref="H5:H15"/>
    <mergeCell ref="E5:E15"/>
    <mergeCell ref="F5:F15"/>
    <mergeCell ref="D26:H27"/>
    <mergeCell ref="I28:I29"/>
    <mergeCell ref="J28:J29"/>
    <mergeCell ref="L26:L27"/>
    <mergeCell ref="M26:M27"/>
    <mergeCell ref="L28:L29"/>
    <mergeCell ref="M28:M29"/>
    <mergeCell ref="J6:J15"/>
    <mergeCell ref="L6:L15"/>
    <mergeCell ref="M6:M15"/>
    <mergeCell ref="K6:K15"/>
    <mergeCell ref="K28:K29"/>
  </mergeCells>
  <printOptions horizontalCentered="1" verticalCentered="1"/>
  <pageMargins left="0.73" right="0.75" top="0.66" bottom="0.4" header="0.65" footer="0.25"/>
  <pageSetup scale="94" orientation="landscape" r:id="rId2"/>
  <headerFooter scaleWithDoc="0" alignWithMargins="0">
    <oddHeader>&amp;LHAN-75-14.39</oddHeader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4"/>
  <sheetViews>
    <sheetView workbookViewId="0">
      <selection activeCell="P18" sqref="P18"/>
    </sheetView>
  </sheetViews>
  <sheetFormatPr defaultRowHeight="12.75" x14ac:dyDescent="0.2"/>
  <cols>
    <col min="5" max="5" width="11.42578125" bestFit="1" customWidth="1"/>
  </cols>
  <sheetData>
    <row r="1" spans="3:5" x14ac:dyDescent="0.2">
      <c r="E1" s="186" t="s">
        <v>187</v>
      </c>
    </row>
    <row r="2" spans="3:5" ht="15" x14ac:dyDescent="0.25">
      <c r="C2" s="187" t="s">
        <v>182</v>
      </c>
      <c r="D2" s="184">
        <f>'IR75 FLEXIBLE'!T184</f>
        <v>2391987</v>
      </c>
      <c r="E2" s="188">
        <f>D2/$D$4</f>
        <v>0.51533940751308827</v>
      </c>
    </row>
    <row r="3" spans="3:5" ht="15" x14ac:dyDescent="0.25">
      <c r="C3" s="187" t="s">
        <v>185</v>
      </c>
      <c r="D3" s="184">
        <f>'IR75 FLEXIBLE'!U184+'US68 FLEXIBLE'!Q85+'US68 RAMPS FLEXIBLE'!Q71+'LIMA,GRAY,LOGAN,BIKE PATH'!L73+'LIMA RAMPS'!O70+'SR12,US224 RAMPS'!O74+'HARRISON,SERVICE RD'!P51</f>
        <v>2249588.9500000002</v>
      </c>
      <c r="E3" s="188">
        <f>D3/$D$4</f>
        <v>0.48466059248691173</v>
      </c>
    </row>
    <row r="4" spans="3:5" ht="15" x14ac:dyDescent="0.25">
      <c r="C4" s="187" t="s">
        <v>186</v>
      </c>
      <c r="D4" s="185">
        <f>D2+D3</f>
        <v>4641575.95</v>
      </c>
    </row>
  </sheetData>
  <customSheetViews>
    <customSheetView guid="{221143F3-72E3-4C4A-9811-2F859DD19779}">
      <selection activeCell="E10" sqref="E10"/>
      <pageMargins left="0.7" right="0.7" top="0.75" bottom="0.75" header="0.3" footer="0.3"/>
    </customSheetView>
  </customSheetView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85"/>
  <sheetViews>
    <sheetView view="pageBreakPreview" zoomScaleNormal="90" zoomScaleSheetLayoutView="100" workbookViewId="0">
      <pane xSplit="12" ySplit="17" topLeftCell="M18" activePane="bottomRight" state="frozen"/>
      <selection pane="topRight" activeCell="M1" sqref="M1"/>
      <selection pane="bottomLeft" activeCell="A18" sqref="A18"/>
      <selection pane="bottomRight" activeCell="E1" sqref="E1:L1048576"/>
    </sheetView>
  </sheetViews>
  <sheetFormatPr defaultRowHeight="12.75" x14ac:dyDescent="0.2"/>
  <cols>
    <col min="1" max="1" width="10.42578125" style="1" bestFit="1" customWidth="1"/>
    <col min="2" max="3" width="17.7109375" style="21" customWidth="1"/>
    <col min="4" max="4" width="8.5703125" style="1" customWidth="1"/>
    <col min="5" max="7" width="9.7109375" style="1" hidden="1" customWidth="1"/>
    <col min="8" max="12" width="8.5703125" style="1" hidden="1" customWidth="1"/>
    <col min="13" max="13" width="9.28515625" style="8" customWidth="1"/>
    <col min="14" max="14" width="5.5703125" style="8" bestFit="1" customWidth="1"/>
    <col min="15" max="15" width="5.5703125" style="87" bestFit="1" customWidth="1"/>
    <col min="16" max="16" width="7.5703125" style="20" bestFit="1" customWidth="1"/>
    <col min="17" max="17" width="6.5703125" style="94" bestFit="1" customWidth="1"/>
    <col min="18" max="18" width="7.5703125" style="20" bestFit="1" customWidth="1"/>
    <col min="19" max="19" width="8.5703125" style="94" customWidth="1"/>
    <col min="20" max="20" width="9.140625" style="20" bestFit="1" customWidth="1"/>
    <col min="21" max="21" width="9.140625" style="94" bestFit="1" customWidth="1"/>
    <col min="22" max="22" width="9.7109375" style="94" customWidth="1"/>
    <col min="23" max="23" width="9.7109375" style="11" customWidth="1"/>
    <col min="24" max="24" width="10.7109375" style="88" customWidth="1"/>
    <col min="25" max="25" width="9.7109375" style="11" customWidth="1"/>
    <col min="26" max="26" width="10.7109375" style="88" customWidth="1"/>
    <col min="27" max="27" width="9.7109375" style="11" customWidth="1"/>
    <col min="28" max="28" width="10.7109375" style="88" customWidth="1"/>
    <col min="29" max="29" width="9.7109375" style="13" customWidth="1"/>
    <col min="30" max="30" width="9.7109375" style="8" customWidth="1"/>
    <col min="31" max="31" width="10.7109375" style="87" customWidth="1"/>
    <col min="32" max="32" width="9.7109375" style="8" customWidth="1"/>
    <col min="33" max="33" width="8.140625" style="87" customWidth="1"/>
    <col min="34" max="34" width="8.140625" style="8" bestFit="1" customWidth="1"/>
    <col min="35" max="35" width="8.140625" style="87" bestFit="1" customWidth="1"/>
    <col min="36" max="36" width="8.140625" style="8" bestFit="1" customWidth="1"/>
    <col min="37" max="37" width="8.140625" style="87" bestFit="1" customWidth="1"/>
    <col min="38" max="38" width="6.5703125" style="8" bestFit="1" customWidth="1"/>
    <col min="39" max="39" width="8.140625" style="87" customWidth="1"/>
    <col min="40" max="40" width="9.7109375" style="15" customWidth="1"/>
    <col min="41" max="43" width="6.5703125" style="1" bestFit="1" customWidth="1"/>
    <col min="44" max="44" width="9.5703125" style="81" customWidth="1"/>
    <col min="45" max="46" width="9.7109375" style="1" customWidth="1"/>
    <col min="47" max="47" width="11.85546875" style="1" bestFit="1" customWidth="1"/>
    <col min="48" max="55" width="9.7109375" style="1" customWidth="1"/>
    <col min="56" max="16384" width="9.140625" style="1"/>
  </cols>
  <sheetData>
    <row r="1" spans="1:60" s="15" customFormat="1" ht="13.5" thickBot="1" x14ac:dyDescent="0.25">
      <c r="B1" s="23"/>
      <c r="C1" s="23"/>
      <c r="M1" s="11"/>
      <c r="N1" s="11"/>
      <c r="O1" s="88"/>
      <c r="P1" s="43"/>
      <c r="Q1" s="105"/>
      <c r="R1" s="43"/>
      <c r="S1" s="105"/>
      <c r="T1" s="43"/>
      <c r="U1" s="105"/>
      <c r="V1" s="105"/>
      <c r="W1" s="105"/>
      <c r="X1" s="105"/>
      <c r="Y1" s="11"/>
      <c r="Z1" s="88"/>
      <c r="AA1" s="11"/>
      <c r="AB1" s="88"/>
      <c r="AC1" s="591">
        <v>12</v>
      </c>
      <c r="AD1" s="591"/>
      <c r="AE1" s="11"/>
      <c r="AF1" s="88"/>
      <c r="AG1" s="10"/>
      <c r="AH1" s="591">
        <v>11.5</v>
      </c>
      <c r="AI1" s="591"/>
      <c r="AJ1" s="591">
        <v>6</v>
      </c>
      <c r="AK1" s="591"/>
      <c r="AL1" s="591">
        <v>0.04</v>
      </c>
      <c r="AM1" s="591"/>
      <c r="AN1" s="591">
        <v>1.5</v>
      </c>
      <c r="AO1" s="591"/>
      <c r="AP1" s="591">
        <v>1.75</v>
      </c>
      <c r="AQ1" s="591"/>
      <c r="AR1" s="10">
        <v>3.25</v>
      </c>
    </row>
    <row r="2" spans="1:60" s="90" customFormat="1" x14ac:dyDescent="0.2">
      <c r="A2" s="120"/>
      <c r="B2" s="683" t="s">
        <v>259</v>
      </c>
      <c r="C2" s="683"/>
      <c r="D2" s="52"/>
      <c r="E2" s="52"/>
      <c r="F2" s="52"/>
      <c r="G2" s="5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M2" s="146"/>
      <c r="AN2" s="212" t="s">
        <v>36</v>
      </c>
      <c r="AO2" s="168" t="s">
        <v>149</v>
      </c>
      <c r="AP2" s="168"/>
      <c r="AQ2" s="170"/>
      <c r="AR2" s="170" t="s">
        <v>35</v>
      </c>
      <c r="AS2" s="211">
        <v>41920</v>
      </c>
      <c r="AU2" s="224" t="s">
        <v>105</v>
      </c>
      <c r="AV2" s="15"/>
      <c r="AW2" s="224" t="s">
        <v>107</v>
      </c>
      <c r="AX2" s="219" t="s">
        <v>212</v>
      </c>
    </row>
    <row r="3" spans="1:60" s="90" customFormat="1" ht="13.5" thickBot="1" x14ac:dyDescent="0.25">
      <c r="A3" s="120"/>
      <c r="B3" s="684" t="s">
        <v>260</v>
      </c>
      <c r="C3" s="684"/>
      <c r="D3" s="52"/>
      <c r="E3" s="52"/>
      <c r="F3" s="52"/>
      <c r="G3" s="52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M3" s="45"/>
      <c r="AN3" s="213" t="s">
        <v>37</v>
      </c>
      <c r="AO3" s="169" t="s">
        <v>278</v>
      </c>
      <c r="AP3" s="216"/>
      <c r="AQ3" s="217"/>
      <c r="AR3" s="217" t="s">
        <v>35</v>
      </c>
      <c r="AS3" s="472">
        <v>41926</v>
      </c>
      <c r="AU3" s="225" t="s">
        <v>106</v>
      </c>
      <c r="AW3" s="225" t="s">
        <v>108</v>
      </c>
      <c r="AX3" s="106" t="s">
        <v>213</v>
      </c>
    </row>
    <row r="4" spans="1:60" s="90" customFormat="1" ht="13.5" thickBot="1" x14ac:dyDescent="0.25">
      <c r="A4" s="120"/>
      <c r="B4" s="685" t="s">
        <v>261</v>
      </c>
      <c r="C4" s="685"/>
      <c r="D4" s="52"/>
      <c r="E4" s="52"/>
      <c r="F4" s="5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U4" s="225" t="s">
        <v>111</v>
      </c>
      <c r="AW4" s="225" t="s">
        <v>113</v>
      </c>
      <c r="AX4" s="106" t="s">
        <v>214</v>
      </c>
    </row>
    <row r="5" spans="1:60" s="16" customFormat="1" ht="12.75" customHeight="1" x14ac:dyDescent="0.2">
      <c r="B5" s="639" t="s">
        <v>1</v>
      </c>
      <c r="C5" s="640"/>
      <c r="D5" s="635" t="s">
        <v>0</v>
      </c>
      <c r="E5" s="649" t="s">
        <v>103</v>
      </c>
      <c r="F5" s="649" t="s">
        <v>104</v>
      </c>
      <c r="G5" s="649" t="s">
        <v>110</v>
      </c>
      <c r="H5" s="620" t="s">
        <v>200</v>
      </c>
      <c r="I5" s="648" t="s">
        <v>31</v>
      </c>
      <c r="J5" s="620" t="s">
        <v>50</v>
      </c>
      <c r="K5" s="620" t="s">
        <v>188</v>
      </c>
      <c r="L5" s="620" t="s">
        <v>189</v>
      </c>
      <c r="M5" s="645" t="s">
        <v>4</v>
      </c>
      <c r="N5" s="637" t="s">
        <v>180</v>
      </c>
      <c r="O5" s="638"/>
      <c r="P5" s="612" t="s">
        <v>17</v>
      </c>
      <c r="Q5" s="613"/>
      <c r="R5" s="612" t="s">
        <v>20</v>
      </c>
      <c r="S5" s="613"/>
      <c r="T5" s="614" t="s">
        <v>14</v>
      </c>
      <c r="U5" s="615"/>
      <c r="V5" s="62">
        <v>202</v>
      </c>
      <c r="W5" s="624">
        <v>204</v>
      </c>
      <c r="X5" s="625"/>
      <c r="Y5" s="625"/>
      <c r="Z5" s="626"/>
      <c r="AA5" s="526">
        <v>206</v>
      </c>
      <c r="AB5" s="527"/>
      <c r="AC5" s="527"/>
      <c r="AD5" s="527"/>
      <c r="AE5" s="527"/>
      <c r="AF5" s="528"/>
      <c r="AG5" s="230">
        <v>252</v>
      </c>
      <c r="AH5" s="526">
        <v>302</v>
      </c>
      <c r="AI5" s="528"/>
      <c r="AJ5" s="608">
        <v>304</v>
      </c>
      <c r="AK5" s="609"/>
      <c r="AL5" s="526">
        <v>407</v>
      </c>
      <c r="AM5" s="528"/>
      <c r="AN5" s="526">
        <v>442</v>
      </c>
      <c r="AO5" s="527"/>
      <c r="AP5" s="527"/>
      <c r="AQ5" s="528"/>
      <c r="AR5" s="49">
        <v>617</v>
      </c>
      <c r="AS5" s="49">
        <v>618</v>
      </c>
      <c r="AT5" s="141"/>
      <c r="AU5" s="225" t="s">
        <v>112</v>
      </c>
      <c r="AV5" s="90"/>
      <c r="AW5" s="225" t="s">
        <v>114</v>
      </c>
      <c r="AX5" s="106" t="s">
        <v>215</v>
      </c>
    </row>
    <row r="6" spans="1:60" ht="12.75" customHeight="1" thickBot="1" x14ac:dyDescent="0.25">
      <c r="B6" s="641"/>
      <c r="C6" s="642"/>
      <c r="D6" s="636"/>
      <c r="E6" s="650"/>
      <c r="F6" s="650"/>
      <c r="G6" s="650"/>
      <c r="H6" s="621"/>
      <c r="I6" s="621"/>
      <c r="J6" s="621"/>
      <c r="K6" s="621"/>
      <c r="L6" s="621"/>
      <c r="M6" s="646"/>
      <c r="N6" s="531"/>
      <c r="O6" s="532"/>
      <c r="P6" s="550"/>
      <c r="Q6" s="551"/>
      <c r="R6" s="550"/>
      <c r="S6" s="551"/>
      <c r="T6" s="616"/>
      <c r="U6" s="617"/>
      <c r="V6" s="622" t="s">
        <v>41</v>
      </c>
      <c r="W6" s="529" t="s">
        <v>169</v>
      </c>
      <c r="X6" s="530"/>
      <c r="Y6" s="537" t="s">
        <v>7</v>
      </c>
      <c r="Z6" s="538"/>
      <c r="AA6" s="537" t="s">
        <v>18</v>
      </c>
      <c r="AB6" s="538"/>
      <c r="AC6" s="529" t="s">
        <v>19</v>
      </c>
      <c r="AD6" s="530"/>
      <c r="AE6" s="537" t="s">
        <v>23</v>
      </c>
      <c r="AF6" s="538"/>
      <c r="AG6" s="537" t="s">
        <v>24</v>
      </c>
      <c r="AH6" s="529" t="s">
        <v>195</v>
      </c>
      <c r="AI6" s="530"/>
      <c r="AJ6" s="537" t="s">
        <v>9</v>
      </c>
      <c r="AK6" s="538"/>
      <c r="AL6" s="529" t="s">
        <v>45</v>
      </c>
      <c r="AM6" s="530"/>
      <c r="AN6" s="529" t="s">
        <v>198</v>
      </c>
      <c r="AO6" s="538"/>
      <c r="AP6" s="529" t="s">
        <v>203</v>
      </c>
      <c r="AQ6" s="538"/>
      <c r="AR6" s="657" t="s">
        <v>279</v>
      </c>
      <c r="AS6" s="657" t="s">
        <v>166</v>
      </c>
      <c r="AT6" s="166"/>
      <c r="AU6" s="226" t="s">
        <v>101</v>
      </c>
      <c r="AV6" s="16"/>
      <c r="AW6" s="225" t="s">
        <v>109</v>
      </c>
      <c r="AX6" s="220" t="s">
        <v>216</v>
      </c>
    </row>
    <row r="7" spans="1:60" ht="12.75" customHeight="1" thickBot="1" x14ac:dyDescent="0.25">
      <c r="B7" s="641"/>
      <c r="C7" s="642"/>
      <c r="D7" s="636"/>
      <c r="E7" s="650"/>
      <c r="F7" s="650"/>
      <c r="G7" s="650"/>
      <c r="H7" s="621"/>
      <c r="I7" s="621"/>
      <c r="J7" s="621"/>
      <c r="K7" s="621"/>
      <c r="L7" s="621"/>
      <c r="M7" s="646"/>
      <c r="N7" s="531"/>
      <c r="O7" s="532"/>
      <c r="P7" s="550"/>
      <c r="Q7" s="551"/>
      <c r="R7" s="550"/>
      <c r="S7" s="551"/>
      <c r="T7" s="616"/>
      <c r="U7" s="617"/>
      <c r="V7" s="623"/>
      <c r="W7" s="531"/>
      <c r="X7" s="532"/>
      <c r="Y7" s="539"/>
      <c r="Z7" s="540"/>
      <c r="AA7" s="539"/>
      <c r="AB7" s="540"/>
      <c r="AC7" s="531"/>
      <c r="AD7" s="532"/>
      <c r="AE7" s="539"/>
      <c r="AF7" s="540"/>
      <c r="AG7" s="539"/>
      <c r="AH7" s="531"/>
      <c r="AI7" s="532"/>
      <c r="AJ7" s="539"/>
      <c r="AK7" s="540"/>
      <c r="AL7" s="531"/>
      <c r="AM7" s="532"/>
      <c r="AN7" s="539"/>
      <c r="AO7" s="540"/>
      <c r="AP7" s="539"/>
      <c r="AQ7" s="540"/>
      <c r="AR7" s="658"/>
      <c r="AS7" s="658"/>
      <c r="AT7" s="142"/>
      <c r="AW7" s="226" t="s">
        <v>116</v>
      </c>
      <c r="AX7" s="220" t="s">
        <v>217</v>
      </c>
    </row>
    <row r="8" spans="1:60" ht="12.75" customHeight="1" thickBot="1" x14ac:dyDescent="0.25">
      <c r="B8" s="641"/>
      <c r="C8" s="642"/>
      <c r="D8" s="636"/>
      <c r="E8" s="650"/>
      <c r="F8" s="650"/>
      <c r="G8" s="650"/>
      <c r="H8" s="621"/>
      <c r="I8" s="621"/>
      <c r="J8" s="621"/>
      <c r="K8" s="621"/>
      <c r="L8" s="621"/>
      <c r="M8" s="646"/>
      <c r="N8" s="531"/>
      <c r="O8" s="532"/>
      <c r="P8" s="550"/>
      <c r="Q8" s="551"/>
      <c r="R8" s="550"/>
      <c r="S8" s="551"/>
      <c r="T8" s="616"/>
      <c r="U8" s="617"/>
      <c r="V8" s="623"/>
      <c r="W8" s="531"/>
      <c r="X8" s="532"/>
      <c r="Y8" s="539"/>
      <c r="Z8" s="540"/>
      <c r="AA8" s="539"/>
      <c r="AB8" s="540"/>
      <c r="AC8" s="531"/>
      <c r="AD8" s="532"/>
      <c r="AE8" s="539"/>
      <c r="AF8" s="540"/>
      <c r="AG8" s="539"/>
      <c r="AH8" s="531"/>
      <c r="AI8" s="532"/>
      <c r="AJ8" s="539"/>
      <c r="AK8" s="540"/>
      <c r="AL8" s="531"/>
      <c r="AM8" s="532"/>
      <c r="AN8" s="539"/>
      <c r="AO8" s="540"/>
      <c r="AP8" s="539"/>
      <c r="AQ8" s="540"/>
      <c r="AR8" s="658"/>
      <c r="AS8" s="658"/>
      <c r="AT8" s="142"/>
    </row>
    <row r="9" spans="1:60" ht="12.75" customHeight="1" thickBot="1" x14ac:dyDescent="0.25">
      <c r="B9" s="641"/>
      <c r="C9" s="642"/>
      <c r="D9" s="636"/>
      <c r="E9" s="650"/>
      <c r="F9" s="650"/>
      <c r="G9" s="650"/>
      <c r="H9" s="621"/>
      <c r="I9" s="621"/>
      <c r="J9" s="621"/>
      <c r="K9" s="621"/>
      <c r="L9" s="621"/>
      <c r="M9" s="646"/>
      <c r="N9" s="531"/>
      <c r="O9" s="532"/>
      <c r="P9" s="550"/>
      <c r="Q9" s="551"/>
      <c r="R9" s="550"/>
      <c r="S9" s="551"/>
      <c r="T9" s="616"/>
      <c r="U9" s="617"/>
      <c r="V9" s="623"/>
      <c r="W9" s="531"/>
      <c r="X9" s="532"/>
      <c r="Y9" s="539"/>
      <c r="Z9" s="540"/>
      <c r="AA9" s="539"/>
      <c r="AB9" s="540"/>
      <c r="AC9" s="531"/>
      <c r="AD9" s="532"/>
      <c r="AE9" s="539"/>
      <c r="AF9" s="540"/>
      <c r="AG9" s="539"/>
      <c r="AH9" s="531"/>
      <c r="AI9" s="532"/>
      <c r="AJ9" s="539"/>
      <c r="AK9" s="540"/>
      <c r="AL9" s="531"/>
      <c r="AM9" s="532"/>
      <c r="AN9" s="539"/>
      <c r="AO9" s="540"/>
      <c r="AP9" s="539"/>
      <c r="AQ9" s="540"/>
      <c r="AR9" s="658"/>
      <c r="AS9" s="658"/>
      <c r="AT9" s="142"/>
      <c r="AU9" s="659" t="s">
        <v>211</v>
      </c>
      <c r="AV9" s="660"/>
      <c r="AW9" s="660"/>
      <c r="AX9" s="660"/>
      <c r="AY9" s="660"/>
      <c r="AZ9" s="660"/>
      <c r="BA9" s="660"/>
      <c r="BB9" s="660"/>
      <c r="BC9" s="660"/>
      <c r="BD9" s="660"/>
      <c r="BE9" s="660"/>
      <c r="BF9" s="660"/>
      <c r="BG9" s="660"/>
      <c r="BH9" s="661"/>
    </row>
    <row r="10" spans="1:60" ht="12.75" customHeight="1" x14ac:dyDescent="0.2">
      <c r="B10" s="641"/>
      <c r="C10" s="642"/>
      <c r="D10" s="636"/>
      <c r="E10" s="650"/>
      <c r="F10" s="650"/>
      <c r="G10" s="650"/>
      <c r="H10" s="621"/>
      <c r="I10" s="621"/>
      <c r="J10" s="621"/>
      <c r="K10" s="621"/>
      <c r="L10" s="621"/>
      <c r="M10" s="646"/>
      <c r="N10" s="531"/>
      <c r="O10" s="532"/>
      <c r="P10" s="550"/>
      <c r="Q10" s="551"/>
      <c r="R10" s="550"/>
      <c r="S10" s="551"/>
      <c r="T10" s="616"/>
      <c r="U10" s="617"/>
      <c r="V10" s="623"/>
      <c r="W10" s="531"/>
      <c r="X10" s="532"/>
      <c r="Y10" s="539"/>
      <c r="Z10" s="540"/>
      <c r="AA10" s="539"/>
      <c r="AB10" s="540"/>
      <c r="AC10" s="531"/>
      <c r="AD10" s="532"/>
      <c r="AE10" s="539"/>
      <c r="AF10" s="540"/>
      <c r="AG10" s="539"/>
      <c r="AH10" s="531"/>
      <c r="AI10" s="532"/>
      <c r="AJ10" s="539"/>
      <c r="AK10" s="540"/>
      <c r="AL10" s="531"/>
      <c r="AM10" s="532"/>
      <c r="AN10" s="539"/>
      <c r="AO10" s="540"/>
      <c r="AP10" s="539"/>
      <c r="AQ10" s="540"/>
      <c r="AR10" s="658"/>
      <c r="AS10" s="658"/>
      <c r="AT10" s="142"/>
      <c r="AU10" s="662" t="s">
        <v>218</v>
      </c>
      <c r="AV10" s="664" t="s">
        <v>224</v>
      </c>
      <c r="AW10" s="686" t="s">
        <v>199</v>
      </c>
      <c r="AX10" s="668"/>
      <c r="AY10" s="687"/>
      <c r="AZ10" s="667" t="s">
        <v>48</v>
      </c>
      <c r="BA10" s="668"/>
      <c r="BB10" s="687"/>
      <c r="BC10" s="667" t="s">
        <v>49</v>
      </c>
      <c r="BD10" s="668"/>
      <c r="BE10" s="687"/>
      <c r="BF10" s="667" t="s">
        <v>52</v>
      </c>
      <c r="BG10" s="668"/>
      <c r="BH10" s="669"/>
    </row>
    <row r="11" spans="1:60" ht="12.75" customHeight="1" thickBot="1" x14ac:dyDescent="0.25">
      <c r="B11" s="641"/>
      <c r="C11" s="642"/>
      <c r="D11" s="636"/>
      <c r="E11" s="650"/>
      <c r="F11" s="650"/>
      <c r="G11" s="650"/>
      <c r="H11" s="621"/>
      <c r="I11" s="621"/>
      <c r="J11" s="621"/>
      <c r="K11" s="621"/>
      <c r="L11" s="621"/>
      <c r="M11" s="646"/>
      <c r="N11" s="531"/>
      <c r="O11" s="532"/>
      <c r="P11" s="550"/>
      <c r="Q11" s="551"/>
      <c r="R11" s="550"/>
      <c r="S11" s="551"/>
      <c r="T11" s="616"/>
      <c r="U11" s="617"/>
      <c r="V11" s="623"/>
      <c r="W11" s="531"/>
      <c r="X11" s="532"/>
      <c r="Y11" s="539"/>
      <c r="Z11" s="540"/>
      <c r="AA11" s="539"/>
      <c r="AB11" s="540"/>
      <c r="AC11" s="531"/>
      <c r="AD11" s="532"/>
      <c r="AE11" s="539"/>
      <c r="AF11" s="540"/>
      <c r="AG11" s="539"/>
      <c r="AH11" s="531"/>
      <c r="AI11" s="532"/>
      <c r="AJ11" s="539"/>
      <c r="AK11" s="540"/>
      <c r="AL11" s="531"/>
      <c r="AM11" s="532"/>
      <c r="AN11" s="539"/>
      <c r="AO11" s="540"/>
      <c r="AP11" s="539"/>
      <c r="AQ11" s="540"/>
      <c r="AR11" s="658"/>
      <c r="AS11" s="658"/>
      <c r="AT11" s="142"/>
      <c r="AU11" s="663"/>
      <c r="AV11" s="665"/>
      <c r="AW11" s="670" t="s">
        <v>219</v>
      </c>
      <c r="AX11" s="671"/>
      <c r="AY11" s="672"/>
      <c r="AZ11" s="673" t="s">
        <v>220</v>
      </c>
      <c r="BA11" s="671"/>
      <c r="BB11" s="672"/>
      <c r="BC11" s="673" t="s">
        <v>220</v>
      </c>
      <c r="BD11" s="671"/>
      <c r="BE11" s="672"/>
      <c r="BF11" s="673" t="s">
        <v>220</v>
      </c>
      <c r="BG11" s="671"/>
      <c r="BH11" s="674"/>
    </row>
    <row r="12" spans="1:60" ht="12.75" customHeight="1" x14ac:dyDescent="0.2">
      <c r="B12" s="641"/>
      <c r="C12" s="642"/>
      <c r="D12" s="636"/>
      <c r="E12" s="650"/>
      <c r="F12" s="650"/>
      <c r="G12" s="650"/>
      <c r="H12" s="621"/>
      <c r="I12" s="621"/>
      <c r="J12" s="621"/>
      <c r="K12" s="621"/>
      <c r="L12" s="621"/>
      <c r="M12" s="646"/>
      <c r="N12" s="531"/>
      <c r="O12" s="532"/>
      <c r="P12" s="550"/>
      <c r="Q12" s="551"/>
      <c r="R12" s="550"/>
      <c r="S12" s="551"/>
      <c r="T12" s="616"/>
      <c r="U12" s="617"/>
      <c r="V12" s="623"/>
      <c r="W12" s="531"/>
      <c r="X12" s="532"/>
      <c r="Y12" s="539"/>
      <c r="Z12" s="540"/>
      <c r="AA12" s="539"/>
      <c r="AB12" s="540"/>
      <c r="AC12" s="531"/>
      <c r="AD12" s="532"/>
      <c r="AE12" s="539"/>
      <c r="AF12" s="540"/>
      <c r="AG12" s="539"/>
      <c r="AH12" s="531"/>
      <c r="AI12" s="532"/>
      <c r="AJ12" s="539"/>
      <c r="AK12" s="540"/>
      <c r="AL12" s="531"/>
      <c r="AM12" s="532"/>
      <c r="AN12" s="539"/>
      <c r="AO12" s="540"/>
      <c r="AP12" s="539"/>
      <c r="AQ12" s="540"/>
      <c r="AR12" s="658"/>
      <c r="AS12" s="658"/>
      <c r="AT12" s="142"/>
      <c r="AU12" s="222" t="s">
        <v>105</v>
      </c>
      <c r="AV12" s="104" t="s">
        <v>221</v>
      </c>
      <c r="AW12" s="653">
        <v>1.5</v>
      </c>
      <c r="AX12" s="601"/>
      <c r="AY12" s="602"/>
      <c r="AZ12" s="600">
        <v>0.56999999999999995</v>
      </c>
      <c r="BA12" s="601"/>
      <c r="BB12" s="602"/>
      <c r="BC12" s="600">
        <v>0.67</v>
      </c>
      <c r="BD12" s="601"/>
      <c r="BE12" s="602"/>
      <c r="BF12" s="600" t="s">
        <v>101</v>
      </c>
      <c r="BG12" s="601"/>
      <c r="BH12" s="681"/>
    </row>
    <row r="13" spans="1:60" ht="12.75" customHeight="1" x14ac:dyDescent="0.2">
      <c r="B13" s="641"/>
      <c r="C13" s="642"/>
      <c r="D13" s="636"/>
      <c r="E13" s="650"/>
      <c r="F13" s="650"/>
      <c r="G13" s="650"/>
      <c r="H13" s="621"/>
      <c r="I13" s="621"/>
      <c r="J13" s="621"/>
      <c r="K13" s="621"/>
      <c r="L13" s="621"/>
      <c r="M13" s="646"/>
      <c r="N13" s="531"/>
      <c r="O13" s="532"/>
      <c r="P13" s="550"/>
      <c r="Q13" s="551"/>
      <c r="R13" s="550"/>
      <c r="S13" s="551"/>
      <c r="T13" s="616"/>
      <c r="U13" s="617"/>
      <c r="V13" s="623"/>
      <c r="W13" s="531"/>
      <c r="X13" s="532"/>
      <c r="Y13" s="539"/>
      <c r="Z13" s="540"/>
      <c r="AA13" s="539"/>
      <c r="AB13" s="540"/>
      <c r="AC13" s="531"/>
      <c r="AD13" s="532"/>
      <c r="AE13" s="539"/>
      <c r="AF13" s="540"/>
      <c r="AG13" s="539"/>
      <c r="AH13" s="531"/>
      <c r="AI13" s="532"/>
      <c r="AJ13" s="539"/>
      <c r="AK13" s="540"/>
      <c r="AL13" s="531"/>
      <c r="AM13" s="532"/>
      <c r="AN13" s="539"/>
      <c r="AO13" s="540"/>
      <c r="AP13" s="539"/>
      <c r="AQ13" s="540"/>
      <c r="AR13" s="658"/>
      <c r="AS13" s="658"/>
      <c r="AT13" s="142"/>
      <c r="AU13" s="221" t="s">
        <v>106</v>
      </c>
      <c r="AV13" s="103" t="s">
        <v>222</v>
      </c>
      <c r="AW13" s="675">
        <v>2</v>
      </c>
      <c r="AX13" s="676"/>
      <c r="AY13" s="677"/>
      <c r="AZ13" s="678"/>
      <c r="BA13" s="679"/>
      <c r="BB13" s="680"/>
      <c r="BC13" s="678">
        <v>0.98</v>
      </c>
      <c r="BD13" s="679"/>
      <c r="BE13" s="680"/>
      <c r="BF13" s="600" t="s">
        <v>101</v>
      </c>
      <c r="BG13" s="601"/>
      <c r="BH13" s="681"/>
    </row>
    <row r="14" spans="1:60" ht="12.75" customHeight="1" x14ac:dyDescent="0.2">
      <c r="B14" s="641"/>
      <c r="C14" s="642"/>
      <c r="D14" s="636"/>
      <c r="E14" s="650"/>
      <c r="F14" s="650"/>
      <c r="G14" s="650"/>
      <c r="H14" s="621"/>
      <c r="I14" s="621"/>
      <c r="J14" s="621"/>
      <c r="K14" s="621"/>
      <c r="L14" s="621"/>
      <c r="M14" s="646"/>
      <c r="N14" s="531"/>
      <c r="O14" s="532"/>
      <c r="P14" s="550"/>
      <c r="Q14" s="551"/>
      <c r="R14" s="550"/>
      <c r="S14" s="551"/>
      <c r="T14" s="616"/>
      <c r="U14" s="617"/>
      <c r="V14" s="623"/>
      <c r="W14" s="531"/>
      <c r="X14" s="532"/>
      <c r="Y14" s="539"/>
      <c r="Z14" s="540"/>
      <c r="AA14" s="539"/>
      <c r="AB14" s="540"/>
      <c r="AC14" s="531"/>
      <c r="AD14" s="532"/>
      <c r="AE14" s="539"/>
      <c r="AF14" s="540"/>
      <c r="AG14" s="539"/>
      <c r="AH14" s="531"/>
      <c r="AI14" s="532"/>
      <c r="AJ14" s="539"/>
      <c r="AK14" s="540"/>
      <c r="AL14" s="531"/>
      <c r="AM14" s="532"/>
      <c r="AN14" s="539"/>
      <c r="AO14" s="540"/>
      <c r="AP14" s="539"/>
      <c r="AQ14" s="540"/>
      <c r="AR14" s="658"/>
      <c r="AS14" s="658"/>
      <c r="AT14" s="142"/>
      <c r="AU14" s="221" t="s">
        <v>111</v>
      </c>
      <c r="AV14" s="103" t="s">
        <v>223</v>
      </c>
      <c r="AW14" s="675" t="s">
        <v>101</v>
      </c>
      <c r="AX14" s="676"/>
      <c r="AY14" s="677"/>
      <c r="AZ14" s="678" t="s">
        <v>101</v>
      </c>
      <c r="BA14" s="679"/>
      <c r="BB14" s="680"/>
      <c r="BC14" s="678" t="s">
        <v>101</v>
      </c>
      <c r="BD14" s="679"/>
      <c r="BE14" s="680"/>
      <c r="BF14" s="600">
        <v>-0.18</v>
      </c>
      <c r="BG14" s="601"/>
      <c r="BH14" s="681"/>
    </row>
    <row r="15" spans="1:60" ht="12.75" customHeight="1" x14ac:dyDescent="0.2">
      <c r="B15" s="641"/>
      <c r="C15" s="642"/>
      <c r="D15" s="636"/>
      <c r="E15" s="650"/>
      <c r="F15" s="650"/>
      <c r="G15" s="650"/>
      <c r="H15" s="621"/>
      <c r="I15" s="621"/>
      <c r="J15" s="621"/>
      <c r="K15" s="621"/>
      <c r="L15" s="621"/>
      <c r="M15" s="647"/>
      <c r="N15" s="533"/>
      <c r="O15" s="534"/>
      <c r="P15" s="552"/>
      <c r="Q15" s="553"/>
      <c r="R15" s="552"/>
      <c r="S15" s="553"/>
      <c r="T15" s="618"/>
      <c r="U15" s="619"/>
      <c r="V15" s="623"/>
      <c r="W15" s="533"/>
      <c r="X15" s="534"/>
      <c r="Y15" s="541"/>
      <c r="Z15" s="542"/>
      <c r="AA15" s="541"/>
      <c r="AB15" s="542"/>
      <c r="AC15" s="533"/>
      <c r="AD15" s="534"/>
      <c r="AE15" s="541"/>
      <c r="AF15" s="542"/>
      <c r="AG15" s="541"/>
      <c r="AH15" s="533"/>
      <c r="AI15" s="534"/>
      <c r="AJ15" s="541"/>
      <c r="AK15" s="542"/>
      <c r="AL15" s="533"/>
      <c r="AM15" s="534"/>
      <c r="AN15" s="541"/>
      <c r="AO15" s="542"/>
      <c r="AP15" s="541"/>
      <c r="AQ15" s="542"/>
      <c r="AR15" s="658"/>
      <c r="AS15" s="658"/>
      <c r="AT15" s="142"/>
      <c r="AU15" s="221" t="s">
        <v>225</v>
      </c>
      <c r="AV15" s="103" t="s">
        <v>221</v>
      </c>
      <c r="AW15" s="653">
        <v>4.33</v>
      </c>
      <c r="AX15" s="601"/>
      <c r="AY15" s="602"/>
      <c r="AZ15" s="600">
        <v>3.29</v>
      </c>
      <c r="BA15" s="601"/>
      <c r="BB15" s="602"/>
      <c r="BC15" s="600">
        <v>2.09</v>
      </c>
      <c r="BD15" s="601"/>
      <c r="BE15" s="602"/>
      <c r="BF15" s="600">
        <v>0.42</v>
      </c>
      <c r="BG15" s="601"/>
      <c r="BH15" s="681"/>
    </row>
    <row r="16" spans="1:60" ht="12.75" customHeight="1" thickBot="1" x14ac:dyDescent="0.25">
      <c r="B16" s="631" t="s">
        <v>2</v>
      </c>
      <c r="C16" s="633" t="s">
        <v>3</v>
      </c>
      <c r="D16" s="636"/>
      <c r="E16" s="650"/>
      <c r="F16" s="650"/>
      <c r="G16" s="650"/>
      <c r="H16" s="651" t="s">
        <v>5</v>
      </c>
      <c r="I16" s="651" t="s">
        <v>12</v>
      </c>
      <c r="J16" s="651" t="s">
        <v>12</v>
      </c>
      <c r="K16" s="688" t="s">
        <v>12</v>
      </c>
      <c r="L16" s="688" t="s">
        <v>12</v>
      </c>
      <c r="M16" s="651" t="s">
        <v>5</v>
      </c>
      <c r="N16" s="598" t="s">
        <v>5</v>
      </c>
      <c r="O16" s="599"/>
      <c r="P16" s="610" t="s">
        <v>6</v>
      </c>
      <c r="Q16" s="611"/>
      <c r="R16" s="610" t="s">
        <v>6</v>
      </c>
      <c r="S16" s="611"/>
      <c r="T16" s="610" t="s">
        <v>6</v>
      </c>
      <c r="U16" s="611"/>
      <c r="V16" s="136" t="s">
        <v>10</v>
      </c>
      <c r="W16" s="627" t="s">
        <v>10</v>
      </c>
      <c r="X16" s="628"/>
      <c r="Y16" s="598" t="s">
        <v>11</v>
      </c>
      <c r="Z16" s="599"/>
      <c r="AA16" s="598" t="s">
        <v>10</v>
      </c>
      <c r="AB16" s="599"/>
      <c r="AC16" s="598" t="s">
        <v>10</v>
      </c>
      <c r="AD16" s="599"/>
      <c r="AE16" s="598" t="s">
        <v>22</v>
      </c>
      <c r="AF16" s="599"/>
      <c r="AG16" s="228" t="s">
        <v>5</v>
      </c>
      <c r="AH16" s="598" t="s">
        <v>12</v>
      </c>
      <c r="AI16" s="599"/>
      <c r="AJ16" s="598" t="s">
        <v>12</v>
      </c>
      <c r="AK16" s="599"/>
      <c r="AL16" s="598" t="s">
        <v>13</v>
      </c>
      <c r="AM16" s="599"/>
      <c r="AN16" s="598" t="s">
        <v>12</v>
      </c>
      <c r="AO16" s="599"/>
      <c r="AP16" s="598" t="s">
        <v>12</v>
      </c>
      <c r="AQ16" s="599"/>
      <c r="AR16" s="471" t="s">
        <v>12</v>
      </c>
      <c r="AS16" s="228" t="s">
        <v>5</v>
      </c>
      <c r="AT16" s="143"/>
      <c r="AU16" s="223" t="s">
        <v>226</v>
      </c>
      <c r="AV16" s="158" t="s">
        <v>221</v>
      </c>
      <c r="AW16" s="666">
        <v>3.67</v>
      </c>
      <c r="AX16" s="655"/>
      <c r="AY16" s="656"/>
      <c r="AZ16" s="654">
        <v>2.65</v>
      </c>
      <c r="BA16" s="655"/>
      <c r="BB16" s="656"/>
      <c r="BC16" s="654">
        <v>1.75</v>
      </c>
      <c r="BD16" s="655"/>
      <c r="BE16" s="656"/>
      <c r="BF16" s="654">
        <v>0.32</v>
      </c>
      <c r="BG16" s="655"/>
      <c r="BH16" s="682"/>
    </row>
    <row r="17" spans="1:58" s="81" customFormat="1" ht="12.75" customHeight="1" thickBot="1" x14ac:dyDescent="0.25">
      <c r="B17" s="632"/>
      <c r="C17" s="634"/>
      <c r="D17" s="636"/>
      <c r="E17" s="650"/>
      <c r="F17" s="650"/>
      <c r="G17" s="650"/>
      <c r="H17" s="652"/>
      <c r="I17" s="652"/>
      <c r="J17" s="652"/>
      <c r="K17" s="689"/>
      <c r="L17" s="689"/>
      <c r="M17" s="652"/>
      <c r="N17" s="447" t="s">
        <v>257</v>
      </c>
      <c r="O17" s="448" t="s">
        <v>258</v>
      </c>
      <c r="P17" s="447" t="s">
        <v>257</v>
      </c>
      <c r="Q17" s="448" t="s">
        <v>258</v>
      </c>
      <c r="R17" s="447" t="s">
        <v>257</v>
      </c>
      <c r="S17" s="448" t="s">
        <v>258</v>
      </c>
      <c r="T17" s="447" t="s">
        <v>257</v>
      </c>
      <c r="U17" s="448" t="s">
        <v>258</v>
      </c>
      <c r="V17" s="449" t="s">
        <v>257</v>
      </c>
      <c r="W17" s="447" t="s">
        <v>257</v>
      </c>
      <c r="X17" s="448" t="s">
        <v>258</v>
      </c>
      <c r="Y17" s="447" t="s">
        <v>257</v>
      </c>
      <c r="Z17" s="448" t="s">
        <v>258</v>
      </c>
      <c r="AA17" s="447" t="s">
        <v>257</v>
      </c>
      <c r="AB17" s="448" t="s">
        <v>258</v>
      </c>
      <c r="AC17" s="447" t="s">
        <v>257</v>
      </c>
      <c r="AD17" s="448" t="s">
        <v>258</v>
      </c>
      <c r="AE17" s="447" t="s">
        <v>257</v>
      </c>
      <c r="AF17" s="448" t="s">
        <v>258</v>
      </c>
      <c r="AG17" s="449" t="s">
        <v>257</v>
      </c>
      <c r="AH17" s="447" t="s">
        <v>257</v>
      </c>
      <c r="AI17" s="448" t="s">
        <v>258</v>
      </c>
      <c r="AJ17" s="447" t="s">
        <v>257</v>
      </c>
      <c r="AK17" s="448" t="s">
        <v>258</v>
      </c>
      <c r="AL17" s="447" t="s">
        <v>257</v>
      </c>
      <c r="AM17" s="448" t="s">
        <v>258</v>
      </c>
      <c r="AN17" s="447" t="s">
        <v>257</v>
      </c>
      <c r="AO17" s="448" t="s">
        <v>258</v>
      </c>
      <c r="AP17" s="447" t="s">
        <v>257</v>
      </c>
      <c r="AQ17" s="448" t="s">
        <v>258</v>
      </c>
      <c r="AR17" s="449" t="s">
        <v>257</v>
      </c>
      <c r="AS17" s="449" t="s">
        <v>257</v>
      </c>
      <c r="AT17" s="167"/>
      <c r="AU17" s="116"/>
    </row>
    <row r="18" spans="1:58" ht="12.75" customHeight="1" x14ac:dyDescent="0.2">
      <c r="B18" s="643" t="s">
        <v>39</v>
      </c>
      <c r="C18" s="644"/>
      <c r="D18" s="100"/>
      <c r="E18" s="100"/>
      <c r="F18" s="100"/>
      <c r="G18" s="100"/>
      <c r="H18" s="100"/>
      <c r="I18" s="100"/>
      <c r="J18" s="100"/>
      <c r="K18" s="100"/>
      <c r="L18" s="100"/>
      <c r="M18" s="101"/>
      <c r="N18" s="386"/>
      <c r="O18" s="387"/>
      <c r="P18" s="264"/>
      <c r="Q18" s="265"/>
      <c r="R18" s="264"/>
      <c r="S18" s="265"/>
      <c r="T18" s="264"/>
      <c r="U18" s="265"/>
      <c r="V18" s="118"/>
      <c r="W18" s="264"/>
      <c r="X18" s="265"/>
      <c r="Y18" s="386"/>
      <c r="Z18" s="387"/>
      <c r="AA18" s="386"/>
      <c r="AB18" s="387"/>
      <c r="AC18" s="386"/>
      <c r="AD18" s="387"/>
      <c r="AE18" s="421"/>
      <c r="AF18" s="422"/>
      <c r="AG18" s="49"/>
      <c r="AH18" s="386"/>
      <c r="AI18" s="387"/>
      <c r="AJ18" s="386"/>
      <c r="AK18" s="387"/>
      <c r="AL18" s="386"/>
      <c r="AM18" s="387"/>
      <c r="AN18" s="386"/>
      <c r="AO18" s="387"/>
      <c r="AP18" s="386"/>
      <c r="AQ18" s="387"/>
      <c r="AR18" s="473"/>
      <c r="AS18" s="209"/>
      <c r="AT18" s="93"/>
    </row>
    <row r="19" spans="1:58" ht="12.75" customHeight="1" x14ac:dyDescent="0.2">
      <c r="B19" s="338">
        <v>74426.75</v>
      </c>
      <c r="C19" s="339">
        <v>76200</v>
      </c>
      <c r="D19" s="340" t="s">
        <v>16</v>
      </c>
      <c r="E19" s="340" t="s">
        <v>105</v>
      </c>
      <c r="F19" s="340" t="s">
        <v>105</v>
      </c>
      <c r="G19" s="47" t="str">
        <f t="shared" ref="G19:G50" si="0">IF(AND($E19=$AU$2,$F19=$AU$2),$AW$2,IF(OR(AND($E19=$AU$2,$F19=$AU$3),AND($E19=$AU$3,$F19=$AU$2)),$AW$3,IF(OR(AND($E19=$AU$2,$F19=$AU$4),AND($E19=$AU$4,$F19=$AU$2)),$AW$4,IF(OR(AND($E19=$AU$3,$F19=$AU$4),AND($E19=$AU$4,$F19=$AU$3)),$AW$5,IF(AND($E19=$AU$3,$F19=$AU$3),$AW$6,IF(AND($E19=$AU$4,$F19=$AU$4),$AW$7,"-"))))))</f>
        <v>E/S - E/S</v>
      </c>
      <c r="H19" s="26">
        <f t="shared" ref="H19:H27" si="1">IF(AND($E19=$AU$2,$F19=$AU$2),2*$AW$12,IF(OR(AND($E19=$AU$2, $F19=$AU$3),AND($E19=$AU$3,$F19=$AU$2)),$AW$12+$AW$13,IF(OR(AND($E19=$AU$2,$F19=$AU$4),AND($E19=$AU$4,$F19=$AU$2)),$AW$12,IF(OR(AND($E19=$AU$3,$F19=$AU$4),AND($E19=$AU$4,$F19=$AU$3)),$AW$13,IF(AND($E19=$AU$3,$F19=$AU$3),2*$AW$13,0)))))</f>
        <v>3</v>
      </c>
      <c r="I19" s="27">
        <f t="shared" ref="I19:I27" si="2">IF(AND($E19=$AU$2,$F19=$AU$2),2*$AZ$12*$M19/27,IF(OR(AND($E19=$AU$2,$F19=$AU$3),AND($E19=$AU$3,$F19=$AU$2)),$AZ$12*$M19/27,IF(OR(AND($E19=$AU$2,$F19=$AU$4),AND($E19=$AU$4,$F19=$AU$2)),$AZ$12*$M19/27,0)))</f>
        <v>74.870555555555555</v>
      </c>
      <c r="J19" s="27">
        <f t="shared" ref="J19:J27" si="3">IF(AND($E19=$AU$2,$F19=$AU$2),2*$BC$12*$M19/27,IF(OR(AND($E19=$AU$2,$F19=$AU$3),AND($E19=$AU$3,$F19=$AU$2)),($BC$12+$BC$13)*$M19/27,IF(OR(AND($E19=$AU$2,$F19=$AU$4),AND($E19=$AU$4,$F19=$AU$2)),$BC$12*$M19/27,IF(OR(AND($E19=$AU$3,$F19=$AU$4),AND($E19=$AU$4,$F19=$AU$3)),$BC$13*$M19/27,IF(AND($E19=$AU$3,$F19=$AU$3),2*$BC$13*$M19/27,0)))))</f>
        <v>88.005740740740748</v>
      </c>
      <c r="K19" s="27">
        <f t="shared" ref="K19:K27" si="4">IF(AND($E19=$AU$4,$F19=$AU$4),2*$BF$14*$M19/27,IF(OR($E19=$AU$4,$F19=$AU$4),$BF$14*$M19/27,0))</f>
        <v>0</v>
      </c>
      <c r="L19" s="341">
        <v>0</v>
      </c>
      <c r="M19" s="83">
        <f t="shared" ref="M19:M70" si="5">C19-B19</f>
        <v>1773.25</v>
      </c>
      <c r="N19" s="388">
        <v>40</v>
      </c>
      <c r="O19" s="389">
        <v>0</v>
      </c>
      <c r="P19" s="222">
        <f>IF(N19="-",0,ROUNDUP($M19*N19,0))</f>
        <v>70930</v>
      </c>
      <c r="Q19" s="274">
        <f t="shared" ref="Q19:Q70" si="6">IF($O19="-",0,ROUNDUP($M19*O19,0))</f>
        <v>0</v>
      </c>
      <c r="R19" s="398">
        <v>0</v>
      </c>
      <c r="S19" s="399">
        <v>0</v>
      </c>
      <c r="T19" s="221">
        <f t="shared" ref="T19:T70" si="7">P19+R19</f>
        <v>70930</v>
      </c>
      <c r="U19" s="269">
        <f t="shared" ref="U19:U70" si="8">Q19+S19</f>
        <v>0</v>
      </c>
      <c r="V19" s="348">
        <v>0</v>
      </c>
      <c r="W19" s="402">
        <f>IF(OR($A19="APP SLAB",T19=0),0,(T19+$H19*$M19)/9)</f>
        <v>8472.1944444444453</v>
      </c>
      <c r="X19" s="403">
        <f>IF($A19="APP SLAB",0,U19/9)</f>
        <v>0</v>
      </c>
      <c r="Y19" s="414">
        <f t="shared" ref="Y19:Z70" si="9">IF(AND(W19=0,AA19=0),0,IF(AA19=0,W19/2000,AA19/2000))</f>
        <v>4.2360972222222228</v>
      </c>
      <c r="Z19" s="415">
        <f t="shared" si="9"/>
        <v>0</v>
      </c>
      <c r="AA19" s="402">
        <f t="shared" ref="AA19:AB34" si="10">IF(OR($A19="APP SLAB",W19&lt;&gt;0),0,AC19)</f>
        <v>0</v>
      </c>
      <c r="AB19" s="403">
        <f t="shared" si="10"/>
        <v>0</v>
      </c>
      <c r="AC19" s="402">
        <f t="shared" ref="AC19:AC50" si="11">IF(OR($A19="APP SLAB",W19&lt;&gt;0),0,(T19+$H19*$M19)/9)</f>
        <v>0</v>
      </c>
      <c r="AD19" s="403">
        <f t="shared" ref="AD19:AD50" si="12">IF(OR($A19="APP SLAB",X19&lt;&gt;0),0,U19/9)</f>
        <v>0</v>
      </c>
      <c r="AE19" s="402">
        <f t="shared" ref="AE19:AE50" si="13">IF(OR($A19="APP SLAB",W19&lt;&gt;0),0,$AC$1*AC19*110*0.06*0.75/2000)</f>
        <v>0</v>
      </c>
      <c r="AF19" s="403">
        <f t="shared" ref="AF19:AF50" si="14">IF(OR($A19="APP SLAB",X19&lt;&gt;0),0,$AC$1*AD19*110*0.06*0.75/2000)</f>
        <v>0</v>
      </c>
      <c r="AG19" s="351">
        <v>0</v>
      </c>
      <c r="AH19" s="425">
        <f>IF($A19="APP SLAB",0,(T19*$AH$1/12)/27+I19)</f>
        <v>2592.4477160493825</v>
      </c>
      <c r="AI19" s="426">
        <f t="shared" ref="AI19:AI50" si="15">IF($A19="APP SLAB",0,(U19*$AH$1/12)/27)</f>
        <v>0</v>
      </c>
      <c r="AJ19" s="424">
        <f t="shared" ref="AJ19:AJ50" si="16">(T19*$AJ$1/12)/27+J19</f>
        <v>1401.5242592592592</v>
      </c>
      <c r="AK19" s="429">
        <f t="shared" ref="AK19:AK50" si="17">(U19*$AJ$1/12)/27</f>
        <v>0</v>
      </c>
      <c r="AL19" s="402">
        <f t="shared" ref="AL19:AL50" si="18">IF(A19="APP SLAB",0,(T19/9)*$AL$1)</f>
        <v>315.24444444444447</v>
      </c>
      <c r="AM19" s="403">
        <f t="shared" ref="AM19:AM50" si="19">IF($A19="APP SLAB",0,(U19/9)*$AL$1)</f>
        <v>0</v>
      </c>
      <c r="AN19" s="424">
        <f t="shared" ref="AN19:AN50" si="20">IF(A19="APP SLAB",0,(T19*($AN$1/12))/27+K19)</f>
        <v>328.37962962962962</v>
      </c>
      <c r="AO19" s="429">
        <f t="shared" ref="AO19:AO50" si="21">IF($A19="APP SLAB",0,(U19*($AN$1/12))/27)</f>
        <v>0</v>
      </c>
      <c r="AP19" s="424">
        <f>IF($A19="APP SLAB",0,(T19*$AP$1/12)/27+L19)</f>
        <v>383.10956790123458</v>
      </c>
      <c r="AQ19" s="429">
        <f t="shared" ref="AQ19:AQ50" si="22">IF($A19="APP SLAB",0,(U19*$AP$1/12)/27)</f>
        <v>0</v>
      </c>
      <c r="AR19" s="467">
        <f>IF(AND($E19=$F19="Uncurbed"),(2*$M19*2*$AR$1/12)/27,IF(OR($E19="Uncurbed",$F19="Uncurbed"),($M19*2*$AR$1/12)/27,IF(OR(AND($E19="Med. Barr.",$F19="Curbed"),AND($E19="Curbed",$F19="Med. Barr."),$E19=$F19,$E19="Unique",$F19="Unique",$E19="-",$F19="-"),0,"?")))</f>
        <v>35.574459876543209</v>
      </c>
      <c r="AS19" s="6">
        <f t="shared" ref="AS19:AS50" si="23">IF(A19="APP SLAB",0,(M19*2))</f>
        <v>3546.5</v>
      </c>
      <c r="AT19" s="10"/>
    </row>
    <row r="20" spans="1:58" ht="12.75" customHeight="1" x14ac:dyDescent="0.2">
      <c r="B20" s="338">
        <v>76200</v>
      </c>
      <c r="C20" s="339">
        <v>76300</v>
      </c>
      <c r="D20" s="340" t="s">
        <v>16</v>
      </c>
      <c r="E20" s="340" t="s">
        <v>105</v>
      </c>
      <c r="F20" s="340" t="s">
        <v>105</v>
      </c>
      <c r="G20" s="47" t="str">
        <f t="shared" si="0"/>
        <v>E/S - E/S</v>
      </c>
      <c r="H20" s="26">
        <f t="shared" si="1"/>
        <v>3</v>
      </c>
      <c r="I20" s="27">
        <f t="shared" si="2"/>
        <v>4.2222222222222214</v>
      </c>
      <c r="J20" s="27">
        <f t="shared" si="3"/>
        <v>4.9629629629629628</v>
      </c>
      <c r="K20" s="27">
        <f t="shared" si="4"/>
        <v>0</v>
      </c>
      <c r="L20" s="341">
        <v>0</v>
      </c>
      <c r="M20" s="83">
        <f t="shared" si="5"/>
        <v>100</v>
      </c>
      <c r="N20" s="388">
        <v>40</v>
      </c>
      <c r="O20" s="389">
        <v>6</v>
      </c>
      <c r="P20" s="222">
        <f>IF(N20="-",0,ROUNDUP($M20*N20,0))</f>
        <v>4000</v>
      </c>
      <c r="Q20" s="274">
        <f t="shared" si="6"/>
        <v>600</v>
      </c>
      <c r="R20" s="398">
        <v>0</v>
      </c>
      <c r="S20" s="399">
        <v>0</v>
      </c>
      <c r="T20" s="221">
        <f t="shared" si="7"/>
        <v>4000</v>
      </c>
      <c r="U20" s="269">
        <f t="shared" si="8"/>
        <v>600</v>
      </c>
      <c r="V20" s="348">
        <v>0</v>
      </c>
      <c r="W20" s="402">
        <f>IF(OR($A20="APP SLAB",T20=0),0,(T20+$H20*$M20)/9)</f>
        <v>477.77777777777777</v>
      </c>
      <c r="X20" s="403">
        <f>IF($A20="APP SLAB",0,U20/9)</f>
        <v>66.666666666666671</v>
      </c>
      <c r="Y20" s="414">
        <f t="shared" si="9"/>
        <v>0.23888888888888887</v>
      </c>
      <c r="Z20" s="415">
        <f t="shared" si="9"/>
        <v>3.3333333333333333E-2</v>
      </c>
      <c r="AA20" s="402">
        <f t="shared" si="10"/>
        <v>0</v>
      </c>
      <c r="AB20" s="403">
        <f t="shared" si="10"/>
        <v>0</v>
      </c>
      <c r="AC20" s="402">
        <f t="shared" si="11"/>
        <v>0</v>
      </c>
      <c r="AD20" s="403">
        <f t="shared" si="12"/>
        <v>0</v>
      </c>
      <c r="AE20" s="402">
        <f t="shared" si="13"/>
        <v>0</v>
      </c>
      <c r="AF20" s="403">
        <f t="shared" si="14"/>
        <v>0</v>
      </c>
      <c r="AG20" s="351">
        <v>0</v>
      </c>
      <c r="AH20" s="425">
        <f t="shared" ref="AH20:AH51" si="24">IF(A20="APP SLAB",0,(T20*$AH$1/12)/27+I20)</f>
        <v>146.19753086419755</v>
      </c>
      <c r="AI20" s="426">
        <f t="shared" si="15"/>
        <v>21.296296296296298</v>
      </c>
      <c r="AJ20" s="424">
        <f t="shared" si="16"/>
        <v>79.037037037037038</v>
      </c>
      <c r="AK20" s="429">
        <f t="shared" si="17"/>
        <v>11.111111111111111</v>
      </c>
      <c r="AL20" s="402">
        <f t="shared" si="18"/>
        <v>17.777777777777779</v>
      </c>
      <c r="AM20" s="403">
        <f t="shared" si="19"/>
        <v>2.666666666666667</v>
      </c>
      <c r="AN20" s="424">
        <f t="shared" si="20"/>
        <v>18.518518518518519</v>
      </c>
      <c r="AO20" s="429">
        <f t="shared" si="21"/>
        <v>2.7777777777777777</v>
      </c>
      <c r="AP20" s="424">
        <f t="shared" ref="AP20:AP51" si="25">IF(A20="APP SLAB",0,(T20*$AP$1/12)/27+L20)</f>
        <v>21.60493827160494</v>
      </c>
      <c r="AQ20" s="429">
        <f t="shared" si="22"/>
        <v>3.2407407407407409</v>
      </c>
      <c r="AR20" s="467">
        <f t="shared" ref="AR20:AR70" si="26">IF(AND($E20=$F20="Uncurbed"),(2*$M20*2*$AR$1/12)/27,IF(OR($E20="Uncurbed",$F20="Uncurbed"),($M20*2*$AR$1/12)/27,IF(OR(AND($E20="Med. Barr.",$F20="Curbed"),AND($E20="Curbed",$F20="Med. Barr."),$E20=$F20,$E20="Unique",$F20="Unique",$E20="-",$F20="-"),0,"?")))</f>
        <v>2.0061728395061729</v>
      </c>
      <c r="AS20" s="85">
        <f t="shared" si="23"/>
        <v>200</v>
      </c>
      <c r="AT20" s="10"/>
    </row>
    <row r="21" spans="1:58" ht="12.75" customHeight="1" x14ac:dyDescent="0.2">
      <c r="A21" s="48" t="s">
        <v>54</v>
      </c>
      <c r="B21" s="338">
        <v>76300</v>
      </c>
      <c r="C21" s="339">
        <v>76983.05</v>
      </c>
      <c r="D21" s="340" t="s">
        <v>16</v>
      </c>
      <c r="E21" s="340" t="s">
        <v>111</v>
      </c>
      <c r="F21" s="340" t="s">
        <v>105</v>
      </c>
      <c r="G21" s="47" t="str">
        <f t="shared" si="0"/>
        <v>E/S - C/B</v>
      </c>
      <c r="H21" s="26">
        <f t="shared" si="1"/>
        <v>1.5</v>
      </c>
      <c r="I21" s="27">
        <f t="shared" si="2"/>
        <v>14.419944444444504</v>
      </c>
      <c r="J21" s="27">
        <f t="shared" si="3"/>
        <v>16.949759259259331</v>
      </c>
      <c r="K21" s="27">
        <f t="shared" si="4"/>
        <v>-4.5536666666666861</v>
      </c>
      <c r="L21" s="79">
        <v>0</v>
      </c>
      <c r="M21" s="83">
        <f>C21-B21</f>
        <v>683.05000000000291</v>
      </c>
      <c r="N21" s="388">
        <v>44.25</v>
      </c>
      <c r="O21" s="389">
        <v>20</v>
      </c>
      <c r="P21" s="222">
        <f>IF(N21="-",0,ROUNDUP($M21*N21,0))</f>
        <v>30225</v>
      </c>
      <c r="Q21" s="274">
        <f t="shared" si="6"/>
        <v>13662</v>
      </c>
      <c r="R21" s="398">
        <v>0</v>
      </c>
      <c r="S21" s="399">
        <v>0</v>
      </c>
      <c r="T21" s="221">
        <f t="shared" si="7"/>
        <v>30225</v>
      </c>
      <c r="U21" s="269">
        <f t="shared" si="8"/>
        <v>13662</v>
      </c>
      <c r="V21" s="348">
        <v>0</v>
      </c>
      <c r="W21" s="402">
        <f>IF(OR($A21="APP SLAB",T21=0),0,(T21+$H21*$M21)/9)</f>
        <v>3472.1750000000006</v>
      </c>
      <c r="X21" s="403">
        <f>IF($A21="APP SLAB",0,U21/9)</f>
        <v>1518</v>
      </c>
      <c r="Y21" s="414">
        <f t="shared" si="9"/>
        <v>1.7360875000000002</v>
      </c>
      <c r="Z21" s="415">
        <f t="shared" si="9"/>
        <v>0.75900000000000001</v>
      </c>
      <c r="AA21" s="402">
        <f t="shared" si="10"/>
        <v>0</v>
      </c>
      <c r="AB21" s="403">
        <f t="shared" si="10"/>
        <v>0</v>
      </c>
      <c r="AC21" s="402">
        <f t="shared" si="11"/>
        <v>0</v>
      </c>
      <c r="AD21" s="403">
        <f t="shared" si="12"/>
        <v>0</v>
      </c>
      <c r="AE21" s="402">
        <f t="shared" si="13"/>
        <v>0</v>
      </c>
      <c r="AF21" s="403">
        <f t="shared" si="14"/>
        <v>0</v>
      </c>
      <c r="AG21" s="351">
        <v>0</v>
      </c>
      <c r="AH21" s="425">
        <f t="shared" si="24"/>
        <v>1087.2208703703704</v>
      </c>
      <c r="AI21" s="426">
        <f t="shared" si="15"/>
        <v>484.91666666666669</v>
      </c>
      <c r="AJ21" s="424">
        <f t="shared" si="16"/>
        <v>576.67198148148145</v>
      </c>
      <c r="AK21" s="429">
        <f t="shared" si="17"/>
        <v>253</v>
      </c>
      <c r="AL21" s="402">
        <f t="shared" si="18"/>
        <v>134.33333333333334</v>
      </c>
      <c r="AM21" s="403">
        <f t="shared" si="19"/>
        <v>60.72</v>
      </c>
      <c r="AN21" s="424">
        <f t="shared" si="20"/>
        <v>135.37688888888886</v>
      </c>
      <c r="AO21" s="429">
        <f t="shared" si="21"/>
        <v>63.25</v>
      </c>
      <c r="AP21" s="424">
        <f t="shared" si="25"/>
        <v>163.25231481481481</v>
      </c>
      <c r="AQ21" s="429">
        <f t="shared" si="22"/>
        <v>73.791666666666671</v>
      </c>
      <c r="AR21" s="467">
        <f t="shared" si="26"/>
        <v>13.703163580246972</v>
      </c>
      <c r="AS21" s="85">
        <f t="shared" si="23"/>
        <v>1366.1000000000058</v>
      </c>
      <c r="AT21" s="10"/>
    </row>
    <row r="22" spans="1:58" ht="12.75" customHeight="1" x14ac:dyDescent="0.2">
      <c r="A22" s="48" t="s">
        <v>55</v>
      </c>
      <c r="B22" s="338">
        <v>76996</v>
      </c>
      <c r="C22" s="339">
        <v>77200</v>
      </c>
      <c r="D22" s="340" t="s">
        <v>16</v>
      </c>
      <c r="E22" s="340" t="s">
        <v>111</v>
      </c>
      <c r="F22" s="340" t="s">
        <v>105</v>
      </c>
      <c r="G22" s="47" t="str">
        <f t="shared" si="0"/>
        <v>E/S - C/B</v>
      </c>
      <c r="H22" s="26">
        <f t="shared" si="1"/>
        <v>1.5</v>
      </c>
      <c r="I22" s="27">
        <f t="shared" si="2"/>
        <v>4.3066666666666658</v>
      </c>
      <c r="J22" s="27">
        <f t="shared" si="3"/>
        <v>5.0622222222222222</v>
      </c>
      <c r="K22" s="27">
        <f t="shared" si="4"/>
        <v>-1.3599999999999999</v>
      </c>
      <c r="L22" s="79">
        <v>0</v>
      </c>
      <c r="M22" s="83">
        <f>C22-B22</f>
        <v>204</v>
      </c>
      <c r="N22" s="388">
        <v>41.42</v>
      </c>
      <c r="O22" s="389">
        <v>20</v>
      </c>
      <c r="P22" s="222">
        <f t="shared" ref="P22:P70" si="27">IF(N22="-",0,ROUNDUP($M22*N22,0))</f>
        <v>8450</v>
      </c>
      <c r="Q22" s="274">
        <f t="shared" si="6"/>
        <v>4080</v>
      </c>
      <c r="R22" s="398">
        <v>0</v>
      </c>
      <c r="S22" s="399">
        <v>0</v>
      </c>
      <c r="T22" s="221">
        <f t="shared" si="7"/>
        <v>8450</v>
      </c>
      <c r="U22" s="269">
        <f t="shared" si="8"/>
        <v>4080</v>
      </c>
      <c r="V22" s="348">
        <v>0</v>
      </c>
      <c r="W22" s="404">
        <v>0</v>
      </c>
      <c r="X22" s="405">
        <v>0</v>
      </c>
      <c r="Y22" s="414">
        <f t="shared" si="9"/>
        <v>0.48644444444444446</v>
      </c>
      <c r="Z22" s="415">
        <f t="shared" si="9"/>
        <v>0.22666666666666666</v>
      </c>
      <c r="AA22" s="402">
        <f t="shared" si="10"/>
        <v>972.88888888888891</v>
      </c>
      <c r="AB22" s="403">
        <f t="shared" si="10"/>
        <v>453.33333333333331</v>
      </c>
      <c r="AC22" s="402">
        <f t="shared" si="11"/>
        <v>972.88888888888891</v>
      </c>
      <c r="AD22" s="403">
        <f t="shared" si="12"/>
        <v>453.33333333333331</v>
      </c>
      <c r="AE22" s="402">
        <f t="shared" si="13"/>
        <v>28.894800000000004</v>
      </c>
      <c r="AF22" s="403">
        <f t="shared" si="14"/>
        <v>13.464</v>
      </c>
      <c r="AG22" s="351">
        <v>0</v>
      </c>
      <c r="AH22" s="425">
        <f t="shared" si="24"/>
        <v>304.22950617283954</v>
      </c>
      <c r="AI22" s="426">
        <f t="shared" si="15"/>
        <v>144.81481481481481</v>
      </c>
      <c r="AJ22" s="424">
        <f t="shared" si="16"/>
        <v>161.54370370370373</v>
      </c>
      <c r="AK22" s="429">
        <f t="shared" si="17"/>
        <v>75.555555555555557</v>
      </c>
      <c r="AL22" s="402">
        <f t="shared" si="18"/>
        <v>37.555555555555557</v>
      </c>
      <c r="AM22" s="403">
        <f t="shared" si="19"/>
        <v>18.133333333333333</v>
      </c>
      <c r="AN22" s="424">
        <f t="shared" si="20"/>
        <v>37.760370370370374</v>
      </c>
      <c r="AO22" s="429">
        <f t="shared" si="21"/>
        <v>18.888888888888889</v>
      </c>
      <c r="AP22" s="424">
        <f t="shared" si="25"/>
        <v>45.640432098765437</v>
      </c>
      <c r="AQ22" s="429">
        <f t="shared" si="22"/>
        <v>22.037037037037038</v>
      </c>
      <c r="AR22" s="467">
        <f t="shared" si="26"/>
        <v>4.0925925925925926</v>
      </c>
      <c r="AS22" s="85">
        <f t="shared" si="23"/>
        <v>408</v>
      </c>
      <c r="AT22" s="10"/>
    </row>
    <row r="23" spans="1:58" s="81" customFormat="1" ht="12.75" customHeight="1" x14ac:dyDescent="0.2">
      <c r="A23" s="106"/>
      <c r="B23" s="338">
        <v>77200</v>
      </c>
      <c r="C23" s="339">
        <v>77433.960000000006</v>
      </c>
      <c r="D23" s="340" t="s">
        <v>16</v>
      </c>
      <c r="E23" s="340" t="s">
        <v>111</v>
      </c>
      <c r="F23" s="340" t="s">
        <v>105</v>
      </c>
      <c r="G23" s="103" t="str">
        <f t="shared" si="0"/>
        <v>E/S - C/B</v>
      </c>
      <c r="H23" s="26">
        <f t="shared" si="1"/>
        <v>1.5</v>
      </c>
      <c r="I23" s="27">
        <f t="shared" si="2"/>
        <v>4.9391555555556907</v>
      </c>
      <c r="J23" s="27">
        <f t="shared" si="3"/>
        <v>5.8056740740742336</v>
      </c>
      <c r="K23" s="27">
        <f t="shared" si="4"/>
        <v>-1.559733333333376</v>
      </c>
      <c r="L23" s="79">
        <v>0</v>
      </c>
      <c r="M23" s="83">
        <f t="shared" si="5"/>
        <v>233.9600000000064</v>
      </c>
      <c r="N23" s="388">
        <v>41.42</v>
      </c>
      <c r="O23" s="389">
        <v>20</v>
      </c>
      <c r="P23" s="222">
        <f t="shared" si="27"/>
        <v>9691</v>
      </c>
      <c r="Q23" s="274">
        <f t="shared" si="6"/>
        <v>4680</v>
      </c>
      <c r="R23" s="398">
        <v>0</v>
      </c>
      <c r="S23" s="399">
        <v>0</v>
      </c>
      <c r="T23" s="221">
        <f t="shared" si="7"/>
        <v>9691</v>
      </c>
      <c r="U23" s="269">
        <f t="shared" si="8"/>
        <v>4680</v>
      </c>
      <c r="V23" s="348">
        <v>0</v>
      </c>
      <c r="W23" s="404">
        <v>0</v>
      </c>
      <c r="X23" s="405">
        <v>0</v>
      </c>
      <c r="Y23" s="414">
        <f t="shared" si="9"/>
        <v>0.55788555555555608</v>
      </c>
      <c r="Z23" s="415">
        <f t="shared" si="9"/>
        <v>0.26</v>
      </c>
      <c r="AA23" s="402">
        <f>IF(OR($A23="APP SLAB",W23&lt;&gt;0),0,AC23)</f>
        <v>1115.7711111111121</v>
      </c>
      <c r="AB23" s="403">
        <f t="shared" si="10"/>
        <v>520</v>
      </c>
      <c r="AC23" s="402">
        <f t="shared" si="11"/>
        <v>1115.7711111111121</v>
      </c>
      <c r="AD23" s="403">
        <f t="shared" si="12"/>
        <v>520</v>
      </c>
      <c r="AE23" s="402">
        <f t="shared" si="13"/>
        <v>33.138402000000028</v>
      </c>
      <c r="AF23" s="403">
        <f t="shared" si="14"/>
        <v>15.444000000000001</v>
      </c>
      <c r="AG23" s="351">
        <v>0</v>
      </c>
      <c r="AH23" s="425">
        <f t="shared" si="24"/>
        <v>348.90983456790144</v>
      </c>
      <c r="AI23" s="426">
        <f t="shared" si="15"/>
        <v>166.11111111111111</v>
      </c>
      <c r="AJ23" s="424">
        <f t="shared" si="16"/>
        <v>185.26863703703719</v>
      </c>
      <c r="AK23" s="429">
        <f t="shared" si="17"/>
        <v>86.666666666666671</v>
      </c>
      <c r="AL23" s="402">
        <f t="shared" si="18"/>
        <v>43.071111111111115</v>
      </c>
      <c r="AM23" s="403">
        <f t="shared" si="19"/>
        <v>20.8</v>
      </c>
      <c r="AN23" s="424">
        <f t="shared" si="20"/>
        <v>43.306007407407364</v>
      </c>
      <c r="AO23" s="429">
        <f t="shared" si="21"/>
        <v>21.666666666666668</v>
      </c>
      <c r="AP23" s="424">
        <f t="shared" si="25"/>
        <v>52.34336419753086</v>
      </c>
      <c r="AQ23" s="429">
        <f t="shared" si="22"/>
        <v>25.277777777777779</v>
      </c>
      <c r="AR23" s="467">
        <f t="shared" si="26"/>
        <v>4.693641975308771</v>
      </c>
      <c r="AS23" s="85">
        <f t="shared" si="23"/>
        <v>467.92000000001281</v>
      </c>
      <c r="AT23" s="10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2.75" customHeight="1" x14ac:dyDescent="0.2">
      <c r="B24" s="338">
        <v>77433.960000000006</v>
      </c>
      <c r="C24" s="339">
        <v>77533.960000000006</v>
      </c>
      <c r="D24" s="340" t="s">
        <v>16</v>
      </c>
      <c r="E24" s="340" t="s">
        <v>111</v>
      </c>
      <c r="F24" s="340" t="s">
        <v>105</v>
      </c>
      <c r="G24" s="47" t="str">
        <f t="shared" si="0"/>
        <v>E/S - C/B</v>
      </c>
      <c r="H24" s="26">
        <f t="shared" si="1"/>
        <v>1.5</v>
      </c>
      <c r="I24" s="27">
        <f t="shared" si="2"/>
        <v>2.1111111111111107</v>
      </c>
      <c r="J24" s="27">
        <f t="shared" si="3"/>
        <v>2.4814814814814814</v>
      </c>
      <c r="K24" s="27">
        <f t="shared" si="4"/>
        <v>-0.66666666666666663</v>
      </c>
      <c r="L24" s="79">
        <v>0</v>
      </c>
      <c r="M24" s="83">
        <f t="shared" si="5"/>
        <v>100</v>
      </c>
      <c r="N24" s="388">
        <v>45.42</v>
      </c>
      <c r="O24" s="389">
        <v>20</v>
      </c>
      <c r="P24" s="222">
        <f t="shared" si="27"/>
        <v>4542</v>
      </c>
      <c r="Q24" s="274">
        <f t="shared" si="6"/>
        <v>2000</v>
      </c>
      <c r="R24" s="398">
        <v>0</v>
      </c>
      <c r="S24" s="399">
        <v>0</v>
      </c>
      <c r="T24" s="221">
        <f t="shared" si="7"/>
        <v>4542</v>
      </c>
      <c r="U24" s="269">
        <f t="shared" si="8"/>
        <v>2000</v>
      </c>
      <c r="V24" s="348">
        <v>0</v>
      </c>
      <c r="W24" s="404">
        <v>0</v>
      </c>
      <c r="X24" s="405">
        <v>0</v>
      </c>
      <c r="Y24" s="414">
        <f t="shared" si="9"/>
        <v>0.26066666666666671</v>
      </c>
      <c r="Z24" s="415">
        <f t="shared" si="9"/>
        <v>0.11111111111111112</v>
      </c>
      <c r="AA24" s="402">
        <f>IF(OR($A24="APP SLAB",W24&lt;&gt;0),0,AC24)</f>
        <v>521.33333333333337</v>
      </c>
      <c r="AB24" s="403">
        <f t="shared" si="10"/>
        <v>222.22222222222223</v>
      </c>
      <c r="AC24" s="402">
        <f t="shared" si="11"/>
        <v>521.33333333333337</v>
      </c>
      <c r="AD24" s="403">
        <f t="shared" si="12"/>
        <v>222.22222222222223</v>
      </c>
      <c r="AE24" s="402">
        <f t="shared" si="13"/>
        <v>15.483599999999999</v>
      </c>
      <c r="AF24" s="403">
        <f t="shared" si="14"/>
        <v>6.6</v>
      </c>
      <c r="AG24" s="351">
        <v>0</v>
      </c>
      <c r="AH24" s="425">
        <f t="shared" si="24"/>
        <v>163.32407407407408</v>
      </c>
      <c r="AI24" s="426">
        <f t="shared" si="15"/>
        <v>70.987654320987659</v>
      </c>
      <c r="AJ24" s="424">
        <f t="shared" si="16"/>
        <v>86.592592592592595</v>
      </c>
      <c r="AK24" s="429">
        <f t="shared" si="17"/>
        <v>37.037037037037038</v>
      </c>
      <c r="AL24" s="402">
        <f t="shared" si="18"/>
        <v>20.186666666666667</v>
      </c>
      <c r="AM24" s="403">
        <f t="shared" si="19"/>
        <v>8.8888888888888893</v>
      </c>
      <c r="AN24" s="424">
        <f t="shared" si="20"/>
        <v>20.361111111111111</v>
      </c>
      <c r="AO24" s="429">
        <f t="shared" si="21"/>
        <v>9.2592592592592595</v>
      </c>
      <c r="AP24" s="424">
        <f t="shared" si="25"/>
        <v>24.532407407407408</v>
      </c>
      <c r="AQ24" s="429">
        <f t="shared" si="22"/>
        <v>10.80246913580247</v>
      </c>
      <c r="AR24" s="467">
        <f t="shared" si="26"/>
        <v>2.0061728395061729</v>
      </c>
      <c r="AS24" s="85">
        <f t="shared" si="23"/>
        <v>200</v>
      </c>
      <c r="AT24" s="172"/>
    </row>
    <row r="25" spans="1:58" ht="12.75" customHeight="1" x14ac:dyDescent="0.2">
      <c r="B25" s="338">
        <v>77533.960000000006</v>
      </c>
      <c r="C25" s="339">
        <v>77983.44</v>
      </c>
      <c r="D25" s="340" t="s">
        <v>16</v>
      </c>
      <c r="E25" s="340" t="s">
        <v>111</v>
      </c>
      <c r="F25" s="340" t="s">
        <v>105</v>
      </c>
      <c r="G25" s="47" t="str">
        <f t="shared" si="0"/>
        <v>E/S - C/B</v>
      </c>
      <c r="H25" s="26">
        <f t="shared" si="1"/>
        <v>1.5</v>
      </c>
      <c r="I25" s="27">
        <f t="shared" si="2"/>
        <v>9.4890222222221361</v>
      </c>
      <c r="J25" s="27">
        <f t="shared" si="3"/>
        <v>11.153762962962864</v>
      </c>
      <c r="K25" s="27">
        <f t="shared" si="4"/>
        <v>-2.9965333333333062</v>
      </c>
      <c r="L25" s="79">
        <v>0</v>
      </c>
      <c r="M25" s="83">
        <f t="shared" si="5"/>
        <v>449.47999999999593</v>
      </c>
      <c r="N25" s="388">
        <v>49.42</v>
      </c>
      <c r="O25" s="389">
        <v>20</v>
      </c>
      <c r="P25" s="222">
        <f t="shared" si="27"/>
        <v>22214</v>
      </c>
      <c r="Q25" s="274">
        <f t="shared" si="6"/>
        <v>8990</v>
      </c>
      <c r="R25" s="398">
        <v>0</v>
      </c>
      <c r="S25" s="399">
        <v>0</v>
      </c>
      <c r="T25" s="221">
        <f t="shared" si="7"/>
        <v>22214</v>
      </c>
      <c r="U25" s="269">
        <f t="shared" si="8"/>
        <v>8990</v>
      </c>
      <c r="V25" s="348">
        <v>0</v>
      </c>
      <c r="W25" s="404">
        <v>0</v>
      </c>
      <c r="X25" s="405">
        <v>0</v>
      </c>
      <c r="Y25" s="414">
        <f t="shared" si="9"/>
        <v>1.2715677777777774</v>
      </c>
      <c r="Z25" s="415">
        <f t="shared" si="9"/>
        <v>0.49944444444444447</v>
      </c>
      <c r="AA25" s="402">
        <f t="shared" ref="AA25:AB70" si="28">IF(OR($A25="APP SLAB",W25&lt;&gt;0),0,AC25)</f>
        <v>2543.1355555555547</v>
      </c>
      <c r="AB25" s="403">
        <f t="shared" si="10"/>
        <v>998.88888888888891</v>
      </c>
      <c r="AC25" s="402">
        <f t="shared" si="11"/>
        <v>2543.1355555555547</v>
      </c>
      <c r="AD25" s="403">
        <f t="shared" si="12"/>
        <v>998.88888888888891</v>
      </c>
      <c r="AE25" s="402">
        <f t="shared" si="13"/>
        <v>75.531125999999972</v>
      </c>
      <c r="AF25" s="403">
        <f t="shared" si="14"/>
        <v>29.667000000000002</v>
      </c>
      <c r="AG25" s="351">
        <v>0</v>
      </c>
      <c r="AH25" s="425">
        <f t="shared" si="24"/>
        <v>797.94889876543209</v>
      </c>
      <c r="AI25" s="426">
        <f t="shared" si="15"/>
        <v>319.08950617283949</v>
      </c>
      <c r="AJ25" s="424">
        <f t="shared" si="16"/>
        <v>422.52413333333322</v>
      </c>
      <c r="AK25" s="429">
        <f t="shared" si="17"/>
        <v>166.4814814814815</v>
      </c>
      <c r="AL25" s="402">
        <f t="shared" si="18"/>
        <v>98.728888888888889</v>
      </c>
      <c r="AM25" s="403">
        <f t="shared" si="19"/>
        <v>39.955555555555556</v>
      </c>
      <c r="AN25" s="424">
        <f t="shared" si="20"/>
        <v>99.846059259259292</v>
      </c>
      <c r="AO25" s="429">
        <f t="shared" si="21"/>
        <v>41.620370370370374</v>
      </c>
      <c r="AP25" s="424">
        <f t="shared" si="25"/>
        <v>119.98302469135803</v>
      </c>
      <c r="AQ25" s="429">
        <f t="shared" si="22"/>
        <v>48.557098765432102</v>
      </c>
      <c r="AR25" s="467">
        <f t="shared" si="26"/>
        <v>9.0173456790122639</v>
      </c>
      <c r="AS25" s="85">
        <f t="shared" si="23"/>
        <v>898.95999999999185</v>
      </c>
      <c r="AT25" s="172"/>
    </row>
    <row r="26" spans="1:58" ht="12.75" customHeight="1" x14ac:dyDescent="0.2">
      <c r="B26" s="338">
        <v>77983.44</v>
      </c>
      <c r="C26" s="339">
        <v>78812.36</v>
      </c>
      <c r="D26" s="340" t="s">
        <v>16</v>
      </c>
      <c r="E26" s="340" t="s">
        <v>111</v>
      </c>
      <c r="F26" s="340" t="s">
        <v>105</v>
      </c>
      <c r="G26" s="47" t="str">
        <f t="shared" si="0"/>
        <v>E/S - C/B</v>
      </c>
      <c r="H26" s="26">
        <f t="shared" si="1"/>
        <v>1.5</v>
      </c>
      <c r="I26" s="27">
        <f t="shared" si="2"/>
        <v>17.499422222222183</v>
      </c>
      <c r="J26" s="27">
        <f t="shared" si="3"/>
        <v>20.569496296296254</v>
      </c>
      <c r="K26" s="27">
        <f t="shared" si="4"/>
        <v>-5.5261333333333216</v>
      </c>
      <c r="L26" s="79">
        <v>0</v>
      </c>
      <c r="M26" s="83">
        <f t="shared" si="5"/>
        <v>828.91999999999825</v>
      </c>
      <c r="N26" s="388" t="s">
        <v>101</v>
      </c>
      <c r="O26" s="389" t="s">
        <v>101</v>
      </c>
      <c r="P26" s="222">
        <f t="shared" si="27"/>
        <v>0</v>
      </c>
      <c r="Q26" s="274">
        <f t="shared" si="6"/>
        <v>0</v>
      </c>
      <c r="R26" s="398">
        <v>52797</v>
      </c>
      <c r="S26" s="399">
        <v>16578</v>
      </c>
      <c r="T26" s="221">
        <f t="shared" si="7"/>
        <v>52797</v>
      </c>
      <c r="U26" s="269">
        <f t="shared" si="8"/>
        <v>16578</v>
      </c>
      <c r="V26" s="348">
        <v>0</v>
      </c>
      <c r="W26" s="404">
        <v>0</v>
      </c>
      <c r="X26" s="405">
        <v>0</v>
      </c>
      <c r="Y26" s="414">
        <f t="shared" si="9"/>
        <v>3.0022433333333334</v>
      </c>
      <c r="Z26" s="415">
        <f t="shared" si="9"/>
        <v>0.92100000000000004</v>
      </c>
      <c r="AA26" s="402">
        <f t="shared" si="28"/>
        <v>6004.4866666666667</v>
      </c>
      <c r="AB26" s="403">
        <f t="shared" si="10"/>
        <v>1842</v>
      </c>
      <c r="AC26" s="402">
        <f t="shared" si="11"/>
        <v>6004.4866666666667</v>
      </c>
      <c r="AD26" s="403">
        <f t="shared" si="12"/>
        <v>1842</v>
      </c>
      <c r="AE26" s="402">
        <f t="shared" si="13"/>
        <v>178.33325399999995</v>
      </c>
      <c r="AF26" s="403">
        <f t="shared" si="14"/>
        <v>54.707399999999993</v>
      </c>
      <c r="AG26" s="351">
        <v>0</v>
      </c>
      <c r="AH26" s="425">
        <f t="shared" si="24"/>
        <v>1891.4670148148148</v>
      </c>
      <c r="AI26" s="426">
        <f t="shared" si="15"/>
        <v>588.41666666666663</v>
      </c>
      <c r="AJ26" s="424">
        <f t="shared" si="16"/>
        <v>998.29171851851845</v>
      </c>
      <c r="AK26" s="429">
        <f t="shared" si="17"/>
        <v>307</v>
      </c>
      <c r="AL26" s="402">
        <f t="shared" si="18"/>
        <v>234.65333333333334</v>
      </c>
      <c r="AM26" s="403">
        <f t="shared" si="19"/>
        <v>73.680000000000007</v>
      </c>
      <c r="AN26" s="424">
        <f t="shared" si="20"/>
        <v>238.90442222222222</v>
      </c>
      <c r="AO26" s="429">
        <f t="shared" si="21"/>
        <v>76.75</v>
      </c>
      <c r="AP26" s="424">
        <f t="shared" si="25"/>
        <v>285.16898148148147</v>
      </c>
      <c r="AQ26" s="429">
        <f t="shared" si="22"/>
        <v>89.541666666666671</v>
      </c>
      <c r="AR26" s="467">
        <f t="shared" si="26"/>
        <v>16.629567901234534</v>
      </c>
      <c r="AS26" s="85">
        <f t="shared" si="23"/>
        <v>1657.8399999999965</v>
      </c>
      <c r="AT26" s="172"/>
    </row>
    <row r="27" spans="1:58" ht="12.75" customHeight="1" x14ac:dyDescent="0.2">
      <c r="B27" s="338">
        <v>78812.36</v>
      </c>
      <c r="C27" s="339">
        <v>79940.89</v>
      </c>
      <c r="D27" s="340" t="s">
        <v>16</v>
      </c>
      <c r="E27" s="340" t="s">
        <v>111</v>
      </c>
      <c r="F27" s="340" t="s">
        <v>111</v>
      </c>
      <c r="G27" s="47" t="str">
        <f t="shared" si="0"/>
        <v>C/B - C/B</v>
      </c>
      <c r="H27" s="26">
        <f t="shared" si="1"/>
        <v>0</v>
      </c>
      <c r="I27" s="27">
        <f t="shared" si="2"/>
        <v>0</v>
      </c>
      <c r="J27" s="27">
        <f t="shared" si="3"/>
        <v>0</v>
      </c>
      <c r="K27" s="27">
        <f t="shared" si="4"/>
        <v>-15.04706666666665</v>
      </c>
      <c r="L27" s="79">
        <v>0</v>
      </c>
      <c r="M27" s="83">
        <f t="shared" si="5"/>
        <v>1128.5299999999988</v>
      </c>
      <c r="N27" s="388">
        <v>42.6</v>
      </c>
      <c r="O27" s="389">
        <v>20</v>
      </c>
      <c r="P27" s="222">
        <f t="shared" si="27"/>
        <v>48076</v>
      </c>
      <c r="Q27" s="274">
        <f t="shared" si="6"/>
        <v>22571</v>
      </c>
      <c r="R27" s="398">
        <v>0</v>
      </c>
      <c r="S27" s="399">
        <v>0</v>
      </c>
      <c r="T27" s="221">
        <f t="shared" si="7"/>
        <v>48076</v>
      </c>
      <c r="U27" s="269">
        <f t="shared" si="8"/>
        <v>22571</v>
      </c>
      <c r="V27" s="348">
        <v>0</v>
      </c>
      <c r="W27" s="404">
        <v>0</v>
      </c>
      <c r="X27" s="405">
        <v>0</v>
      </c>
      <c r="Y27" s="414">
        <f t="shared" si="9"/>
        <v>2.6708888888888889</v>
      </c>
      <c r="Z27" s="415">
        <f t="shared" si="9"/>
        <v>1.2539444444444443</v>
      </c>
      <c r="AA27" s="402">
        <f t="shared" si="28"/>
        <v>5341.7777777777774</v>
      </c>
      <c r="AB27" s="403">
        <f t="shared" si="10"/>
        <v>2507.8888888888887</v>
      </c>
      <c r="AC27" s="402">
        <f t="shared" si="11"/>
        <v>5341.7777777777774</v>
      </c>
      <c r="AD27" s="403">
        <f t="shared" si="12"/>
        <v>2507.8888888888887</v>
      </c>
      <c r="AE27" s="402">
        <f t="shared" si="13"/>
        <v>158.65079999999998</v>
      </c>
      <c r="AF27" s="403">
        <f t="shared" si="14"/>
        <v>74.48429999999999</v>
      </c>
      <c r="AG27" s="351">
        <v>0</v>
      </c>
      <c r="AH27" s="425">
        <f t="shared" si="24"/>
        <v>1706.4012345679014</v>
      </c>
      <c r="AI27" s="426">
        <f t="shared" si="15"/>
        <v>801.13117283950623</v>
      </c>
      <c r="AJ27" s="424">
        <f t="shared" si="16"/>
        <v>890.2962962962963</v>
      </c>
      <c r="AK27" s="429">
        <f t="shared" si="17"/>
        <v>417.98148148148147</v>
      </c>
      <c r="AL27" s="402">
        <f t="shared" si="18"/>
        <v>213.67111111111109</v>
      </c>
      <c r="AM27" s="403">
        <f t="shared" si="19"/>
        <v>100.31555555555555</v>
      </c>
      <c r="AN27" s="424">
        <f t="shared" si="20"/>
        <v>207.52700740740744</v>
      </c>
      <c r="AO27" s="429">
        <f t="shared" si="21"/>
        <v>104.49537037037037</v>
      </c>
      <c r="AP27" s="424">
        <f t="shared" si="25"/>
        <v>259.66975308641975</v>
      </c>
      <c r="AQ27" s="429">
        <f t="shared" si="22"/>
        <v>121.91126543209876</v>
      </c>
      <c r="AR27" s="467">
        <f t="shared" si="26"/>
        <v>0</v>
      </c>
      <c r="AS27" s="85">
        <f t="shared" si="23"/>
        <v>2257.0599999999977</v>
      </c>
      <c r="AT27" s="172"/>
    </row>
    <row r="28" spans="1:58" ht="12.75" customHeight="1" x14ac:dyDescent="0.2">
      <c r="B28" s="338">
        <v>79940.89</v>
      </c>
      <c r="C28" s="339">
        <v>80220.25</v>
      </c>
      <c r="D28" s="340" t="s">
        <v>16</v>
      </c>
      <c r="E28" s="340" t="s">
        <v>111</v>
      </c>
      <c r="F28" s="340" t="s">
        <v>112</v>
      </c>
      <c r="G28" s="47" t="str">
        <f t="shared" si="0"/>
        <v>-</v>
      </c>
      <c r="H28" s="342">
        <v>4.33</v>
      </c>
      <c r="I28" s="341">
        <v>34.04</v>
      </c>
      <c r="J28" s="341">
        <v>21.62</v>
      </c>
      <c r="K28" s="341">
        <v>-1.86</v>
      </c>
      <c r="L28" s="341">
        <v>4.3499999999999996</v>
      </c>
      <c r="M28" s="83">
        <f t="shared" si="5"/>
        <v>279.36000000000058</v>
      </c>
      <c r="N28" s="388">
        <v>41.42</v>
      </c>
      <c r="O28" s="389">
        <v>20</v>
      </c>
      <c r="P28" s="222">
        <f t="shared" si="27"/>
        <v>11572</v>
      </c>
      <c r="Q28" s="274">
        <f t="shared" si="6"/>
        <v>5588</v>
      </c>
      <c r="R28" s="398">
        <v>0</v>
      </c>
      <c r="S28" s="399">
        <v>0</v>
      </c>
      <c r="T28" s="221">
        <f t="shared" si="7"/>
        <v>11572</v>
      </c>
      <c r="U28" s="269">
        <f t="shared" si="8"/>
        <v>5588</v>
      </c>
      <c r="V28" s="348">
        <v>0</v>
      </c>
      <c r="W28" s="402">
        <f>IF(OR($A28="APP SLAB",T28=0),0,(T28+$H28*$M28)/9)</f>
        <v>1420.180977777778</v>
      </c>
      <c r="X28" s="403">
        <f>IF($A28="APP SLAB",0,U28/9)</f>
        <v>620.88888888888891</v>
      </c>
      <c r="Y28" s="414">
        <f t="shared" si="9"/>
        <v>0.71009048888888904</v>
      </c>
      <c r="Z28" s="415">
        <f t="shared" si="9"/>
        <v>0.31044444444444447</v>
      </c>
      <c r="AA28" s="402">
        <f t="shared" si="28"/>
        <v>0</v>
      </c>
      <c r="AB28" s="403">
        <f t="shared" si="10"/>
        <v>0</v>
      </c>
      <c r="AC28" s="402">
        <f t="shared" si="11"/>
        <v>0</v>
      </c>
      <c r="AD28" s="403">
        <f t="shared" si="12"/>
        <v>0</v>
      </c>
      <c r="AE28" s="402">
        <f t="shared" si="13"/>
        <v>0</v>
      </c>
      <c r="AF28" s="403">
        <f t="shared" si="14"/>
        <v>0</v>
      </c>
      <c r="AG28" s="351">
        <v>0</v>
      </c>
      <c r="AH28" s="425">
        <f t="shared" si="24"/>
        <v>444.7745679012346</v>
      </c>
      <c r="AI28" s="426">
        <f t="shared" si="15"/>
        <v>198.33950617283952</v>
      </c>
      <c r="AJ28" s="424">
        <f t="shared" si="16"/>
        <v>235.91629629629631</v>
      </c>
      <c r="AK28" s="429">
        <f t="shared" si="17"/>
        <v>103.48148148148148</v>
      </c>
      <c r="AL28" s="402">
        <f t="shared" si="18"/>
        <v>51.431111111111115</v>
      </c>
      <c r="AM28" s="403">
        <f t="shared" si="19"/>
        <v>24.835555555555558</v>
      </c>
      <c r="AN28" s="424">
        <f t="shared" si="20"/>
        <v>51.714074074074077</v>
      </c>
      <c r="AO28" s="429">
        <f t="shared" si="21"/>
        <v>25.87037037037037</v>
      </c>
      <c r="AP28" s="424">
        <f t="shared" si="25"/>
        <v>66.853086419753083</v>
      </c>
      <c r="AQ28" s="429">
        <f t="shared" si="22"/>
        <v>30.182098765432098</v>
      </c>
      <c r="AR28" s="467">
        <f t="shared" si="26"/>
        <v>0</v>
      </c>
      <c r="AS28" s="85">
        <f t="shared" si="23"/>
        <v>558.72000000000116</v>
      </c>
      <c r="AT28" s="172"/>
    </row>
    <row r="29" spans="1:58" ht="12.75" customHeight="1" x14ac:dyDescent="0.2">
      <c r="B29" s="338">
        <v>80220.25</v>
      </c>
      <c r="C29" s="339">
        <v>80268.77</v>
      </c>
      <c r="D29" s="340" t="s">
        <v>16</v>
      </c>
      <c r="E29" s="340" t="s">
        <v>111</v>
      </c>
      <c r="F29" s="340" t="s">
        <v>106</v>
      </c>
      <c r="G29" s="47" t="str">
        <f t="shared" si="0"/>
        <v>F/C - C/B</v>
      </c>
      <c r="H29" s="26">
        <f>IF(AND($E29=$AU$2,$F29=$AU$2),2*$AW$12,IF(OR(AND($E29=$AU$2, $F29=$AU$3),AND($E29=$AU$3,$F29=$AU$2)),$AW$12+$AW$13,IF(OR(AND($E29=$AU$2,$F29=$AU$4),AND($E29=$AU$4,$F29=$AU$2)),$AW$12,IF(OR(AND($E29=$AU$3,$F29=$AU$4),AND($E29=$AU$4,$F29=$AU$3)),$AW$13,IF(AND($E29=$AU$3,$F29=$AU$3),2*$AW$13,0)))))</f>
        <v>2</v>
      </c>
      <c r="I29" s="27">
        <f>IF(AND($E29=$AU$2,$F29=$AU$2),2*$AZ$12*$M29/27,IF(OR(AND($E29=$AU$2,$F29=$AU$3),AND($E29=$AU$3,$F29=$AU$2)),$AZ$12*$M29/27,IF(OR(AND($E29=$AU$2,$F29=$AU$4),AND($E29=$AU$4,$F29=$AU$2)),$AZ$12*$M29/27,0)))</f>
        <v>0</v>
      </c>
      <c r="J29" s="27">
        <f>IF(AND($E29=$AU$2,$F29=$AU$2),2*$BC$12*$M29/27,IF(OR(AND($E29=$AU$2,$F29=$AU$3),AND($E29=$AU$3,$F29=$AU$2)),($BC$12+$BC$13)*$M29/27,IF(OR(AND($E29=$AU$2,$F29=$AU$4),AND($E29=$AU$4,$F29=$AU$2)),$BC$12*$M29/27,IF(OR(AND($E29=$AU$3,$F29=$AU$4),AND($E29=$AU$4,$F29=$AU$3)),$BC$13*$M29/27,IF(AND($E29=$AU$3,$F29=$AU$3),2*$BC$13*$M29/27,0)))))</f>
        <v>1.761096296296444</v>
      </c>
      <c r="K29" s="27">
        <f>IF(AND($E29=$AU$4,$F29=$AU$4),2*$BF$14*$M29/27,IF(OR($E29=$AU$4,$F29=$AU$4),$BF$14*$M29/27,0))</f>
        <v>-0.32346666666669383</v>
      </c>
      <c r="L29" s="341">
        <v>0</v>
      </c>
      <c r="M29" s="83">
        <f t="shared" si="5"/>
        <v>48.520000000004075</v>
      </c>
      <c r="N29" s="388">
        <v>42.42</v>
      </c>
      <c r="O29" s="389">
        <v>20</v>
      </c>
      <c r="P29" s="222">
        <f t="shared" si="27"/>
        <v>2059</v>
      </c>
      <c r="Q29" s="274">
        <f t="shared" si="6"/>
        <v>971</v>
      </c>
      <c r="R29" s="398">
        <v>0</v>
      </c>
      <c r="S29" s="399">
        <v>0</v>
      </c>
      <c r="T29" s="221">
        <f t="shared" si="7"/>
        <v>2059</v>
      </c>
      <c r="U29" s="269">
        <f t="shared" si="8"/>
        <v>971</v>
      </c>
      <c r="V29" s="348">
        <v>0</v>
      </c>
      <c r="W29" s="402">
        <f t="shared" ref="W29:W39" si="29">IF(OR($A29="APP SLAB",T29=0),0,(T29+$H29*$M29)/9)</f>
        <v>239.56000000000091</v>
      </c>
      <c r="X29" s="403">
        <f t="shared" ref="X29:X39" si="30">IF($A29="APP SLAB",0,U29/9)</f>
        <v>107.88888888888889</v>
      </c>
      <c r="Y29" s="414">
        <f t="shared" si="9"/>
        <v>0.11978000000000046</v>
      </c>
      <c r="Z29" s="415">
        <f t="shared" si="9"/>
        <v>5.3944444444444441E-2</v>
      </c>
      <c r="AA29" s="402">
        <f t="shared" si="28"/>
        <v>0</v>
      </c>
      <c r="AB29" s="403">
        <f t="shared" si="10"/>
        <v>0</v>
      </c>
      <c r="AC29" s="402">
        <f t="shared" si="11"/>
        <v>0</v>
      </c>
      <c r="AD29" s="403">
        <f t="shared" si="12"/>
        <v>0</v>
      </c>
      <c r="AE29" s="402">
        <f t="shared" si="13"/>
        <v>0</v>
      </c>
      <c r="AF29" s="403">
        <f t="shared" si="14"/>
        <v>0</v>
      </c>
      <c r="AG29" s="351">
        <v>0</v>
      </c>
      <c r="AH29" s="425">
        <f t="shared" si="24"/>
        <v>73.081790123456784</v>
      </c>
      <c r="AI29" s="426">
        <f t="shared" si="15"/>
        <v>34.464506172839506</v>
      </c>
      <c r="AJ29" s="424">
        <f t="shared" si="16"/>
        <v>39.89072592592607</v>
      </c>
      <c r="AK29" s="429">
        <f t="shared" si="17"/>
        <v>17.981481481481481</v>
      </c>
      <c r="AL29" s="402">
        <f t="shared" si="18"/>
        <v>9.1511111111111116</v>
      </c>
      <c r="AM29" s="403">
        <f t="shared" si="19"/>
        <v>4.3155555555555551</v>
      </c>
      <c r="AN29" s="424">
        <f t="shared" si="20"/>
        <v>9.2089407407407133</v>
      </c>
      <c r="AO29" s="429">
        <f t="shared" si="21"/>
        <v>4.4953703703703702</v>
      </c>
      <c r="AP29" s="424">
        <f t="shared" si="25"/>
        <v>11.121141975308641</v>
      </c>
      <c r="AQ29" s="429">
        <f t="shared" si="22"/>
        <v>5.244598765432098</v>
      </c>
      <c r="AR29" s="467">
        <f t="shared" si="26"/>
        <v>0</v>
      </c>
      <c r="AS29" s="85">
        <f t="shared" si="23"/>
        <v>97.040000000008149</v>
      </c>
      <c r="AT29" s="172"/>
    </row>
    <row r="30" spans="1:58" ht="12.75" customHeight="1" x14ac:dyDescent="0.2">
      <c r="B30" s="338">
        <v>80268.77</v>
      </c>
      <c r="C30" s="339">
        <v>80591.100000000006</v>
      </c>
      <c r="D30" s="340" t="s">
        <v>16</v>
      </c>
      <c r="E30" s="340" t="s">
        <v>111</v>
      </c>
      <c r="F30" s="340" t="s">
        <v>106</v>
      </c>
      <c r="G30" s="47" t="str">
        <f t="shared" si="0"/>
        <v>F/C - C/B</v>
      </c>
      <c r="H30" s="26">
        <f>IF(AND($E30=$AU$2,$F30=$AU$2),2*$AW$12,IF(OR(AND($E30=$AU$2, $F30=$AU$3),AND($E30=$AU$3,$F30=$AU$2)),$AW$12+$AW$13,IF(OR(AND($E30=$AU$2,$F30=$AU$4),AND($E30=$AU$4,$F30=$AU$2)),$AW$12,IF(OR(AND($E30=$AU$3,$F30=$AU$4),AND($E30=$AU$4,$F30=$AU$3)),$AW$13,IF(AND($E30=$AU$3,$F30=$AU$3),2*$AW$13,0)))))</f>
        <v>2</v>
      </c>
      <c r="I30" s="27">
        <f>IF(AND($E30=$AU$2,$F30=$AU$2),2*$AZ$12*$M30/27,IF(OR(AND($E30=$AU$2,$F30=$AU$3),AND($E30=$AU$3,$F30=$AU$2)),$AZ$12*$M30/27,IF(OR(AND($E30=$AU$2,$F30=$AU$4),AND($E30=$AU$4,$F30=$AU$2)),$AZ$12*$M30/27,0)))</f>
        <v>0</v>
      </c>
      <c r="J30" s="27">
        <f>IF(AND($E30=$AU$2,$F30=$AU$2),2*$BC$12*$M30/27,IF(OR(AND($E30=$AU$2,$F30=$AU$3),AND($E30=$AU$3,$F30=$AU$2)),($BC$12+$BC$13)*$M30/27,IF(OR(AND($E30=$AU$2,$F30=$AU$4),AND($E30=$AU$4,$F30=$AU$2)),$BC$12*$M30/27,IF(OR(AND($E30=$AU$3,$F30=$AU$4),AND($E30=$AU$4,$F30=$AU$3)),$BC$13*$M30/27,IF(AND($E30=$AU$3,$F30=$AU$3),2*$BC$13*$M30/27,0)))))</f>
        <v>11.699385185185248</v>
      </c>
      <c r="K30" s="27">
        <f>IF(AND($E30=$AU$4,$F30=$AU$4),2*$BF$14*$M30/27,IF(OR($E30=$AU$4,$F30=$AU$4),$BF$14*$M30/27,0))</f>
        <v>-2.1488666666666782</v>
      </c>
      <c r="L30" s="341">
        <v>0</v>
      </c>
      <c r="M30" s="83">
        <f t="shared" si="5"/>
        <v>322.33000000000175</v>
      </c>
      <c r="N30" s="388">
        <v>43.42</v>
      </c>
      <c r="O30" s="389">
        <v>20</v>
      </c>
      <c r="P30" s="222">
        <f t="shared" si="27"/>
        <v>13996</v>
      </c>
      <c r="Q30" s="274">
        <f t="shared" si="6"/>
        <v>6447</v>
      </c>
      <c r="R30" s="398">
        <v>0</v>
      </c>
      <c r="S30" s="399">
        <v>0</v>
      </c>
      <c r="T30" s="221">
        <f t="shared" si="7"/>
        <v>13996</v>
      </c>
      <c r="U30" s="269">
        <f t="shared" si="8"/>
        <v>6447</v>
      </c>
      <c r="V30" s="348">
        <v>0</v>
      </c>
      <c r="W30" s="402">
        <f t="shared" si="29"/>
        <v>1626.7400000000005</v>
      </c>
      <c r="X30" s="403">
        <f t="shared" si="30"/>
        <v>716.33333333333337</v>
      </c>
      <c r="Y30" s="414">
        <f t="shared" si="9"/>
        <v>0.81337000000000026</v>
      </c>
      <c r="Z30" s="415">
        <f t="shared" si="9"/>
        <v>0.35816666666666669</v>
      </c>
      <c r="AA30" s="402">
        <f t="shared" si="28"/>
        <v>0</v>
      </c>
      <c r="AB30" s="403">
        <f t="shared" si="10"/>
        <v>0</v>
      </c>
      <c r="AC30" s="402">
        <f t="shared" si="11"/>
        <v>0</v>
      </c>
      <c r="AD30" s="403">
        <f t="shared" si="12"/>
        <v>0</v>
      </c>
      <c r="AE30" s="402">
        <f t="shared" si="13"/>
        <v>0</v>
      </c>
      <c r="AF30" s="403">
        <f t="shared" si="14"/>
        <v>0</v>
      </c>
      <c r="AG30" s="351">
        <v>0</v>
      </c>
      <c r="AH30" s="425">
        <f t="shared" si="24"/>
        <v>496.77160493827165</v>
      </c>
      <c r="AI30" s="426">
        <f t="shared" si="15"/>
        <v>228.8287037037037</v>
      </c>
      <c r="AJ30" s="424">
        <f t="shared" si="16"/>
        <v>270.8845703703704</v>
      </c>
      <c r="AK30" s="429">
        <f t="shared" si="17"/>
        <v>119.38888888888889</v>
      </c>
      <c r="AL30" s="402">
        <f t="shared" si="18"/>
        <v>62.204444444444448</v>
      </c>
      <c r="AM30" s="403">
        <f t="shared" si="19"/>
        <v>28.653333333333336</v>
      </c>
      <c r="AN30" s="424">
        <f t="shared" si="20"/>
        <v>62.647429629629613</v>
      </c>
      <c r="AO30" s="429">
        <f t="shared" si="21"/>
        <v>29.847222222222221</v>
      </c>
      <c r="AP30" s="424">
        <f t="shared" si="25"/>
        <v>75.59567901234567</v>
      </c>
      <c r="AQ30" s="429">
        <f t="shared" si="22"/>
        <v>34.82175925925926</v>
      </c>
      <c r="AR30" s="467">
        <f t="shared" si="26"/>
        <v>0</v>
      </c>
      <c r="AS30" s="85">
        <f t="shared" si="23"/>
        <v>644.66000000000349</v>
      </c>
      <c r="AT30" s="172"/>
    </row>
    <row r="31" spans="1:58" ht="12.75" customHeight="1" x14ac:dyDescent="0.2">
      <c r="B31" s="338">
        <v>80591.67</v>
      </c>
      <c r="C31" s="339">
        <v>80616.89</v>
      </c>
      <c r="D31" s="340" t="s">
        <v>16</v>
      </c>
      <c r="E31" s="340" t="s">
        <v>101</v>
      </c>
      <c r="F31" s="340" t="s">
        <v>106</v>
      </c>
      <c r="G31" s="47" t="str">
        <f t="shared" si="0"/>
        <v>-</v>
      </c>
      <c r="H31" s="342">
        <v>2</v>
      </c>
      <c r="I31" s="341">
        <v>0</v>
      </c>
      <c r="J31" s="341">
        <v>0.92</v>
      </c>
      <c r="K31" s="341">
        <v>0</v>
      </c>
      <c r="L31" s="341">
        <v>0</v>
      </c>
      <c r="M31" s="83">
        <f t="shared" si="5"/>
        <v>25.220000000001164</v>
      </c>
      <c r="N31" s="388" t="s">
        <v>101</v>
      </c>
      <c r="O31" s="389" t="s">
        <v>101</v>
      </c>
      <c r="P31" s="222">
        <f t="shared" si="27"/>
        <v>0</v>
      </c>
      <c r="Q31" s="274">
        <f t="shared" si="6"/>
        <v>0</v>
      </c>
      <c r="R31" s="398">
        <v>592</v>
      </c>
      <c r="S31" s="399">
        <v>252</v>
      </c>
      <c r="T31" s="221">
        <f t="shared" si="7"/>
        <v>592</v>
      </c>
      <c r="U31" s="269">
        <f t="shared" si="8"/>
        <v>252</v>
      </c>
      <c r="V31" s="348">
        <v>0</v>
      </c>
      <c r="W31" s="402">
        <f t="shared" si="29"/>
        <v>71.382222222222481</v>
      </c>
      <c r="X31" s="403">
        <f t="shared" si="30"/>
        <v>28</v>
      </c>
      <c r="Y31" s="414">
        <f t="shared" si="9"/>
        <v>3.5691111111111243E-2</v>
      </c>
      <c r="Z31" s="415">
        <f t="shared" si="9"/>
        <v>1.4E-2</v>
      </c>
      <c r="AA31" s="402">
        <f t="shared" si="28"/>
        <v>0</v>
      </c>
      <c r="AB31" s="403">
        <f t="shared" si="10"/>
        <v>0</v>
      </c>
      <c r="AC31" s="402">
        <f t="shared" si="11"/>
        <v>0</v>
      </c>
      <c r="AD31" s="403">
        <f t="shared" si="12"/>
        <v>0</v>
      </c>
      <c r="AE31" s="402">
        <f t="shared" si="13"/>
        <v>0</v>
      </c>
      <c r="AF31" s="403">
        <f t="shared" si="14"/>
        <v>0</v>
      </c>
      <c r="AG31" s="351">
        <v>0</v>
      </c>
      <c r="AH31" s="425">
        <f t="shared" si="24"/>
        <v>21.012345679012348</v>
      </c>
      <c r="AI31" s="426">
        <f t="shared" si="15"/>
        <v>8.9444444444444446</v>
      </c>
      <c r="AJ31" s="424">
        <f t="shared" si="16"/>
        <v>11.882962962962964</v>
      </c>
      <c r="AK31" s="429">
        <f t="shared" si="17"/>
        <v>4.666666666666667</v>
      </c>
      <c r="AL31" s="402">
        <f t="shared" si="18"/>
        <v>2.6311111111111107</v>
      </c>
      <c r="AM31" s="403">
        <f t="shared" si="19"/>
        <v>1.1200000000000001</v>
      </c>
      <c r="AN31" s="424">
        <f t="shared" si="20"/>
        <v>2.7407407407407409</v>
      </c>
      <c r="AO31" s="429">
        <f t="shared" si="21"/>
        <v>1.1666666666666667</v>
      </c>
      <c r="AP31" s="424">
        <f t="shared" si="25"/>
        <v>3.1975308641975309</v>
      </c>
      <c r="AQ31" s="429">
        <f t="shared" si="22"/>
        <v>1.3611111111111112</v>
      </c>
      <c r="AR31" s="467">
        <f t="shared" si="26"/>
        <v>0</v>
      </c>
      <c r="AS31" s="85">
        <f t="shared" si="23"/>
        <v>50.440000000002328</v>
      </c>
      <c r="AT31" s="172"/>
    </row>
    <row r="32" spans="1:58" ht="12.75" customHeight="1" x14ac:dyDescent="0.2">
      <c r="A32" s="1" t="s">
        <v>28</v>
      </c>
      <c r="B32" s="338">
        <v>80591.100000000006</v>
      </c>
      <c r="C32" s="339">
        <v>80621.100000000006</v>
      </c>
      <c r="D32" s="340" t="s">
        <v>16</v>
      </c>
      <c r="E32" s="340" t="s">
        <v>101</v>
      </c>
      <c r="F32" s="340" t="s">
        <v>101</v>
      </c>
      <c r="G32" s="47" t="str">
        <f t="shared" si="0"/>
        <v>-</v>
      </c>
      <c r="H32" s="26">
        <f>IF(AND($E32=$AU$2,$F32=$AU$2),2*$AW$12,IF(OR(AND($E32=$AU$2, $F32=$AU$3),AND($E32=$AU$3,$F32=$AU$2)),$AW$12+$AW$13,IF(OR(AND($E32=$AU$2,$F32=$AU$4),AND($E32=$AU$4,$F32=$AU$2)),$AW$12,IF(OR(AND($E32=$AU$3,$F32=$AU$4),AND($E32=$AU$4,$F32=$AU$3)),$AW$13,IF(AND($E32=$AU$3,$F32=$AU$3),2*$AW$13,0)))))</f>
        <v>0</v>
      </c>
      <c r="I32" s="27">
        <f>IF(AND($E32=$AU$2,$F32=$AU$2),2*$AZ$12*$M32/27,IF(OR(AND($E32=$AU$2,$F32=$AU$3),AND($E32=$AU$3,$F32=$AU$2)),$AZ$12*$M32/27,IF(OR(AND($E32=$AU$2,$F32=$AU$4),AND($E32=$AU$4,$F32=$AU$2)),$AZ$12*$M32/27,0)))</f>
        <v>0</v>
      </c>
      <c r="J32" s="27">
        <f>IF(AND($E32=$AU$2,$F32=$AU$2),2*$BC$12*$M32/27,IF(OR(AND($E32=$AU$2,$F32=$AU$3),AND($E32=$AU$3,$F32=$AU$2)),($BC$12+$BC$13)*$M32/27,IF(OR(AND($E32=$AU$2,$F32=$AU$4),AND($E32=$AU$4,$F32=$AU$2)),$BC$12*$M32/27,IF(OR(AND($E32=$AU$3,$F32=$AU$4),AND($E32=$AU$4,$F32=$AU$3)),$BC$13*$M32/27,IF(AND($E32=$AU$3,$F32=$AU$3),2*$BC$13*$M32/27,0)))))</f>
        <v>0</v>
      </c>
      <c r="K32" s="27">
        <f>IF(AND($E32=$AU$4,$F32=$AU$4),2*$BF$14*$M32/27,IF(OR($E32=$AU$4,$F32=$AU$4),$BF$14*$M32/27,0))</f>
        <v>0</v>
      </c>
      <c r="L32" s="341">
        <v>0</v>
      </c>
      <c r="M32" s="83">
        <f t="shared" si="5"/>
        <v>30</v>
      </c>
      <c r="N32" s="388" t="s">
        <v>101</v>
      </c>
      <c r="O32" s="389" t="s">
        <v>101</v>
      </c>
      <c r="P32" s="222">
        <f t="shared" si="27"/>
        <v>0</v>
      </c>
      <c r="Q32" s="274">
        <f t="shared" si="6"/>
        <v>0</v>
      </c>
      <c r="R32" s="398">
        <v>1378</v>
      </c>
      <c r="S32" s="399">
        <v>600</v>
      </c>
      <c r="T32" s="221">
        <f t="shared" si="7"/>
        <v>1378</v>
      </c>
      <c r="U32" s="269">
        <f t="shared" si="8"/>
        <v>600</v>
      </c>
      <c r="V32" s="348">
        <v>0</v>
      </c>
      <c r="W32" s="402">
        <f t="shared" si="29"/>
        <v>0</v>
      </c>
      <c r="X32" s="403">
        <f t="shared" si="30"/>
        <v>0</v>
      </c>
      <c r="Y32" s="414">
        <f t="shared" si="9"/>
        <v>0</v>
      </c>
      <c r="Z32" s="415">
        <f t="shared" si="9"/>
        <v>0</v>
      </c>
      <c r="AA32" s="402">
        <f t="shared" si="28"/>
        <v>0</v>
      </c>
      <c r="AB32" s="403">
        <f t="shared" si="10"/>
        <v>0</v>
      </c>
      <c r="AC32" s="402">
        <f t="shared" si="11"/>
        <v>0</v>
      </c>
      <c r="AD32" s="403">
        <f t="shared" si="12"/>
        <v>0</v>
      </c>
      <c r="AE32" s="402">
        <f t="shared" si="13"/>
        <v>0</v>
      </c>
      <c r="AF32" s="403">
        <f t="shared" si="14"/>
        <v>0</v>
      </c>
      <c r="AG32" s="351">
        <v>0</v>
      </c>
      <c r="AH32" s="425">
        <f t="shared" si="24"/>
        <v>0</v>
      </c>
      <c r="AI32" s="426">
        <f t="shared" si="15"/>
        <v>0</v>
      </c>
      <c r="AJ32" s="424">
        <f t="shared" si="16"/>
        <v>25.518518518518519</v>
      </c>
      <c r="AK32" s="429">
        <f t="shared" si="17"/>
        <v>11.111111111111111</v>
      </c>
      <c r="AL32" s="402">
        <f t="shared" si="18"/>
        <v>0</v>
      </c>
      <c r="AM32" s="403">
        <f t="shared" si="19"/>
        <v>0</v>
      </c>
      <c r="AN32" s="424">
        <f t="shared" si="20"/>
        <v>0</v>
      </c>
      <c r="AO32" s="429">
        <f t="shared" si="21"/>
        <v>0</v>
      </c>
      <c r="AP32" s="424">
        <f t="shared" si="25"/>
        <v>0</v>
      </c>
      <c r="AQ32" s="429">
        <f t="shared" si="22"/>
        <v>0</v>
      </c>
      <c r="AR32" s="467">
        <f t="shared" si="26"/>
        <v>0</v>
      </c>
      <c r="AS32" s="85">
        <f t="shared" si="23"/>
        <v>0</v>
      </c>
      <c r="AT32" s="172"/>
    </row>
    <row r="33" spans="1:58" ht="12.75" customHeight="1" x14ac:dyDescent="0.2">
      <c r="A33" s="1" t="s">
        <v>28</v>
      </c>
      <c r="B33" s="338">
        <v>80726.02</v>
      </c>
      <c r="C33" s="339">
        <v>80756.02</v>
      </c>
      <c r="D33" s="340" t="s">
        <v>16</v>
      </c>
      <c r="E33" s="340" t="s">
        <v>101</v>
      </c>
      <c r="F33" s="340" t="s">
        <v>101</v>
      </c>
      <c r="G33" s="47" t="str">
        <f t="shared" si="0"/>
        <v>-</v>
      </c>
      <c r="H33" s="26">
        <f>IF(AND($E33=$AU$2,$F33=$AU$2),2*$AW$12,IF(OR(AND($E33=$AU$2, $F33=$AU$3),AND($E33=$AU$3,$F33=$AU$2)),$AW$12+$AW$13,IF(OR(AND($E33=$AU$2,$F33=$AU$4),AND($E33=$AU$4,$F33=$AU$2)),$AW$12,IF(OR(AND($E33=$AU$3,$F33=$AU$4),AND($E33=$AU$4,$F33=$AU$3)),$AW$13,IF(AND($E33=$AU$3,$F33=$AU$3),2*$AW$13,0)))))</f>
        <v>0</v>
      </c>
      <c r="I33" s="27">
        <f>IF(AND($E33=$AU$2,$F33=$AU$2),2*$AZ$12*$M33/27,IF(OR(AND($E33=$AU$2,$F33=$AU$3),AND($E33=$AU$3,$F33=$AU$2)),$AZ$12*$M33/27,IF(OR(AND($E33=$AU$2,$F33=$AU$4),AND($E33=$AU$4,$F33=$AU$2)),$AZ$12*$M33/27,0)))</f>
        <v>0</v>
      </c>
      <c r="J33" s="27">
        <f>IF(AND($E33=$AU$2,$F33=$AU$2),2*$BC$12*$M33/27,IF(OR(AND($E33=$AU$2,$F33=$AU$3),AND($E33=$AU$3,$F33=$AU$2)),($BC$12+$BC$13)*$M33/27,IF(OR(AND($E33=$AU$2,$F33=$AU$4),AND($E33=$AU$4,$F33=$AU$2)),$BC$12*$M33/27,IF(OR(AND($E33=$AU$3,$F33=$AU$4),AND($E33=$AU$4,$F33=$AU$3)),$BC$13*$M33/27,IF(AND($E33=$AU$3,$F33=$AU$3),2*$BC$13*$M33/27,0)))))</f>
        <v>0</v>
      </c>
      <c r="K33" s="27">
        <f>IF(AND($E33=$AU$4,$F33=$AU$4),2*$BF$14*$M33/27,IF(OR($E33=$AU$4,$F33=$AU$4),$BF$14*$M33/27,0))</f>
        <v>0</v>
      </c>
      <c r="L33" s="341">
        <v>0</v>
      </c>
      <c r="M33" s="83">
        <f t="shared" si="5"/>
        <v>30</v>
      </c>
      <c r="N33" s="388" t="s">
        <v>101</v>
      </c>
      <c r="O33" s="389" t="s">
        <v>101</v>
      </c>
      <c r="P33" s="222">
        <f t="shared" si="27"/>
        <v>0</v>
      </c>
      <c r="Q33" s="274">
        <f t="shared" si="6"/>
        <v>0</v>
      </c>
      <c r="R33" s="398">
        <v>1384</v>
      </c>
      <c r="S33" s="399">
        <v>600</v>
      </c>
      <c r="T33" s="221">
        <f t="shared" si="7"/>
        <v>1384</v>
      </c>
      <c r="U33" s="269">
        <f t="shared" si="8"/>
        <v>600</v>
      </c>
      <c r="V33" s="348">
        <v>0</v>
      </c>
      <c r="W33" s="402">
        <f t="shared" si="29"/>
        <v>0</v>
      </c>
      <c r="X33" s="403">
        <f t="shared" si="30"/>
        <v>0</v>
      </c>
      <c r="Y33" s="414">
        <f t="shared" si="9"/>
        <v>0</v>
      </c>
      <c r="Z33" s="415">
        <f t="shared" si="9"/>
        <v>0</v>
      </c>
      <c r="AA33" s="402">
        <f t="shared" si="28"/>
        <v>0</v>
      </c>
      <c r="AB33" s="403">
        <f t="shared" si="10"/>
        <v>0</v>
      </c>
      <c r="AC33" s="402">
        <f t="shared" si="11"/>
        <v>0</v>
      </c>
      <c r="AD33" s="403">
        <f t="shared" si="12"/>
        <v>0</v>
      </c>
      <c r="AE33" s="402">
        <f t="shared" si="13"/>
        <v>0</v>
      </c>
      <c r="AF33" s="403">
        <f t="shared" si="14"/>
        <v>0</v>
      </c>
      <c r="AG33" s="351">
        <v>0</v>
      </c>
      <c r="AH33" s="425">
        <f t="shared" si="24"/>
        <v>0</v>
      </c>
      <c r="AI33" s="426">
        <f t="shared" si="15"/>
        <v>0</v>
      </c>
      <c r="AJ33" s="424">
        <f t="shared" si="16"/>
        <v>25.62962962962963</v>
      </c>
      <c r="AK33" s="429">
        <f t="shared" si="17"/>
        <v>11.111111111111111</v>
      </c>
      <c r="AL33" s="402">
        <f t="shared" si="18"/>
        <v>0</v>
      </c>
      <c r="AM33" s="403">
        <f t="shared" si="19"/>
        <v>0</v>
      </c>
      <c r="AN33" s="424">
        <f t="shared" si="20"/>
        <v>0</v>
      </c>
      <c r="AO33" s="429">
        <f t="shared" si="21"/>
        <v>0</v>
      </c>
      <c r="AP33" s="424">
        <f t="shared" si="25"/>
        <v>0</v>
      </c>
      <c r="AQ33" s="429">
        <f t="shared" si="22"/>
        <v>0</v>
      </c>
      <c r="AR33" s="467">
        <f t="shared" si="26"/>
        <v>0</v>
      </c>
      <c r="AS33" s="85">
        <f t="shared" si="23"/>
        <v>0</v>
      </c>
      <c r="AT33" s="172"/>
    </row>
    <row r="34" spans="1:58" ht="12.75" customHeight="1" x14ac:dyDescent="0.2">
      <c r="B34" s="338">
        <v>80756.02</v>
      </c>
      <c r="C34" s="339">
        <v>80776.289999999994</v>
      </c>
      <c r="D34" s="340" t="s">
        <v>16</v>
      </c>
      <c r="E34" s="340" t="s">
        <v>111</v>
      </c>
      <c r="F34" s="340" t="s">
        <v>101</v>
      </c>
      <c r="G34" s="47" t="str">
        <f t="shared" si="0"/>
        <v>-</v>
      </c>
      <c r="H34" s="342">
        <v>0</v>
      </c>
      <c r="I34" s="341">
        <v>0</v>
      </c>
      <c r="J34" s="341">
        <v>0</v>
      </c>
      <c r="K34" s="341">
        <v>-0.14000000000000001</v>
      </c>
      <c r="L34" s="341">
        <v>0</v>
      </c>
      <c r="M34" s="83">
        <f t="shared" si="5"/>
        <v>20.269999999989523</v>
      </c>
      <c r="N34" s="388" t="s">
        <v>101</v>
      </c>
      <c r="O34" s="389" t="s">
        <v>101</v>
      </c>
      <c r="P34" s="222">
        <f t="shared" si="27"/>
        <v>0</v>
      </c>
      <c r="Q34" s="274">
        <f t="shared" si="6"/>
        <v>0</v>
      </c>
      <c r="R34" s="398">
        <v>440</v>
      </c>
      <c r="S34" s="399">
        <v>203</v>
      </c>
      <c r="T34" s="221">
        <f t="shared" si="7"/>
        <v>440</v>
      </c>
      <c r="U34" s="269">
        <f t="shared" si="8"/>
        <v>203</v>
      </c>
      <c r="V34" s="348">
        <v>0</v>
      </c>
      <c r="W34" s="402">
        <f t="shared" si="29"/>
        <v>48.888888888888886</v>
      </c>
      <c r="X34" s="403">
        <f t="shared" si="30"/>
        <v>22.555555555555557</v>
      </c>
      <c r="Y34" s="414">
        <f t="shared" si="9"/>
        <v>2.4444444444444442E-2</v>
      </c>
      <c r="Z34" s="415">
        <f t="shared" si="9"/>
        <v>1.1277777777777779E-2</v>
      </c>
      <c r="AA34" s="402">
        <f t="shared" si="28"/>
        <v>0</v>
      </c>
      <c r="AB34" s="403">
        <f t="shared" si="10"/>
        <v>0</v>
      </c>
      <c r="AC34" s="402">
        <f t="shared" si="11"/>
        <v>0</v>
      </c>
      <c r="AD34" s="403">
        <f t="shared" si="12"/>
        <v>0</v>
      </c>
      <c r="AE34" s="402">
        <f t="shared" si="13"/>
        <v>0</v>
      </c>
      <c r="AF34" s="403">
        <f t="shared" si="14"/>
        <v>0</v>
      </c>
      <c r="AG34" s="351">
        <v>0</v>
      </c>
      <c r="AH34" s="425">
        <f t="shared" si="24"/>
        <v>15.617283950617285</v>
      </c>
      <c r="AI34" s="426">
        <f t="shared" si="15"/>
        <v>7.2052469135802468</v>
      </c>
      <c r="AJ34" s="424">
        <f t="shared" si="16"/>
        <v>8.1481481481481488</v>
      </c>
      <c r="AK34" s="429">
        <f t="shared" si="17"/>
        <v>3.7592592592592591</v>
      </c>
      <c r="AL34" s="402">
        <f t="shared" si="18"/>
        <v>1.9555555555555555</v>
      </c>
      <c r="AM34" s="403">
        <f t="shared" si="19"/>
        <v>0.90222222222222226</v>
      </c>
      <c r="AN34" s="424">
        <f t="shared" si="20"/>
        <v>1.8970370370370371</v>
      </c>
      <c r="AO34" s="429">
        <f t="shared" si="21"/>
        <v>0.93981481481481477</v>
      </c>
      <c r="AP34" s="424">
        <f t="shared" si="25"/>
        <v>2.3765432098765435</v>
      </c>
      <c r="AQ34" s="429">
        <f t="shared" si="22"/>
        <v>1.0964506172839508</v>
      </c>
      <c r="AR34" s="467">
        <f t="shared" si="26"/>
        <v>0</v>
      </c>
      <c r="AS34" s="85">
        <f t="shared" si="23"/>
        <v>40.539999999979045</v>
      </c>
      <c r="AT34" s="172"/>
    </row>
    <row r="35" spans="1:58" ht="12.75" customHeight="1" x14ac:dyDescent="0.2">
      <c r="B35" s="338">
        <v>80776.289999999994</v>
      </c>
      <c r="C35" s="339">
        <v>80969.399999999994</v>
      </c>
      <c r="D35" s="340" t="s">
        <v>16</v>
      </c>
      <c r="E35" s="340" t="s">
        <v>111</v>
      </c>
      <c r="F35" s="340" t="s">
        <v>106</v>
      </c>
      <c r="G35" s="47" t="str">
        <f t="shared" si="0"/>
        <v>F/C - C/B</v>
      </c>
      <c r="H35" s="26">
        <f>IF(AND($E35=$AU$2,$F35=$AU$2),2*$AW$12,IF(OR(AND($E35=$AU$2, $F35=$AU$3),AND($E35=$AU$3,$F35=$AU$2)),$AW$12+$AW$13,IF(OR(AND($E35=$AU$2,$F35=$AU$4),AND($E35=$AU$4,$F35=$AU$2)),$AW$12,IF(OR(AND($E35=$AU$3,$F35=$AU$4),AND($E35=$AU$4,$F35=$AU$3)),$AW$13,IF(AND($E35=$AU$3,$F35=$AU$3),2*$AW$13,0)))))</f>
        <v>2</v>
      </c>
      <c r="I35" s="27">
        <f>IF(AND($E35=$AU$2,$F35=$AU$2),2*$AZ$12*$M35/27,IF(OR(AND($E35=$AU$2,$F35=$AU$3),AND($E35=$AU$3,$F35=$AU$2)),$AZ$12*$M35/27,IF(OR(AND($E35=$AU$2,$F35=$AU$4),AND($E35=$AU$4,$F35=$AU$2)),$AZ$12*$M35/27,0)))</f>
        <v>0</v>
      </c>
      <c r="J35" s="27">
        <f>IF(AND($E35=$AU$2,$F35=$AU$2),2*$BC$12*$M35/27,IF(OR(AND($E35=$AU$2,$F35=$AU$3),AND($E35=$AU$3,$F35=$AU$2)),($BC$12+$BC$13)*$M35/27,IF(OR(AND($E35=$AU$2,$F35=$AU$4),AND($E35=$AU$4,$F35=$AU$2)),$BC$12*$M35/27,IF(OR(AND($E35=$AU$3,$F35=$AU$4),AND($E35=$AU$4,$F35=$AU$3)),$BC$13*$M35/27,IF(AND($E35=$AU$3,$F35=$AU$3),2*$BC$13*$M35/27,0)))))</f>
        <v>7.0091777777777997</v>
      </c>
      <c r="K35" s="27">
        <f>IF(AND($E35=$AU$4,$F35=$AU$4),2*$BF$14*$M35/27,IF(OR($E35=$AU$4,$F35=$AU$4),$BF$14*$M35/27,0))</f>
        <v>-1.2874000000000039</v>
      </c>
      <c r="L35" s="341">
        <v>0</v>
      </c>
      <c r="M35" s="83">
        <f t="shared" si="5"/>
        <v>193.11000000000058</v>
      </c>
      <c r="N35" s="388">
        <v>43.42</v>
      </c>
      <c r="O35" s="389">
        <v>20</v>
      </c>
      <c r="P35" s="222">
        <f t="shared" si="27"/>
        <v>8385</v>
      </c>
      <c r="Q35" s="274">
        <f t="shared" si="6"/>
        <v>3863</v>
      </c>
      <c r="R35" s="398">
        <v>0</v>
      </c>
      <c r="S35" s="399">
        <v>0</v>
      </c>
      <c r="T35" s="221">
        <f t="shared" si="7"/>
        <v>8385</v>
      </c>
      <c r="U35" s="269">
        <f t="shared" si="8"/>
        <v>3863</v>
      </c>
      <c r="V35" s="348">
        <v>0</v>
      </c>
      <c r="W35" s="402">
        <f t="shared" si="29"/>
        <v>974.58000000000015</v>
      </c>
      <c r="X35" s="403">
        <f t="shared" si="30"/>
        <v>429.22222222222223</v>
      </c>
      <c r="Y35" s="414">
        <f t="shared" si="9"/>
        <v>0.48729000000000006</v>
      </c>
      <c r="Z35" s="415">
        <f t="shared" si="9"/>
        <v>0.21461111111111111</v>
      </c>
      <c r="AA35" s="402">
        <f t="shared" si="28"/>
        <v>0</v>
      </c>
      <c r="AB35" s="403">
        <f t="shared" si="28"/>
        <v>0</v>
      </c>
      <c r="AC35" s="402">
        <f t="shared" si="11"/>
        <v>0</v>
      </c>
      <c r="AD35" s="403">
        <f t="shared" si="12"/>
        <v>0</v>
      </c>
      <c r="AE35" s="402">
        <f t="shared" si="13"/>
        <v>0</v>
      </c>
      <c r="AF35" s="403">
        <f t="shared" si="14"/>
        <v>0</v>
      </c>
      <c r="AG35" s="351">
        <v>0</v>
      </c>
      <c r="AH35" s="425">
        <f t="shared" si="24"/>
        <v>297.61574074074076</v>
      </c>
      <c r="AI35" s="426">
        <f t="shared" si="15"/>
        <v>137.11265432098764</v>
      </c>
      <c r="AJ35" s="424">
        <f t="shared" si="16"/>
        <v>162.28695555555558</v>
      </c>
      <c r="AK35" s="429">
        <f t="shared" si="17"/>
        <v>71.537037037037038</v>
      </c>
      <c r="AL35" s="402">
        <f t="shared" si="18"/>
        <v>37.266666666666666</v>
      </c>
      <c r="AM35" s="403">
        <f t="shared" si="19"/>
        <v>17.16888888888889</v>
      </c>
      <c r="AN35" s="424">
        <f t="shared" si="20"/>
        <v>37.532044444444438</v>
      </c>
      <c r="AO35" s="429">
        <f t="shared" si="21"/>
        <v>17.88425925925926</v>
      </c>
      <c r="AP35" s="424">
        <f t="shared" si="25"/>
        <v>45.289351851851855</v>
      </c>
      <c r="AQ35" s="429">
        <f t="shared" si="22"/>
        <v>20.864969135802468</v>
      </c>
      <c r="AR35" s="467">
        <f t="shared" si="26"/>
        <v>0</v>
      </c>
      <c r="AS35" s="85">
        <f t="shared" si="23"/>
        <v>386.22000000000116</v>
      </c>
      <c r="AT35" s="172"/>
    </row>
    <row r="36" spans="1:58" ht="12.75" customHeight="1" x14ac:dyDescent="0.2">
      <c r="B36" s="338">
        <v>80969.399999999994</v>
      </c>
      <c r="C36" s="339">
        <v>81317.06</v>
      </c>
      <c r="D36" s="340" t="s">
        <v>16</v>
      </c>
      <c r="E36" s="340" t="s">
        <v>111</v>
      </c>
      <c r="F36" s="340" t="s">
        <v>105</v>
      </c>
      <c r="G36" s="47" t="str">
        <f t="shared" si="0"/>
        <v>E/S - C/B</v>
      </c>
      <c r="H36" s="26">
        <f>IF(AND($E36=$AU$2,$F36=$AU$2),2*$AW$12,IF(OR(AND($E36=$AU$2, $F36=$AU$3),AND($E36=$AU$3,$F36=$AU$2)),$AW$12+$AW$13,IF(OR(AND($E36=$AU$2,$F36=$AU$4),AND($E36=$AU$4,$F36=$AU$2)),$AW$12,IF(OR(AND($E36=$AU$3,$F36=$AU$4),AND($E36=$AU$4,$F36=$AU$3)),$AW$13,IF(AND($E36=$AU$3,$F36=$AU$3),2*$AW$13,0)))))</f>
        <v>1.5</v>
      </c>
      <c r="I36" s="27">
        <f>IF(AND($E36=$AU$2,$F36=$AU$2),2*$AZ$12*$M36/27,IF(OR(AND($E36=$AU$2,$F36=$AU$3),AND($E36=$AU$3,$F36=$AU$2)),$AZ$12*$M36/27,IF(OR(AND($E36=$AU$2,$F36=$AU$4),AND($E36=$AU$4,$F36=$AU$2)),$AZ$12*$M36/27,0)))</f>
        <v>7.3394888888889618</v>
      </c>
      <c r="J36" s="27">
        <f>IF(AND($E36=$AU$2,$F36=$AU$2),2*$BC$12*$M36/27,IF(OR(AND($E36=$AU$2,$F36=$AU$3),AND($E36=$AU$3,$F36=$AU$2)),($BC$12+$BC$13)*$M36/27,IF(OR(AND($E36=$AU$2,$F36=$AU$4),AND($E36=$AU$4,$F36=$AU$2)),$BC$12*$M36/27,IF(OR(AND($E36=$AU$3,$F36=$AU$4),AND($E36=$AU$4,$F36=$AU$3)),$BC$13*$M36/27,IF(AND($E36=$AU$3,$F36=$AU$3),2*$BC$13*$M36/27,0)))))</f>
        <v>8.6271185185186052</v>
      </c>
      <c r="K36" s="27">
        <f>IF(AND($E36=$AU$4,$F36=$AU$4),2*$BF$14*$M36/27,IF(OR($E36=$AU$4,$F36=$AU$4),$BF$14*$M36/27,0))</f>
        <v>-2.3177333333333565</v>
      </c>
      <c r="L36" s="341">
        <v>0</v>
      </c>
      <c r="M36" s="83">
        <f t="shared" si="5"/>
        <v>347.66000000000349</v>
      </c>
      <c r="N36" s="388">
        <v>41.42</v>
      </c>
      <c r="O36" s="389">
        <v>20</v>
      </c>
      <c r="P36" s="222">
        <f t="shared" si="27"/>
        <v>14401</v>
      </c>
      <c r="Q36" s="274">
        <f t="shared" si="6"/>
        <v>6954</v>
      </c>
      <c r="R36" s="398">
        <v>0</v>
      </c>
      <c r="S36" s="399">
        <v>0</v>
      </c>
      <c r="T36" s="221">
        <f t="shared" si="7"/>
        <v>14401</v>
      </c>
      <c r="U36" s="269">
        <f t="shared" si="8"/>
        <v>6954</v>
      </c>
      <c r="V36" s="348">
        <v>0</v>
      </c>
      <c r="W36" s="402">
        <f t="shared" si="29"/>
        <v>1658.0544444444449</v>
      </c>
      <c r="X36" s="403">
        <f t="shared" si="30"/>
        <v>772.66666666666663</v>
      </c>
      <c r="Y36" s="414">
        <f t="shared" si="9"/>
        <v>0.82902722222222247</v>
      </c>
      <c r="Z36" s="415">
        <f t="shared" si="9"/>
        <v>0.38633333333333331</v>
      </c>
      <c r="AA36" s="402">
        <f t="shared" si="28"/>
        <v>0</v>
      </c>
      <c r="AB36" s="403">
        <f t="shared" si="28"/>
        <v>0</v>
      </c>
      <c r="AC36" s="402">
        <f t="shared" si="11"/>
        <v>0</v>
      </c>
      <c r="AD36" s="403">
        <f t="shared" si="12"/>
        <v>0</v>
      </c>
      <c r="AE36" s="402">
        <f t="shared" si="13"/>
        <v>0</v>
      </c>
      <c r="AF36" s="403">
        <f t="shared" si="14"/>
        <v>0</v>
      </c>
      <c r="AG36" s="351">
        <v>0</v>
      </c>
      <c r="AH36" s="425">
        <f t="shared" si="24"/>
        <v>518.48609382716063</v>
      </c>
      <c r="AI36" s="426">
        <f t="shared" si="15"/>
        <v>246.82407407407408</v>
      </c>
      <c r="AJ36" s="424">
        <f t="shared" si="16"/>
        <v>275.31230370370378</v>
      </c>
      <c r="AK36" s="429">
        <f t="shared" si="17"/>
        <v>128.77777777777777</v>
      </c>
      <c r="AL36" s="402">
        <f t="shared" si="18"/>
        <v>64.004444444444445</v>
      </c>
      <c r="AM36" s="403">
        <f t="shared" si="19"/>
        <v>30.906666666666666</v>
      </c>
      <c r="AN36" s="424">
        <f t="shared" si="20"/>
        <v>64.35356296296294</v>
      </c>
      <c r="AO36" s="429">
        <f t="shared" si="21"/>
        <v>32.194444444444443</v>
      </c>
      <c r="AP36" s="424">
        <f t="shared" si="25"/>
        <v>77.783179012345684</v>
      </c>
      <c r="AQ36" s="429">
        <f t="shared" si="22"/>
        <v>37.560185185185183</v>
      </c>
      <c r="AR36" s="467">
        <f t="shared" si="26"/>
        <v>6.9746604938272307</v>
      </c>
      <c r="AS36" s="85">
        <f t="shared" si="23"/>
        <v>695.32000000000698</v>
      </c>
      <c r="AT36" s="172"/>
    </row>
    <row r="37" spans="1:58" ht="12.75" customHeight="1" x14ac:dyDescent="0.2">
      <c r="B37" s="338">
        <v>81317.06</v>
      </c>
      <c r="C37" s="339">
        <v>81343.72</v>
      </c>
      <c r="D37" s="340" t="s">
        <v>16</v>
      </c>
      <c r="E37" s="340" t="s">
        <v>101</v>
      </c>
      <c r="F37" s="340" t="s">
        <v>105</v>
      </c>
      <c r="G37" s="47" t="str">
        <f t="shared" si="0"/>
        <v>-</v>
      </c>
      <c r="H37" s="342">
        <v>1.5</v>
      </c>
      <c r="I37" s="341">
        <v>0.42</v>
      </c>
      <c r="J37" s="341">
        <v>0.5</v>
      </c>
      <c r="K37" s="341">
        <v>0</v>
      </c>
      <c r="L37" s="341">
        <v>0</v>
      </c>
      <c r="M37" s="83">
        <f t="shared" si="5"/>
        <v>26.660000000003492</v>
      </c>
      <c r="N37" s="388" t="s">
        <v>101</v>
      </c>
      <c r="O37" s="389" t="s">
        <v>101</v>
      </c>
      <c r="P37" s="222">
        <f t="shared" si="27"/>
        <v>0</v>
      </c>
      <c r="Q37" s="274">
        <f t="shared" si="6"/>
        <v>0</v>
      </c>
      <c r="R37" s="398">
        <v>1971</v>
      </c>
      <c r="S37" s="399">
        <v>267</v>
      </c>
      <c r="T37" s="221">
        <f t="shared" si="7"/>
        <v>1971</v>
      </c>
      <c r="U37" s="269">
        <f t="shared" si="8"/>
        <v>267</v>
      </c>
      <c r="V37" s="348">
        <v>0</v>
      </c>
      <c r="W37" s="402">
        <f t="shared" si="29"/>
        <v>223.44333333333392</v>
      </c>
      <c r="X37" s="403">
        <f t="shared" si="30"/>
        <v>29.666666666666668</v>
      </c>
      <c r="Y37" s="414">
        <f t="shared" si="9"/>
        <v>0.11172166666666697</v>
      </c>
      <c r="Z37" s="415">
        <f t="shared" si="9"/>
        <v>1.4833333333333334E-2</v>
      </c>
      <c r="AA37" s="402">
        <f t="shared" si="28"/>
        <v>0</v>
      </c>
      <c r="AB37" s="403">
        <f t="shared" si="28"/>
        <v>0</v>
      </c>
      <c r="AC37" s="402">
        <f t="shared" si="11"/>
        <v>0</v>
      </c>
      <c r="AD37" s="403">
        <f t="shared" si="12"/>
        <v>0</v>
      </c>
      <c r="AE37" s="402">
        <f t="shared" si="13"/>
        <v>0</v>
      </c>
      <c r="AF37" s="403">
        <f t="shared" si="14"/>
        <v>0</v>
      </c>
      <c r="AG37" s="351">
        <v>0</v>
      </c>
      <c r="AH37" s="425">
        <f t="shared" si="24"/>
        <v>70.37833333333333</v>
      </c>
      <c r="AI37" s="426">
        <f t="shared" si="15"/>
        <v>9.4768518518518512</v>
      </c>
      <c r="AJ37" s="424">
        <f t="shared" si="16"/>
        <v>37</v>
      </c>
      <c r="AK37" s="429">
        <f t="shared" si="17"/>
        <v>4.9444444444444446</v>
      </c>
      <c r="AL37" s="402">
        <f t="shared" si="18"/>
        <v>8.76</v>
      </c>
      <c r="AM37" s="403">
        <f t="shared" si="19"/>
        <v>1.1866666666666668</v>
      </c>
      <c r="AN37" s="424">
        <f t="shared" si="20"/>
        <v>9.125</v>
      </c>
      <c r="AO37" s="429">
        <f t="shared" si="21"/>
        <v>1.2361111111111112</v>
      </c>
      <c r="AP37" s="424">
        <f t="shared" si="25"/>
        <v>10.645833333333334</v>
      </c>
      <c r="AQ37" s="429">
        <f t="shared" si="22"/>
        <v>1.4421296296296295</v>
      </c>
      <c r="AR37" s="467">
        <f t="shared" si="26"/>
        <v>0.53484567901241575</v>
      </c>
      <c r="AS37" s="85">
        <f t="shared" si="23"/>
        <v>53.320000000006985</v>
      </c>
      <c r="AT37" s="172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</row>
    <row r="38" spans="1:58" ht="12.75" customHeight="1" x14ac:dyDescent="0.2">
      <c r="A38" s="1" t="s">
        <v>28</v>
      </c>
      <c r="B38" s="338">
        <v>81316.66</v>
      </c>
      <c r="C38" s="339">
        <v>81346.66</v>
      </c>
      <c r="D38" s="340" t="s">
        <v>16</v>
      </c>
      <c r="E38" s="340" t="s">
        <v>101</v>
      </c>
      <c r="F38" s="340" t="s">
        <v>101</v>
      </c>
      <c r="G38" s="47" t="str">
        <f t="shared" si="0"/>
        <v>-</v>
      </c>
      <c r="H38" s="26">
        <v>4</v>
      </c>
      <c r="I38" s="27">
        <f>IF(AND($E38=$AU$2,$F38=$AU$2),2*$AZ$12*$M38/27,IF(OR(AND($E38=$AU$2,$F38=$AU$3),AND($E38=$AU$3,$F38=$AU$2)),$AZ$12*$M38/27,IF(OR(AND($E38=$AU$2,$F38=$AU$4),AND($E38=$AU$4,$F38=$AU$2)),$AZ$12*$M38/27,0)))</f>
        <v>0</v>
      </c>
      <c r="J38" s="27">
        <f>IF(AND($E38=$AU$2,$F38=$AU$2),2*$BC$12*$M38/27,IF(OR(AND($E38=$AU$2,$F38=$AU$3),AND($E38=$AU$3,$F38=$AU$2)),($BC$12+$BC$13)*$M38/27,IF(OR(AND($E38=$AU$2,$F38=$AU$4),AND($E38=$AU$4,$F38=$AU$2)),$BC$12*$M38/27,IF(OR(AND($E38=$AU$3,$F38=$AU$4),AND($E38=$AU$4,$F38=$AU$3)),$BC$13*$M38/27,IF(AND($E38=$AU$3,$F38=$AU$3),2*$BC$13*$M38/27,0)))))</f>
        <v>0</v>
      </c>
      <c r="K38" s="27">
        <f>IF(AND($E38=$AU$4,$F38=$AU$4),2*$BF$14*$M38/27,IF(OR($E38=$AU$4,$F38=$AU$4),$BF$14*$M38/27,0))</f>
        <v>0</v>
      </c>
      <c r="L38" s="341">
        <v>0</v>
      </c>
      <c r="M38" s="83">
        <f t="shared" si="5"/>
        <v>30</v>
      </c>
      <c r="N38" s="388" t="s">
        <v>101</v>
      </c>
      <c r="O38" s="389" t="s">
        <v>101</v>
      </c>
      <c r="P38" s="222">
        <f t="shared" si="27"/>
        <v>0</v>
      </c>
      <c r="Q38" s="274">
        <f t="shared" si="6"/>
        <v>0</v>
      </c>
      <c r="R38" s="398">
        <v>1217</v>
      </c>
      <c r="S38" s="399">
        <v>600</v>
      </c>
      <c r="T38" s="221">
        <f t="shared" si="7"/>
        <v>1217</v>
      </c>
      <c r="U38" s="269">
        <f t="shared" si="8"/>
        <v>600</v>
      </c>
      <c r="V38" s="348">
        <v>0</v>
      </c>
      <c r="W38" s="402">
        <f>IF(OR(T38=0),0,(T38+$H38*$M38)/9)</f>
        <v>148.55555555555554</v>
      </c>
      <c r="X38" s="403">
        <f>IF($A38="",0,U38/9)</f>
        <v>66.666666666666671</v>
      </c>
      <c r="Y38" s="414">
        <f t="shared" si="9"/>
        <v>7.4277777777777776E-2</v>
      </c>
      <c r="Z38" s="415">
        <f t="shared" si="9"/>
        <v>3.3333333333333333E-2</v>
      </c>
      <c r="AA38" s="402">
        <f>IF(OR(W38&lt;&gt;0),0,AC38)</f>
        <v>0</v>
      </c>
      <c r="AB38" s="403">
        <f>IF(OR(X38&lt;&gt;0),0,AD38)</f>
        <v>0</v>
      </c>
      <c r="AC38" s="402">
        <f>IF(OR(W38&lt;&gt;0),0,(T38+$H38*$M38)/9)</f>
        <v>0</v>
      </c>
      <c r="AD38" s="403">
        <f>IF(OR(X38&lt;&gt;0),0,U38/9)</f>
        <v>0</v>
      </c>
      <c r="AE38" s="402">
        <f>IF(OR(W38&lt;&gt;0),0,$AC$1*AC38*110*0.06*0.75/2000)</f>
        <v>0</v>
      </c>
      <c r="AF38" s="403">
        <f>IF(OR(X38&lt;&gt;0),0,$AC$1*AD38*110*0.06*0.75/2000)</f>
        <v>0</v>
      </c>
      <c r="AG38" s="351">
        <v>0</v>
      </c>
      <c r="AH38" s="425">
        <f t="shared" si="24"/>
        <v>0</v>
      </c>
      <c r="AI38" s="426">
        <f t="shared" si="15"/>
        <v>0</v>
      </c>
      <c r="AJ38" s="424">
        <f t="shared" si="16"/>
        <v>22.537037037037038</v>
      </c>
      <c r="AK38" s="429">
        <f t="shared" si="17"/>
        <v>11.111111111111111</v>
      </c>
      <c r="AL38" s="402">
        <f t="shared" si="18"/>
        <v>0</v>
      </c>
      <c r="AM38" s="403">
        <f t="shared" si="19"/>
        <v>0</v>
      </c>
      <c r="AN38" s="424">
        <f t="shared" si="20"/>
        <v>0</v>
      </c>
      <c r="AO38" s="429">
        <f t="shared" si="21"/>
        <v>0</v>
      </c>
      <c r="AP38" s="424">
        <f t="shared" si="25"/>
        <v>0</v>
      </c>
      <c r="AQ38" s="429">
        <f t="shared" si="22"/>
        <v>0</v>
      </c>
      <c r="AR38" s="467">
        <f t="shared" si="26"/>
        <v>0</v>
      </c>
      <c r="AS38" s="85">
        <f t="shared" si="23"/>
        <v>0</v>
      </c>
      <c r="AT38" s="172"/>
    </row>
    <row r="39" spans="1:58" ht="12.75" customHeight="1" x14ac:dyDescent="0.2">
      <c r="A39" s="1" t="s">
        <v>28</v>
      </c>
      <c r="B39" s="338">
        <v>81611.210000000006</v>
      </c>
      <c r="C39" s="339">
        <v>81641.210000000006</v>
      </c>
      <c r="D39" s="340" t="s">
        <v>16</v>
      </c>
      <c r="E39" s="340" t="s">
        <v>101</v>
      </c>
      <c r="F39" s="340" t="s">
        <v>101</v>
      </c>
      <c r="G39" s="47" t="str">
        <f t="shared" si="0"/>
        <v>-</v>
      </c>
      <c r="H39" s="26">
        <v>4</v>
      </c>
      <c r="I39" s="27">
        <f>IF(AND($E39=$AU$2,$F39=$AU$2),2*$AZ$12*$M39/27,IF(OR(AND($E39=$AU$2,$F39=$AU$3),AND($E39=$AU$3,$F39=$AU$2)),$AZ$12*$M39/27,IF(OR(AND($E39=$AU$2,$F39=$AU$4),AND($E39=$AU$4,$F39=$AU$2)),$AZ$12*$M39/27,0)))</f>
        <v>0</v>
      </c>
      <c r="J39" s="27">
        <f>IF(AND($E39=$AU$2,$F39=$AU$2),2*$BC$12*$M39/27,IF(OR(AND($E39=$AU$2,$F39=$AU$3),AND($E39=$AU$3,$F39=$AU$2)),($BC$12+$BC$13)*$M39/27,IF(OR(AND($E39=$AU$2,$F39=$AU$4),AND($E39=$AU$4,$F39=$AU$2)),$BC$12*$M39/27,IF(OR(AND($E39=$AU$3,$F39=$AU$4),AND($E39=$AU$4,$F39=$AU$3)),$BC$13*$M39/27,IF(AND($E39=$AU$3,$F39=$AU$3),2*$BC$13*$M39/27,0)))))</f>
        <v>0</v>
      </c>
      <c r="K39" s="27">
        <f>IF(AND($E39=$AU$4,$F39=$AU$4),2*$BF$14*$M39/27,IF(OR($E39=$AU$4,$F39=$AU$4),$BF$14*$M39/27,0))</f>
        <v>0</v>
      </c>
      <c r="L39" s="341">
        <v>0</v>
      </c>
      <c r="M39" s="83">
        <f t="shared" si="5"/>
        <v>30</v>
      </c>
      <c r="N39" s="388" t="s">
        <v>101</v>
      </c>
      <c r="O39" s="389" t="s">
        <v>101</v>
      </c>
      <c r="P39" s="222">
        <f t="shared" si="27"/>
        <v>0</v>
      </c>
      <c r="Q39" s="274">
        <f t="shared" si="6"/>
        <v>0</v>
      </c>
      <c r="R39" s="398">
        <v>1965</v>
      </c>
      <c r="S39" s="399">
        <v>600</v>
      </c>
      <c r="T39" s="221">
        <f t="shared" si="7"/>
        <v>1965</v>
      </c>
      <c r="U39" s="269">
        <f t="shared" si="8"/>
        <v>600</v>
      </c>
      <c r="V39" s="348">
        <v>0</v>
      </c>
      <c r="W39" s="402">
        <f t="shared" si="29"/>
        <v>0</v>
      </c>
      <c r="X39" s="403">
        <f t="shared" si="30"/>
        <v>0</v>
      </c>
      <c r="Y39" s="414">
        <f t="shared" si="9"/>
        <v>0.11583333333333333</v>
      </c>
      <c r="Z39" s="415">
        <f t="shared" si="9"/>
        <v>3.3333333333333333E-2</v>
      </c>
      <c r="AA39" s="402">
        <f>IF(OR(W39&lt;&gt;0),0,AC39)</f>
        <v>231.66666666666666</v>
      </c>
      <c r="AB39" s="403">
        <f>IF(OR(X39&lt;&gt;0),0,AD39)</f>
        <v>66.666666666666671</v>
      </c>
      <c r="AC39" s="402">
        <f>IF(OR(W39&lt;&gt;0),0,(T39+$H39*$M39)/9)</f>
        <v>231.66666666666666</v>
      </c>
      <c r="AD39" s="403">
        <f>IF(OR(X39&lt;&gt;0),0,U39/9)</f>
        <v>66.666666666666671</v>
      </c>
      <c r="AE39" s="402">
        <f>IF(OR(W39&lt;&gt;0),0,$AC$1*AC39*110*0.06*0.75/2000)</f>
        <v>6.8804999999999996</v>
      </c>
      <c r="AF39" s="403">
        <f>IF(OR(X39&lt;&gt;0),0,$AC$1*AD39*110*0.06*0.75/2000)</f>
        <v>1.98</v>
      </c>
      <c r="AG39" s="351">
        <v>0</v>
      </c>
      <c r="AH39" s="425">
        <f t="shared" si="24"/>
        <v>0</v>
      </c>
      <c r="AI39" s="426">
        <f t="shared" si="15"/>
        <v>0</v>
      </c>
      <c r="AJ39" s="424">
        <f t="shared" si="16"/>
        <v>36.388888888888886</v>
      </c>
      <c r="AK39" s="429">
        <f t="shared" si="17"/>
        <v>11.111111111111111</v>
      </c>
      <c r="AL39" s="402">
        <f t="shared" si="18"/>
        <v>0</v>
      </c>
      <c r="AM39" s="403">
        <f t="shared" si="19"/>
        <v>0</v>
      </c>
      <c r="AN39" s="424">
        <f t="shared" si="20"/>
        <v>0</v>
      </c>
      <c r="AO39" s="429">
        <f t="shared" si="21"/>
        <v>0</v>
      </c>
      <c r="AP39" s="424">
        <f t="shared" si="25"/>
        <v>0</v>
      </c>
      <c r="AQ39" s="429">
        <f t="shared" si="22"/>
        <v>0</v>
      </c>
      <c r="AR39" s="467">
        <f t="shared" si="26"/>
        <v>0</v>
      </c>
      <c r="AS39" s="85">
        <f t="shared" si="23"/>
        <v>0</v>
      </c>
      <c r="AT39" s="172"/>
    </row>
    <row r="40" spans="1:58" ht="12.75" customHeight="1" x14ac:dyDescent="0.2">
      <c r="B40" s="338">
        <v>81641.509999999995</v>
      </c>
      <c r="C40" s="339">
        <v>81715.81</v>
      </c>
      <c r="D40" s="340" t="s">
        <v>16</v>
      </c>
      <c r="E40" s="340" t="s">
        <v>111</v>
      </c>
      <c r="F40" s="340" t="s">
        <v>101</v>
      </c>
      <c r="G40" s="47" t="str">
        <f t="shared" si="0"/>
        <v>-</v>
      </c>
      <c r="H40" s="342">
        <v>0</v>
      </c>
      <c r="I40" s="341">
        <v>0</v>
      </c>
      <c r="J40" s="341">
        <v>0</v>
      </c>
      <c r="K40" s="341">
        <v>-0.5</v>
      </c>
      <c r="L40" s="341">
        <v>0</v>
      </c>
      <c r="M40" s="83">
        <f t="shared" si="5"/>
        <v>74.30000000000291</v>
      </c>
      <c r="N40" s="388" t="s">
        <v>101</v>
      </c>
      <c r="O40" s="389" t="s">
        <v>101</v>
      </c>
      <c r="P40" s="222">
        <f t="shared" si="27"/>
        <v>0</v>
      </c>
      <c r="Q40" s="274">
        <f t="shared" si="6"/>
        <v>0</v>
      </c>
      <c r="R40" s="398">
        <v>2326</v>
      </c>
      <c r="S40" s="399">
        <v>743</v>
      </c>
      <c r="T40" s="221">
        <f t="shared" si="7"/>
        <v>2326</v>
      </c>
      <c r="U40" s="269">
        <f t="shared" si="8"/>
        <v>743</v>
      </c>
      <c r="V40" s="348">
        <v>0</v>
      </c>
      <c r="W40" s="404">
        <v>0</v>
      </c>
      <c r="X40" s="405">
        <v>0</v>
      </c>
      <c r="Y40" s="414">
        <f t="shared" si="9"/>
        <v>0.12922222222222224</v>
      </c>
      <c r="Z40" s="415">
        <f t="shared" si="9"/>
        <v>4.1277777777777781E-2</v>
      </c>
      <c r="AA40" s="402">
        <f t="shared" si="28"/>
        <v>258.44444444444446</v>
      </c>
      <c r="AB40" s="403">
        <f t="shared" si="28"/>
        <v>82.555555555555557</v>
      </c>
      <c r="AC40" s="402">
        <f t="shared" si="11"/>
        <v>258.44444444444446</v>
      </c>
      <c r="AD40" s="403">
        <f t="shared" si="12"/>
        <v>82.555555555555557</v>
      </c>
      <c r="AE40" s="402">
        <f t="shared" si="13"/>
        <v>7.6757999999999988</v>
      </c>
      <c r="AF40" s="403">
        <f t="shared" si="14"/>
        <v>2.4519000000000002</v>
      </c>
      <c r="AG40" s="351">
        <v>0</v>
      </c>
      <c r="AH40" s="425">
        <f t="shared" si="24"/>
        <v>82.558641975308646</v>
      </c>
      <c r="AI40" s="426">
        <f t="shared" si="15"/>
        <v>26.371913580246911</v>
      </c>
      <c r="AJ40" s="424">
        <f t="shared" si="16"/>
        <v>43.074074074074076</v>
      </c>
      <c r="AK40" s="429">
        <f t="shared" si="17"/>
        <v>13.75925925925926</v>
      </c>
      <c r="AL40" s="402">
        <f t="shared" si="18"/>
        <v>10.337777777777779</v>
      </c>
      <c r="AM40" s="403">
        <f t="shared" si="19"/>
        <v>3.3022222222222224</v>
      </c>
      <c r="AN40" s="424">
        <f t="shared" si="20"/>
        <v>10.268518518518519</v>
      </c>
      <c r="AO40" s="429">
        <f t="shared" si="21"/>
        <v>3.4398148148148149</v>
      </c>
      <c r="AP40" s="424">
        <f t="shared" si="25"/>
        <v>12.56327160493827</v>
      </c>
      <c r="AQ40" s="429">
        <f t="shared" si="22"/>
        <v>4.0131172839506171</v>
      </c>
      <c r="AR40" s="467">
        <f t="shared" si="26"/>
        <v>0</v>
      </c>
      <c r="AS40" s="85">
        <f t="shared" si="23"/>
        <v>148.60000000000582</v>
      </c>
      <c r="AT40" s="172"/>
    </row>
    <row r="41" spans="1:58" ht="12.75" customHeight="1" x14ac:dyDescent="0.2">
      <c r="B41" s="338">
        <v>81715.81</v>
      </c>
      <c r="C41" s="339">
        <v>82520</v>
      </c>
      <c r="D41" s="340" t="s">
        <v>16</v>
      </c>
      <c r="E41" s="340" t="s">
        <v>111</v>
      </c>
      <c r="F41" s="340" t="s">
        <v>106</v>
      </c>
      <c r="G41" s="47" t="str">
        <f t="shared" si="0"/>
        <v>F/C - C/B</v>
      </c>
      <c r="H41" s="26">
        <f t="shared" ref="H41:H52" si="31">IF(AND($E41=$AU$2,$F41=$AU$2),2*$AW$12,IF(OR(AND($E41=$AU$2, $F41=$AU$3),AND($E41=$AU$3,$F41=$AU$2)),$AW$12+$AW$13,IF(OR(AND($E41=$AU$2,$F41=$AU$4),AND($E41=$AU$4,$F41=$AU$2)),$AW$12,IF(OR(AND($E41=$AU$3,$F41=$AU$4),AND($E41=$AU$4,$F41=$AU$3)),$AW$13,IF(AND($E41=$AU$3,$F41=$AU$3),2*$AW$13,0)))))</f>
        <v>2</v>
      </c>
      <c r="I41" s="27">
        <f t="shared" ref="I41:I52" si="32">IF(AND($E41=$AU$2,$F41=$AU$2),2*$AZ$12*$M41/27,IF(OR(AND($E41=$AU$2,$F41=$AU$3),AND($E41=$AU$3,$F41=$AU$2)),$AZ$12*$M41/27,IF(OR(AND($E41=$AU$2,$F41=$AU$4),AND($E41=$AU$4,$F41=$AU$2)),$AZ$12*$M41/27,0)))</f>
        <v>0</v>
      </c>
      <c r="J41" s="27">
        <f t="shared" ref="J41:J52" si="33">IF(AND($E41=$AU$2,$F41=$AU$2),2*$BC$12*$M41/27,IF(OR(AND($E41=$AU$2,$F41=$AU$3),AND($E41=$AU$3,$F41=$AU$2)),($BC$12+$BC$13)*$M41/27,IF(OR(AND($E41=$AU$2,$F41=$AU$4),AND($E41=$AU$4,$F41=$AU$2)),$BC$12*$M41/27,IF(OR(AND($E41=$AU$3,$F41=$AU$4),AND($E41=$AU$4,$F41=$AU$3)),$BC$13*$M41/27,IF(AND($E41=$AU$3,$F41=$AU$3),2*$BC$13*$M41/27,0)))))</f>
        <v>29.189118518518601</v>
      </c>
      <c r="K41" s="27">
        <f t="shared" ref="K41:K52" si="34">IF(AND($E41=$AU$4,$F41=$AU$4),2*$BF$14*$M41/27,IF(OR($E41=$AU$4,$F41=$AU$4),$BF$14*$M41/27,0))</f>
        <v>-5.3612666666666824</v>
      </c>
      <c r="L41" s="341">
        <v>0</v>
      </c>
      <c r="M41" s="83">
        <f t="shared" si="5"/>
        <v>804.19000000000233</v>
      </c>
      <c r="N41" s="388">
        <v>53.94</v>
      </c>
      <c r="O41" s="389">
        <v>20</v>
      </c>
      <c r="P41" s="222">
        <f t="shared" si="27"/>
        <v>43379</v>
      </c>
      <c r="Q41" s="274">
        <f t="shared" si="6"/>
        <v>16084</v>
      </c>
      <c r="R41" s="398">
        <v>0</v>
      </c>
      <c r="S41" s="399">
        <v>0</v>
      </c>
      <c r="T41" s="221">
        <f t="shared" si="7"/>
        <v>43379</v>
      </c>
      <c r="U41" s="269">
        <f t="shared" si="8"/>
        <v>16084</v>
      </c>
      <c r="V41" s="348">
        <v>0</v>
      </c>
      <c r="W41" s="404">
        <v>0</v>
      </c>
      <c r="X41" s="405">
        <v>0</v>
      </c>
      <c r="Y41" s="414">
        <f t="shared" si="9"/>
        <v>2.4992988888888892</v>
      </c>
      <c r="Z41" s="415">
        <f t="shared" si="9"/>
        <v>0.89355555555555555</v>
      </c>
      <c r="AA41" s="402">
        <f t="shared" si="28"/>
        <v>4998.597777777778</v>
      </c>
      <c r="AB41" s="403">
        <f t="shared" si="28"/>
        <v>1787.1111111111111</v>
      </c>
      <c r="AC41" s="402">
        <f t="shared" si="11"/>
        <v>4998.597777777778</v>
      </c>
      <c r="AD41" s="403">
        <f t="shared" si="12"/>
        <v>1787.1111111111111</v>
      </c>
      <c r="AE41" s="402">
        <f t="shared" si="13"/>
        <v>148.45835399999999</v>
      </c>
      <c r="AF41" s="403">
        <f t="shared" si="14"/>
        <v>53.077199999999998</v>
      </c>
      <c r="AG41" s="351">
        <v>0</v>
      </c>
      <c r="AH41" s="425">
        <f t="shared" si="24"/>
        <v>1539.6867283950617</v>
      </c>
      <c r="AI41" s="426">
        <f t="shared" si="15"/>
        <v>570.88271604938279</v>
      </c>
      <c r="AJ41" s="424">
        <f t="shared" si="16"/>
        <v>832.50393333333341</v>
      </c>
      <c r="AK41" s="429">
        <f t="shared" si="17"/>
        <v>297.85185185185185</v>
      </c>
      <c r="AL41" s="402">
        <f t="shared" si="18"/>
        <v>192.79555555555555</v>
      </c>
      <c r="AM41" s="403">
        <f t="shared" si="19"/>
        <v>71.484444444444449</v>
      </c>
      <c r="AN41" s="424">
        <f t="shared" si="20"/>
        <v>195.467437037037</v>
      </c>
      <c r="AO41" s="429">
        <f t="shared" si="21"/>
        <v>74.462962962962962</v>
      </c>
      <c r="AP41" s="424">
        <f t="shared" si="25"/>
        <v>234.30015432098767</v>
      </c>
      <c r="AQ41" s="429">
        <f t="shared" si="22"/>
        <v>86.873456790123456</v>
      </c>
      <c r="AR41" s="467">
        <f t="shared" si="26"/>
        <v>0</v>
      </c>
      <c r="AS41" s="85">
        <f t="shared" si="23"/>
        <v>1608.3800000000047</v>
      </c>
      <c r="AT41" s="172"/>
    </row>
    <row r="42" spans="1:58" ht="12.75" customHeight="1" x14ac:dyDescent="0.2">
      <c r="B42" s="338">
        <v>82520</v>
      </c>
      <c r="C42" s="339">
        <v>82603.009999999995</v>
      </c>
      <c r="D42" s="340" t="s">
        <v>16</v>
      </c>
      <c r="E42" s="340" t="s">
        <v>111</v>
      </c>
      <c r="F42" s="340" t="s">
        <v>105</v>
      </c>
      <c r="G42" s="47" t="str">
        <f t="shared" si="0"/>
        <v>E/S - C/B</v>
      </c>
      <c r="H42" s="26">
        <f t="shared" si="31"/>
        <v>1.5</v>
      </c>
      <c r="I42" s="27">
        <f t="shared" si="32"/>
        <v>1.7524333333332225</v>
      </c>
      <c r="J42" s="27">
        <f t="shared" si="33"/>
        <v>2.0598777777776478</v>
      </c>
      <c r="K42" s="27">
        <f t="shared" si="34"/>
        <v>-0.55339999999996503</v>
      </c>
      <c r="L42" s="341">
        <v>0</v>
      </c>
      <c r="M42" s="83">
        <f t="shared" si="5"/>
        <v>83.009999999994761</v>
      </c>
      <c r="N42" s="388">
        <v>42.25</v>
      </c>
      <c r="O42" s="389">
        <v>20</v>
      </c>
      <c r="P42" s="222">
        <f t="shared" si="27"/>
        <v>3508</v>
      </c>
      <c r="Q42" s="274">
        <f t="shared" si="6"/>
        <v>1661</v>
      </c>
      <c r="R42" s="398">
        <v>0</v>
      </c>
      <c r="S42" s="399">
        <v>0</v>
      </c>
      <c r="T42" s="221">
        <f t="shared" si="7"/>
        <v>3508</v>
      </c>
      <c r="U42" s="269">
        <f t="shared" si="8"/>
        <v>1661</v>
      </c>
      <c r="V42" s="348">
        <v>0</v>
      </c>
      <c r="W42" s="404">
        <v>0</v>
      </c>
      <c r="X42" s="405">
        <v>0</v>
      </c>
      <c r="Y42" s="414">
        <f t="shared" si="9"/>
        <v>0.20180638888888844</v>
      </c>
      <c r="Z42" s="415">
        <f t="shared" si="9"/>
        <v>9.2277777777777778E-2</v>
      </c>
      <c r="AA42" s="402">
        <f t="shared" si="28"/>
        <v>403.6127777777769</v>
      </c>
      <c r="AB42" s="403">
        <f t="shared" si="28"/>
        <v>184.55555555555554</v>
      </c>
      <c r="AC42" s="402">
        <f t="shared" si="11"/>
        <v>403.6127777777769</v>
      </c>
      <c r="AD42" s="403">
        <f t="shared" si="12"/>
        <v>184.55555555555554</v>
      </c>
      <c r="AE42" s="402">
        <f t="shared" si="13"/>
        <v>11.987299499999976</v>
      </c>
      <c r="AF42" s="403">
        <f t="shared" si="14"/>
        <v>5.4812999999999992</v>
      </c>
      <c r="AG42" s="351">
        <v>0</v>
      </c>
      <c r="AH42" s="425">
        <f t="shared" si="24"/>
        <v>126.26477901234558</v>
      </c>
      <c r="AI42" s="426">
        <f t="shared" si="15"/>
        <v>58.955246913580247</v>
      </c>
      <c r="AJ42" s="424">
        <f t="shared" si="16"/>
        <v>67.022840740740605</v>
      </c>
      <c r="AK42" s="429">
        <f t="shared" si="17"/>
        <v>30.75925925925926</v>
      </c>
      <c r="AL42" s="402">
        <f t="shared" si="18"/>
        <v>15.591111111111111</v>
      </c>
      <c r="AM42" s="403">
        <f t="shared" si="19"/>
        <v>7.3822222222222216</v>
      </c>
      <c r="AN42" s="424">
        <f t="shared" si="20"/>
        <v>15.687340740740776</v>
      </c>
      <c r="AO42" s="429">
        <f t="shared" si="21"/>
        <v>7.6898148148148149</v>
      </c>
      <c r="AP42" s="424">
        <f t="shared" si="25"/>
        <v>18.947530864197532</v>
      </c>
      <c r="AQ42" s="429">
        <f t="shared" si="22"/>
        <v>8.971450617283951</v>
      </c>
      <c r="AR42" s="467">
        <f t="shared" si="26"/>
        <v>1.665324074073969</v>
      </c>
      <c r="AS42" s="85">
        <f t="shared" si="23"/>
        <v>166.01999999998952</v>
      </c>
      <c r="AT42" s="172"/>
    </row>
    <row r="43" spans="1:58" ht="12.75" customHeight="1" x14ac:dyDescent="0.2">
      <c r="B43" s="338">
        <v>82603.009999999995</v>
      </c>
      <c r="C43" s="339">
        <v>84518.63</v>
      </c>
      <c r="D43" s="340" t="s">
        <v>16</v>
      </c>
      <c r="E43" s="340" t="s">
        <v>111</v>
      </c>
      <c r="F43" s="340" t="s">
        <v>105</v>
      </c>
      <c r="G43" s="47" t="str">
        <f t="shared" si="0"/>
        <v>E/S - C/B</v>
      </c>
      <c r="H43" s="26">
        <f t="shared" si="31"/>
        <v>1.5</v>
      </c>
      <c r="I43" s="27">
        <f t="shared" si="32"/>
        <v>40.440866666666871</v>
      </c>
      <c r="J43" s="27">
        <f t="shared" si="33"/>
        <v>47.535755555555802</v>
      </c>
      <c r="K43" s="27">
        <f t="shared" si="34"/>
        <v>-12.770800000000065</v>
      </c>
      <c r="L43" s="341">
        <v>0</v>
      </c>
      <c r="M43" s="83">
        <f t="shared" si="5"/>
        <v>1915.6200000000099</v>
      </c>
      <c r="N43" s="388">
        <v>41.42</v>
      </c>
      <c r="O43" s="389">
        <v>20</v>
      </c>
      <c r="P43" s="222">
        <f t="shared" si="27"/>
        <v>79345</v>
      </c>
      <c r="Q43" s="274">
        <f t="shared" si="6"/>
        <v>38313</v>
      </c>
      <c r="R43" s="398">
        <v>0</v>
      </c>
      <c r="S43" s="399">
        <v>0</v>
      </c>
      <c r="T43" s="221">
        <f t="shared" si="7"/>
        <v>79345</v>
      </c>
      <c r="U43" s="269">
        <f t="shared" si="8"/>
        <v>38313</v>
      </c>
      <c r="V43" s="348">
        <v>0</v>
      </c>
      <c r="W43" s="404">
        <v>0</v>
      </c>
      <c r="X43" s="405">
        <v>0</v>
      </c>
      <c r="Y43" s="414">
        <f t="shared" si="9"/>
        <v>4.5676905555555569</v>
      </c>
      <c r="Z43" s="415">
        <f t="shared" si="9"/>
        <v>2.1284999999999998</v>
      </c>
      <c r="AA43" s="402">
        <f t="shared" si="28"/>
        <v>9135.3811111111136</v>
      </c>
      <c r="AB43" s="403">
        <f t="shared" si="28"/>
        <v>4257</v>
      </c>
      <c r="AC43" s="402">
        <f t="shared" si="11"/>
        <v>9135.3811111111136</v>
      </c>
      <c r="AD43" s="403">
        <f t="shared" si="12"/>
        <v>4257</v>
      </c>
      <c r="AE43" s="402">
        <f t="shared" si="13"/>
        <v>271.32081900000003</v>
      </c>
      <c r="AF43" s="403">
        <f t="shared" si="14"/>
        <v>126.43289999999999</v>
      </c>
      <c r="AG43" s="351">
        <v>0</v>
      </c>
      <c r="AH43" s="425">
        <f t="shared" si="24"/>
        <v>2856.6985827160493</v>
      </c>
      <c r="AI43" s="426">
        <f t="shared" si="15"/>
        <v>1359.875</v>
      </c>
      <c r="AJ43" s="424">
        <f t="shared" si="16"/>
        <v>1516.8876074074078</v>
      </c>
      <c r="AK43" s="429">
        <f t="shared" si="17"/>
        <v>709.5</v>
      </c>
      <c r="AL43" s="402">
        <f t="shared" si="18"/>
        <v>352.64444444444445</v>
      </c>
      <c r="AM43" s="403">
        <f t="shared" si="19"/>
        <v>170.28</v>
      </c>
      <c r="AN43" s="424">
        <f t="shared" si="20"/>
        <v>354.56716296296293</v>
      </c>
      <c r="AO43" s="429">
        <f t="shared" si="21"/>
        <v>177.375</v>
      </c>
      <c r="AP43" s="424">
        <f t="shared" si="25"/>
        <v>428.5609567901235</v>
      </c>
      <c r="AQ43" s="429">
        <f t="shared" si="22"/>
        <v>206.9375</v>
      </c>
      <c r="AR43" s="467">
        <f t="shared" si="26"/>
        <v>38.430648148148343</v>
      </c>
      <c r="AS43" s="85">
        <f t="shared" si="23"/>
        <v>3831.2400000000198</v>
      </c>
      <c r="AT43" s="172"/>
    </row>
    <row r="44" spans="1:58" ht="12.75" customHeight="1" x14ac:dyDescent="0.2">
      <c r="B44" s="338">
        <v>84518.63</v>
      </c>
      <c r="C44" s="339">
        <v>84618.63</v>
      </c>
      <c r="D44" s="340" t="s">
        <v>16</v>
      </c>
      <c r="E44" s="340" t="s">
        <v>111</v>
      </c>
      <c r="F44" s="340" t="s">
        <v>105</v>
      </c>
      <c r="G44" s="47" t="str">
        <f t="shared" si="0"/>
        <v>E/S - C/B</v>
      </c>
      <c r="H44" s="26">
        <f t="shared" si="31"/>
        <v>1.5</v>
      </c>
      <c r="I44" s="27">
        <f t="shared" si="32"/>
        <v>2.1111111111111107</v>
      </c>
      <c r="J44" s="27">
        <f t="shared" si="33"/>
        <v>2.4814814814814814</v>
      </c>
      <c r="K44" s="27">
        <f t="shared" si="34"/>
        <v>-0.66666666666666663</v>
      </c>
      <c r="L44" s="341">
        <v>0</v>
      </c>
      <c r="M44" s="83">
        <f t="shared" si="5"/>
        <v>100</v>
      </c>
      <c r="N44" s="388">
        <v>45.42</v>
      </c>
      <c r="O44" s="389">
        <v>20</v>
      </c>
      <c r="P44" s="222">
        <f t="shared" si="27"/>
        <v>4542</v>
      </c>
      <c r="Q44" s="274">
        <f t="shared" si="6"/>
        <v>2000</v>
      </c>
      <c r="R44" s="398">
        <v>0</v>
      </c>
      <c r="S44" s="399">
        <v>0</v>
      </c>
      <c r="T44" s="221">
        <f t="shared" si="7"/>
        <v>4542</v>
      </c>
      <c r="U44" s="269">
        <f t="shared" si="8"/>
        <v>2000</v>
      </c>
      <c r="V44" s="348">
        <v>0</v>
      </c>
      <c r="W44" s="404">
        <v>0</v>
      </c>
      <c r="X44" s="405">
        <v>0</v>
      </c>
      <c r="Y44" s="414">
        <f t="shared" si="9"/>
        <v>0.26066666666666671</v>
      </c>
      <c r="Z44" s="415">
        <f t="shared" si="9"/>
        <v>0.11111111111111112</v>
      </c>
      <c r="AA44" s="402">
        <f t="shared" si="28"/>
        <v>521.33333333333337</v>
      </c>
      <c r="AB44" s="403">
        <f t="shared" si="28"/>
        <v>222.22222222222223</v>
      </c>
      <c r="AC44" s="402">
        <f t="shared" si="11"/>
        <v>521.33333333333337</v>
      </c>
      <c r="AD44" s="403">
        <f t="shared" si="12"/>
        <v>222.22222222222223</v>
      </c>
      <c r="AE44" s="402">
        <f t="shared" si="13"/>
        <v>15.483599999999999</v>
      </c>
      <c r="AF44" s="403">
        <f t="shared" si="14"/>
        <v>6.6</v>
      </c>
      <c r="AG44" s="351">
        <v>0</v>
      </c>
      <c r="AH44" s="425">
        <f t="shared" si="24"/>
        <v>163.32407407407408</v>
      </c>
      <c r="AI44" s="426">
        <f t="shared" si="15"/>
        <v>70.987654320987659</v>
      </c>
      <c r="AJ44" s="424">
        <f t="shared" si="16"/>
        <v>86.592592592592595</v>
      </c>
      <c r="AK44" s="429">
        <f t="shared" si="17"/>
        <v>37.037037037037038</v>
      </c>
      <c r="AL44" s="402">
        <f t="shared" si="18"/>
        <v>20.186666666666667</v>
      </c>
      <c r="AM44" s="403">
        <f t="shared" si="19"/>
        <v>8.8888888888888893</v>
      </c>
      <c r="AN44" s="424">
        <f t="shared" si="20"/>
        <v>20.361111111111111</v>
      </c>
      <c r="AO44" s="429">
        <f t="shared" si="21"/>
        <v>9.2592592592592595</v>
      </c>
      <c r="AP44" s="424">
        <f t="shared" si="25"/>
        <v>24.532407407407408</v>
      </c>
      <c r="AQ44" s="429">
        <f t="shared" si="22"/>
        <v>10.80246913580247</v>
      </c>
      <c r="AR44" s="467">
        <f t="shared" si="26"/>
        <v>2.0061728395061729</v>
      </c>
      <c r="AS44" s="85">
        <f t="shared" si="23"/>
        <v>200</v>
      </c>
      <c r="AT44" s="172"/>
    </row>
    <row r="45" spans="1:58" ht="12.75" customHeight="1" x14ac:dyDescent="0.2">
      <c r="B45" s="338">
        <v>84618.63</v>
      </c>
      <c r="C45" s="339">
        <v>84964.31</v>
      </c>
      <c r="D45" s="340" t="s">
        <v>16</v>
      </c>
      <c r="E45" s="340" t="s">
        <v>111</v>
      </c>
      <c r="F45" s="340" t="s">
        <v>105</v>
      </c>
      <c r="G45" s="47" t="str">
        <f t="shared" si="0"/>
        <v>E/S - C/B</v>
      </c>
      <c r="H45" s="26">
        <f t="shared" si="31"/>
        <v>1.5</v>
      </c>
      <c r="I45" s="27">
        <f t="shared" si="32"/>
        <v>7.2976888888887403</v>
      </c>
      <c r="J45" s="27">
        <f t="shared" si="33"/>
        <v>8.5779851851850122</v>
      </c>
      <c r="K45" s="27">
        <f t="shared" si="34"/>
        <v>-2.3045333333332869</v>
      </c>
      <c r="L45" s="341">
        <v>0</v>
      </c>
      <c r="M45" s="83">
        <f t="shared" si="5"/>
        <v>345.67999999999302</v>
      </c>
      <c r="N45" s="388">
        <v>49.42</v>
      </c>
      <c r="O45" s="389">
        <v>20</v>
      </c>
      <c r="P45" s="222">
        <f t="shared" si="27"/>
        <v>17084</v>
      </c>
      <c r="Q45" s="274">
        <f t="shared" si="6"/>
        <v>6914</v>
      </c>
      <c r="R45" s="398">
        <v>0</v>
      </c>
      <c r="S45" s="399">
        <v>0</v>
      </c>
      <c r="T45" s="221">
        <f t="shared" si="7"/>
        <v>17084</v>
      </c>
      <c r="U45" s="269">
        <f t="shared" si="8"/>
        <v>6914</v>
      </c>
      <c r="V45" s="348">
        <v>0</v>
      </c>
      <c r="W45" s="404">
        <v>0</v>
      </c>
      <c r="X45" s="405">
        <v>0</v>
      </c>
      <c r="Y45" s="414">
        <f t="shared" si="9"/>
        <v>0.97791777777777722</v>
      </c>
      <c r="Z45" s="415">
        <f t="shared" si="9"/>
        <v>0.38411111111111107</v>
      </c>
      <c r="AA45" s="402">
        <f t="shared" si="28"/>
        <v>1955.8355555555545</v>
      </c>
      <c r="AB45" s="403">
        <f t="shared" si="28"/>
        <v>768.22222222222217</v>
      </c>
      <c r="AC45" s="402">
        <f t="shared" si="11"/>
        <v>1955.8355555555545</v>
      </c>
      <c r="AD45" s="403">
        <f t="shared" si="12"/>
        <v>768.22222222222217</v>
      </c>
      <c r="AE45" s="402">
        <f t="shared" si="13"/>
        <v>58.088315999999963</v>
      </c>
      <c r="AF45" s="403">
        <f t="shared" si="14"/>
        <v>22.816199999999998</v>
      </c>
      <c r="AG45" s="351">
        <v>0</v>
      </c>
      <c r="AH45" s="425">
        <f t="shared" si="24"/>
        <v>613.67423209876529</v>
      </c>
      <c r="AI45" s="426">
        <f t="shared" si="15"/>
        <v>245.40432098765433</v>
      </c>
      <c r="AJ45" s="424">
        <f t="shared" si="16"/>
        <v>324.94835555555539</v>
      </c>
      <c r="AK45" s="429">
        <f t="shared" si="17"/>
        <v>128.03703703703704</v>
      </c>
      <c r="AL45" s="402">
        <f t="shared" si="18"/>
        <v>75.928888888888892</v>
      </c>
      <c r="AM45" s="403">
        <f t="shared" si="19"/>
        <v>30.728888888888889</v>
      </c>
      <c r="AN45" s="424">
        <f t="shared" si="20"/>
        <v>76.788059259259313</v>
      </c>
      <c r="AO45" s="429">
        <f t="shared" si="21"/>
        <v>32.00925925925926</v>
      </c>
      <c r="AP45" s="424">
        <f t="shared" si="25"/>
        <v>92.274691358024683</v>
      </c>
      <c r="AQ45" s="429">
        <f t="shared" si="22"/>
        <v>37.344135802469133</v>
      </c>
      <c r="AR45" s="467">
        <f t="shared" si="26"/>
        <v>6.9349382716047989</v>
      </c>
      <c r="AS45" s="85">
        <f t="shared" si="23"/>
        <v>691.35999999998603</v>
      </c>
      <c r="AT45" s="172"/>
    </row>
    <row r="46" spans="1:58" ht="12.75" customHeight="1" x14ac:dyDescent="0.2">
      <c r="B46" s="338">
        <v>84964.31</v>
      </c>
      <c r="C46" s="339">
        <v>85418.63</v>
      </c>
      <c r="D46" s="340" t="s">
        <v>16</v>
      </c>
      <c r="E46" s="340" t="s">
        <v>111</v>
      </c>
      <c r="F46" s="340" t="s">
        <v>105</v>
      </c>
      <c r="G46" s="47" t="str">
        <f t="shared" si="0"/>
        <v>E/S - C/B</v>
      </c>
      <c r="H46" s="26">
        <f t="shared" si="31"/>
        <v>1.5</v>
      </c>
      <c r="I46" s="27">
        <f t="shared" si="32"/>
        <v>9.5912000000001481</v>
      </c>
      <c r="J46" s="27">
        <f t="shared" si="33"/>
        <v>11.273866666666841</v>
      </c>
      <c r="K46" s="27">
        <f t="shared" si="34"/>
        <v>-3.0288000000000466</v>
      </c>
      <c r="L46" s="341">
        <v>0</v>
      </c>
      <c r="M46" s="83">
        <f t="shared" si="5"/>
        <v>454.32000000000698</v>
      </c>
      <c r="N46" s="388" t="s">
        <v>101</v>
      </c>
      <c r="O46" s="389" t="s">
        <v>101</v>
      </c>
      <c r="P46" s="222">
        <f t="shared" si="27"/>
        <v>0</v>
      </c>
      <c r="Q46" s="274">
        <f t="shared" si="6"/>
        <v>0</v>
      </c>
      <c r="R46" s="398">
        <v>26526</v>
      </c>
      <c r="S46" s="399">
        <v>9086</v>
      </c>
      <c r="T46" s="221">
        <f t="shared" si="7"/>
        <v>26526</v>
      </c>
      <c r="U46" s="269">
        <f t="shared" si="8"/>
        <v>9086</v>
      </c>
      <c r="V46" s="348">
        <v>0</v>
      </c>
      <c r="W46" s="404">
        <v>0</v>
      </c>
      <c r="X46" s="405">
        <v>0</v>
      </c>
      <c r="Y46" s="414">
        <f t="shared" si="9"/>
        <v>1.5115266666666674</v>
      </c>
      <c r="Z46" s="415">
        <f t="shared" si="9"/>
        <v>0.50477777777777777</v>
      </c>
      <c r="AA46" s="402">
        <f t="shared" si="28"/>
        <v>3023.0533333333346</v>
      </c>
      <c r="AB46" s="403">
        <f t="shared" si="28"/>
        <v>1009.5555555555555</v>
      </c>
      <c r="AC46" s="402">
        <f t="shared" si="11"/>
        <v>3023.0533333333346</v>
      </c>
      <c r="AD46" s="403">
        <f t="shared" si="12"/>
        <v>1009.5555555555555</v>
      </c>
      <c r="AE46" s="402">
        <f t="shared" si="13"/>
        <v>89.784684000000041</v>
      </c>
      <c r="AF46" s="403">
        <f t="shared" si="14"/>
        <v>29.983799999999995</v>
      </c>
      <c r="AG46" s="351">
        <v>0</v>
      </c>
      <c r="AH46" s="425">
        <f t="shared" si="24"/>
        <v>951.10045925925942</v>
      </c>
      <c r="AI46" s="426">
        <f t="shared" si="15"/>
        <v>322.49691358024688</v>
      </c>
      <c r="AJ46" s="424">
        <f t="shared" si="16"/>
        <v>502.49608888888906</v>
      </c>
      <c r="AK46" s="429">
        <f t="shared" si="17"/>
        <v>168.25925925925927</v>
      </c>
      <c r="AL46" s="402">
        <f t="shared" si="18"/>
        <v>117.89333333333335</v>
      </c>
      <c r="AM46" s="403">
        <f t="shared" si="19"/>
        <v>40.382222222222225</v>
      </c>
      <c r="AN46" s="424">
        <f t="shared" si="20"/>
        <v>119.77675555555551</v>
      </c>
      <c r="AO46" s="429">
        <f t="shared" si="21"/>
        <v>42.064814814814817</v>
      </c>
      <c r="AP46" s="424">
        <f t="shared" si="25"/>
        <v>143.27314814814815</v>
      </c>
      <c r="AQ46" s="429">
        <f t="shared" si="22"/>
        <v>49.075617283950621</v>
      </c>
      <c r="AR46" s="467">
        <f t="shared" si="26"/>
        <v>9.1144444444445849</v>
      </c>
      <c r="AS46" s="85">
        <f t="shared" si="23"/>
        <v>908.64000000001397</v>
      </c>
      <c r="AT46" s="172"/>
    </row>
    <row r="47" spans="1:58" ht="12.75" customHeight="1" x14ac:dyDescent="0.2">
      <c r="B47" s="338">
        <v>85418.63</v>
      </c>
      <c r="C47" s="339">
        <v>86936.18</v>
      </c>
      <c r="D47" s="340" t="s">
        <v>16</v>
      </c>
      <c r="E47" s="340" t="s">
        <v>111</v>
      </c>
      <c r="F47" s="340" t="s">
        <v>105</v>
      </c>
      <c r="G47" s="47" t="str">
        <f t="shared" si="0"/>
        <v>E/S - C/B</v>
      </c>
      <c r="H47" s="26">
        <f t="shared" si="31"/>
        <v>1.5</v>
      </c>
      <c r="I47" s="27">
        <f t="shared" si="32"/>
        <v>32.037166666666423</v>
      </c>
      <c r="J47" s="27">
        <f t="shared" si="33"/>
        <v>37.657722222221935</v>
      </c>
      <c r="K47" s="27">
        <f t="shared" si="34"/>
        <v>-10.116999999999921</v>
      </c>
      <c r="L47" s="341">
        <v>0</v>
      </c>
      <c r="M47" s="83">
        <f t="shared" si="5"/>
        <v>1517.5499999999884</v>
      </c>
      <c r="N47" s="388">
        <v>41.42</v>
      </c>
      <c r="O47" s="389">
        <v>20</v>
      </c>
      <c r="P47" s="222">
        <f t="shared" si="27"/>
        <v>62857</v>
      </c>
      <c r="Q47" s="274">
        <f t="shared" si="6"/>
        <v>30351</v>
      </c>
      <c r="R47" s="398">
        <v>0</v>
      </c>
      <c r="S47" s="399">
        <v>0</v>
      </c>
      <c r="T47" s="221">
        <f t="shared" si="7"/>
        <v>62857</v>
      </c>
      <c r="U47" s="269">
        <f t="shared" si="8"/>
        <v>30351</v>
      </c>
      <c r="V47" s="348">
        <v>0</v>
      </c>
      <c r="W47" s="404">
        <v>0</v>
      </c>
      <c r="X47" s="405">
        <v>0</v>
      </c>
      <c r="Y47" s="414">
        <f t="shared" si="9"/>
        <v>3.6185180555555543</v>
      </c>
      <c r="Z47" s="415">
        <f t="shared" si="9"/>
        <v>1.6861666666666668</v>
      </c>
      <c r="AA47" s="402">
        <f t="shared" si="28"/>
        <v>7237.0361111111088</v>
      </c>
      <c r="AB47" s="403">
        <f t="shared" si="28"/>
        <v>3372.3333333333335</v>
      </c>
      <c r="AC47" s="402">
        <f t="shared" si="11"/>
        <v>7237.0361111111088</v>
      </c>
      <c r="AD47" s="403">
        <f t="shared" si="12"/>
        <v>3372.3333333333335</v>
      </c>
      <c r="AE47" s="402">
        <f t="shared" si="13"/>
        <v>214.93997249999993</v>
      </c>
      <c r="AF47" s="403">
        <f t="shared" si="14"/>
        <v>100.15829999999998</v>
      </c>
      <c r="AG47" s="351">
        <v>0</v>
      </c>
      <c r="AH47" s="425">
        <f t="shared" si="24"/>
        <v>2263.0726604938272</v>
      </c>
      <c r="AI47" s="426">
        <f t="shared" si="15"/>
        <v>1077.273148148148</v>
      </c>
      <c r="AJ47" s="424">
        <f t="shared" si="16"/>
        <v>1201.6762407407405</v>
      </c>
      <c r="AK47" s="429">
        <f t="shared" si="17"/>
        <v>562.05555555555554</v>
      </c>
      <c r="AL47" s="402">
        <f t="shared" si="18"/>
        <v>279.36444444444447</v>
      </c>
      <c r="AM47" s="403">
        <f t="shared" si="19"/>
        <v>134.89333333333335</v>
      </c>
      <c r="AN47" s="424">
        <f t="shared" si="20"/>
        <v>280.88762962962971</v>
      </c>
      <c r="AO47" s="429">
        <f t="shared" si="21"/>
        <v>140.51388888888889</v>
      </c>
      <c r="AP47" s="424">
        <f t="shared" si="25"/>
        <v>339.5054012345679</v>
      </c>
      <c r="AQ47" s="429">
        <f t="shared" si="22"/>
        <v>163.93287037037038</v>
      </c>
      <c r="AR47" s="467">
        <f t="shared" si="26"/>
        <v>30.44467592592569</v>
      </c>
      <c r="AS47" s="85">
        <f t="shared" si="23"/>
        <v>3035.0999999999767</v>
      </c>
      <c r="AT47" s="10"/>
    </row>
    <row r="48" spans="1:58" ht="12.75" customHeight="1" x14ac:dyDescent="0.2">
      <c r="B48" s="338">
        <v>86936.18</v>
      </c>
      <c r="C48" s="339">
        <v>87289.96</v>
      </c>
      <c r="D48" s="340" t="s">
        <v>16</v>
      </c>
      <c r="E48" s="340" t="s">
        <v>111</v>
      </c>
      <c r="F48" s="340" t="s">
        <v>105</v>
      </c>
      <c r="G48" s="47" t="str">
        <f t="shared" si="0"/>
        <v>E/S - C/B</v>
      </c>
      <c r="H48" s="26">
        <f t="shared" si="31"/>
        <v>1.5</v>
      </c>
      <c r="I48" s="27">
        <f t="shared" si="32"/>
        <v>7.4686888888891705</v>
      </c>
      <c r="J48" s="27">
        <f t="shared" si="33"/>
        <v>8.7789851851855172</v>
      </c>
      <c r="K48" s="27">
        <f t="shared" si="34"/>
        <v>-2.3585333333334226</v>
      </c>
      <c r="L48" s="341">
        <v>0</v>
      </c>
      <c r="M48" s="83">
        <f t="shared" si="5"/>
        <v>353.78000000001339</v>
      </c>
      <c r="N48" s="388" t="s">
        <v>101</v>
      </c>
      <c r="O48" s="389" t="s">
        <v>101</v>
      </c>
      <c r="P48" s="222">
        <f t="shared" si="27"/>
        <v>0</v>
      </c>
      <c r="Q48" s="274">
        <f t="shared" si="6"/>
        <v>0</v>
      </c>
      <c r="R48" s="398">
        <v>22833</v>
      </c>
      <c r="S48" s="399">
        <v>7076</v>
      </c>
      <c r="T48" s="221">
        <f t="shared" si="7"/>
        <v>22833</v>
      </c>
      <c r="U48" s="269">
        <f t="shared" si="8"/>
        <v>7076</v>
      </c>
      <c r="V48" s="348">
        <v>0</v>
      </c>
      <c r="W48" s="404">
        <v>0</v>
      </c>
      <c r="X48" s="405">
        <v>0</v>
      </c>
      <c r="Y48" s="414">
        <f t="shared" si="9"/>
        <v>1.2979816666666677</v>
      </c>
      <c r="Z48" s="415">
        <f t="shared" si="9"/>
        <v>0.39311111111111108</v>
      </c>
      <c r="AA48" s="402">
        <f t="shared" si="28"/>
        <v>2595.9633333333354</v>
      </c>
      <c r="AB48" s="403">
        <f t="shared" si="28"/>
        <v>786.22222222222217</v>
      </c>
      <c r="AC48" s="402">
        <f t="shared" si="11"/>
        <v>2595.9633333333354</v>
      </c>
      <c r="AD48" s="403">
        <f t="shared" si="12"/>
        <v>786.22222222222217</v>
      </c>
      <c r="AE48" s="402">
        <f t="shared" si="13"/>
        <v>77.100111000000069</v>
      </c>
      <c r="AF48" s="403">
        <f t="shared" si="14"/>
        <v>23.3508</v>
      </c>
      <c r="AG48" s="351">
        <v>0</v>
      </c>
      <c r="AH48" s="425">
        <f t="shared" si="24"/>
        <v>817.89924444444466</v>
      </c>
      <c r="AI48" s="426">
        <f t="shared" si="15"/>
        <v>251.15432098765433</v>
      </c>
      <c r="AJ48" s="424">
        <f t="shared" si="16"/>
        <v>431.6123185185188</v>
      </c>
      <c r="AK48" s="429">
        <f t="shared" si="17"/>
        <v>131.03703703703704</v>
      </c>
      <c r="AL48" s="402">
        <f t="shared" si="18"/>
        <v>101.48</v>
      </c>
      <c r="AM48" s="403">
        <f t="shared" si="19"/>
        <v>31.448888888888888</v>
      </c>
      <c r="AN48" s="424">
        <f t="shared" si="20"/>
        <v>103.3497999999999</v>
      </c>
      <c r="AO48" s="429">
        <f t="shared" si="21"/>
        <v>32.75925925925926</v>
      </c>
      <c r="AP48" s="424">
        <f t="shared" si="25"/>
        <v>123.32638888888889</v>
      </c>
      <c r="AQ48" s="429">
        <f t="shared" si="22"/>
        <v>38.21913580246914</v>
      </c>
      <c r="AR48" s="467">
        <f t="shared" si="26"/>
        <v>7.0974382716052062</v>
      </c>
      <c r="AS48" s="85">
        <f t="shared" si="23"/>
        <v>707.56000000002678</v>
      </c>
      <c r="AT48" s="10"/>
    </row>
    <row r="49" spans="1:61" ht="12.75" customHeight="1" x14ac:dyDescent="0.2">
      <c r="B49" s="338">
        <v>87289.96</v>
      </c>
      <c r="C49" s="339">
        <v>87819.96</v>
      </c>
      <c r="D49" s="340" t="s">
        <v>16</v>
      </c>
      <c r="E49" s="340" t="s">
        <v>111</v>
      </c>
      <c r="F49" s="340" t="s">
        <v>106</v>
      </c>
      <c r="G49" s="47" t="str">
        <f t="shared" si="0"/>
        <v>F/C - C/B</v>
      </c>
      <c r="H49" s="26">
        <f t="shared" si="31"/>
        <v>2</v>
      </c>
      <c r="I49" s="27">
        <f t="shared" si="32"/>
        <v>0</v>
      </c>
      <c r="J49" s="27">
        <f t="shared" si="33"/>
        <v>19.237037037037037</v>
      </c>
      <c r="K49" s="27">
        <f t="shared" si="34"/>
        <v>-3.5333333333333332</v>
      </c>
      <c r="L49" s="341">
        <v>0</v>
      </c>
      <c r="M49" s="83">
        <f t="shared" si="5"/>
        <v>530</v>
      </c>
      <c r="N49" s="388">
        <v>57.48</v>
      </c>
      <c r="O49" s="389">
        <v>20</v>
      </c>
      <c r="P49" s="222">
        <f t="shared" si="27"/>
        <v>30465</v>
      </c>
      <c r="Q49" s="274">
        <f t="shared" si="6"/>
        <v>10600</v>
      </c>
      <c r="R49" s="398">
        <v>0</v>
      </c>
      <c r="S49" s="399">
        <v>0</v>
      </c>
      <c r="T49" s="221">
        <f t="shared" si="7"/>
        <v>30465</v>
      </c>
      <c r="U49" s="269">
        <f t="shared" si="8"/>
        <v>10600</v>
      </c>
      <c r="V49" s="348">
        <v>0</v>
      </c>
      <c r="W49" s="404">
        <v>0</v>
      </c>
      <c r="X49" s="405">
        <v>0</v>
      </c>
      <c r="Y49" s="414">
        <f t="shared" si="9"/>
        <v>1.7513888888888889</v>
      </c>
      <c r="Z49" s="415">
        <f t="shared" si="9"/>
        <v>0.58888888888888891</v>
      </c>
      <c r="AA49" s="402">
        <f t="shared" si="28"/>
        <v>3502.7777777777778</v>
      </c>
      <c r="AB49" s="403">
        <f t="shared" si="28"/>
        <v>1177.7777777777778</v>
      </c>
      <c r="AC49" s="402">
        <f t="shared" si="11"/>
        <v>3502.7777777777778</v>
      </c>
      <c r="AD49" s="403">
        <f t="shared" si="12"/>
        <v>1177.7777777777778</v>
      </c>
      <c r="AE49" s="402">
        <f t="shared" si="13"/>
        <v>104.0325</v>
      </c>
      <c r="AF49" s="403">
        <f t="shared" si="14"/>
        <v>34.979999999999997</v>
      </c>
      <c r="AG49" s="351">
        <v>0</v>
      </c>
      <c r="AH49" s="425">
        <f t="shared" si="24"/>
        <v>1081.3194444444443</v>
      </c>
      <c r="AI49" s="426">
        <f t="shared" si="15"/>
        <v>376.23456790123458</v>
      </c>
      <c r="AJ49" s="424">
        <f t="shared" si="16"/>
        <v>583.40370370370363</v>
      </c>
      <c r="AK49" s="429">
        <f t="shared" si="17"/>
        <v>196.2962962962963</v>
      </c>
      <c r="AL49" s="402">
        <f t="shared" si="18"/>
        <v>135.4</v>
      </c>
      <c r="AM49" s="403">
        <f t="shared" si="19"/>
        <v>47.111111111111114</v>
      </c>
      <c r="AN49" s="424">
        <f t="shared" si="20"/>
        <v>137.50833333333333</v>
      </c>
      <c r="AO49" s="429">
        <f t="shared" si="21"/>
        <v>49.074074074074076</v>
      </c>
      <c r="AP49" s="424">
        <f t="shared" si="25"/>
        <v>164.54861111111111</v>
      </c>
      <c r="AQ49" s="429">
        <f t="shared" si="22"/>
        <v>57.253086419753082</v>
      </c>
      <c r="AR49" s="467">
        <f t="shared" si="26"/>
        <v>0</v>
      </c>
      <c r="AS49" s="85">
        <f t="shared" si="23"/>
        <v>1060</v>
      </c>
      <c r="AT49" s="10"/>
    </row>
    <row r="50" spans="1:61" ht="12.75" customHeight="1" x14ac:dyDescent="0.2">
      <c r="B50" s="338">
        <v>87819.96</v>
      </c>
      <c r="C50" s="339">
        <v>88258.19</v>
      </c>
      <c r="D50" s="340" t="s">
        <v>16</v>
      </c>
      <c r="E50" s="340" t="s">
        <v>111</v>
      </c>
      <c r="F50" s="340" t="s">
        <v>105</v>
      </c>
      <c r="G50" s="47" t="str">
        <f t="shared" si="0"/>
        <v>E/S - C/B</v>
      </c>
      <c r="H50" s="26">
        <f t="shared" si="31"/>
        <v>1.5</v>
      </c>
      <c r="I50" s="27">
        <f t="shared" si="32"/>
        <v>9.2515222222221354</v>
      </c>
      <c r="J50" s="27">
        <f t="shared" si="33"/>
        <v>10.874596296296195</v>
      </c>
      <c r="K50" s="27">
        <f t="shared" si="34"/>
        <v>-2.921533333333306</v>
      </c>
      <c r="L50" s="341">
        <v>0</v>
      </c>
      <c r="M50" s="83">
        <f t="shared" si="5"/>
        <v>438.22999999999593</v>
      </c>
      <c r="N50" s="388">
        <v>45.8</v>
      </c>
      <c r="O50" s="389">
        <v>20</v>
      </c>
      <c r="P50" s="222">
        <f t="shared" si="27"/>
        <v>20071</v>
      </c>
      <c r="Q50" s="274">
        <f t="shared" si="6"/>
        <v>8765</v>
      </c>
      <c r="R50" s="398">
        <v>0</v>
      </c>
      <c r="S50" s="399">
        <v>0</v>
      </c>
      <c r="T50" s="221">
        <f t="shared" si="7"/>
        <v>20071</v>
      </c>
      <c r="U50" s="269">
        <f t="shared" si="8"/>
        <v>8765</v>
      </c>
      <c r="V50" s="348">
        <v>0</v>
      </c>
      <c r="W50" s="404">
        <v>0</v>
      </c>
      <c r="X50" s="405">
        <v>0</v>
      </c>
      <c r="Y50" s="414">
        <f t="shared" si="9"/>
        <v>1.1515747222222219</v>
      </c>
      <c r="Z50" s="415">
        <f t="shared" si="9"/>
        <v>0.48694444444444446</v>
      </c>
      <c r="AA50" s="402">
        <f t="shared" si="28"/>
        <v>2303.1494444444438</v>
      </c>
      <c r="AB50" s="403">
        <f t="shared" si="28"/>
        <v>973.88888888888891</v>
      </c>
      <c r="AC50" s="402">
        <f t="shared" si="11"/>
        <v>2303.1494444444438</v>
      </c>
      <c r="AD50" s="403">
        <f t="shared" si="12"/>
        <v>973.88888888888891</v>
      </c>
      <c r="AE50" s="402">
        <f t="shared" si="13"/>
        <v>68.403538499999982</v>
      </c>
      <c r="AF50" s="403">
        <f t="shared" si="14"/>
        <v>28.924499999999998</v>
      </c>
      <c r="AG50" s="351">
        <v>0</v>
      </c>
      <c r="AH50" s="425">
        <f t="shared" si="24"/>
        <v>721.64812716049369</v>
      </c>
      <c r="AI50" s="426">
        <f t="shared" si="15"/>
        <v>311.10339506172835</v>
      </c>
      <c r="AJ50" s="424">
        <f t="shared" si="16"/>
        <v>382.55978148148137</v>
      </c>
      <c r="AK50" s="429">
        <f t="shared" si="17"/>
        <v>162.31481481481481</v>
      </c>
      <c r="AL50" s="402">
        <f t="shared" si="18"/>
        <v>89.204444444444448</v>
      </c>
      <c r="AM50" s="403">
        <f t="shared" si="19"/>
        <v>38.955555555555556</v>
      </c>
      <c r="AN50" s="424">
        <f t="shared" si="20"/>
        <v>89.99976296296299</v>
      </c>
      <c r="AO50" s="429">
        <f t="shared" si="21"/>
        <v>40.578703703703702</v>
      </c>
      <c r="AP50" s="424">
        <f t="shared" si="25"/>
        <v>108.40817901234568</v>
      </c>
      <c r="AQ50" s="429">
        <f t="shared" si="22"/>
        <v>47.341820987654323</v>
      </c>
      <c r="AR50" s="467">
        <f t="shared" si="26"/>
        <v>8.7916512345678193</v>
      </c>
      <c r="AS50" s="85">
        <f t="shared" si="23"/>
        <v>876.45999999999185</v>
      </c>
      <c r="AT50" s="10"/>
    </row>
    <row r="51" spans="1:61" ht="12.75" customHeight="1" x14ac:dyDescent="0.2">
      <c r="B51" s="338">
        <v>88258.19</v>
      </c>
      <c r="C51" s="339">
        <v>89287.96</v>
      </c>
      <c r="D51" s="340" t="s">
        <v>16</v>
      </c>
      <c r="E51" s="340" t="s">
        <v>111</v>
      </c>
      <c r="F51" s="340" t="s">
        <v>105</v>
      </c>
      <c r="G51" s="47" t="str">
        <f t="shared" ref="G51:G70" si="35">IF(AND($E51=$AU$2,$F51=$AU$2),$AW$2,IF(OR(AND($E51=$AU$2,$F51=$AU$3),AND($E51=$AU$3,$F51=$AU$2)),$AW$3,IF(OR(AND($E51=$AU$2,$F51=$AU$4),AND($E51=$AU$4,$F51=$AU$2)),$AW$4,IF(OR(AND($E51=$AU$3,$F51=$AU$4),AND($E51=$AU$4,$F51=$AU$3)),$AW$5,IF(AND($E51=$AU$3,$F51=$AU$3),$AW$6,IF(AND($E51=$AU$4,$F51=$AU$4),$AW$7,"-"))))))</f>
        <v>E/S - C/B</v>
      </c>
      <c r="H51" s="26">
        <f t="shared" si="31"/>
        <v>1.5</v>
      </c>
      <c r="I51" s="27">
        <f t="shared" si="32"/>
        <v>21.739588888888971</v>
      </c>
      <c r="J51" s="27">
        <f t="shared" si="33"/>
        <v>25.553551851851953</v>
      </c>
      <c r="K51" s="27">
        <f t="shared" si="34"/>
        <v>-6.8651333333333602</v>
      </c>
      <c r="L51" s="341">
        <v>0</v>
      </c>
      <c r="M51" s="83">
        <f t="shared" si="5"/>
        <v>1029.7700000000041</v>
      </c>
      <c r="N51" s="388">
        <v>41.42</v>
      </c>
      <c r="O51" s="389">
        <v>20</v>
      </c>
      <c r="P51" s="222">
        <f t="shared" si="27"/>
        <v>42654</v>
      </c>
      <c r="Q51" s="274">
        <f t="shared" si="6"/>
        <v>20596</v>
      </c>
      <c r="R51" s="398">
        <v>0</v>
      </c>
      <c r="S51" s="399">
        <v>0</v>
      </c>
      <c r="T51" s="221">
        <f t="shared" si="7"/>
        <v>42654</v>
      </c>
      <c r="U51" s="269">
        <f t="shared" si="8"/>
        <v>20596</v>
      </c>
      <c r="V51" s="348">
        <v>0</v>
      </c>
      <c r="W51" s="404">
        <v>0</v>
      </c>
      <c r="X51" s="405">
        <v>0</v>
      </c>
      <c r="Y51" s="414">
        <f t="shared" si="9"/>
        <v>2.4554808333333336</v>
      </c>
      <c r="Z51" s="415">
        <f t="shared" si="9"/>
        <v>1.1442222222222223</v>
      </c>
      <c r="AA51" s="402">
        <f t="shared" si="28"/>
        <v>4910.961666666667</v>
      </c>
      <c r="AB51" s="403">
        <f t="shared" si="28"/>
        <v>2288.4444444444443</v>
      </c>
      <c r="AC51" s="402">
        <f t="shared" ref="AC51:AC70" si="36">IF(OR($A51="APP SLAB",W51&lt;&gt;0),0,(T51+$H51*$M51)/9)</f>
        <v>4910.961666666667</v>
      </c>
      <c r="AD51" s="403">
        <f t="shared" ref="AD51:AD70" si="37">IF(OR($A51="APP SLAB",X51&lt;&gt;0),0,U51/9)</f>
        <v>2288.4444444444443</v>
      </c>
      <c r="AE51" s="402">
        <f t="shared" ref="AE51:AE70" si="38">IF(OR($A51="APP SLAB",W51&lt;&gt;0),0,$AC$1*AC51*110*0.06*0.75/2000)</f>
        <v>145.85556150000002</v>
      </c>
      <c r="AF51" s="403">
        <f t="shared" ref="AF51:AF70" si="39">IF(OR($A51="APP SLAB",X51&lt;&gt;0),0,$AC$1*AD51*110*0.06*0.75/2000)</f>
        <v>67.966799999999992</v>
      </c>
      <c r="AG51" s="351">
        <v>0</v>
      </c>
      <c r="AH51" s="425">
        <f t="shared" si="24"/>
        <v>1535.6932925925926</v>
      </c>
      <c r="AI51" s="426">
        <f t="shared" ref="AI51:AI70" si="40">IF($A51="APP SLAB",0,(U51*$AH$1/12)/27)</f>
        <v>731.03086419753083</v>
      </c>
      <c r="AJ51" s="424">
        <f t="shared" ref="AJ51:AJ70" si="41">(T51*$AJ$1/12)/27+J51</f>
        <v>815.44244074074084</v>
      </c>
      <c r="AK51" s="429">
        <f t="shared" ref="AK51:AK70" si="42">(U51*$AJ$1/12)/27</f>
        <v>381.40740740740739</v>
      </c>
      <c r="AL51" s="402">
        <f t="shared" ref="AL51:AL70" si="43">IF(A51="APP SLAB",0,(T51/9)*$AL$1)</f>
        <v>189.57333333333332</v>
      </c>
      <c r="AM51" s="403">
        <f t="shared" ref="AM51:AM70" si="44">IF($A51="APP SLAB",0,(U51/9)*$AL$1)</f>
        <v>91.537777777777777</v>
      </c>
      <c r="AN51" s="424">
        <f t="shared" ref="AN51:AN70" si="45">IF(A51="APP SLAB",0,(T51*($AN$1/12))/27+K51)</f>
        <v>190.60708888888888</v>
      </c>
      <c r="AO51" s="429">
        <f t="shared" ref="AO51:AO70" si="46">IF($A51="APP SLAB",0,(U51*($AN$1/12))/27)</f>
        <v>95.351851851851848</v>
      </c>
      <c r="AP51" s="424">
        <f t="shared" si="25"/>
        <v>230.38425925925927</v>
      </c>
      <c r="AQ51" s="429">
        <f t="shared" ref="AQ51:AQ70" si="47">IF($A51="APP SLAB",0,(U51*$AP$1/12)/27)</f>
        <v>111.24382716049384</v>
      </c>
      <c r="AR51" s="467">
        <f t="shared" si="26"/>
        <v>20.658966049382798</v>
      </c>
      <c r="AS51" s="85">
        <f t="shared" ref="AS51:AS70" si="48">IF(A51="APP SLAB",0,(M51*2))</f>
        <v>2059.5400000000081</v>
      </c>
    </row>
    <row r="52" spans="1:61" ht="12.75" customHeight="1" x14ac:dyDescent="0.2">
      <c r="B52" s="338">
        <v>89287.96</v>
      </c>
      <c r="C52" s="339">
        <v>89596.98</v>
      </c>
      <c r="D52" s="340" t="s">
        <v>16</v>
      </c>
      <c r="E52" s="340" t="s">
        <v>111</v>
      </c>
      <c r="F52" s="340" t="s">
        <v>106</v>
      </c>
      <c r="G52" s="47" t="str">
        <f t="shared" si="35"/>
        <v>F/C - C/B</v>
      </c>
      <c r="H52" s="26">
        <f t="shared" si="31"/>
        <v>2</v>
      </c>
      <c r="I52" s="27">
        <f t="shared" si="32"/>
        <v>0</v>
      </c>
      <c r="J52" s="27">
        <f t="shared" si="33"/>
        <v>11.216281481481101</v>
      </c>
      <c r="K52" s="27">
        <f t="shared" si="34"/>
        <v>-2.0601333333332636</v>
      </c>
      <c r="L52" s="341">
        <v>0</v>
      </c>
      <c r="M52" s="83">
        <f t="shared" si="5"/>
        <v>309.01999999998952</v>
      </c>
      <c r="N52" s="388">
        <v>43.42</v>
      </c>
      <c r="O52" s="389">
        <v>20</v>
      </c>
      <c r="P52" s="222">
        <f t="shared" si="27"/>
        <v>13418</v>
      </c>
      <c r="Q52" s="274">
        <f t="shared" si="6"/>
        <v>6181</v>
      </c>
      <c r="R52" s="398">
        <v>0</v>
      </c>
      <c r="S52" s="399">
        <v>0</v>
      </c>
      <c r="T52" s="221">
        <f t="shared" si="7"/>
        <v>13418</v>
      </c>
      <c r="U52" s="269">
        <f t="shared" si="8"/>
        <v>6181</v>
      </c>
      <c r="V52" s="348">
        <v>0</v>
      </c>
      <c r="W52" s="404">
        <v>0</v>
      </c>
      <c r="X52" s="405">
        <v>0</v>
      </c>
      <c r="Y52" s="414">
        <f t="shared" si="9"/>
        <v>0.77977999999999881</v>
      </c>
      <c r="Z52" s="415">
        <f t="shared" si="9"/>
        <v>0.34338888888888891</v>
      </c>
      <c r="AA52" s="402">
        <f t="shared" si="28"/>
        <v>1559.5599999999977</v>
      </c>
      <c r="AB52" s="403">
        <f t="shared" si="28"/>
        <v>686.77777777777783</v>
      </c>
      <c r="AC52" s="402">
        <f t="shared" si="36"/>
        <v>1559.5599999999977</v>
      </c>
      <c r="AD52" s="403">
        <f t="shared" si="37"/>
        <v>686.77777777777783</v>
      </c>
      <c r="AE52" s="402">
        <f t="shared" si="38"/>
        <v>46.318931999999926</v>
      </c>
      <c r="AF52" s="403">
        <f t="shared" si="39"/>
        <v>20.397300000000001</v>
      </c>
      <c r="AG52" s="351">
        <v>0</v>
      </c>
      <c r="AH52" s="425">
        <f t="shared" ref="AH52:AH70" si="49">IF(A52="APP SLAB",0,(T52*$AH$1/12)/27+I52)</f>
        <v>476.25617283950618</v>
      </c>
      <c r="AI52" s="426">
        <f t="shared" si="40"/>
        <v>219.38734567901233</v>
      </c>
      <c r="AJ52" s="424">
        <f t="shared" si="41"/>
        <v>259.6977629629626</v>
      </c>
      <c r="AK52" s="429">
        <f t="shared" si="42"/>
        <v>114.46296296296296</v>
      </c>
      <c r="AL52" s="402">
        <f t="shared" si="43"/>
        <v>59.635555555555555</v>
      </c>
      <c r="AM52" s="403">
        <f t="shared" si="44"/>
        <v>27.471111111111114</v>
      </c>
      <c r="AN52" s="424">
        <f t="shared" si="45"/>
        <v>60.060237037037112</v>
      </c>
      <c r="AO52" s="429">
        <f t="shared" si="46"/>
        <v>28.61574074074074</v>
      </c>
      <c r="AP52" s="424">
        <f t="shared" ref="AP52:AP70" si="50">IF(A52="APP SLAB",0,(T52*$AP$1/12)/27+L52)</f>
        <v>72.473765432098773</v>
      </c>
      <c r="AQ52" s="429">
        <f t="shared" si="47"/>
        <v>33.385030864197532</v>
      </c>
      <c r="AR52" s="467">
        <f t="shared" si="26"/>
        <v>0</v>
      </c>
      <c r="AS52" s="85">
        <f t="shared" si="48"/>
        <v>618.03999999997905</v>
      </c>
    </row>
    <row r="53" spans="1:61" ht="12.75" customHeight="1" x14ac:dyDescent="0.2">
      <c r="B53" s="338">
        <v>89596.98</v>
      </c>
      <c r="C53" s="339">
        <v>89617.38</v>
      </c>
      <c r="D53" s="340" t="s">
        <v>16</v>
      </c>
      <c r="E53" s="340" t="s">
        <v>111</v>
      </c>
      <c r="F53" s="340" t="s">
        <v>101</v>
      </c>
      <c r="G53" s="47" t="str">
        <f t="shared" si="35"/>
        <v>-</v>
      </c>
      <c r="H53" s="342">
        <v>0</v>
      </c>
      <c r="I53" s="341">
        <v>0.43</v>
      </c>
      <c r="J53" s="341">
        <v>0.51</v>
      </c>
      <c r="K53" s="341">
        <v>-0.14000000000000001</v>
      </c>
      <c r="L53" s="341">
        <v>0</v>
      </c>
      <c r="M53" s="83">
        <f t="shared" si="5"/>
        <v>20.400000000008731</v>
      </c>
      <c r="N53" s="388" t="s">
        <v>101</v>
      </c>
      <c r="O53" s="389" t="s">
        <v>101</v>
      </c>
      <c r="P53" s="222">
        <f t="shared" si="27"/>
        <v>0</v>
      </c>
      <c r="Q53" s="274">
        <f t="shared" si="6"/>
        <v>0</v>
      </c>
      <c r="R53" s="398">
        <v>444</v>
      </c>
      <c r="S53" s="399">
        <v>204</v>
      </c>
      <c r="T53" s="221">
        <f t="shared" si="7"/>
        <v>444</v>
      </c>
      <c r="U53" s="269">
        <f t="shared" si="8"/>
        <v>204</v>
      </c>
      <c r="V53" s="348">
        <v>0</v>
      </c>
      <c r="W53" s="404">
        <v>0</v>
      </c>
      <c r="X53" s="405">
        <v>0</v>
      </c>
      <c r="Y53" s="414">
        <f t="shared" si="9"/>
        <v>2.4666666666666667E-2</v>
      </c>
      <c r="Z53" s="415">
        <f t="shared" si="9"/>
        <v>1.1333333333333334E-2</v>
      </c>
      <c r="AA53" s="402">
        <f t="shared" si="28"/>
        <v>49.333333333333336</v>
      </c>
      <c r="AB53" s="403">
        <f t="shared" si="28"/>
        <v>22.666666666666668</v>
      </c>
      <c r="AC53" s="402">
        <f t="shared" si="36"/>
        <v>49.333333333333336</v>
      </c>
      <c r="AD53" s="403">
        <f t="shared" si="37"/>
        <v>22.666666666666668</v>
      </c>
      <c r="AE53" s="402">
        <f t="shared" si="38"/>
        <v>1.4651999999999998</v>
      </c>
      <c r="AF53" s="403">
        <f t="shared" si="39"/>
        <v>0.67320000000000002</v>
      </c>
      <c r="AG53" s="351">
        <v>0</v>
      </c>
      <c r="AH53" s="425">
        <f t="shared" si="49"/>
        <v>16.189259259259259</v>
      </c>
      <c r="AI53" s="426">
        <f t="shared" si="40"/>
        <v>7.2407407407407405</v>
      </c>
      <c r="AJ53" s="424">
        <f t="shared" si="41"/>
        <v>8.7322222222222212</v>
      </c>
      <c r="AK53" s="429">
        <f t="shared" si="42"/>
        <v>3.7777777777777777</v>
      </c>
      <c r="AL53" s="402">
        <f t="shared" si="43"/>
        <v>1.9733333333333334</v>
      </c>
      <c r="AM53" s="403">
        <f t="shared" si="44"/>
        <v>0.90666666666666673</v>
      </c>
      <c r="AN53" s="424">
        <f t="shared" si="45"/>
        <v>1.9155555555555552</v>
      </c>
      <c r="AO53" s="429">
        <f t="shared" si="46"/>
        <v>0.94444444444444442</v>
      </c>
      <c r="AP53" s="424">
        <f t="shared" si="50"/>
        <v>2.3981481481481484</v>
      </c>
      <c r="AQ53" s="429">
        <f t="shared" si="47"/>
        <v>1.1018518518518519</v>
      </c>
      <c r="AR53" s="467">
        <f t="shared" si="26"/>
        <v>0</v>
      </c>
      <c r="AS53" s="85">
        <f t="shared" si="48"/>
        <v>40.800000000017462</v>
      </c>
    </row>
    <row r="54" spans="1:61" ht="12.75" customHeight="1" x14ac:dyDescent="0.2">
      <c r="A54" s="1" t="s">
        <v>28</v>
      </c>
      <c r="B54" s="338">
        <v>89617.38</v>
      </c>
      <c r="C54" s="339">
        <v>89642.38</v>
      </c>
      <c r="D54" s="340" t="s">
        <v>16</v>
      </c>
      <c r="E54" s="340" t="s">
        <v>101</v>
      </c>
      <c r="F54" s="340" t="s">
        <v>101</v>
      </c>
      <c r="G54" s="47" t="str">
        <f t="shared" si="35"/>
        <v>-</v>
      </c>
      <c r="H54" s="26">
        <v>4</v>
      </c>
      <c r="I54" s="27">
        <f>IF(AND($E54=$AU$2,$F54=$AU$2),2*$AZ$12*$M54/27,IF(OR(AND($E54=$AU$2,$F54=$AU$3),AND($E54=$AU$3,$F54=$AU$2)),$AZ$12*$M54/27,IF(OR(AND($E54=$AU$2,$F54=$AU$4),AND($E54=$AU$4,$F54=$AU$2)),$AZ$12*$M54/27,0)))</f>
        <v>0</v>
      </c>
      <c r="J54" s="27">
        <f>IF(AND($E54=$AU$2,$F54=$AU$2),2*$BC$12*$M54/27,IF(OR(AND($E54=$AU$2,$F54=$AU$3),AND($E54=$AU$3,$F54=$AU$2)),($BC$12+$BC$13)*$M54/27,IF(OR(AND($E54=$AU$2,$F54=$AU$4),AND($E54=$AU$4,$F54=$AU$2)),$BC$12*$M54/27,IF(OR(AND($E54=$AU$3,$F54=$AU$4),AND($E54=$AU$4,$F54=$AU$3)),$BC$13*$M54/27,IF(AND($E54=$AU$3,$F54=$AU$3),2*$BC$13*$M54/27,0)))))</f>
        <v>0</v>
      </c>
      <c r="K54" s="27">
        <f>IF(AND($E54=$AU$4,$F54=$AU$4),2*$BF$14*$M54/27,IF(OR($E54=$AU$4,$F54=$AU$4),$BF$14*$M54/27,0))</f>
        <v>0</v>
      </c>
      <c r="L54" s="341">
        <v>0</v>
      </c>
      <c r="M54" s="83">
        <f t="shared" si="5"/>
        <v>25</v>
      </c>
      <c r="N54" s="388" t="s">
        <v>101</v>
      </c>
      <c r="O54" s="389" t="s">
        <v>101</v>
      </c>
      <c r="P54" s="222">
        <f t="shared" si="27"/>
        <v>0</v>
      </c>
      <c r="Q54" s="274">
        <f t="shared" si="6"/>
        <v>0</v>
      </c>
      <c r="R54" s="398">
        <v>1124</v>
      </c>
      <c r="S54" s="399">
        <v>500</v>
      </c>
      <c r="T54" s="221">
        <f t="shared" si="7"/>
        <v>1124</v>
      </c>
      <c r="U54" s="269">
        <f t="shared" si="8"/>
        <v>500</v>
      </c>
      <c r="V54" s="348">
        <v>0</v>
      </c>
      <c r="W54" s="404">
        <v>0</v>
      </c>
      <c r="X54" s="405">
        <v>0</v>
      </c>
      <c r="Y54" s="414">
        <f t="shared" si="9"/>
        <v>6.8000000000000005E-2</v>
      </c>
      <c r="Z54" s="415">
        <f t="shared" si="9"/>
        <v>3.3333333333333333E-2</v>
      </c>
      <c r="AA54" s="402">
        <f>IF(OR(W54&lt;&gt;0),0,AC54)</f>
        <v>136</v>
      </c>
      <c r="AB54" s="403">
        <f>IF(OR(X54&lt;&gt;0),0,AD54)</f>
        <v>66.666666666666671</v>
      </c>
      <c r="AC54" s="402">
        <f>IF(OR(W54&lt;&gt;0),0,(T54+$H54*$M54)/9)</f>
        <v>136</v>
      </c>
      <c r="AD54" s="402">
        <f>IF(OR(X54&lt;&gt;0),0,(U54+$H54*$M54)/9)</f>
        <v>66.666666666666671</v>
      </c>
      <c r="AE54" s="402">
        <f>IF(OR(W54&lt;&gt;0),0,$AC$1*AC54*110*0.06*0.75/2000)</f>
        <v>4.0392000000000001</v>
      </c>
      <c r="AF54" s="403">
        <f>IF(OR(X54&lt;&gt;0),0,$AC$1*AD54*110*0.06*0.75/2000)</f>
        <v>1.98</v>
      </c>
      <c r="AG54" s="351">
        <v>0</v>
      </c>
      <c r="AH54" s="425">
        <f t="shared" si="49"/>
        <v>0</v>
      </c>
      <c r="AI54" s="426">
        <f t="shared" si="40"/>
        <v>0</v>
      </c>
      <c r="AJ54" s="424">
        <f t="shared" si="41"/>
        <v>20.814814814814813</v>
      </c>
      <c r="AK54" s="429">
        <f t="shared" si="42"/>
        <v>9.2592592592592595</v>
      </c>
      <c r="AL54" s="402">
        <f t="shared" si="43"/>
        <v>0</v>
      </c>
      <c r="AM54" s="403">
        <f t="shared" si="44"/>
        <v>0</v>
      </c>
      <c r="AN54" s="424">
        <f t="shared" si="45"/>
        <v>0</v>
      </c>
      <c r="AO54" s="429">
        <f t="shared" si="46"/>
        <v>0</v>
      </c>
      <c r="AP54" s="424">
        <f t="shared" si="50"/>
        <v>0</v>
      </c>
      <c r="AQ54" s="429">
        <f t="shared" si="47"/>
        <v>0</v>
      </c>
      <c r="AR54" s="467">
        <f t="shared" si="26"/>
        <v>0</v>
      </c>
      <c r="AS54" s="85">
        <f t="shared" si="48"/>
        <v>0</v>
      </c>
    </row>
    <row r="55" spans="1:61" ht="12.75" customHeight="1" x14ac:dyDescent="0.2">
      <c r="A55" s="1" t="s">
        <v>28</v>
      </c>
      <c r="B55" s="338">
        <v>89984.24</v>
      </c>
      <c r="C55" s="339">
        <v>90009.24</v>
      </c>
      <c r="D55" s="340" t="s">
        <v>16</v>
      </c>
      <c r="E55" s="340" t="s">
        <v>101</v>
      </c>
      <c r="F55" s="340" t="s">
        <v>101</v>
      </c>
      <c r="G55" s="47" t="str">
        <f t="shared" si="35"/>
        <v>-</v>
      </c>
      <c r="H55" s="26">
        <v>4</v>
      </c>
      <c r="I55" s="27">
        <f>IF(AND($E55=$AU$2,$F55=$AU$2),2*$AZ$12*$M55/27,IF(OR(AND($E55=$AU$2,$F55=$AU$3),AND($E55=$AU$3,$F55=$AU$2)),$AZ$12*$M55/27,IF(OR(AND($E55=$AU$2,$F55=$AU$4),AND($E55=$AU$4,$F55=$AU$2)),$AZ$12*$M55/27,0)))</f>
        <v>0</v>
      </c>
      <c r="J55" s="27">
        <f>IF(AND($E55=$AU$2,$F55=$AU$2),2*$BC$12*$M55/27,IF(OR(AND($E55=$AU$2,$F55=$AU$3),AND($E55=$AU$3,$F55=$AU$2)),($BC$12+$BC$13)*$M55/27,IF(OR(AND($E55=$AU$2,$F55=$AU$4),AND($E55=$AU$4,$F55=$AU$2)),$BC$12*$M55/27,IF(OR(AND($E55=$AU$3,$F55=$AU$4),AND($E55=$AU$4,$F55=$AU$3)),$BC$13*$M55/27,IF(AND($E55=$AU$3,$F55=$AU$3),2*$BC$13*$M55/27,0)))))</f>
        <v>0</v>
      </c>
      <c r="K55" s="27">
        <f>IF(AND($E55=$AU$4,$F55=$AU$4),2*$BF$14*$M55/27,IF(OR($E55=$AU$4,$F55=$AU$4),$BF$14*$M55/27,0))</f>
        <v>0</v>
      </c>
      <c r="L55" s="341">
        <v>0</v>
      </c>
      <c r="M55" s="83">
        <f t="shared" si="5"/>
        <v>25</v>
      </c>
      <c r="N55" s="388" t="s">
        <v>101</v>
      </c>
      <c r="O55" s="389" t="s">
        <v>101</v>
      </c>
      <c r="P55" s="222">
        <f t="shared" si="27"/>
        <v>0</v>
      </c>
      <c r="Q55" s="274">
        <f t="shared" si="6"/>
        <v>0</v>
      </c>
      <c r="R55" s="398">
        <v>1124</v>
      </c>
      <c r="S55" s="399">
        <v>500</v>
      </c>
      <c r="T55" s="221">
        <f t="shared" si="7"/>
        <v>1124</v>
      </c>
      <c r="U55" s="269">
        <f t="shared" si="8"/>
        <v>500</v>
      </c>
      <c r="V55" s="348">
        <v>0</v>
      </c>
      <c r="W55" s="404">
        <v>0</v>
      </c>
      <c r="X55" s="405">
        <v>0</v>
      </c>
      <c r="Y55" s="414">
        <f t="shared" si="9"/>
        <v>6.8000000000000005E-2</v>
      </c>
      <c r="Z55" s="415">
        <f t="shared" si="9"/>
        <v>3.3333333333333333E-2</v>
      </c>
      <c r="AA55" s="402">
        <f>IF(OR(W55&lt;&gt;0),0,AC55)</f>
        <v>136</v>
      </c>
      <c r="AB55" s="403">
        <f>IF(OR(X55&lt;&gt;0),0,AD55)</f>
        <v>66.666666666666671</v>
      </c>
      <c r="AC55" s="402">
        <f>IF(OR(W55&lt;&gt;0),0,(T55+$H55*$M55)/9)</f>
        <v>136</v>
      </c>
      <c r="AD55" s="402">
        <f>IF(OR(X55&lt;&gt;0),0,(U55+$H55*$M55)/9)</f>
        <v>66.666666666666671</v>
      </c>
      <c r="AE55" s="402">
        <f>IF(OR(W55&lt;&gt;0),0,$AC$1*AC55*110*0.06*0.75/2000)</f>
        <v>4.0392000000000001</v>
      </c>
      <c r="AF55" s="403">
        <f>IF(OR(X55&lt;&gt;0),0,$AC$1*AD55*110*0.06*0.75/2000)</f>
        <v>1.98</v>
      </c>
      <c r="AG55" s="351">
        <v>0</v>
      </c>
      <c r="AH55" s="425">
        <f t="shared" si="49"/>
        <v>0</v>
      </c>
      <c r="AI55" s="426">
        <f t="shared" si="40"/>
        <v>0</v>
      </c>
      <c r="AJ55" s="424">
        <f t="shared" si="41"/>
        <v>20.814814814814813</v>
      </c>
      <c r="AK55" s="429">
        <f t="shared" si="42"/>
        <v>9.2592592592592595</v>
      </c>
      <c r="AL55" s="402">
        <f t="shared" si="43"/>
        <v>0</v>
      </c>
      <c r="AM55" s="403">
        <f t="shared" si="44"/>
        <v>0</v>
      </c>
      <c r="AN55" s="424">
        <f t="shared" si="45"/>
        <v>0</v>
      </c>
      <c r="AO55" s="429">
        <f t="shared" si="46"/>
        <v>0</v>
      </c>
      <c r="AP55" s="424">
        <f t="shared" si="50"/>
        <v>0</v>
      </c>
      <c r="AQ55" s="429">
        <f t="shared" si="47"/>
        <v>0</v>
      </c>
      <c r="AR55" s="467">
        <f t="shared" si="26"/>
        <v>0</v>
      </c>
      <c r="AS55" s="85">
        <f t="shared" si="48"/>
        <v>0</v>
      </c>
    </row>
    <row r="56" spans="1:61" ht="12.75" customHeight="1" x14ac:dyDescent="0.2">
      <c r="B56" s="338">
        <v>89989.25</v>
      </c>
      <c r="C56" s="339">
        <v>90008.8</v>
      </c>
      <c r="D56" s="340" t="s">
        <v>16</v>
      </c>
      <c r="E56" s="340" t="s">
        <v>101</v>
      </c>
      <c r="F56" s="340" t="s">
        <v>106</v>
      </c>
      <c r="G56" s="47" t="str">
        <f t="shared" si="35"/>
        <v>-</v>
      </c>
      <c r="H56" s="342">
        <v>2</v>
      </c>
      <c r="I56" s="341">
        <v>0</v>
      </c>
      <c r="J56" s="341">
        <v>0.71</v>
      </c>
      <c r="K56" s="341">
        <v>0</v>
      </c>
      <c r="L56" s="341">
        <v>0</v>
      </c>
      <c r="M56" s="83">
        <f t="shared" si="5"/>
        <v>19.55000000000291</v>
      </c>
      <c r="N56" s="388" t="s">
        <v>101</v>
      </c>
      <c r="O56" s="389" t="s">
        <v>101</v>
      </c>
      <c r="P56" s="222">
        <f t="shared" si="27"/>
        <v>0</v>
      </c>
      <c r="Q56" s="274">
        <f t="shared" si="6"/>
        <v>0</v>
      </c>
      <c r="R56" s="398">
        <v>425</v>
      </c>
      <c r="S56" s="399">
        <v>196</v>
      </c>
      <c r="T56" s="221">
        <f t="shared" si="7"/>
        <v>425</v>
      </c>
      <c r="U56" s="269">
        <f t="shared" si="8"/>
        <v>196</v>
      </c>
      <c r="V56" s="348">
        <v>0</v>
      </c>
      <c r="W56" s="404">
        <v>0</v>
      </c>
      <c r="X56" s="405">
        <v>0</v>
      </c>
      <c r="Y56" s="414">
        <f t="shared" si="9"/>
        <v>2.5783333333333658E-2</v>
      </c>
      <c r="Z56" s="415">
        <f t="shared" si="9"/>
        <v>1.0888888888888889E-2</v>
      </c>
      <c r="AA56" s="402">
        <f t="shared" si="28"/>
        <v>51.566666666667317</v>
      </c>
      <c r="AB56" s="403">
        <f t="shared" si="28"/>
        <v>21.777777777777779</v>
      </c>
      <c r="AC56" s="402">
        <f t="shared" si="36"/>
        <v>51.566666666667317</v>
      </c>
      <c r="AD56" s="403">
        <f t="shared" si="37"/>
        <v>21.777777777777779</v>
      </c>
      <c r="AE56" s="402">
        <f t="shared" si="38"/>
        <v>1.5315300000000194</v>
      </c>
      <c r="AF56" s="403">
        <f t="shared" si="39"/>
        <v>0.64680000000000004</v>
      </c>
      <c r="AG56" s="351">
        <v>0</v>
      </c>
      <c r="AH56" s="425">
        <f t="shared" si="49"/>
        <v>15.084876543209877</v>
      </c>
      <c r="AI56" s="426">
        <f t="shared" si="40"/>
        <v>6.9567901234567904</v>
      </c>
      <c r="AJ56" s="424">
        <f t="shared" si="41"/>
        <v>8.5803703703703711</v>
      </c>
      <c r="AK56" s="429">
        <f t="shared" si="42"/>
        <v>3.6296296296296298</v>
      </c>
      <c r="AL56" s="402">
        <f t="shared" si="43"/>
        <v>1.8888888888888888</v>
      </c>
      <c r="AM56" s="403">
        <f t="shared" si="44"/>
        <v>0.87111111111111117</v>
      </c>
      <c r="AN56" s="424">
        <f t="shared" si="45"/>
        <v>1.9675925925925926</v>
      </c>
      <c r="AO56" s="429">
        <f t="shared" si="46"/>
        <v>0.90740740740740744</v>
      </c>
      <c r="AP56" s="424">
        <f t="shared" si="50"/>
        <v>2.2955246913580245</v>
      </c>
      <c r="AQ56" s="429">
        <f t="shared" si="47"/>
        <v>1.058641975308642</v>
      </c>
      <c r="AR56" s="467">
        <f t="shared" si="26"/>
        <v>0</v>
      </c>
      <c r="AS56" s="85">
        <f t="shared" si="48"/>
        <v>39.100000000005821</v>
      </c>
    </row>
    <row r="57" spans="1:61" ht="12.75" customHeight="1" x14ac:dyDescent="0.2">
      <c r="B57" s="338">
        <v>90009.24</v>
      </c>
      <c r="C57" s="339">
        <v>90876.86</v>
      </c>
      <c r="D57" s="340" t="s">
        <v>16</v>
      </c>
      <c r="E57" s="340" t="s">
        <v>111</v>
      </c>
      <c r="F57" s="340" t="s">
        <v>106</v>
      </c>
      <c r="G57" s="47" t="str">
        <f t="shared" si="35"/>
        <v>F/C - C/B</v>
      </c>
      <c r="H57" s="26">
        <f t="shared" ref="H57:H65" si="51">IF(AND($E57=$AU$2,$F57=$AU$2),2*$AW$12,IF(OR(AND($E57=$AU$2, $F57=$AU$3),AND($E57=$AU$3,$F57=$AU$2)),$AW$12+$AW$13,IF(OR(AND($E57=$AU$2,$F57=$AU$4),AND($E57=$AU$4,$F57=$AU$2)),$AW$12,IF(OR(AND($E57=$AU$3,$F57=$AU$4),AND($E57=$AU$4,$F57=$AU$3)),$AW$13,IF(AND($E57=$AU$3,$F57=$AU$3),2*$AW$13,0)))))</f>
        <v>2</v>
      </c>
      <c r="I57" s="27">
        <f t="shared" ref="I57:I65" si="52">IF(AND($E57=$AU$2,$F57=$AU$2),2*$AZ$12*$M57/27,IF(OR(AND($E57=$AU$2,$F57=$AU$3),AND($E57=$AU$3,$F57=$AU$2)),$AZ$12*$M57/27,IF(OR(AND($E57=$AU$2,$F57=$AU$4),AND($E57=$AU$4,$F57=$AU$2)),$AZ$12*$M57/27,0)))</f>
        <v>0</v>
      </c>
      <c r="J57" s="27">
        <f t="shared" ref="J57:J65" si="53">IF(AND($E57=$AU$2,$F57=$AU$2),2*$BC$12*$M57/27,IF(OR(AND($E57=$AU$2,$F57=$AU$3),AND($E57=$AU$3,$F57=$AU$2)),($BC$12+$BC$13)*$M57/27,IF(OR(AND($E57=$AU$2,$F57=$AU$4),AND($E57=$AU$4,$F57=$AU$2)),$BC$12*$M57/27,IF(OR(AND($E57=$AU$3,$F57=$AU$4),AND($E57=$AU$4,$F57=$AU$3)),$BC$13*$M57/27,IF(AND($E57=$AU$3,$F57=$AU$3),2*$BC$13*$M57/27,0)))))</f>
        <v>31.491392592592426</v>
      </c>
      <c r="K57" s="27">
        <f t="shared" ref="K57:K65" si="54">IF(AND($E57=$AU$4,$F57=$AU$4),2*$BF$14*$M57/27,IF(OR($E57=$AU$4,$F57=$AU$4),$BF$14*$M57/27,0))</f>
        <v>-5.784133333333302</v>
      </c>
      <c r="L57" s="341">
        <v>0</v>
      </c>
      <c r="M57" s="83">
        <f t="shared" si="5"/>
        <v>867.61999999999534</v>
      </c>
      <c r="N57" s="388">
        <v>43.42</v>
      </c>
      <c r="O57" s="389">
        <v>20</v>
      </c>
      <c r="P57" s="222">
        <f t="shared" si="27"/>
        <v>37673</v>
      </c>
      <c r="Q57" s="274">
        <f t="shared" si="6"/>
        <v>17353</v>
      </c>
      <c r="R57" s="398">
        <v>0</v>
      </c>
      <c r="S57" s="399">
        <v>0</v>
      </c>
      <c r="T57" s="221">
        <f t="shared" si="7"/>
        <v>37673</v>
      </c>
      <c r="U57" s="269">
        <f t="shared" si="8"/>
        <v>17353</v>
      </c>
      <c r="V57" s="348">
        <v>0</v>
      </c>
      <c r="W57" s="404">
        <v>0</v>
      </c>
      <c r="X57" s="405">
        <v>0</v>
      </c>
      <c r="Y57" s="414">
        <f t="shared" si="9"/>
        <v>2.1893466666666663</v>
      </c>
      <c r="Z57" s="415">
        <f t="shared" si="9"/>
        <v>0.96405555555555555</v>
      </c>
      <c r="AA57" s="402">
        <f t="shared" si="28"/>
        <v>4378.6933333333327</v>
      </c>
      <c r="AB57" s="403">
        <f t="shared" si="28"/>
        <v>1928.1111111111111</v>
      </c>
      <c r="AC57" s="402">
        <f t="shared" si="36"/>
        <v>4378.6933333333327</v>
      </c>
      <c r="AD57" s="403">
        <f t="shared" si="37"/>
        <v>1928.1111111111111</v>
      </c>
      <c r="AE57" s="402">
        <f t="shared" si="38"/>
        <v>130.04719199999997</v>
      </c>
      <c r="AF57" s="403">
        <f t="shared" si="39"/>
        <v>57.264899999999997</v>
      </c>
      <c r="AG57" s="351">
        <v>0</v>
      </c>
      <c r="AH57" s="425">
        <f t="shared" si="49"/>
        <v>1337.1589506172838</v>
      </c>
      <c r="AI57" s="426">
        <f t="shared" si="40"/>
        <v>615.92438271604931</v>
      </c>
      <c r="AJ57" s="424">
        <f t="shared" si="41"/>
        <v>729.13954074074059</v>
      </c>
      <c r="AK57" s="429">
        <f t="shared" si="42"/>
        <v>321.35185185185185</v>
      </c>
      <c r="AL57" s="402">
        <f t="shared" si="43"/>
        <v>167.43555555555554</v>
      </c>
      <c r="AM57" s="403">
        <f t="shared" si="44"/>
        <v>77.12444444444445</v>
      </c>
      <c r="AN57" s="424">
        <f t="shared" si="45"/>
        <v>168.62790370370374</v>
      </c>
      <c r="AO57" s="429">
        <f t="shared" si="46"/>
        <v>80.337962962962962</v>
      </c>
      <c r="AP57" s="424">
        <f t="shared" si="50"/>
        <v>203.48070987654322</v>
      </c>
      <c r="AQ57" s="429">
        <f t="shared" si="47"/>
        <v>93.727623456790127</v>
      </c>
      <c r="AR57" s="467">
        <f t="shared" si="26"/>
        <v>0</v>
      </c>
      <c r="AS57" s="85">
        <f t="shared" si="48"/>
        <v>1735.2399999999907</v>
      </c>
    </row>
    <row r="58" spans="1:61" ht="12.75" customHeight="1" x14ac:dyDescent="0.2">
      <c r="B58" s="338">
        <v>90876.86</v>
      </c>
      <c r="C58" s="339">
        <v>90976.86</v>
      </c>
      <c r="D58" s="340" t="s">
        <v>16</v>
      </c>
      <c r="E58" s="340" t="s">
        <v>111</v>
      </c>
      <c r="F58" s="340" t="s">
        <v>106</v>
      </c>
      <c r="G58" s="47" t="str">
        <f t="shared" si="35"/>
        <v>F/C - C/B</v>
      </c>
      <c r="H58" s="26">
        <f t="shared" si="51"/>
        <v>2</v>
      </c>
      <c r="I58" s="27">
        <f t="shared" si="52"/>
        <v>0</v>
      </c>
      <c r="J58" s="27">
        <f t="shared" si="53"/>
        <v>3.6296296296296298</v>
      </c>
      <c r="K58" s="27">
        <f t="shared" si="54"/>
        <v>-0.66666666666666663</v>
      </c>
      <c r="L58" s="341">
        <v>0</v>
      </c>
      <c r="M58" s="83">
        <f t="shared" si="5"/>
        <v>100</v>
      </c>
      <c r="N58" s="388">
        <v>47.42</v>
      </c>
      <c r="O58" s="389">
        <v>20</v>
      </c>
      <c r="P58" s="222">
        <f t="shared" si="27"/>
        <v>4742</v>
      </c>
      <c r="Q58" s="274">
        <f t="shared" si="6"/>
        <v>2000</v>
      </c>
      <c r="R58" s="398">
        <v>0</v>
      </c>
      <c r="S58" s="399">
        <v>0</v>
      </c>
      <c r="T58" s="221">
        <f t="shared" si="7"/>
        <v>4742</v>
      </c>
      <c r="U58" s="269">
        <f t="shared" si="8"/>
        <v>2000</v>
      </c>
      <c r="V58" s="348">
        <v>0</v>
      </c>
      <c r="W58" s="404">
        <v>0</v>
      </c>
      <c r="X58" s="405">
        <v>0</v>
      </c>
      <c r="Y58" s="414">
        <f t="shared" si="9"/>
        <v>0.27455555555555555</v>
      </c>
      <c r="Z58" s="415">
        <f t="shared" si="9"/>
        <v>0.11111111111111112</v>
      </c>
      <c r="AA58" s="402">
        <f t="shared" si="28"/>
        <v>549.11111111111109</v>
      </c>
      <c r="AB58" s="403">
        <f t="shared" si="28"/>
        <v>222.22222222222223</v>
      </c>
      <c r="AC58" s="402">
        <f t="shared" si="36"/>
        <v>549.11111111111109</v>
      </c>
      <c r="AD58" s="403">
        <f t="shared" si="37"/>
        <v>222.22222222222223</v>
      </c>
      <c r="AE58" s="402">
        <f t="shared" si="38"/>
        <v>16.308599999999998</v>
      </c>
      <c r="AF58" s="403">
        <f t="shared" si="39"/>
        <v>6.6</v>
      </c>
      <c r="AG58" s="351">
        <v>0</v>
      </c>
      <c r="AH58" s="425">
        <f t="shared" si="49"/>
        <v>168.31172839506175</v>
      </c>
      <c r="AI58" s="426">
        <f t="shared" si="40"/>
        <v>70.987654320987659</v>
      </c>
      <c r="AJ58" s="424">
        <f t="shared" si="41"/>
        <v>91.444444444444443</v>
      </c>
      <c r="AK58" s="429">
        <f t="shared" si="42"/>
        <v>37.037037037037038</v>
      </c>
      <c r="AL58" s="402">
        <f t="shared" si="43"/>
        <v>21.075555555555557</v>
      </c>
      <c r="AM58" s="403">
        <f t="shared" si="44"/>
        <v>8.8888888888888893</v>
      </c>
      <c r="AN58" s="424">
        <f t="shared" si="45"/>
        <v>21.287037037037035</v>
      </c>
      <c r="AO58" s="429">
        <f t="shared" si="46"/>
        <v>9.2592592592592595</v>
      </c>
      <c r="AP58" s="424">
        <f t="shared" si="50"/>
        <v>25.612654320987652</v>
      </c>
      <c r="AQ58" s="429">
        <f t="shared" si="47"/>
        <v>10.80246913580247</v>
      </c>
      <c r="AR58" s="467">
        <f t="shared" si="26"/>
        <v>0</v>
      </c>
      <c r="AS58" s="85">
        <f t="shared" si="48"/>
        <v>200</v>
      </c>
      <c r="AT58" s="81"/>
      <c r="BG58" s="81"/>
      <c r="BH58" s="81"/>
      <c r="BI58" s="81"/>
    </row>
    <row r="59" spans="1:61" ht="12.75" customHeight="1" x14ac:dyDescent="0.2">
      <c r="B59" s="338">
        <v>90976.86</v>
      </c>
      <c r="C59" s="339">
        <v>91222.55</v>
      </c>
      <c r="D59" s="340" t="s">
        <v>16</v>
      </c>
      <c r="E59" s="340" t="s">
        <v>111</v>
      </c>
      <c r="F59" s="340" t="s">
        <v>106</v>
      </c>
      <c r="G59" s="47" t="str">
        <f t="shared" si="35"/>
        <v>F/C - C/B</v>
      </c>
      <c r="H59" s="26">
        <f t="shared" si="51"/>
        <v>2</v>
      </c>
      <c r="I59" s="27">
        <f t="shared" si="52"/>
        <v>0</v>
      </c>
      <c r="J59" s="27">
        <f t="shared" si="53"/>
        <v>8.9176370370371227</v>
      </c>
      <c r="K59" s="27">
        <f t="shared" si="54"/>
        <v>-1.6379333333333488</v>
      </c>
      <c r="L59" s="341">
        <v>0</v>
      </c>
      <c r="M59" s="83">
        <f t="shared" si="5"/>
        <v>245.69000000000233</v>
      </c>
      <c r="N59" s="388">
        <v>51.42</v>
      </c>
      <c r="O59" s="389">
        <v>20</v>
      </c>
      <c r="P59" s="222">
        <f t="shared" si="27"/>
        <v>12634</v>
      </c>
      <c r="Q59" s="274">
        <f t="shared" si="6"/>
        <v>4914</v>
      </c>
      <c r="R59" s="398">
        <v>0</v>
      </c>
      <c r="S59" s="399">
        <v>0</v>
      </c>
      <c r="T59" s="221">
        <f t="shared" si="7"/>
        <v>12634</v>
      </c>
      <c r="U59" s="269">
        <f t="shared" si="8"/>
        <v>4914</v>
      </c>
      <c r="V59" s="348">
        <v>0</v>
      </c>
      <c r="W59" s="404">
        <v>0</v>
      </c>
      <c r="X59" s="405">
        <v>0</v>
      </c>
      <c r="Y59" s="414">
        <f t="shared" si="9"/>
        <v>0.72918777777777799</v>
      </c>
      <c r="Z59" s="415">
        <f t="shared" si="9"/>
        <v>0.27300000000000002</v>
      </c>
      <c r="AA59" s="402">
        <f t="shared" si="28"/>
        <v>1458.375555555556</v>
      </c>
      <c r="AB59" s="403">
        <f t="shared" si="28"/>
        <v>546</v>
      </c>
      <c r="AC59" s="402">
        <f t="shared" si="36"/>
        <v>1458.375555555556</v>
      </c>
      <c r="AD59" s="403">
        <f t="shared" si="37"/>
        <v>546</v>
      </c>
      <c r="AE59" s="402">
        <f t="shared" si="38"/>
        <v>43.31375400000001</v>
      </c>
      <c r="AF59" s="403">
        <f t="shared" si="39"/>
        <v>16.216200000000001</v>
      </c>
      <c r="AG59" s="351">
        <v>0</v>
      </c>
      <c r="AH59" s="425">
        <f t="shared" si="49"/>
        <v>448.42901234567904</v>
      </c>
      <c r="AI59" s="426">
        <f t="shared" si="40"/>
        <v>174.41666666666666</v>
      </c>
      <c r="AJ59" s="424">
        <f t="shared" si="41"/>
        <v>242.88060000000007</v>
      </c>
      <c r="AK59" s="429">
        <f t="shared" si="42"/>
        <v>91</v>
      </c>
      <c r="AL59" s="402">
        <f t="shared" si="43"/>
        <v>56.151111111111113</v>
      </c>
      <c r="AM59" s="403">
        <f t="shared" si="44"/>
        <v>21.84</v>
      </c>
      <c r="AN59" s="424">
        <f t="shared" si="45"/>
        <v>56.85280740740739</v>
      </c>
      <c r="AO59" s="429">
        <f t="shared" si="46"/>
        <v>22.75</v>
      </c>
      <c r="AP59" s="424">
        <f t="shared" si="50"/>
        <v>68.239197530864189</v>
      </c>
      <c r="AQ59" s="429">
        <f t="shared" si="47"/>
        <v>26.541666666666668</v>
      </c>
      <c r="AR59" s="467">
        <f t="shared" si="26"/>
        <v>0</v>
      </c>
      <c r="AS59" s="85">
        <f t="shared" si="48"/>
        <v>491.38000000000466</v>
      </c>
    </row>
    <row r="60" spans="1:61" ht="12.75" customHeight="1" x14ac:dyDescent="0.2">
      <c r="B60" s="338">
        <v>91222.55</v>
      </c>
      <c r="C60" s="339">
        <v>91676.86</v>
      </c>
      <c r="D60" s="340" t="s">
        <v>16</v>
      </c>
      <c r="E60" s="340" t="s">
        <v>111</v>
      </c>
      <c r="F60" s="340" t="s">
        <v>106</v>
      </c>
      <c r="G60" s="47" t="str">
        <f t="shared" si="35"/>
        <v>F/C - C/B</v>
      </c>
      <c r="H60" s="26">
        <f t="shared" si="51"/>
        <v>2</v>
      </c>
      <c r="I60" s="27">
        <f t="shared" si="52"/>
        <v>0</v>
      </c>
      <c r="J60" s="27">
        <f t="shared" si="53"/>
        <v>16.489770370370284</v>
      </c>
      <c r="K60" s="27">
        <f t="shared" si="54"/>
        <v>-3.0287333333333177</v>
      </c>
      <c r="L60" s="341">
        <v>0</v>
      </c>
      <c r="M60" s="83">
        <f t="shared" si="5"/>
        <v>454.30999999999767</v>
      </c>
      <c r="N60" s="388" t="s">
        <v>101</v>
      </c>
      <c r="O60" s="389" t="s">
        <v>101</v>
      </c>
      <c r="P60" s="222">
        <f t="shared" si="27"/>
        <v>0</v>
      </c>
      <c r="Q60" s="274">
        <f t="shared" si="6"/>
        <v>0</v>
      </c>
      <c r="R60" s="398">
        <v>27431</v>
      </c>
      <c r="S60" s="399">
        <v>9086</v>
      </c>
      <c r="T60" s="221">
        <f t="shared" si="7"/>
        <v>27431</v>
      </c>
      <c r="U60" s="269">
        <f t="shared" si="8"/>
        <v>9086</v>
      </c>
      <c r="V60" s="348">
        <v>0</v>
      </c>
      <c r="W60" s="404">
        <v>0</v>
      </c>
      <c r="X60" s="405">
        <v>0</v>
      </c>
      <c r="Y60" s="414">
        <f t="shared" si="9"/>
        <v>1.5744233333333333</v>
      </c>
      <c r="Z60" s="415">
        <f t="shared" si="9"/>
        <v>0.50477777777777777</v>
      </c>
      <c r="AA60" s="402">
        <f t="shared" si="28"/>
        <v>3148.8466666666664</v>
      </c>
      <c r="AB60" s="403">
        <f t="shared" si="28"/>
        <v>1009.5555555555555</v>
      </c>
      <c r="AC60" s="402">
        <f t="shared" si="36"/>
        <v>3148.8466666666664</v>
      </c>
      <c r="AD60" s="403">
        <f t="shared" si="37"/>
        <v>1009.5555555555555</v>
      </c>
      <c r="AE60" s="402">
        <f t="shared" si="38"/>
        <v>93.520745999999988</v>
      </c>
      <c r="AF60" s="403">
        <f t="shared" si="39"/>
        <v>29.983799999999995</v>
      </c>
      <c r="AG60" s="351">
        <v>0</v>
      </c>
      <c r="AH60" s="425">
        <f t="shared" si="49"/>
        <v>973.63117283950623</v>
      </c>
      <c r="AI60" s="426">
        <f t="shared" si="40"/>
        <v>322.49691358024688</v>
      </c>
      <c r="AJ60" s="424">
        <f t="shared" si="41"/>
        <v>524.47125185185178</v>
      </c>
      <c r="AK60" s="429">
        <f t="shared" si="42"/>
        <v>168.25925925925927</v>
      </c>
      <c r="AL60" s="402">
        <f t="shared" si="43"/>
        <v>121.91555555555556</v>
      </c>
      <c r="AM60" s="403">
        <f t="shared" si="44"/>
        <v>40.382222222222225</v>
      </c>
      <c r="AN60" s="424">
        <f t="shared" si="45"/>
        <v>123.96663703703705</v>
      </c>
      <c r="AO60" s="429">
        <f t="shared" si="46"/>
        <v>42.064814814814817</v>
      </c>
      <c r="AP60" s="424">
        <f t="shared" si="50"/>
        <v>148.16126543209876</v>
      </c>
      <c r="AQ60" s="429">
        <f t="shared" si="47"/>
        <v>49.075617283950621</v>
      </c>
      <c r="AR60" s="467">
        <f t="shared" si="26"/>
        <v>0</v>
      </c>
      <c r="AS60" s="85">
        <f t="shared" si="48"/>
        <v>908.61999999999534</v>
      </c>
    </row>
    <row r="61" spans="1:61" ht="12.75" customHeight="1" x14ac:dyDescent="0.2">
      <c r="B61" s="338">
        <v>91676.86</v>
      </c>
      <c r="C61" s="339">
        <v>93266.82</v>
      </c>
      <c r="D61" s="340" t="s">
        <v>16</v>
      </c>
      <c r="E61" s="340" t="s">
        <v>111</v>
      </c>
      <c r="F61" s="340" t="s">
        <v>105</v>
      </c>
      <c r="G61" s="47" t="str">
        <f t="shared" si="35"/>
        <v>E/S - C/B</v>
      </c>
      <c r="H61" s="26">
        <f t="shared" si="51"/>
        <v>1.5</v>
      </c>
      <c r="I61" s="27">
        <f t="shared" si="52"/>
        <v>33.565822222222351</v>
      </c>
      <c r="J61" s="27">
        <f t="shared" si="53"/>
        <v>39.454562962963124</v>
      </c>
      <c r="K61" s="27">
        <f t="shared" si="54"/>
        <v>-10.599733333333374</v>
      </c>
      <c r="L61" s="341">
        <v>0</v>
      </c>
      <c r="M61" s="83">
        <f t="shared" si="5"/>
        <v>1589.9600000000064</v>
      </c>
      <c r="N61" s="388">
        <v>41.42</v>
      </c>
      <c r="O61" s="389">
        <v>20</v>
      </c>
      <c r="P61" s="222">
        <f t="shared" si="27"/>
        <v>65857</v>
      </c>
      <c r="Q61" s="274">
        <f t="shared" si="6"/>
        <v>31800</v>
      </c>
      <c r="R61" s="398">
        <v>0</v>
      </c>
      <c r="S61" s="399">
        <v>0</v>
      </c>
      <c r="T61" s="221">
        <f t="shared" si="7"/>
        <v>65857</v>
      </c>
      <c r="U61" s="269">
        <f t="shared" si="8"/>
        <v>31800</v>
      </c>
      <c r="V61" s="348">
        <v>0</v>
      </c>
      <c r="W61" s="404">
        <v>0</v>
      </c>
      <c r="X61" s="405">
        <v>0</v>
      </c>
      <c r="Y61" s="414">
        <f t="shared" si="9"/>
        <v>3.7912188888888889</v>
      </c>
      <c r="Z61" s="415">
        <f t="shared" si="9"/>
        <v>1.7666666666666668</v>
      </c>
      <c r="AA61" s="402">
        <f t="shared" si="28"/>
        <v>7582.4377777777781</v>
      </c>
      <c r="AB61" s="403">
        <f t="shared" si="28"/>
        <v>3533.3333333333335</v>
      </c>
      <c r="AC61" s="402">
        <f t="shared" si="36"/>
        <v>7582.4377777777781</v>
      </c>
      <c r="AD61" s="403">
        <f t="shared" si="37"/>
        <v>3533.3333333333335</v>
      </c>
      <c r="AE61" s="402">
        <f t="shared" si="38"/>
        <v>225.19840200000002</v>
      </c>
      <c r="AF61" s="403">
        <f t="shared" si="39"/>
        <v>104.94</v>
      </c>
      <c r="AG61" s="351">
        <v>0</v>
      </c>
      <c r="AH61" s="425">
        <f t="shared" si="49"/>
        <v>2371.0827975308644</v>
      </c>
      <c r="AI61" s="426">
        <f t="shared" si="40"/>
        <v>1128.7037037037037</v>
      </c>
      <c r="AJ61" s="424">
        <f t="shared" si="41"/>
        <v>1259.0286370370372</v>
      </c>
      <c r="AK61" s="429">
        <f t="shared" si="42"/>
        <v>588.88888888888891</v>
      </c>
      <c r="AL61" s="402">
        <f t="shared" si="43"/>
        <v>292.69777777777779</v>
      </c>
      <c r="AM61" s="403">
        <f t="shared" si="44"/>
        <v>141.33333333333334</v>
      </c>
      <c r="AN61" s="424">
        <f t="shared" si="45"/>
        <v>294.29378518518519</v>
      </c>
      <c r="AO61" s="429">
        <f t="shared" si="46"/>
        <v>147.22222222222223</v>
      </c>
      <c r="AP61" s="424">
        <f t="shared" si="50"/>
        <v>355.70910493827165</v>
      </c>
      <c r="AQ61" s="429">
        <f t="shared" si="47"/>
        <v>171.75925925925927</v>
      </c>
      <c r="AR61" s="467">
        <f t="shared" si="26"/>
        <v>31.897345679012474</v>
      </c>
      <c r="AS61" s="85">
        <f t="shared" si="48"/>
        <v>3179.9200000000128</v>
      </c>
    </row>
    <row r="62" spans="1:61" ht="12.75" customHeight="1" x14ac:dyDescent="0.2">
      <c r="B62" s="338">
        <v>93266.82</v>
      </c>
      <c r="C62" s="339">
        <v>93571.43</v>
      </c>
      <c r="D62" s="340" t="s">
        <v>16</v>
      </c>
      <c r="E62" s="340" t="s">
        <v>111</v>
      </c>
      <c r="F62" s="340" t="s">
        <v>105</v>
      </c>
      <c r="G62" s="47" t="str">
        <f t="shared" si="35"/>
        <v>E/S - C/B</v>
      </c>
      <c r="H62" s="26">
        <f t="shared" si="51"/>
        <v>1.5</v>
      </c>
      <c r="I62" s="27">
        <f t="shared" si="52"/>
        <v>6.4306555555552602</v>
      </c>
      <c r="J62" s="27">
        <f t="shared" si="53"/>
        <v>7.5588407407403952</v>
      </c>
      <c r="K62" s="27">
        <f t="shared" si="54"/>
        <v>-2.0307333333332402</v>
      </c>
      <c r="L62" s="341">
        <v>0</v>
      </c>
      <c r="M62" s="83">
        <f t="shared" si="5"/>
        <v>304.60999999998603</v>
      </c>
      <c r="N62" s="388" t="s">
        <v>101</v>
      </c>
      <c r="O62" s="389" t="s">
        <v>101</v>
      </c>
      <c r="P62" s="222">
        <f t="shared" si="27"/>
        <v>0</v>
      </c>
      <c r="Q62" s="274">
        <f t="shared" si="6"/>
        <v>0</v>
      </c>
      <c r="R62" s="398">
        <v>20176</v>
      </c>
      <c r="S62" s="399">
        <v>6092</v>
      </c>
      <c r="T62" s="221">
        <f t="shared" si="7"/>
        <v>20176</v>
      </c>
      <c r="U62" s="269">
        <f t="shared" si="8"/>
        <v>6092</v>
      </c>
      <c r="V62" s="348">
        <v>0</v>
      </c>
      <c r="W62" s="404">
        <v>0</v>
      </c>
      <c r="X62" s="405">
        <v>0</v>
      </c>
      <c r="Y62" s="414">
        <f t="shared" si="9"/>
        <v>1.1462730555555545</v>
      </c>
      <c r="Z62" s="415">
        <f t="shared" si="9"/>
        <v>0.33844444444444444</v>
      </c>
      <c r="AA62" s="402">
        <f t="shared" si="28"/>
        <v>2292.546111111109</v>
      </c>
      <c r="AB62" s="403">
        <f t="shared" si="28"/>
        <v>676.88888888888891</v>
      </c>
      <c r="AC62" s="402">
        <f t="shared" si="36"/>
        <v>2292.546111111109</v>
      </c>
      <c r="AD62" s="403">
        <f t="shared" si="37"/>
        <v>676.88888888888891</v>
      </c>
      <c r="AE62" s="402">
        <f t="shared" si="38"/>
        <v>68.088619499999936</v>
      </c>
      <c r="AF62" s="403">
        <f t="shared" si="39"/>
        <v>20.1036</v>
      </c>
      <c r="AG62" s="351">
        <v>0</v>
      </c>
      <c r="AH62" s="425">
        <f t="shared" si="49"/>
        <v>722.55411234567873</v>
      </c>
      <c r="AI62" s="426">
        <f t="shared" si="40"/>
        <v>216.22839506172841</v>
      </c>
      <c r="AJ62" s="424">
        <f t="shared" si="41"/>
        <v>381.18847037037</v>
      </c>
      <c r="AK62" s="429">
        <f t="shared" si="42"/>
        <v>112.81481481481481</v>
      </c>
      <c r="AL62" s="402">
        <f t="shared" si="43"/>
        <v>89.671111111111117</v>
      </c>
      <c r="AM62" s="403">
        <f t="shared" si="44"/>
        <v>27.075555555555557</v>
      </c>
      <c r="AN62" s="424">
        <f t="shared" si="45"/>
        <v>91.37667407407416</v>
      </c>
      <c r="AO62" s="429">
        <f t="shared" si="46"/>
        <v>28.203703703703702</v>
      </c>
      <c r="AP62" s="424">
        <f t="shared" si="50"/>
        <v>108.97530864197532</v>
      </c>
      <c r="AQ62" s="429">
        <f t="shared" si="47"/>
        <v>32.904320987654323</v>
      </c>
      <c r="AR62" s="467">
        <f t="shared" si="26"/>
        <v>6.1110030864194735</v>
      </c>
      <c r="AS62" s="85">
        <f t="shared" si="48"/>
        <v>609.21999999997206</v>
      </c>
    </row>
    <row r="63" spans="1:61" ht="12.75" customHeight="1" x14ac:dyDescent="0.2">
      <c r="B63" s="338">
        <v>93571.43</v>
      </c>
      <c r="C63" s="339">
        <v>94621.43</v>
      </c>
      <c r="D63" s="340" t="s">
        <v>16</v>
      </c>
      <c r="E63" s="340" t="s">
        <v>111</v>
      </c>
      <c r="F63" s="340" t="s">
        <v>105</v>
      </c>
      <c r="G63" s="47" t="str">
        <f t="shared" si="35"/>
        <v>E/S - C/B</v>
      </c>
      <c r="H63" s="26">
        <f t="shared" si="51"/>
        <v>1.5</v>
      </c>
      <c r="I63" s="27">
        <f t="shared" si="52"/>
        <v>22.166666666666668</v>
      </c>
      <c r="J63" s="27">
        <f t="shared" si="53"/>
        <v>26.055555555555557</v>
      </c>
      <c r="K63" s="27">
        <f t="shared" si="54"/>
        <v>-7</v>
      </c>
      <c r="L63" s="341">
        <v>0</v>
      </c>
      <c r="M63" s="83">
        <f t="shared" si="5"/>
        <v>1050</v>
      </c>
      <c r="N63" s="388">
        <v>51.92</v>
      </c>
      <c r="O63" s="389">
        <v>20</v>
      </c>
      <c r="P63" s="222">
        <f t="shared" si="27"/>
        <v>54516</v>
      </c>
      <c r="Q63" s="274">
        <f t="shared" si="6"/>
        <v>21000</v>
      </c>
      <c r="R63" s="398">
        <v>0</v>
      </c>
      <c r="S63" s="399">
        <v>0</v>
      </c>
      <c r="T63" s="221">
        <f t="shared" si="7"/>
        <v>54516</v>
      </c>
      <c r="U63" s="269">
        <f t="shared" si="8"/>
        <v>21000</v>
      </c>
      <c r="V63" s="348">
        <v>0</v>
      </c>
      <c r="W63" s="404">
        <v>0</v>
      </c>
      <c r="X63" s="405">
        <v>0</v>
      </c>
      <c r="Y63" s="414">
        <f>IF(AND(W63=0,AA63=0),0,IF(AA63=0,W63/2000,AA63/2000))</f>
        <v>3.1161666666666665</v>
      </c>
      <c r="Z63" s="415">
        <f t="shared" si="9"/>
        <v>1.1666666666666667</v>
      </c>
      <c r="AA63" s="402">
        <f t="shared" si="28"/>
        <v>6232.333333333333</v>
      </c>
      <c r="AB63" s="403">
        <f t="shared" si="28"/>
        <v>2333.3333333333335</v>
      </c>
      <c r="AC63" s="402">
        <f t="shared" si="36"/>
        <v>6232.333333333333</v>
      </c>
      <c r="AD63" s="403">
        <f t="shared" si="37"/>
        <v>2333.3333333333335</v>
      </c>
      <c r="AE63" s="402">
        <f t="shared" si="38"/>
        <v>185.10029999999998</v>
      </c>
      <c r="AF63" s="403">
        <f t="shared" si="39"/>
        <v>69.3</v>
      </c>
      <c r="AG63" s="351">
        <v>0</v>
      </c>
      <c r="AH63" s="425">
        <f t="shared" si="49"/>
        <v>1957.1481481481483</v>
      </c>
      <c r="AI63" s="426">
        <f t="shared" si="40"/>
        <v>745.37037037037032</v>
      </c>
      <c r="AJ63" s="424">
        <f t="shared" si="41"/>
        <v>1035.6111111111111</v>
      </c>
      <c r="AK63" s="429">
        <f t="shared" si="42"/>
        <v>388.88888888888891</v>
      </c>
      <c r="AL63" s="402">
        <f t="shared" si="43"/>
        <v>242.29333333333332</v>
      </c>
      <c r="AM63" s="403">
        <f t="shared" si="44"/>
        <v>93.333333333333343</v>
      </c>
      <c r="AN63" s="424">
        <f t="shared" si="45"/>
        <v>245.38888888888889</v>
      </c>
      <c r="AO63" s="429">
        <f t="shared" si="46"/>
        <v>97.222222222222229</v>
      </c>
      <c r="AP63" s="424">
        <f t="shared" si="50"/>
        <v>294.4537037037037</v>
      </c>
      <c r="AQ63" s="429">
        <f t="shared" si="47"/>
        <v>113.42592592592592</v>
      </c>
      <c r="AR63" s="467">
        <f t="shared" si="26"/>
        <v>21.064814814814813</v>
      </c>
      <c r="AS63" s="85">
        <f t="shared" si="48"/>
        <v>2100</v>
      </c>
    </row>
    <row r="64" spans="1:61" ht="12.75" customHeight="1" x14ac:dyDescent="0.2">
      <c r="B64" s="338">
        <v>94621.43</v>
      </c>
      <c r="C64" s="339">
        <v>95390</v>
      </c>
      <c r="D64" s="340" t="s">
        <v>16</v>
      </c>
      <c r="E64" s="340" t="s">
        <v>111</v>
      </c>
      <c r="F64" s="340" t="s">
        <v>105</v>
      </c>
      <c r="G64" s="47" t="str">
        <f t="shared" si="35"/>
        <v>E/S - C/B</v>
      </c>
      <c r="H64" s="26">
        <f t="shared" si="51"/>
        <v>1.5</v>
      </c>
      <c r="I64" s="27">
        <f t="shared" si="52"/>
        <v>16.225366666666812</v>
      </c>
      <c r="J64" s="27">
        <f t="shared" si="53"/>
        <v>19.071922222222398</v>
      </c>
      <c r="K64" s="27">
        <f t="shared" si="54"/>
        <v>-5.1238000000000463</v>
      </c>
      <c r="L64" s="341">
        <v>0</v>
      </c>
      <c r="M64" s="83">
        <f t="shared" si="5"/>
        <v>768.57000000000698</v>
      </c>
      <c r="N64" s="388">
        <v>41.42</v>
      </c>
      <c r="O64" s="389">
        <v>20</v>
      </c>
      <c r="P64" s="222">
        <f t="shared" si="27"/>
        <v>31835</v>
      </c>
      <c r="Q64" s="274">
        <f t="shared" si="6"/>
        <v>15372</v>
      </c>
      <c r="R64" s="398">
        <v>0</v>
      </c>
      <c r="S64" s="399">
        <v>0</v>
      </c>
      <c r="T64" s="221">
        <f t="shared" si="7"/>
        <v>31835</v>
      </c>
      <c r="U64" s="269">
        <f t="shared" si="8"/>
        <v>15372</v>
      </c>
      <c r="V64" s="348">
        <v>0</v>
      </c>
      <c r="W64" s="404">
        <v>0</v>
      </c>
      <c r="X64" s="405">
        <v>0</v>
      </c>
      <c r="Y64" s="414">
        <f t="shared" si="9"/>
        <v>1.8326586111111116</v>
      </c>
      <c r="Z64" s="415">
        <f t="shared" si="9"/>
        <v>0.85399999999999998</v>
      </c>
      <c r="AA64" s="402">
        <f t="shared" si="28"/>
        <v>3665.3172222222233</v>
      </c>
      <c r="AB64" s="403">
        <f t="shared" si="28"/>
        <v>1708</v>
      </c>
      <c r="AC64" s="402">
        <f t="shared" si="36"/>
        <v>3665.3172222222233</v>
      </c>
      <c r="AD64" s="403">
        <f t="shared" si="37"/>
        <v>1708</v>
      </c>
      <c r="AE64" s="402">
        <f t="shared" si="38"/>
        <v>108.85992150000003</v>
      </c>
      <c r="AF64" s="403">
        <f t="shared" si="39"/>
        <v>50.727600000000002</v>
      </c>
      <c r="AG64" s="351">
        <v>0</v>
      </c>
      <c r="AH64" s="425">
        <f t="shared" si="49"/>
        <v>1146.1713543209878</v>
      </c>
      <c r="AI64" s="426">
        <f t="shared" si="40"/>
        <v>545.61111111111109</v>
      </c>
      <c r="AJ64" s="424">
        <f t="shared" si="41"/>
        <v>608.60895925925945</v>
      </c>
      <c r="AK64" s="429">
        <f t="shared" si="42"/>
        <v>284.66666666666669</v>
      </c>
      <c r="AL64" s="402">
        <f t="shared" si="43"/>
        <v>141.48888888888888</v>
      </c>
      <c r="AM64" s="403">
        <f t="shared" si="44"/>
        <v>68.320000000000007</v>
      </c>
      <c r="AN64" s="424">
        <f t="shared" si="45"/>
        <v>142.26045925925922</v>
      </c>
      <c r="AO64" s="429">
        <f t="shared" si="46"/>
        <v>71.166666666666671</v>
      </c>
      <c r="AP64" s="424">
        <f t="shared" si="50"/>
        <v>171.94830246913583</v>
      </c>
      <c r="AQ64" s="429">
        <f t="shared" si="47"/>
        <v>83.027777777777771</v>
      </c>
      <c r="AR64" s="467">
        <f t="shared" si="26"/>
        <v>15.418842592592732</v>
      </c>
      <c r="AS64" s="85">
        <f t="shared" si="48"/>
        <v>1537.140000000014</v>
      </c>
    </row>
    <row r="65" spans="1:45" ht="12.75" customHeight="1" x14ac:dyDescent="0.2">
      <c r="B65" s="338">
        <v>95390</v>
      </c>
      <c r="C65" s="339">
        <v>95410.94</v>
      </c>
      <c r="D65" s="340" t="s">
        <v>16</v>
      </c>
      <c r="E65" s="340" t="s">
        <v>111</v>
      </c>
      <c r="F65" s="340" t="s">
        <v>106</v>
      </c>
      <c r="G65" s="47" t="str">
        <f t="shared" si="35"/>
        <v>F/C - C/B</v>
      </c>
      <c r="H65" s="26">
        <f t="shared" si="51"/>
        <v>2</v>
      </c>
      <c r="I65" s="27">
        <f t="shared" si="52"/>
        <v>0</v>
      </c>
      <c r="J65" s="27">
        <f t="shared" si="53"/>
        <v>0.7600444444445289</v>
      </c>
      <c r="K65" s="27">
        <f t="shared" si="54"/>
        <v>-0.13960000000001552</v>
      </c>
      <c r="L65" s="341">
        <v>0</v>
      </c>
      <c r="M65" s="83">
        <f t="shared" si="5"/>
        <v>20.940000000002328</v>
      </c>
      <c r="N65" s="388">
        <v>43.42</v>
      </c>
      <c r="O65" s="389">
        <v>20</v>
      </c>
      <c r="P65" s="222">
        <f t="shared" si="27"/>
        <v>910</v>
      </c>
      <c r="Q65" s="274">
        <f t="shared" si="6"/>
        <v>419</v>
      </c>
      <c r="R65" s="398">
        <v>0</v>
      </c>
      <c r="S65" s="399">
        <v>0</v>
      </c>
      <c r="T65" s="221">
        <f t="shared" si="7"/>
        <v>910</v>
      </c>
      <c r="U65" s="269">
        <f t="shared" si="8"/>
        <v>419</v>
      </c>
      <c r="V65" s="348">
        <v>0</v>
      </c>
      <c r="W65" s="404">
        <v>0</v>
      </c>
      <c r="X65" s="405">
        <v>0</v>
      </c>
      <c r="Y65" s="414">
        <f t="shared" si="9"/>
        <v>5.2882222222222483E-2</v>
      </c>
      <c r="Z65" s="415">
        <f t="shared" si="9"/>
        <v>2.3277777777777779E-2</v>
      </c>
      <c r="AA65" s="402">
        <f t="shared" si="28"/>
        <v>105.76444444444496</v>
      </c>
      <c r="AB65" s="403">
        <f t="shared" si="28"/>
        <v>46.555555555555557</v>
      </c>
      <c r="AC65" s="402">
        <f t="shared" si="36"/>
        <v>105.76444444444496</v>
      </c>
      <c r="AD65" s="403">
        <f t="shared" si="37"/>
        <v>46.555555555555557</v>
      </c>
      <c r="AE65" s="402">
        <f t="shared" si="38"/>
        <v>3.1412040000000152</v>
      </c>
      <c r="AF65" s="403">
        <f t="shared" si="39"/>
        <v>1.3827</v>
      </c>
      <c r="AG65" s="351">
        <v>0</v>
      </c>
      <c r="AH65" s="425">
        <f t="shared" si="49"/>
        <v>32.299382716049386</v>
      </c>
      <c r="AI65" s="426">
        <f t="shared" si="40"/>
        <v>14.871913580246915</v>
      </c>
      <c r="AJ65" s="424">
        <f t="shared" si="41"/>
        <v>17.611896296296379</v>
      </c>
      <c r="AK65" s="429">
        <f t="shared" si="42"/>
        <v>7.7592592592592595</v>
      </c>
      <c r="AL65" s="402">
        <f t="shared" si="43"/>
        <v>4.0444444444444443</v>
      </c>
      <c r="AM65" s="403">
        <f t="shared" si="44"/>
        <v>1.8622222222222222</v>
      </c>
      <c r="AN65" s="424">
        <f t="shared" si="45"/>
        <v>4.0733629629629471</v>
      </c>
      <c r="AO65" s="429">
        <f t="shared" si="46"/>
        <v>1.9398148148148149</v>
      </c>
      <c r="AP65" s="424">
        <f t="shared" si="50"/>
        <v>4.9151234567901234</v>
      </c>
      <c r="AQ65" s="429">
        <f t="shared" si="47"/>
        <v>2.2631172839506171</v>
      </c>
      <c r="AR65" s="467">
        <f t="shared" si="26"/>
        <v>0</v>
      </c>
      <c r="AS65" s="85">
        <f t="shared" si="48"/>
        <v>41.880000000004657</v>
      </c>
    </row>
    <row r="66" spans="1:45" ht="12.75" customHeight="1" x14ac:dyDescent="0.2">
      <c r="B66" s="338">
        <v>95410.94</v>
      </c>
      <c r="C66" s="339">
        <v>96504.94</v>
      </c>
      <c r="D66" s="340" t="s">
        <v>16</v>
      </c>
      <c r="E66" s="340" t="s">
        <v>111</v>
      </c>
      <c r="F66" s="340" t="s">
        <v>112</v>
      </c>
      <c r="G66" s="47" t="str">
        <f t="shared" si="35"/>
        <v>-</v>
      </c>
      <c r="H66" s="342">
        <v>3.67</v>
      </c>
      <c r="I66" s="341">
        <v>107.37</v>
      </c>
      <c r="J66" s="341">
        <v>70.91</v>
      </c>
      <c r="K66" s="341">
        <v>-7.29</v>
      </c>
      <c r="L66" s="341">
        <v>12.97</v>
      </c>
      <c r="M66" s="83">
        <f t="shared" si="5"/>
        <v>1094</v>
      </c>
      <c r="N66" s="388">
        <v>43.42</v>
      </c>
      <c r="O66" s="389">
        <v>20</v>
      </c>
      <c r="P66" s="222">
        <f t="shared" si="27"/>
        <v>47502</v>
      </c>
      <c r="Q66" s="274">
        <f t="shared" si="6"/>
        <v>21880</v>
      </c>
      <c r="R66" s="398">
        <v>0</v>
      </c>
      <c r="S66" s="399">
        <v>0</v>
      </c>
      <c r="T66" s="221">
        <f t="shared" si="7"/>
        <v>47502</v>
      </c>
      <c r="U66" s="269">
        <f t="shared" si="8"/>
        <v>21880</v>
      </c>
      <c r="V66" s="348">
        <v>0</v>
      </c>
      <c r="W66" s="404">
        <v>0</v>
      </c>
      <c r="X66" s="405">
        <v>0</v>
      </c>
      <c r="Y66" s="414">
        <f t="shared" si="9"/>
        <v>2.8620544444444445</v>
      </c>
      <c r="Z66" s="415">
        <f t="shared" si="9"/>
        <v>1.2155555555555557</v>
      </c>
      <c r="AA66" s="402">
        <f t="shared" si="28"/>
        <v>5724.1088888888889</v>
      </c>
      <c r="AB66" s="403">
        <f t="shared" si="28"/>
        <v>2431.1111111111113</v>
      </c>
      <c r="AC66" s="402">
        <f t="shared" si="36"/>
        <v>5724.1088888888889</v>
      </c>
      <c r="AD66" s="403">
        <f t="shared" si="37"/>
        <v>2431.1111111111113</v>
      </c>
      <c r="AE66" s="402">
        <f t="shared" si="38"/>
        <v>170.00603399999997</v>
      </c>
      <c r="AF66" s="403">
        <f t="shared" si="39"/>
        <v>72.203999999999994</v>
      </c>
      <c r="AG66" s="351">
        <v>0</v>
      </c>
      <c r="AH66" s="425">
        <f t="shared" si="49"/>
        <v>1793.3977777777777</v>
      </c>
      <c r="AI66" s="426">
        <f t="shared" si="40"/>
        <v>776.60493827160485</v>
      </c>
      <c r="AJ66" s="424">
        <f t="shared" si="41"/>
        <v>950.5766666666666</v>
      </c>
      <c r="AK66" s="429">
        <f t="shared" si="42"/>
        <v>405.18518518518516</v>
      </c>
      <c r="AL66" s="402">
        <f t="shared" si="43"/>
        <v>211.12</v>
      </c>
      <c r="AM66" s="403">
        <f t="shared" si="44"/>
        <v>97.244444444444454</v>
      </c>
      <c r="AN66" s="424">
        <f t="shared" si="45"/>
        <v>212.62666666666667</v>
      </c>
      <c r="AO66" s="429">
        <f t="shared" si="46"/>
        <v>101.29629629629629</v>
      </c>
      <c r="AP66" s="424">
        <f t="shared" si="50"/>
        <v>269.53944444444448</v>
      </c>
      <c r="AQ66" s="429">
        <f t="shared" si="47"/>
        <v>118.17901234567901</v>
      </c>
      <c r="AR66" s="467">
        <f t="shared" si="26"/>
        <v>0</v>
      </c>
      <c r="AS66" s="85">
        <f t="shared" si="48"/>
        <v>2188</v>
      </c>
    </row>
    <row r="67" spans="1:45" ht="12.75" customHeight="1" x14ac:dyDescent="0.2">
      <c r="B67" s="338">
        <v>96504.94</v>
      </c>
      <c r="C67" s="339">
        <v>98092.73</v>
      </c>
      <c r="D67" s="340" t="s">
        <v>16</v>
      </c>
      <c r="E67" s="340" t="s">
        <v>111</v>
      </c>
      <c r="F67" s="340" t="s">
        <v>105</v>
      </c>
      <c r="G67" s="47" t="str">
        <f t="shared" si="35"/>
        <v>E/S - C/B</v>
      </c>
      <c r="H67" s="26">
        <f>IF(AND($E67=$AU$2,$F67=$AU$2),2*$AW$12,IF(OR(AND($E67=$AU$2, $F67=$AU$3),AND($E67=$AU$3,$F67=$AU$2)),$AW$12+$AW$13,IF(OR(AND($E67=$AU$2,$F67=$AU$4),AND($E67=$AU$4,$F67=$AU$2)),$AW$12,IF(OR(AND($E67=$AU$3,$F67=$AU$4),AND($E67=$AU$4,$F67=$AU$3)),$AW$13,IF(AND($E67=$AU$3,$F67=$AU$3),2*$AW$13,0)))))</f>
        <v>1.5</v>
      </c>
      <c r="I67" s="27">
        <f>IF(AND($E67=$AU$2,$F67=$AU$2),2*$AZ$12*$M67/27,IF(OR(AND($E67=$AU$2,$F67=$AU$3),AND($E67=$AU$3,$F67=$AU$2)),$AZ$12*$M67/27,IF(OR(AND($E67=$AU$2,$F67=$AU$4),AND($E67=$AU$4,$F67=$AU$2)),$AZ$12*$M67/27,0)))</f>
        <v>33.520011111110975</v>
      </c>
      <c r="J67" s="27">
        <f>IF(AND($E67=$AU$2,$F67=$AU$2),2*$BC$12*$M67/27,IF(OR(AND($E67=$AU$2,$F67=$AU$3),AND($E67=$AU$3,$F67=$AU$2)),($BC$12+$BC$13)*$M67/27,IF(OR(AND($E67=$AU$2,$F67=$AU$4),AND($E67=$AU$4,$F67=$AU$2)),$BC$12*$M67/27,IF(OR(AND($E67=$AU$3,$F67=$AU$4),AND($E67=$AU$4,$F67=$AU$3)),$BC$13*$M67/27,IF(AND($E67=$AU$3,$F67=$AU$3),2*$BC$13*$M67/27,0)))))</f>
        <v>39.400714814814656</v>
      </c>
      <c r="K67" s="27">
        <f>IF(AND($E67=$AU$4,$F67=$AU$4),2*$BF$14*$M67/27,IF(OR($E67=$AU$4,$F67=$AU$4),$BF$14*$M67/27,0))</f>
        <v>-10.585266666666623</v>
      </c>
      <c r="L67" s="341">
        <v>0</v>
      </c>
      <c r="M67" s="83">
        <f t="shared" si="5"/>
        <v>1587.7899999999936</v>
      </c>
      <c r="N67" s="388">
        <v>41.42</v>
      </c>
      <c r="O67" s="389">
        <v>20</v>
      </c>
      <c r="P67" s="222">
        <f t="shared" si="27"/>
        <v>65767</v>
      </c>
      <c r="Q67" s="274">
        <f t="shared" si="6"/>
        <v>31756</v>
      </c>
      <c r="R67" s="398">
        <v>0</v>
      </c>
      <c r="S67" s="399">
        <v>0</v>
      </c>
      <c r="T67" s="221">
        <f t="shared" si="7"/>
        <v>65767</v>
      </c>
      <c r="U67" s="269">
        <f t="shared" si="8"/>
        <v>31756</v>
      </c>
      <c r="V67" s="348">
        <v>0</v>
      </c>
      <c r="W67" s="404">
        <v>0</v>
      </c>
      <c r="X67" s="405">
        <v>0</v>
      </c>
      <c r="Y67" s="414">
        <f t="shared" si="9"/>
        <v>3.7860380555555553</v>
      </c>
      <c r="Z67" s="415">
        <f t="shared" si="9"/>
        <v>1.7642222222222221</v>
      </c>
      <c r="AA67" s="402">
        <f t="shared" si="28"/>
        <v>7572.0761111111105</v>
      </c>
      <c r="AB67" s="403">
        <f t="shared" si="28"/>
        <v>3528.4444444444443</v>
      </c>
      <c r="AC67" s="402">
        <f t="shared" si="36"/>
        <v>7572.0761111111105</v>
      </c>
      <c r="AD67" s="403">
        <f t="shared" si="37"/>
        <v>3528.4444444444443</v>
      </c>
      <c r="AE67" s="402">
        <f t="shared" si="38"/>
        <v>224.8906605</v>
      </c>
      <c r="AF67" s="403">
        <f t="shared" si="39"/>
        <v>104.79479999999998</v>
      </c>
      <c r="AG67" s="351">
        <v>0</v>
      </c>
      <c r="AH67" s="425">
        <f t="shared" si="49"/>
        <v>2367.8425419753084</v>
      </c>
      <c r="AI67" s="426">
        <f t="shared" si="40"/>
        <v>1127.141975308642</v>
      </c>
      <c r="AJ67" s="424">
        <f t="shared" si="41"/>
        <v>1257.308122222222</v>
      </c>
      <c r="AK67" s="429">
        <f t="shared" si="42"/>
        <v>588.07407407407402</v>
      </c>
      <c r="AL67" s="402">
        <f t="shared" si="43"/>
        <v>292.29777777777775</v>
      </c>
      <c r="AM67" s="403">
        <f t="shared" si="44"/>
        <v>141.13777777777779</v>
      </c>
      <c r="AN67" s="424">
        <f t="shared" si="45"/>
        <v>293.89158518518525</v>
      </c>
      <c r="AO67" s="429">
        <f t="shared" si="46"/>
        <v>147.0185185185185</v>
      </c>
      <c r="AP67" s="424">
        <f t="shared" si="50"/>
        <v>355.22299382716051</v>
      </c>
      <c r="AQ67" s="429">
        <f t="shared" si="47"/>
        <v>171.52160493827159</v>
      </c>
      <c r="AR67" s="467">
        <f t="shared" si="26"/>
        <v>31.853811728394934</v>
      </c>
      <c r="AS67" s="85">
        <f t="shared" si="48"/>
        <v>3175.5799999999872</v>
      </c>
    </row>
    <row r="68" spans="1:45" ht="12.75" customHeight="1" x14ac:dyDescent="0.2">
      <c r="B68" s="338">
        <v>98092.73</v>
      </c>
      <c r="C68" s="339">
        <v>98152.14</v>
      </c>
      <c r="D68" s="340" t="s">
        <v>16</v>
      </c>
      <c r="E68" s="340" t="s">
        <v>111</v>
      </c>
      <c r="F68" s="340" t="s">
        <v>112</v>
      </c>
      <c r="G68" s="47" t="str">
        <f t="shared" si="35"/>
        <v>-</v>
      </c>
      <c r="H68" s="342">
        <v>3.67</v>
      </c>
      <c r="I68" s="341">
        <v>5.83</v>
      </c>
      <c r="J68" s="341">
        <v>3.85</v>
      </c>
      <c r="K68" s="341">
        <v>-0.4</v>
      </c>
      <c r="L68" s="341">
        <v>0.7</v>
      </c>
      <c r="M68" s="83">
        <f t="shared" si="5"/>
        <v>59.410000000003492</v>
      </c>
      <c r="N68" s="388">
        <v>41.42</v>
      </c>
      <c r="O68" s="389">
        <v>20</v>
      </c>
      <c r="P68" s="222">
        <f t="shared" si="27"/>
        <v>2461</v>
      </c>
      <c r="Q68" s="274">
        <f t="shared" si="6"/>
        <v>1189</v>
      </c>
      <c r="R68" s="398">
        <v>0</v>
      </c>
      <c r="S68" s="399">
        <v>0</v>
      </c>
      <c r="T68" s="221">
        <f t="shared" si="7"/>
        <v>2461</v>
      </c>
      <c r="U68" s="269">
        <f t="shared" si="8"/>
        <v>1189</v>
      </c>
      <c r="V68" s="348">
        <v>0</v>
      </c>
      <c r="W68" s="404">
        <v>0</v>
      </c>
      <c r="X68" s="405">
        <v>0</v>
      </c>
      <c r="Y68" s="414">
        <f t="shared" si="9"/>
        <v>0.14883526111111184</v>
      </c>
      <c r="Z68" s="415">
        <f t="shared" si="9"/>
        <v>6.6055555555555562E-2</v>
      </c>
      <c r="AA68" s="402">
        <f t="shared" si="28"/>
        <v>297.67052222222367</v>
      </c>
      <c r="AB68" s="403">
        <f t="shared" si="28"/>
        <v>132.11111111111111</v>
      </c>
      <c r="AC68" s="402">
        <f t="shared" si="36"/>
        <v>297.67052222222367</v>
      </c>
      <c r="AD68" s="403">
        <f t="shared" si="37"/>
        <v>132.11111111111111</v>
      </c>
      <c r="AE68" s="402">
        <f t="shared" si="38"/>
        <v>8.8408145100000421</v>
      </c>
      <c r="AF68" s="403">
        <f t="shared" si="39"/>
        <v>3.9237000000000002</v>
      </c>
      <c r="AG68" s="351">
        <v>0</v>
      </c>
      <c r="AH68" s="425">
        <f t="shared" si="49"/>
        <v>93.180308641975316</v>
      </c>
      <c r="AI68" s="426">
        <f t="shared" si="40"/>
        <v>42.202160493827158</v>
      </c>
      <c r="AJ68" s="424">
        <f t="shared" si="41"/>
        <v>49.424074074074078</v>
      </c>
      <c r="AK68" s="429">
        <f t="shared" si="42"/>
        <v>22.018518518518519</v>
      </c>
      <c r="AL68" s="402">
        <f t="shared" si="43"/>
        <v>10.937777777777779</v>
      </c>
      <c r="AM68" s="403">
        <f t="shared" si="44"/>
        <v>5.2844444444444445</v>
      </c>
      <c r="AN68" s="424">
        <f t="shared" si="45"/>
        <v>10.993518518518519</v>
      </c>
      <c r="AO68" s="429">
        <f t="shared" si="46"/>
        <v>5.5046296296296298</v>
      </c>
      <c r="AP68" s="424">
        <f t="shared" si="50"/>
        <v>13.992438271604938</v>
      </c>
      <c r="AQ68" s="429">
        <f t="shared" si="47"/>
        <v>6.4220679012345681</v>
      </c>
      <c r="AR68" s="467">
        <f t="shared" si="26"/>
        <v>0</v>
      </c>
      <c r="AS68" s="85">
        <f t="shared" si="48"/>
        <v>118.82000000000698</v>
      </c>
    </row>
    <row r="69" spans="1:45" ht="12.75" customHeight="1" x14ac:dyDescent="0.2">
      <c r="B69" s="338">
        <v>98152.14</v>
      </c>
      <c r="C69" s="339">
        <v>101500</v>
      </c>
      <c r="D69" s="340" t="s">
        <v>16</v>
      </c>
      <c r="E69" s="340" t="s">
        <v>111</v>
      </c>
      <c r="F69" s="340" t="s">
        <v>105</v>
      </c>
      <c r="G69" s="47" t="str">
        <f t="shared" si="35"/>
        <v>E/S - C/B</v>
      </c>
      <c r="H69" s="26">
        <f>IF(AND($E69=$AU$2,$F69=$AU$2),2*$AW$12,IF(OR(AND($E69=$AU$2, $F69=$AU$3),AND($E69=$AU$3,$F69=$AU$2)),$AW$12+$AW$13,IF(OR(AND($E69=$AU$2,$F69=$AU$4),AND($E69=$AU$4,$F69=$AU$2)),$AW$12,IF(OR(AND($E69=$AU$3,$F69=$AU$4),AND($E69=$AU$4,$F69=$AU$3)),$AW$13,IF(AND($E69=$AU$3,$F69=$AU$3),2*$AW$13,0)))))</f>
        <v>1.5</v>
      </c>
      <c r="I69" s="27">
        <f>IF(AND($E69=$AU$2,$F69=$AU$2),2*$AZ$12*$M69/27,IF(OR(AND($E69=$AU$2,$F69=$AU$3),AND($E69=$AU$3,$F69=$AU$2)),$AZ$12*$M69/27,IF(OR(AND($E69=$AU$2,$F69=$AU$4),AND($E69=$AU$4,$F69=$AU$2)),$AZ$12*$M69/27,0)))</f>
        <v>70.677044444444448</v>
      </c>
      <c r="J69" s="27">
        <f>IF(AND($E69=$AU$2,$F69=$AU$2),2*$BC$12*$M69/27,IF(OR(AND($E69=$AU$2,$F69=$AU$3),AND($E69=$AU$3,$F69=$AU$2)),($BC$12+$BC$13)*$M69/27,IF(OR(AND($E69=$AU$2,$F69=$AU$4),AND($E69=$AU$4,$F69=$AU$2)),$BC$12*$M69/27,IF(OR(AND($E69=$AU$3,$F69=$AU$4),AND($E69=$AU$4,$F69=$AU$3)),$BC$13*$M69/27,IF(AND($E69=$AU$3,$F69=$AU$3),2*$BC$13*$M69/27,0)))))</f>
        <v>83.076525925925949</v>
      </c>
      <c r="K69" s="27">
        <f>IF(AND($E69=$AU$4,$F69=$AU$4),2*$BF$14*$M69/27,IF(OR($E69=$AU$4,$F69=$AU$4),$BF$14*$M69/27,0))</f>
        <v>-22.319066666666668</v>
      </c>
      <c r="L69" s="341">
        <v>0</v>
      </c>
      <c r="M69" s="83">
        <f t="shared" si="5"/>
        <v>3347.8600000000006</v>
      </c>
      <c r="N69" s="388">
        <v>41.42</v>
      </c>
      <c r="O69" s="389">
        <v>20</v>
      </c>
      <c r="P69" s="222">
        <f t="shared" si="27"/>
        <v>138669</v>
      </c>
      <c r="Q69" s="274">
        <f t="shared" si="6"/>
        <v>66958</v>
      </c>
      <c r="R69" s="398">
        <v>0</v>
      </c>
      <c r="S69" s="399">
        <v>0</v>
      </c>
      <c r="T69" s="221">
        <f t="shared" si="7"/>
        <v>138669</v>
      </c>
      <c r="U69" s="269">
        <f t="shared" si="8"/>
        <v>66958</v>
      </c>
      <c r="V69" s="348">
        <v>0</v>
      </c>
      <c r="W69" s="404">
        <v>0</v>
      </c>
      <c r="X69" s="405">
        <v>0</v>
      </c>
      <c r="Y69" s="414">
        <f t="shared" si="9"/>
        <v>7.9828216666666671</v>
      </c>
      <c r="Z69" s="415">
        <f t="shared" si="9"/>
        <v>3.7198888888888888</v>
      </c>
      <c r="AA69" s="402">
        <f t="shared" si="28"/>
        <v>15965.643333333333</v>
      </c>
      <c r="AB69" s="403">
        <f t="shared" si="28"/>
        <v>7439.7777777777774</v>
      </c>
      <c r="AC69" s="402">
        <f t="shared" si="36"/>
        <v>15965.643333333333</v>
      </c>
      <c r="AD69" s="403">
        <f t="shared" si="37"/>
        <v>7439.7777777777774</v>
      </c>
      <c r="AE69" s="402">
        <f t="shared" si="38"/>
        <v>474.17960699999998</v>
      </c>
      <c r="AF69" s="403">
        <f t="shared" si="39"/>
        <v>220.96139999999997</v>
      </c>
      <c r="AG69" s="351">
        <v>0</v>
      </c>
      <c r="AH69" s="425">
        <f t="shared" si="49"/>
        <v>4992.5705629629629</v>
      </c>
      <c r="AI69" s="426">
        <f t="shared" si="40"/>
        <v>2376.595679012346</v>
      </c>
      <c r="AJ69" s="424">
        <f t="shared" si="41"/>
        <v>2651.0209703703704</v>
      </c>
      <c r="AK69" s="429">
        <f t="shared" si="42"/>
        <v>1239.962962962963</v>
      </c>
      <c r="AL69" s="402">
        <f t="shared" si="43"/>
        <v>616.30666666666662</v>
      </c>
      <c r="AM69" s="403">
        <f t="shared" si="44"/>
        <v>297.5911111111111</v>
      </c>
      <c r="AN69" s="424">
        <f t="shared" si="45"/>
        <v>619.6670444444444</v>
      </c>
      <c r="AO69" s="429">
        <f t="shared" si="46"/>
        <v>309.99074074074076</v>
      </c>
      <c r="AP69" s="424">
        <f t="shared" si="50"/>
        <v>748.9837962962963</v>
      </c>
      <c r="AQ69" s="429">
        <f t="shared" si="47"/>
        <v>361.65586419753089</v>
      </c>
      <c r="AR69" s="467">
        <f t="shared" si="26"/>
        <v>67.163858024691365</v>
      </c>
      <c r="AS69" s="85">
        <f t="shared" si="48"/>
        <v>6695.7200000000012</v>
      </c>
    </row>
    <row r="70" spans="1:45" s="81" customFormat="1" ht="12.75" customHeight="1" x14ac:dyDescent="0.2">
      <c r="B70" s="358">
        <v>101500</v>
      </c>
      <c r="C70" s="359">
        <v>102250</v>
      </c>
      <c r="D70" s="340" t="s">
        <v>16</v>
      </c>
      <c r="E70" s="340" t="s">
        <v>111</v>
      </c>
      <c r="F70" s="340" t="s">
        <v>105</v>
      </c>
      <c r="G70" s="103" t="str">
        <f t="shared" si="35"/>
        <v>E/S - C/B</v>
      </c>
      <c r="H70" s="26">
        <f>IF(AND($E70=$AU$2,$F70=$AU$2),2*$AW$12,IF(OR(AND($E70=$AU$2, $F70=$AU$3),AND($E70=$AU$3,$F70=$AU$2)),$AW$12+$AW$13,IF(OR(AND($E70=$AU$2,$F70=$AU$4),AND($E70=$AU$4,$F70=$AU$2)),$AW$12,IF(OR(AND($E70=$AU$3,$F70=$AU$4),AND($E70=$AU$4,$F70=$AU$3)),$AW$13,IF(AND($E70=$AU$3,$F70=$AU$3),2*$AW$13,0)))))</f>
        <v>1.5</v>
      </c>
      <c r="I70" s="27">
        <f>IF(AND($E70=$AU$2,$F70=$AU$2),2*$AZ$12*$M70/27,IF(OR(AND($E70=$AU$2,$F70=$AU$3),AND($E70=$AU$3,$F70=$AU$2)),$AZ$12*$M70/27,IF(OR(AND($E70=$AU$2,$F70=$AU$4),AND($E70=$AU$4,$F70=$AU$2)),$AZ$12*$M70/27,0)))</f>
        <v>15.83333333333333</v>
      </c>
      <c r="J70" s="27">
        <f>IF(AND($E70=$AU$2,$F70=$AU$2),2*$BC$12*$M70/27,IF(OR(AND($E70=$AU$2,$F70=$AU$3),AND($E70=$AU$3,$F70=$AU$2)),($BC$12+$BC$13)*$M70/27,IF(OR(AND($E70=$AU$2,$F70=$AU$4),AND($E70=$AU$4,$F70=$AU$2)),$BC$12*$M70/27,IF(OR(AND($E70=$AU$3,$F70=$AU$4),AND($E70=$AU$4,$F70=$AU$3)),$BC$13*$M70/27,IF(AND($E70=$AU$3,$F70=$AU$3),2*$BC$13*$M70/27,0)))))</f>
        <v>18.611111111111114</v>
      </c>
      <c r="K70" s="27">
        <f>IF(AND($E70=$AU$4,$F70=$AU$4),2*$BF$14*$M70/27,IF(OR($E70=$AU$4,$F70=$AU$4),$BF$14*$M70/27,0))</f>
        <v>-5</v>
      </c>
      <c r="L70" s="341">
        <v>0</v>
      </c>
      <c r="M70" s="492">
        <f t="shared" si="5"/>
        <v>750</v>
      </c>
      <c r="N70" s="497">
        <v>12</v>
      </c>
      <c r="O70" s="389" t="s">
        <v>101</v>
      </c>
      <c r="P70" s="222">
        <f t="shared" si="27"/>
        <v>9000</v>
      </c>
      <c r="Q70" s="274">
        <f t="shared" si="6"/>
        <v>0</v>
      </c>
      <c r="R70" s="498">
        <v>0</v>
      </c>
      <c r="S70" s="499">
        <v>0</v>
      </c>
      <c r="T70" s="500">
        <f t="shared" si="7"/>
        <v>9000</v>
      </c>
      <c r="U70" s="501">
        <f t="shared" si="8"/>
        <v>0</v>
      </c>
      <c r="V70" s="348">
        <v>0</v>
      </c>
      <c r="W70" s="502">
        <v>0</v>
      </c>
      <c r="X70" s="503">
        <v>0</v>
      </c>
      <c r="Y70" s="504">
        <f t="shared" si="9"/>
        <v>0.5625</v>
      </c>
      <c r="Z70" s="505">
        <f t="shared" si="9"/>
        <v>0</v>
      </c>
      <c r="AA70" s="506">
        <f t="shared" si="28"/>
        <v>1125</v>
      </c>
      <c r="AB70" s="507">
        <f t="shared" si="28"/>
        <v>0</v>
      </c>
      <c r="AC70" s="402">
        <f t="shared" si="36"/>
        <v>1125</v>
      </c>
      <c r="AD70" s="403">
        <f t="shared" si="37"/>
        <v>0</v>
      </c>
      <c r="AE70" s="402">
        <f t="shared" si="38"/>
        <v>33.412500000000001</v>
      </c>
      <c r="AF70" s="403">
        <f t="shared" si="39"/>
        <v>0</v>
      </c>
      <c r="AG70" s="351">
        <v>764</v>
      </c>
      <c r="AH70" s="425">
        <f t="shared" si="49"/>
        <v>335.27777777777777</v>
      </c>
      <c r="AI70" s="426">
        <f t="shared" si="40"/>
        <v>0</v>
      </c>
      <c r="AJ70" s="424">
        <f t="shared" si="41"/>
        <v>185.27777777777777</v>
      </c>
      <c r="AK70" s="429">
        <f t="shared" si="42"/>
        <v>0</v>
      </c>
      <c r="AL70" s="402">
        <f t="shared" si="43"/>
        <v>40</v>
      </c>
      <c r="AM70" s="403">
        <f t="shared" si="44"/>
        <v>0</v>
      </c>
      <c r="AN70" s="424">
        <f t="shared" si="45"/>
        <v>36.666666666666664</v>
      </c>
      <c r="AO70" s="429">
        <f t="shared" si="46"/>
        <v>0</v>
      </c>
      <c r="AP70" s="424">
        <f t="shared" si="50"/>
        <v>48.611111111111114</v>
      </c>
      <c r="AQ70" s="430">
        <f t="shared" si="47"/>
        <v>0</v>
      </c>
      <c r="AR70" s="491">
        <f t="shared" si="26"/>
        <v>15.046296296296296</v>
      </c>
      <c r="AS70" s="482">
        <f t="shared" si="48"/>
        <v>1500</v>
      </c>
    </row>
    <row r="71" spans="1:45" s="81" customFormat="1" ht="12.75" customHeight="1" thickBot="1" x14ac:dyDescent="0.25">
      <c r="B71" s="257"/>
      <c r="C71" s="197"/>
      <c r="D71" s="32"/>
      <c r="E71" s="32"/>
      <c r="F71" s="32"/>
      <c r="G71" s="32"/>
      <c r="H71" s="26"/>
      <c r="I71" s="27"/>
      <c r="J71" s="27"/>
      <c r="K71" s="27"/>
      <c r="L71" s="27"/>
      <c r="M71" s="83"/>
      <c r="N71" s="390"/>
      <c r="O71" s="389"/>
      <c r="P71" s="222"/>
      <c r="Q71" s="274"/>
      <c r="R71" s="223"/>
      <c r="S71" s="280"/>
      <c r="T71" s="223"/>
      <c r="U71" s="280"/>
      <c r="V71" s="123"/>
      <c r="W71" s="223"/>
      <c r="X71" s="280"/>
      <c r="Y71" s="416"/>
      <c r="Z71" s="417"/>
      <c r="AA71" s="416"/>
      <c r="AB71" s="417"/>
      <c r="AC71" s="402"/>
      <c r="AD71" s="403"/>
      <c r="AE71" s="402"/>
      <c r="AF71" s="403"/>
      <c r="AG71" s="70"/>
      <c r="AH71" s="425"/>
      <c r="AI71" s="426"/>
      <c r="AJ71" s="424"/>
      <c r="AK71" s="429"/>
      <c r="AL71" s="402"/>
      <c r="AM71" s="403"/>
      <c r="AN71" s="424"/>
      <c r="AO71" s="429"/>
      <c r="AP71" s="424"/>
      <c r="AQ71" s="430"/>
      <c r="AR71" s="470"/>
      <c r="AS71" s="19"/>
    </row>
    <row r="72" spans="1:45" s="81" customFormat="1" ht="12.75" customHeight="1" x14ac:dyDescent="0.2">
      <c r="B72" s="573" t="s">
        <v>264</v>
      </c>
      <c r="C72" s="574"/>
      <c r="D72" s="585" t="s">
        <v>242</v>
      </c>
      <c r="E72" s="586"/>
      <c r="F72" s="586"/>
      <c r="G72" s="586"/>
      <c r="H72" s="586"/>
      <c r="I72" s="586"/>
      <c r="J72" s="586"/>
      <c r="K72" s="586"/>
      <c r="L72" s="586"/>
      <c r="M72" s="586"/>
      <c r="N72" s="586"/>
      <c r="O72" s="586"/>
      <c r="P72" s="586"/>
      <c r="Q72" s="586"/>
      <c r="R72" s="586"/>
      <c r="S72" s="586"/>
      <c r="T72" s="586"/>
      <c r="U72" s="587"/>
      <c r="V72" s="592">
        <f t="shared" ref="V72:AS72" si="55">ROUNDUP(SUM(V19:V70),0)</f>
        <v>0</v>
      </c>
      <c r="W72" s="594">
        <f t="shared" si="55"/>
        <v>18834</v>
      </c>
      <c r="X72" s="596">
        <f t="shared" si="55"/>
        <v>4379</v>
      </c>
      <c r="Y72" s="594">
        <f t="shared" si="55"/>
        <v>70</v>
      </c>
      <c r="Z72" s="596">
        <f t="shared" si="55"/>
        <v>28</v>
      </c>
      <c r="AA72" s="592">
        <f t="shared" si="55"/>
        <v>119608</v>
      </c>
      <c r="AB72" s="592">
        <f t="shared" si="55"/>
        <v>49921</v>
      </c>
      <c r="AC72" s="594">
        <f t="shared" si="55"/>
        <v>119608</v>
      </c>
      <c r="AD72" s="596">
        <f t="shared" si="55"/>
        <v>49921</v>
      </c>
      <c r="AE72" s="594">
        <f t="shared" si="55"/>
        <v>3553</v>
      </c>
      <c r="AF72" s="596">
        <f t="shared" si="55"/>
        <v>1483</v>
      </c>
      <c r="AG72" s="592">
        <f t="shared" si="55"/>
        <v>764</v>
      </c>
      <c r="AH72" s="594">
        <f t="shared" si="55"/>
        <v>42976</v>
      </c>
      <c r="AI72" s="596">
        <f t="shared" si="55"/>
        <v>17261</v>
      </c>
      <c r="AJ72" s="594">
        <f t="shared" si="55"/>
        <v>23044</v>
      </c>
      <c r="AK72" s="596">
        <f t="shared" si="55"/>
        <v>9069</v>
      </c>
      <c r="AL72" s="594">
        <f t="shared" si="55"/>
        <v>5304</v>
      </c>
      <c r="AM72" s="596">
        <f t="shared" si="55"/>
        <v>2162</v>
      </c>
      <c r="AN72" s="594">
        <f t="shared" si="55"/>
        <v>5351</v>
      </c>
      <c r="AO72" s="596">
        <f t="shared" si="55"/>
        <v>2252</v>
      </c>
      <c r="AP72" s="594">
        <f t="shared" si="55"/>
        <v>6464</v>
      </c>
      <c r="AQ72" s="596">
        <f t="shared" si="55"/>
        <v>2627</v>
      </c>
      <c r="AR72" s="596">
        <f t="shared" si="55"/>
        <v>409</v>
      </c>
      <c r="AS72" s="592">
        <f t="shared" si="55"/>
        <v>54001</v>
      </c>
    </row>
    <row r="73" spans="1:45" ht="12.75" customHeight="1" thickBot="1" x14ac:dyDescent="0.25">
      <c r="B73" s="577"/>
      <c r="C73" s="578"/>
      <c r="D73" s="588"/>
      <c r="E73" s="589"/>
      <c r="F73" s="589"/>
      <c r="G73" s="589"/>
      <c r="H73" s="589"/>
      <c r="I73" s="589"/>
      <c r="J73" s="589"/>
      <c r="K73" s="589"/>
      <c r="L73" s="589"/>
      <c r="M73" s="589"/>
      <c r="N73" s="589"/>
      <c r="O73" s="589"/>
      <c r="P73" s="589"/>
      <c r="Q73" s="589"/>
      <c r="R73" s="589"/>
      <c r="S73" s="589"/>
      <c r="T73" s="589"/>
      <c r="U73" s="590"/>
      <c r="V73" s="593"/>
      <c r="W73" s="595"/>
      <c r="X73" s="597"/>
      <c r="Y73" s="595"/>
      <c r="Z73" s="597"/>
      <c r="AA73" s="593"/>
      <c r="AB73" s="593"/>
      <c r="AC73" s="595"/>
      <c r="AD73" s="597"/>
      <c r="AE73" s="595"/>
      <c r="AF73" s="597"/>
      <c r="AG73" s="593"/>
      <c r="AH73" s="595"/>
      <c r="AI73" s="597"/>
      <c r="AJ73" s="595"/>
      <c r="AK73" s="597"/>
      <c r="AL73" s="595"/>
      <c r="AM73" s="597"/>
      <c r="AN73" s="595"/>
      <c r="AO73" s="597"/>
      <c r="AP73" s="595"/>
      <c r="AQ73" s="597"/>
      <c r="AR73" s="597"/>
      <c r="AS73" s="593"/>
    </row>
    <row r="74" spans="1:45" ht="12.75" customHeight="1" x14ac:dyDescent="0.2">
      <c r="B74" s="629" t="s">
        <v>40</v>
      </c>
      <c r="C74" s="630"/>
      <c r="D74" s="104"/>
      <c r="E74" s="104"/>
      <c r="F74" s="104"/>
      <c r="G74" s="104"/>
      <c r="H74" s="104"/>
      <c r="I74" s="104"/>
      <c r="J74" s="104"/>
      <c r="K74" s="104"/>
      <c r="L74" s="104"/>
      <c r="M74" s="89"/>
      <c r="N74" s="394"/>
      <c r="O74" s="395"/>
      <c r="P74" s="222"/>
      <c r="Q74" s="274"/>
      <c r="R74" s="222"/>
      <c r="S74" s="274"/>
      <c r="T74" s="222"/>
      <c r="U74" s="274"/>
      <c r="V74" s="124"/>
      <c r="W74" s="222"/>
      <c r="X74" s="274"/>
      <c r="Y74" s="394"/>
      <c r="Z74" s="395"/>
      <c r="AA74" s="394"/>
      <c r="AB74" s="395"/>
      <c r="AC74" s="394"/>
      <c r="AD74" s="395"/>
      <c r="AE74" s="445"/>
      <c r="AF74" s="446"/>
      <c r="AG74" s="366"/>
      <c r="AH74" s="394"/>
      <c r="AI74" s="395"/>
      <c r="AJ74" s="394"/>
      <c r="AK74" s="395"/>
      <c r="AL74" s="394"/>
      <c r="AM74" s="395"/>
      <c r="AN74" s="394"/>
      <c r="AO74" s="395"/>
      <c r="AP74" s="394"/>
      <c r="AQ74" s="395"/>
      <c r="AR74" s="367"/>
      <c r="AS74" s="229"/>
    </row>
    <row r="75" spans="1:45" ht="12.75" customHeight="1" x14ac:dyDescent="0.2">
      <c r="B75" s="338">
        <v>74452.94</v>
      </c>
      <c r="C75" s="339">
        <v>74540.72</v>
      </c>
      <c r="D75" s="340" t="s">
        <v>15</v>
      </c>
      <c r="E75" s="340" t="s">
        <v>105</v>
      </c>
      <c r="F75" s="340" t="s">
        <v>105</v>
      </c>
      <c r="G75" s="47" t="str">
        <f t="shared" ref="G75:G107" si="56">IF(AND($E75=$AU$2,$F75=$AU$2),$AW$2,IF(OR(AND($E75=$AU$2,$F75=$AU$3),AND($E75=$AU$3,$F75=$AU$2)),$AW$3,IF(OR(AND($E75=$AU$2,$F75=$AU$4),AND($E75=$AU$4,$F75=$AU$2)),$AW$4,IF(OR(AND($E75=$AU$3,$F75=$AU$4),AND($E75=$AU$4,$F75=$AU$3)),$AW$5,IF(AND($E75=$AU$3,$F75=$AU$3),$AW$6,IF(AND($E75=$AU$4,$F75=$AU$4),$AW$7,"-"))))))</f>
        <v>E/S - E/S</v>
      </c>
      <c r="H75" s="26">
        <f>IF(AND($E75=$AU$2,$F75=$AU$2),2*$AW$12,IF(OR(AND($E75=$AU$2, $F75=$AU$3),AND($E75=$AU$3,$F75=$AU$2)),$AW$12+$AW$13,IF(OR(AND($E75=$AU$2,$F75=$AU$4),AND($E75=$AU$4,$F75=$AU$2)),$AW$12,IF(OR(AND($E75=$AU$3,$F75=$AU$4),AND($E75=$AU$4,$F75=$AU$3)),$AW$13,IF(AND($E75=$AU$3,$F75=$AU$3),2*$AW$13,0)))))</f>
        <v>3</v>
      </c>
      <c r="I75" s="27">
        <f>IF(AND($E75=$AU$2,$F75=$AU$2),2*$AZ$12*$M75/27,IF(OR(AND($E75=$AU$2,$F75=$AU$3),AND($E75=$AU$3,$F75=$AU$2)),$AZ$12*$M75/27,IF(OR(AND($E75=$AU$2,$F75=$AU$4),AND($E75=$AU$4,$F75=$AU$2)),$AZ$12*$M75/27,0)))</f>
        <v>3.7062666666666169</v>
      </c>
      <c r="J75" s="27">
        <f>IF(AND($E75=$AU$2,$F75=$AU$2),2*$BC$12*$M75/27,IF(OR(AND($E75=$AU$2,$F75=$AU$3),AND($E75=$AU$3,$F75=$AU$2)),($BC$12+$BC$13)*$M75/27,IF(OR(AND($E75=$AU$2,$F75=$AU$4),AND($E75=$AU$4,$F75=$AU$2)),$BC$12*$M75/27,IF(OR(AND($E75=$AU$3,$F75=$AU$4),AND($E75=$AU$4,$F75=$AU$3)),$BC$13*$M75/27,IF(AND($E75=$AU$3,$F75=$AU$3),2*$BC$13*$M75/27,0)))))</f>
        <v>4.3564888888888316</v>
      </c>
      <c r="K75" s="27">
        <f>IF(AND($E75=$AU$4,$F75=$AU$4),2*$BF$14*$M75/27,IF(OR($E75=$AU$4,$F75=$AU$4),$BF$14*$M75/27,0))</f>
        <v>0</v>
      </c>
      <c r="L75" s="341">
        <v>0</v>
      </c>
      <c r="M75" s="83">
        <f t="shared" ref="M75:M131" si="57">C75-B75</f>
        <v>87.779999999998836</v>
      </c>
      <c r="N75" s="388">
        <v>40</v>
      </c>
      <c r="O75" s="389">
        <v>8</v>
      </c>
      <c r="P75" s="222">
        <f>IF(N75="-",0,ROUNDUP($M75*N75,0))</f>
        <v>3512</v>
      </c>
      <c r="Q75" s="274">
        <f t="shared" ref="Q75:Q133" si="58">IF($O75="-",0,ROUNDUP($M75*O75,0))</f>
        <v>703</v>
      </c>
      <c r="R75" s="398">
        <v>0</v>
      </c>
      <c r="S75" s="399">
        <v>0</v>
      </c>
      <c r="T75" s="221">
        <f t="shared" ref="T75:U133" si="59">P75+R75</f>
        <v>3512</v>
      </c>
      <c r="U75" s="269">
        <f t="shared" si="59"/>
        <v>703</v>
      </c>
      <c r="V75" s="348">
        <v>0</v>
      </c>
      <c r="W75" s="402">
        <f t="shared" ref="W75:W80" si="60">IF(OR($A75="APP SLAB",T75=0),0,(T75+$H75*$M75)/9)</f>
        <v>419.48222222222182</v>
      </c>
      <c r="X75" s="403">
        <f t="shared" ref="X75:X80" si="61">IF($A75="APP SLAB",0,U75/9)</f>
        <v>78.111111111111114</v>
      </c>
      <c r="Y75" s="414">
        <f t="shared" ref="Y75:Z133" si="62">IF(AND(W75=0,AA75=0),0,IF(AA75=0,W75/2000,AA75/2000))</f>
        <v>0.20974111111111091</v>
      </c>
      <c r="Z75" s="415">
        <f t="shared" si="62"/>
        <v>3.9055555555555559E-2</v>
      </c>
      <c r="AA75" s="402">
        <f t="shared" ref="AA75:AB133" si="63">IF(OR($A75="APP SLAB",W75&lt;&gt;0),0,AC75)</f>
        <v>0</v>
      </c>
      <c r="AB75" s="403">
        <f t="shared" si="63"/>
        <v>0</v>
      </c>
      <c r="AC75" s="402">
        <f t="shared" ref="AC75:AC107" si="64">IF(OR($A75="APP SLAB",W75&lt;&gt;0),0,(T75+$H75*$M75)/9)</f>
        <v>0</v>
      </c>
      <c r="AD75" s="403">
        <f t="shared" ref="AD75:AD107" si="65">IF(OR($A75="APP SLAB",X75&lt;&gt;0),0,U75/9)</f>
        <v>0</v>
      </c>
      <c r="AE75" s="402">
        <f t="shared" ref="AE75:AE107" si="66">IF(OR($A75="APP SLAB",W75&lt;&gt;0),0,$AC$1*AC75*110*0.06*0.75/2000)</f>
        <v>0</v>
      </c>
      <c r="AF75" s="403">
        <f t="shared" ref="AF75:AF107" si="67">IF(OR($A75="APP SLAB",X75&lt;&gt;0),0,$AC$1*AD75*110*0.06*0.75/2000)</f>
        <v>0</v>
      </c>
      <c r="AG75" s="351">
        <v>0</v>
      </c>
      <c r="AH75" s="425">
        <f>IF(A75="APP SLAB",0,(T75*$AH$1/12)/27+I75)</f>
        <v>128.36058765432094</v>
      </c>
      <c r="AI75" s="426">
        <f t="shared" ref="AI75:AI107" si="68">IF($A75="APP SLAB",0,(U75*$AH$1/12)/27)</f>
        <v>24.952160493827162</v>
      </c>
      <c r="AJ75" s="424">
        <f t="shared" ref="AJ75:AJ107" si="69">(T75*$AJ$1/12)/27+J75</f>
        <v>69.393525925925871</v>
      </c>
      <c r="AK75" s="429">
        <f t="shared" ref="AK75:AK107" si="70">(U75*$AJ$1/12)/27</f>
        <v>13.018518518518519</v>
      </c>
      <c r="AL75" s="402">
        <f>IF(A75="APP SLAB",0,(T75/9)*$AL$1)</f>
        <v>15.60888888888889</v>
      </c>
      <c r="AM75" s="403">
        <f t="shared" ref="AM75:AM107" si="71">IF($A75="APP SLAB",0,(U75/9)*$AL$1)</f>
        <v>3.1244444444444448</v>
      </c>
      <c r="AN75" s="424">
        <f t="shared" ref="AN75:AN107" si="72">IF(A75="APP SLAB",0,(T75*($AN$1/12))/27+K75)</f>
        <v>16.25925925925926</v>
      </c>
      <c r="AO75" s="429">
        <f t="shared" ref="AO75:AO107" si="73">IF($A75="APP SLAB",0,(U75*($AN$1/12))/27)</f>
        <v>3.2546296296296298</v>
      </c>
      <c r="AP75" s="424">
        <f t="shared" ref="AP75:AP107" si="74">IF(A75="APP SLAB",0,(T75*$AP$1/12)/27+L75)</f>
        <v>18.969135802469136</v>
      </c>
      <c r="AQ75" s="429">
        <f t="shared" ref="AQ75:AQ107" si="75">IF($A75="APP SLAB",0,(U75*$AP$1/12)/27)</f>
        <v>3.7970679012345676</v>
      </c>
      <c r="AR75" s="467">
        <f t="shared" ref="AR75:AR133" si="76">IF(AND($E75=$F75="Uncurbed"),(2*$M75*2*$AR$1/12)/27,IF(OR($E75="Uncurbed",$F75="Uncurbed"),($M75*2*$AR$1/12)/27,IF(OR(AND($E75="Med. Barr.",$F75="Curbed"),AND($E75="Curbed",$F75="Med. Barr."),$E75=$F75,$E75="Unique",$F75="Unique",$E75="-",$F75="-"),0,"?")))</f>
        <v>1.761018518518495</v>
      </c>
      <c r="AS75" s="85">
        <f t="shared" ref="AS75:AS107" si="77">IF(A75="APP SLAB",0,(M75*2))</f>
        <v>175.55999999999767</v>
      </c>
    </row>
    <row r="76" spans="1:45" ht="12.75" customHeight="1" x14ac:dyDescent="0.2">
      <c r="B76" s="338">
        <v>74540.72</v>
      </c>
      <c r="C76" s="339">
        <v>75390.63</v>
      </c>
      <c r="D76" s="340" t="s">
        <v>15</v>
      </c>
      <c r="E76" s="340" t="s">
        <v>105</v>
      </c>
      <c r="F76" s="340" t="s">
        <v>105</v>
      </c>
      <c r="G76" s="47" t="str">
        <f t="shared" si="56"/>
        <v>E/S - E/S</v>
      </c>
      <c r="H76" s="26">
        <f>IF(AND($E76=$AU$2,$F76=$AU$2),2*$AW$12,IF(OR(AND($E76=$AU$2, $F76=$AU$3),AND($E76=$AU$3,$F76=$AU$2)),$AW$12+$AW$13,IF(OR(AND($E76=$AU$2,$F76=$AU$4),AND($E76=$AU$4,$F76=$AU$2)),$AW$12,IF(OR(AND($E76=$AU$3,$F76=$AU$4),AND($E76=$AU$4,$F76=$AU$3)),$AW$13,IF(AND($E76=$AU$3,$F76=$AU$3),2*$AW$13,0)))))</f>
        <v>3</v>
      </c>
      <c r="I76" s="27">
        <f>IF(AND($E76=$AU$2,$F76=$AU$2),2*$AZ$12*$M76/27,IF(OR(AND($E76=$AU$2,$F76=$AU$3),AND($E76=$AU$3,$F76=$AU$2)),$AZ$12*$M76/27,IF(OR(AND($E76=$AU$2,$F76=$AU$4),AND($E76=$AU$4,$F76=$AU$2)),$AZ$12*$M76/27,0)))</f>
        <v>35.885088888889037</v>
      </c>
      <c r="J76" s="27">
        <f>IF(AND($E76=$AU$2,$F76=$AU$2),2*$BC$12*$M76/27,IF(OR(AND($E76=$AU$2,$F76=$AU$3),AND($E76=$AU$3,$F76=$AU$2)),($BC$12+$BC$13)*$M76/27,IF(OR(AND($E76=$AU$2,$F76=$AU$4),AND($E76=$AU$4,$F76=$AU$2)),$BC$12*$M76/27,IF(OR(AND($E76=$AU$3,$F76=$AU$4),AND($E76=$AU$4,$F76=$AU$3)),$BC$13*$M76/27,IF(AND($E76=$AU$3,$F76=$AU$3),2*$BC$13*$M76/27,0)))))</f>
        <v>42.180718518518695</v>
      </c>
      <c r="K76" s="27">
        <f>IF(AND($E76=$AU$4,$F76=$AU$4),2*$BF$14*$M76/27,IF(OR($E76=$AU$4,$F76=$AU$4),$BF$14*$M76/27,0))</f>
        <v>0</v>
      </c>
      <c r="L76" s="341">
        <v>0</v>
      </c>
      <c r="M76" s="83">
        <f t="shared" si="57"/>
        <v>849.91000000000349</v>
      </c>
      <c r="N76" s="388">
        <v>40</v>
      </c>
      <c r="O76" s="389">
        <v>14</v>
      </c>
      <c r="P76" s="222">
        <f t="shared" ref="P76:P131" si="78">IF(N76="-",0,ROUNDUP($M76*N76,0))</f>
        <v>33997</v>
      </c>
      <c r="Q76" s="274">
        <f t="shared" si="58"/>
        <v>11899</v>
      </c>
      <c r="R76" s="398">
        <v>0</v>
      </c>
      <c r="S76" s="399">
        <v>0</v>
      </c>
      <c r="T76" s="221">
        <f t="shared" si="59"/>
        <v>33997</v>
      </c>
      <c r="U76" s="269">
        <f t="shared" si="59"/>
        <v>11899</v>
      </c>
      <c r="V76" s="348">
        <v>0</v>
      </c>
      <c r="W76" s="402">
        <f t="shared" si="60"/>
        <v>4060.747777777779</v>
      </c>
      <c r="X76" s="403">
        <f t="shared" si="61"/>
        <v>1322.1111111111111</v>
      </c>
      <c r="Y76" s="414">
        <f t="shared" si="62"/>
        <v>2.0303738888888896</v>
      </c>
      <c r="Z76" s="415">
        <f t="shared" si="62"/>
        <v>0.66105555555555551</v>
      </c>
      <c r="AA76" s="402">
        <f t="shared" si="63"/>
        <v>0</v>
      </c>
      <c r="AB76" s="403">
        <f t="shared" si="63"/>
        <v>0</v>
      </c>
      <c r="AC76" s="402">
        <f t="shared" si="64"/>
        <v>0</v>
      </c>
      <c r="AD76" s="403">
        <f t="shared" si="65"/>
        <v>0</v>
      </c>
      <c r="AE76" s="402">
        <f t="shared" si="66"/>
        <v>0</v>
      </c>
      <c r="AF76" s="403">
        <f t="shared" si="67"/>
        <v>0</v>
      </c>
      <c r="AG76" s="351">
        <v>0</v>
      </c>
      <c r="AH76" s="425">
        <f>IF(A76="APP SLAB",0,(T76*$AH$1/12)/27+I76)</f>
        <v>1242.5687308641975</v>
      </c>
      <c r="AI76" s="426">
        <f t="shared" si="68"/>
        <v>422.34104938271605</v>
      </c>
      <c r="AJ76" s="424">
        <f t="shared" si="69"/>
        <v>671.75479259259271</v>
      </c>
      <c r="AK76" s="429">
        <f t="shared" si="70"/>
        <v>220.35185185185185</v>
      </c>
      <c r="AL76" s="402">
        <f>IF(A76="APP SLAB",0,(T76/9)*$AL$1)</f>
        <v>151.09777777777776</v>
      </c>
      <c r="AM76" s="403">
        <f t="shared" si="71"/>
        <v>52.884444444444448</v>
      </c>
      <c r="AN76" s="424">
        <f t="shared" si="72"/>
        <v>157.3935185185185</v>
      </c>
      <c r="AO76" s="429">
        <f t="shared" si="73"/>
        <v>55.087962962962962</v>
      </c>
      <c r="AP76" s="424">
        <f t="shared" si="74"/>
        <v>183.62577160493825</v>
      </c>
      <c r="AQ76" s="429">
        <f t="shared" si="75"/>
        <v>64.269290123456784</v>
      </c>
      <c r="AR76" s="467">
        <f t="shared" si="76"/>
        <v>17.050663580246983</v>
      </c>
      <c r="AS76" s="85">
        <f t="shared" si="77"/>
        <v>1699.820000000007</v>
      </c>
    </row>
    <row r="77" spans="1:45" ht="12.75" customHeight="1" x14ac:dyDescent="0.2">
      <c r="B77" s="338">
        <v>75390.63</v>
      </c>
      <c r="C77" s="339">
        <v>76200</v>
      </c>
      <c r="D77" s="340" t="s">
        <v>15</v>
      </c>
      <c r="E77" s="340" t="s">
        <v>105</v>
      </c>
      <c r="F77" s="340" t="s">
        <v>105</v>
      </c>
      <c r="G77" s="47" t="str">
        <f t="shared" si="56"/>
        <v>E/S - E/S</v>
      </c>
      <c r="H77" s="26">
        <f>IF(AND($E77=$AU$2,$F77=$AU$2),2*$AW$12,IF(OR(AND($E77=$AU$2, $F77=$AU$3),AND($E77=$AU$3,$F77=$AU$2)),$AW$12+$AW$13,IF(OR(AND($E77=$AU$2,$F77=$AU$4),AND($E77=$AU$4,$F77=$AU$2)),$AW$12,IF(OR(AND($E77=$AU$3,$F77=$AU$4),AND($E77=$AU$4,$F77=$AU$3)),$AW$13,IF(AND($E77=$AU$3,$F77=$AU$3),2*$AW$13,0)))))</f>
        <v>3</v>
      </c>
      <c r="I77" s="27">
        <f>IF(AND($E77=$AU$2,$F77=$AU$2),2*$AZ$12*$M77/27,IF(OR(AND($E77=$AU$2,$F77=$AU$3),AND($E77=$AU$3,$F77=$AU$2)),$AZ$12*$M77/27,IF(OR(AND($E77=$AU$2,$F77=$AU$4),AND($E77=$AU$4,$F77=$AU$2)),$AZ$12*$M77/27,0)))</f>
        <v>34.173399999999802</v>
      </c>
      <c r="J77" s="27">
        <f>IF(AND($E77=$AU$2,$F77=$AU$2),2*$BC$12*$M77/27,IF(OR(AND($E77=$AU$2,$F77=$AU$3),AND($E77=$AU$3,$F77=$AU$2)),($BC$12+$BC$13)*$M77/27,IF(OR(AND($E77=$AU$2,$F77=$AU$4),AND($E77=$AU$4,$F77=$AU$2)),$BC$12*$M77/27,IF(OR(AND($E77=$AU$3,$F77=$AU$4),AND($E77=$AU$4,$F77=$AU$3)),$BC$13*$M77/27,IF(AND($E77=$AU$3,$F77=$AU$3),2*$BC$13*$M77/27,0)))))</f>
        <v>40.168733333333101</v>
      </c>
      <c r="K77" s="27">
        <f>IF(AND($E77=$AU$4,$F77=$AU$4),2*$BF$14*$M77/27,IF(OR($E77=$AU$4,$F77=$AU$4),$BF$14*$M77/27,0))</f>
        <v>0</v>
      </c>
      <c r="L77" s="341">
        <v>0</v>
      </c>
      <c r="M77" s="83">
        <f t="shared" si="57"/>
        <v>809.36999999999534</v>
      </c>
      <c r="N77" s="388">
        <v>40</v>
      </c>
      <c r="O77" s="389">
        <v>20</v>
      </c>
      <c r="P77" s="222">
        <f t="shared" si="78"/>
        <v>32375</v>
      </c>
      <c r="Q77" s="274">
        <f t="shared" si="58"/>
        <v>16188</v>
      </c>
      <c r="R77" s="398">
        <v>0</v>
      </c>
      <c r="S77" s="399">
        <v>0</v>
      </c>
      <c r="T77" s="221">
        <f t="shared" si="59"/>
        <v>32375</v>
      </c>
      <c r="U77" s="269">
        <f t="shared" si="59"/>
        <v>16188</v>
      </c>
      <c r="V77" s="348">
        <v>0</v>
      </c>
      <c r="W77" s="402">
        <f t="shared" si="60"/>
        <v>3867.0122222222208</v>
      </c>
      <c r="X77" s="403">
        <f t="shared" si="61"/>
        <v>1798.6666666666667</v>
      </c>
      <c r="Y77" s="414">
        <f t="shared" si="62"/>
        <v>1.9335061111111105</v>
      </c>
      <c r="Z77" s="415">
        <f t="shared" si="62"/>
        <v>0.89933333333333332</v>
      </c>
      <c r="AA77" s="402">
        <f t="shared" si="63"/>
        <v>0</v>
      </c>
      <c r="AB77" s="403">
        <f t="shared" si="63"/>
        <v>0</v>
      </c>
      <c r="AC77" s="402">
        <f t="shared" si="64"/>
        <v>0</v>
      </c>
      <c r="AD77" s="403">
        <f t="shared" si="65"/>
        <v>0</v>
      </c>
      <c r="AE77" s="402">
        <f t="shared" si="66"/>
        <v>0</v>
      </c>
      <c r="AF77" s="403">
        <f t="shared" si="67"/>
        <v>0</v>
      </c>
      <c r="AG77" s="351">
        <v>0</v>
      </c>
      <c r="AH77" s="425">
        <f>IF(A79="APP SLAB",0,(T77*$AH$1/12)/27+I77)</f>
        <v>1183.2860543209877</v>
      </c>
      <c r="AI77" s="426">
        <f t="shared" si="68"/>
        <v>574.57407407407402</v>
      </c>
      <c r="AJ77" s="424">
        <f t="shared" si="69"/>
        <v>639.70577037037015</v>
      </c>
      <c r="AK77" s="429">
        <f t="shared" si="70"/>
        <v>299.77777777777777</v>
      </c>
      <c r="AL77" s="402">
        <f>IF(A79="APP SLAB",0,(T77/9)*$AL$1)</f>
        <v>143.88888888888889</v>
      </c>
      <c r="AM77" s="403">
        <f t="shared" si="71"/>
        <v>71.946666666666673</v>
      </c>
      <c r="AN77" s="424">
        <f t="shared" si="72"/>
        <v>149.88425925925927</v>
      </c>
      <c r="AO77" s="429">
        <f t="shared" si="73"/>
        <v>74.944444444444443</v>
      </c>
      <c r="AP77" s="424">
        <f t="shared" si="74"/>
        <v>174.86496913580248</v>
      </c>
      <c r="AQ77" s="429">
        <f t="shared" si="75"/>
        <v>87.43518518518519</v>
      </c>
      <c r="AR77" s="467">
        <f t="shared" si="76"/>
        <v>16.237361111111017</v>
      </c>
      <c r="AS77" s="85">
        <f t="shared" si="77"/>
        <v>1618.7399999999907</v>
      </c>
    </row>
    <row r="78" spans="1:45" ht="12.75" customHeight="1" x14ac:dyDescent="0.2">
      <c r="B78" s="338">
        <v>76200</v>
      </c>
      <c r="C78" s="339">
        <v>76347.87</v>
      </c>
      <c r="D78" s="340" t="s">
        <v>15</v>
      </c>
      <c r="E78" s="340" t="s">
        <v>105</v>
      </c>
      <c r="F78" s="340" t="s">
        <v>112</v>
      </c>
      <c r="G78" s="47" t="str">
        <f t="shared" si="56"/>
        <v>-</v>
      </c>
      <c r="H78" s="342">
        <v>5.83</v>
      </c>
      <c r="I78" s="341">
        <v>21.14</v>
      </c>
      <c r="J78" s="341">
        <v>15.12</v>
      </c>
      <c r="K78" s="341">
        <v>0</v>
      </c>
      <c r="L78" s="341">
        <v>2.2999999999999998</v>
      </c>
      <c r="M78" s="83">
        <f t="shared" si="57"/>
        <v>147.86999999999534</v>
      </c>
      <c r="N78" s="388">
        <v>40</v>
      </c>
      <c r="O78" s="389">
        <v>20</v>
      </c>
      <c r="P78" s="222">
        <f t="shared" si="78"/>
        <v>5915</v>
      </c>
      <c r="Q78" s="274">
        <f t="shared" si="58"/>
        <v>2958</v>
      </c>
      <c r="R78" s="398">
        <v>0</v>
      </c>
      <c r="S78" s="399">
        <v>0</v>
      </c>
      <c r="T78" s="221">
        <f t="shared" si="59"/>
        <v>5915</v>
      </c>
      <c r="U78" s="269">
        <f t="shared" si="59"/>
        <v>2958</v>
      </c>
      <c r="V78" s="348">
        <v>0</v>
      </c>
      <c r="W78" s="402">
        <f t="shared" si="60"/>
        <v>753.00912222221928</v>
      </c>
      <c r="X78" s="403">
        <f t="shared" si="61"/>
        <v>328.66666666666669</v>
      </c>
      <c r="Y78" s="414">
        <f t="shared" si="62"/>
        <v>0.37650456111110964</v>
      </c>
      <c r="Z78" s="415">
        <f t="shared" si="62"/>
        <v>0.16433333333333333</v>
      </c>
      <c r="AA78" s="402">
        <f t="shared" si="63"/>
        <v>0</v>
      </c>
      <c r="AB78" s="403">
        <f t="shared" si="63"/>
        <v>0</v>
      </c>
      <c r="AC78" s="402">
        <f t="shared" si="64"/>
        <v>0</v>
      </c>
      <c r="AD78" s="403">
        <f t="shared" si="65"/>
        <v>0</v>
      </c>
      <c r="AE78" s="402">
        <f t="shared" si="66"/>
        <v>0</v>
      </c>
      <c r="AF78" s="403">
        <f t="shared" si="67"/>
        <v>0</v>
      </c>
      <c r="AG78" s="351">
        <v>0</v>
      </c>
      <c r="AH78" s="425">
        <f>IF(A80="APP SLAB",0,(T78*$AH$1/12)/27+I78)</f>
        <v>231.085987654321</v>
      </c>
      <c r="AI78" s="426">
        <f t="shared" si="68"/>
        <v>104.99074074074075</v>
      </c>
      <c r="AJ78" s="424">
        <f t="shared" si="69"/>
        <v>124.65703703703704</v>
      </c>
      <c r="AK78" s="429">
        <f t="shared" si="70"/>
        <v>54.777777777777779</v>
      </c>
      <c r="AL78" s="402">
        <f>IF(A80="APP SLAB",0,(T78/9)*$AL$1)</f>
        <v>26.288888888888888</v>
      </c>
      <c r="AM78" s="403">
        <f t="shared" si="71"/>
        <v>13.146666666666668</v>
      </c>
      <c r="AN78" s="424">
        <f t="shared" si="72"/>
        <v>27.38425925925926</v>
      </c>
      <c r="AO78" s="429">
        <f t="shared" si="73"/>
        <v>13.694444444444445</v>
      </c>
      <c r="AP78" s="424">
        <f t="shared" si="74"/>
        <v>34.248302469135801</v>
      </c>
      <c r="AQ78" s="429">
        <f t="shared" si="75"/>
        <v>15.976851851851851</v>
      </c>
      <c r="AR78" s="467">
        <f t="shared" si="76"/>
        <v>2.9665277777776846</v>
      </c>
      <c r="AS78" s="85">
        <f t="shared" si="77"/>
        <v>295.73999999999069</v>
      </c>
    </row>
    <row r="79" spans="1:45" ht="12.75" customHeight="1" x14ac:dyDescent="0.2">
      <c r="A79" s="48" t="s">
        <v>54</v>
      </c>
      <c r="B79" s="338">
        <v>76347.87</v>
      </c>
      <c r="C79" s="339">
        <v>77009.05</v>
      </c>
      <c r="D79" s="340" t="s">
        <v>15</v>
      </c>
      <c r="E79" s="340" t="s">
        <v>105</v>
      </c>
      <c r="F79" s="340" t="s">
        <v>111</v>
      </c>
      <c r="G79" s="47" t="str">
        <f t="shared" si="56"/>
        <v>E/S - C/B</v>
      </c>
      <c r="H79" s="26">
        <f t="shared" ref="H79:H89" si="79">IF(AND($E79=$AU$2,$F79=$AU$2),2*$AW$12,IF(OR(AND($E79=$AU$2, $F79=$AU$3),AND($E79=$AU$3,$F79=$AU$2)),$AW$12+$AW$13,IF(OR(AND($E79=$AU$2,$F79=$AU$4),AND($E79=$AU$4,$F79=$AU$2)),$AW$12,IF(OR(AND($E79=$AU$3,$F79=$AU$4),AND($E79=$AU$4,$F79=$AU$3)),$AW$13,IF(AND($E79=$AU$3,$F79=$AU$3),2*$AW$13,0)))))</f>
        <v>1.5</v>
      </c>
      <c r="I79" s="27">
        <f t="shared" ref="I79:I89" si="80">IF(AND($E79=$AU$2,$F79=$AU$2),2*$AZ$12*$M79/27,IF(OR(AND($E79=$AU$2,$F79=$AU$3),AND($E79=$AU$3,$F79=$AU$2)),$AZ$12*$M79/27,IF(OR(AND($E79=$AU$2,$F79=$AU$4),AND($E79=$AU$4,$F79=$AU$2)),$AZ$12*$M79/27,0)))</f>
        <v>13.958244444444604</v>
      </c>
      <c r="J79" s="27">
        <f t="shared" ref="J79:J89" si="81">IF(AND($E79=$AU$2,$F79=$AU$2),2*$BC$12*$M79/27,IF(OR(AND($E79=$AU$2,$F79=$AU$3),AND($E79=$AU$3,$F79=$AU$2)),($BC$12+$BC$13)*$M79/27,IF(OR(AND($E79=$AU$2,$F79=$AU$4),AND($E79=$AU$4,$F79=$AU$2)),$BC$12*$M79/27,IF(OR(AND($E79=$AU$3,$F79=$AU$4),AND($E79=$AU$4,$F79=$AU$3)),$BC$13*$M79/27,IF(AND($E79=$AU$3,$F79=$AU$3),2*$BC$13*$M79/27,0)))))</f>
        <v>16.407059259259448</v>
      </c>
      <c r="K79" s="27">
        <f t="shared" ref="K79:K89" si="82">IF(AND($E79=$AU$4,$F79=$AU$4),2*$BF$14*$M79/27,IF(OR($E79=$AU$4,$F79=$AU$4),$BF$14*$M79/27,0))</f>
        <v>-4.4078666666667168</v>
      </c>
      <c r="L79" s="341">
        <v>0</v>
      </c>
      <c r="M79" s="83">
        <f t="shared" si="57"/>
        <v>661.18000000000757</v>
      </c>
      <c r="N79" s="388">
        <v>41.42</v>
      </c>
      <c r="O79" s="389">
        <v>20</v>
      </c>
      <c r="P79" s="222">
        <f t="shared" si="78"/>
        <v>27387</v>
      </c>
      <c r="Q79" s="274">
        <f t="shared" si="58"/>
        <v>13224</v>
      </c>
      <c r="R79" s="398">
        <v>0</v>
      </c>
      <c r="S79" s="399">
        <v>0</v>
      </c>
      <c r="T79" s="221">
        <f t="shared" si="59"/>
        <v>27387</v>
      </c>
      <c r="U79" s="269">
        <f t="shared" si="59"/>
        <v>13224</v>
      </c>
      <c r="V79" s="348">
        <v>0</v>
      </c>
      <c r="W79" s="402">
        <f t="shared" si="60"/>
        <v>3153.1966666666681</v>
      </c>
      <c r="X79" s="403">
        <f t="shared" si="61"/>
        <v>1469.3333333333333</v>
      </c>
      <c r="Y79" s="414">
        <f t="shared" si="62"/>
        <v>1.576598333333334</v>
      </c>
      <c r="Z79" s="415">
        <f t="shared" si="62"/>
        <v>0.73466666666666658</v>
      </c>
      <c r="AA79" s="402">
        <f t="shared" si="63"/>
        <v>0</v>
      </c>
      <c r="AB79" s="403">
        <f t="shared" si="63"/>
        <v>0</v>
      </c>
      <c r="AC79" s="402">
        <f t="shared" si="64"/>
        <v>0</v>
      </c>
      <c r="AD79" s="403">
        <f t="shared" si="65"/>
        <v>0</v>
      </c>
      <c r="AE79" s="402">
        <f t="shared" si="66"/>
        <v>0</v>
      </c>
      <c r="AF79" s="403">
        <f t="shared" si="67"/>
        <v>0</v>
      </c>
      <c r="AG79" s="351">
        <v>0</v>
      </c>
      <c r="AH79" s="425">
        <f>IF(A81="APP SLAB",0,(T79*$AH$1/12)/27+I79)</f>
        <v>986.02768888888909</v>
      </c>
      <c r="AI79" s="426">
        <f t="shared" si="68"/>
        <v>469.37037037037038</v>
      </c>
      <c r="AJ79" s="424">
        <f t="shared" si="69"/>
        <v>523.57372592592617</v>
      </c>
      <c r="AK79" s="429">
        <f t="shared" si="70"/>
        <v>244.88888888888889</v>
      </c>
      <c r="AL79" s="402">
        <f>IF(A81="APP SLAB",0,(T79/9)*$AL$1)</f>
        <v>121.72</v>
      </c>
      <c r="AM79" s="403">
        <f t="shared" si="71"/>
        <v>58.773333333333333</v>
      </c>
      <c r="AN79" s="424">
        <f t="shared" si="72"/>
        <v>122.38379999999995</v>
      </c>
      <c r="AO79" s="429">
        <f t="shared" si="73"/>
        <v>61.222222222222221</v>
      </c>
      <c r="AP79" s="424">
        <f t="shared" si="74"/>
        <v>147.92361111111111</v>
      </c>
      <c r="AQ79" s="429">
        <f t="shared" si="75"/>
        <v>71.425925925925924</v>
      </c>
      <c r="AR79" s="467">
        <f t="shared" si="76"/>
        <v>13.264413580247064</v>
      </c>
      <c r="AS79" s="85">
        <f t="shared" si="77"/>
        <v>1322.3600000000151</v>
      </c>
    </row>
    <row r="80" spans="1:45" ht="12.75" customHeight="1" x14ac:dyDescent="0.2">
      <c r="A80" s="48" t="s">
        <v>55</v>
      </c>
      <c r="B80" s="338">
        <v>76978.7</v>
      </c>
      <c r="C80" s="339">
        <v>76996</v>
      </c>
      <c r="D80" s="340" t="s">
        <v>15</v>
      </c>
      <c r="E80" s="340" t="s">
        <v>105</v>
      </c>
      <c r="F80" s="340" t="s">
        <v>111</v>
      </c>
      <c r="G80" s="47" t="str">
        <f t="shared" si="56"/>
        <v>E/S - C/B</v>
      </c>
      <c r="H80" s="26">
        <f t="shared" si="79"/>
        <v>1.5</v>
      </c>
      <c r="I80" s="27">
        <f t="shared" si="80"/>
        <v>0.36522222222228362</v>
      </c>
      <c r="J80" s="27">
        <f t="shared" si="81"/>
        <v>0.42929629629636856</v>
      </c>
      <c r="K80" s="27">
        <f t="shared" si="82"/>
        <v>-0.11533333333335273</v>
      </c>
      <c r="L80" s="341">
        <v>0</v>
      </c>
      <c r="M80" s="83">
        <f t="shared" si="57"/>
        <v>17.30000000000291</v>
      </c>
      <c r="N80" s="388">
        <v>41.42</v>
      </c>
      <c r="O80" s="389">
        <v>20</v>
      </c>
      <c r="P80" s="222">
        <f t="shared" si="78"/>
        <v>717</v>
      </c>
      <c r="Q80" s="274">
        <f t="shared" si="58"/>
        <v>347</v>
      </c>
      <c r="R80" s="398">
        <v>0</v>
      </c>
      <c r="S80" s="399">
        <v>0</v>
      </c>
      <c r="T80" s="221">
        <f t="shared" si="59"/>
        <v>717</v>
      </c>
      <c r="U80" s="269">
        <f t="shared" si="59"/>
        <v>347</v>
      </c>
      <c r="V80" s="348">
        <v>0</v>
      </c>
      <c r="W80" s="402">
        <f t="shared" si="60"/>
        <v>82.55000000000048</v>
      </c>
      <c r="X80" s="403">
        <f t="shared" si="61"/>
        <v>38.555555555555557</v>
      </c>
      <c r="Y80" s="414">
        <f t="shared" si="62"/>
        <v>4.1275000000000242E-2</v>
      </c>
      <c r="Z80" s="415">
        <f t="shared" si="62"/>
        <v>1.9277777777777779E-2</v>
      </c>
      <c r="AA80" s="402">
        <f t="shared" si="63"/>
        <v>0</v>
      </c>
      <c r="AB80" s="403">
        <f t="shared" si="63"/>
        <v>0</v>
      </c>
      <c r="AC80" s="402">
        <f t="shared" si="64"/>
        <v>0</v>
      </c>
      <c r="AD80" s="403">
        <f t="shared" si="65"/>
        <v>0</v>
      </c>
      <c r="AE80" s="402">
        <f t="shared" si="66"/>
        <v>0</v>
      </c>
      <c r="AF80" s="403">
        <f t="shared" si="67"/>
        <v>0</v>
      </c>
      <c r="AG80" s="351">
        <v>0</v>
      </c>
      <c r="AH80" s="425">
        <f t="shared" ref="AH80:AH112" si="83">IF(A80="APP SLAB",0,(T80*$AH$1/12)/27+I80)</f>
        <v>25.814296296296355</v>
      </c>
      <c r="AI80" s="426">
        <f t="shared" si="68"/>
        <v>12.316358024691359</v>
      </c>
      <c r="AJ80" s="424">
        <f t="shared" si="69"/>
        <v>13.707074074074146</v>
      </c>
      <c r="AK80" s="429">
        <f t="shared" si="70"/>
        <v>6.4259259259259256</v>
      </c>
      <c r="AL80" s="402">
        <f t="shared" ref="AL80:AL112" si="84">IF(A80="APP SLAB",0,(T80/9)*$AL$1)</f>
        <v>3.186666666666667</v>
      </c>
      <c r="AM80" s="403">
        <f t="shared" si="71"/>
        <v>1.5422222222222224</v>
      </c>
      <c r="AN80" s="424">
        <f t="shared" si="72"/>
        <v>3.204111111111092</v>
      </c>
      <c r="AO80" s="429">
        <f t="shared" si="73"/>
        <v>1.6064814814814814</v>
      </c>
      <c r="AP80" s="424">
        <f t="shared" si="74"/>
        <v>3.8726851851851851</v>
      </c>
      <c r="AQ80" s="429">
        <f t="shared" si="75"/>
        <v>1.8742283950617282</v>
      </c>
      <c r="AR80" s="467">
        <f t="shared" si="76"/>
        <v>0.34706790123462627</v>
      </c>
      <c r="AS80" s="85">
        <f t="shared" si="77"/>
        <v>34.600000000005821</v>
      </c>
    </row>
    <row r="81" spans="1:61" ht="12.75" customHeight="1" x14ac:dyDescent="0.2">
      <c r="B81" s="338">
        <v>76996</v>
      </c>
      <c r="C81" s="339">
        <v>77200</v>
      </c>
      <c r="D81" s="340" t="s">
        <v>15</v>
      </c>
      <c r="E81" s="340" t="s">
        <v>106</v>
      </c>
      <c r="F81" s="340" t="s">
        <v>111</v>
      </c>
      <c r="G81" s="47" t="str">
        <f t="shared" si="56"/>
        <v>F/C - C/B</v>
      </c>
      <c r="H81" s="26">
        <f t="shared" si="79"/>
        <v>2</v>
      </c>
      <c r="I81" s="27">
        <f t="shared" si="80"/>
        <v>0</v>
      </c>
      <c r="J81" s="27">
        <f t="shared" si="81"/>
        <v>7.4044444444444437</v>
      </c>
      <c r="K81" s="27">
        <f t="shared" si="82"/>
        <v>-1.3599999999999999</v>
      </c>
      <c r="L81" s="341">
        <v>0</v>
      </c>
      <c r="M81" s="83">
        <f t="shared" si="57"/>
        <v>204</v>
      </c>
      <c r="N81" s="388">
        <v>43.42</v>
      </c>
      <c r="O81" s="389">
        <v>20</v>
      </c>
      <c r="P81" s="222">
        <f t="shared" si="78"/>
        <v>8858</v>
      </c>
      <c r="Q81" s="274">
        <f t="shared" si="58"/>
        <v>4080</v>
      </c>
      <c r="R81" s="398">
        <v>0</v>
      </c>
      <c r="S81" s="399">
        <v>0</v>
      </c>
      <c r="T81" s="221">
        <f t="shared" si="59"/>
        <v>8858</v>
      </c>
      <c r="U81" s="269">
        <f t="shared" si="59"/>
        <v>4080</v>
      </c>
      <c r="V81" s="348">
        <v>0</v>
      </c>
      <c r="W81" s="406">
        <v>0</v>
      </c>
      <c r="X81" s="407">
        <v>0</v>
      </c>
      <c r="Y81" s="414">
        <f t="shared" si="62"/>
        <v>0.51477777777777778</v>
      </c>
      <c r="Z81" s="415">
        <f t="shared" si="62"/>
        <v>0.22666666666666666</v>
      </c>
      <c r="AA81" s="402">
        <f t="shared" si="63"/>
        <v>1029.5555555555557</v>
      </c>
      <c r="AB81" s="403">
        <f t="shared" si="63"/>
        <v>453.33333333333331</v>
      </c>
      <c r="AC81" s="402">
        <f t="shared" si="64"/>
        <v>1029.5555555555557</v>
      </c>
      <c r="AD81" s="403">
        <f t="shared" si="65"/>
        <v>453.33333333333331</v>
      </c>
      <c r="AE81" s="402">
        <f t="shared" si="66"/>
        <v>30.577800000000003</v>
      </c>
      <c r="AF81" s="403">
        <f t="shared" si="67"/>
        <v>13.464</v>
      </c>
      <c r="AG81" s="351">
        <v>0</v>
      </c>
      <c r="AH81" s="425">
        <f t="shared" si="83"/>
        <v>314.40432098765427</v>
      </c>
      <c r="AI81" s="426">
        <f t="shared" si="68"/>
        <v>144.81481481481481</v>
      </c>
      <c r="AJ81" s="424">
        <f t="shared" si="69"/>
        <v>171.44148148148147</v>
      </c>
      <c r="AK81" s="429">
        <f t="shared" si="70"/>
        <v>75.555555555555557</v>
      </c>
      <c r="AL81" s="402">
        <f t="shared" si="84"/>
        <v>39.36888888888889</v>
      </c>
      <c r="AM81" s="403">
        <f t="shared" si="71"/>
        <v>18.133333333333333</v>
      </c>
      <c r="AN81" s="424">
        <f t="shared" si="72"/>
        <v>39.64925925925926</v>
      </c>
      <c r="AO81" s="429">
        <f t="shared" si="73"/>
        <v>18.888888888888889</v>
      </c>
      <c r="AP81" s="424">
        <f t="shared" si="74"/>
        <v>47.84413580246914</v>
      </c>
      <c r="AQ81" s="429">
        <f t="shared" si="75"/>
        <v>22.037037037037038</v>
      </c>
      <c r="AR81" s="467">
        <f t="shared" si="76"/>
        <v>0</v>
      </c>
      <c r="AS81" s="85">
        <f t="shared" si="77"/>
        <v>408</v>
      </c>
    </row>
    <row r="82" spans="1:61" s="81" customFormat="1" ht="12.75" customHeight="1" x14ac:dyDescent="0.2">
      <c r="B82" s="338">
        <v>77200</v>
      </c>
      <c r="C82" s="339">
        <v>77587.88</v>
      </c>
      <c r="D82" s="340" t="s">
        <v>15</v>
      </c>
      <c r="E82" s="340" t="s">
        <v>106</v>
      </c>
      <c r="F82" s="340" t="s">
        <v>111</v>
      </c>
      <c r="G82" s="103" t="str">
        <f t="shared" si="56"/>
        <v>F/C - C/B</v>
      </c>
      <c r="H82" s="26">
        <f t="shared" si="79"/>
        <v>2</v>
      </c>
      <c r="I82" s="27">
        <f t="shared" si="80"/>
        <v>0</v>
      </c>
      <c r="J82" s="27">
        <f t="shared" si="81"/>
        <v>14.078607407407576</v>
      </c>
      <c r="K82" s="27">
        <f t="shared" si="82"/>
        <v>-2.5858666666666976</v>
      </c>
      <c r="L82" s="341">
        <v>0</v>
      </c>
      <c r="M82" s="83">
        <f t="shared" si="57"/>
        <v>387.88000000000466</v>
      </c>
      <c r="N82" s="388">
        <v>43.42</v>
      </c>
      <c r="O82" s="389">
        <v>20</v>
      </c>
      <c r="P82" s="222">
        <f t="shared" si="78"/>
        <v>16842</v>
      </c>
      <c r="Q82" s="274">
        <f t="shared" si="58"/>
        <v>7758</v>
      </c>
      <c r="R82" s="398">
        <v>0</v>
      </c>
      <c r="S82" s="399">
        <v>0</v>
      </c>
      <c r="T82" s="221">
        <f t="shared" si="59"/>
        <v>16842</v>
      </c>
      <c r="U82" s="269">
        <f t="shared" si="59"/>
        <v>7758</v>
      </c>
      <c r="V82" s="348">
        <v>0</v>
      </c>
      <c r="W82" s="406">
        <v>0</v>
      </c>
      <c r="X82" s="407">
        <v>0</v>
      </c>
      <c r="Y82" s="414">
        <f t="shared" si="62"/>
        <v>0.97876444444444499</v>
      </c>
      <c r="Z82" s="415">
        <f t="shared" si="62"/>
        <v>0.43099999999999999</v>
      </c>
      <c r="AA82" s="402">
        <f t="shared" si="63"/>
        <v>1957.5288888888899</v>
      </c>
      <c r="AB82" s="403">
        <f t="shared" si="63"/>
        <v>862</v>
      </c>
      <c r="AC82" s="402">
        <f t="shared" si="64"/>
        <v>1957.5288888888899</v>
      </c>
      <c r="AD82" s="403">
        <f t="shared" si="65"/>
        <v>862</v>
      </c>
      <c r="AE82" s="402">
        <f t="shared" si="66"/>
        <v>58.138608000000033</v>
      </c>
      <c r="AF82" s="403">
        <f t="shared" si="67"/>
        <v>25.601399999999998</v>
      </c>
      <c r="AG82" s="351">
        <v>0</v>
      </c>
      <c r="AH82" s="425">
        <f t="shared" si="83"/>
        <v>597.78703703703707</v>
      </c>
      <c r="AI82" s="426">
        <f t="shared" si="68"/>
        <v>275.36111111111109</v>
      </c>
      <c r="AJ82" s="424">
        <f t="shared" si="69"/>
        <v>325.96749629629647</v>
      </c>
      <c r="AK82" s="429">
        <f t="shared" si="70"/>
        <v>143.66666666666666</v>
      </c>
      <c r="AL82" s="402">
        <f t="shared" si="84"/>
        <v>74.853333333333339</v>
      </c>
      <c r="AM82" s="403">
        <f t="shared" si="71"/>
        <v>34.480000000000004</v>
      </c>
      <c r="AN82" s="424">
        <f t="shared" si="72"/>
        <v>75.386355555555525</v>
      </c>
      <c r="AO82" s="429">
        <f t="shared" si="73"/>
        <v>35.916666666666664</v>
      </c>
      <c r="AP82" s="424">
        <f t="shared" si="74"/>
        <v>90.967592592592595</v>
      </c>
      <c r="AQ82" s="429">
        <f t="shared" si="75"/>
        <v>41.902777777777779</v>
      </c>
      <c r="AR82" s="467">
        <f t="shared" si="76"/>
        <v>0</v>
      </c>
      <c r="AS82" s="85">
        <f t="shared" si="77"/>
        <v>775.76000000000931</v>
      </c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 ht="12.75" customHeight="1" x14ac:dyDescent="0.2">
      <c r="B83" s="338">
        <v>77587.88</v>
      </c>
      <c r="C83" s="339">
        <v>77900.039999999994</v>
      </c>
      <c r="D83" s="340" t="s">
        <v>15</v>
      </c>
      <c r="E83" s="340" t="s">
        <v>106</v>
      </c>
      <c r="F83" s="340" t="s">
        <v>111</v>
      </c>
      <c r="G83" s="47" t="str">
        <f t="shared" si="56"/>
        <v>F/C - C/B</v>
      </c>
      <c r="H83" s="26">
        <f t="shared" si="79"/>
        <v>2</v>
      </c>
      <c r="I83" s="27">
        <f t="shared" si="80"/>
        <v>0</v>
      </c>
      <c r="J83" s="27">
        <f t="shared" si="81"/>
        <v>11.33025185185145</v>
      </c>
      <c r="K83" s="27">
        <f t="shared" si="82"/>
        <v>-2.0810666666665929</v>
      </c>
      <c r="L83" s="341">
        <v>0</v>
      </c>
      <c r="M83" s="83">
        <f t="shared" si="57"/>
        <v>312.15999999998894</v>
      </c>
      <c r="N83" s="388">
        <v>46.54</v>
      </c>
      <c r="O83" s="389">
        <v>20</v>
      </c>
      <c r="P83" s="222">
        <f t="shared" si="78"/>
        <v>14528</v>
      </c>
      <c r="Q83" s="274">
        <f t="shared" si="58"/>
        <v>6244</v>
      </c>
      <c r="R83" s="398">
        <v>0</v>
      </c>
      <c r="S83" s="399">
        <v>0</v>
      </c>
      <c r="T83" s="221">
        <f t="shared" si="59"/>
        <v>14528</v>
      </c>
      <c r="U83" s="269">
        <f t="shared" si="59"/>
        <v>6244</v>
      </c>
      <c r="V83" s="348">
        <v>0</v>
      </c>
      <c r="W83" s="406">
        <v>0</v>
      </c>
      <c r="X83" s="407">
        <v>0</v>
      </c>
      <c r="Y83" s="414">
        <f t="shared" si="62"/>
        <v>0.8417955555555543</v>
      </c>
      <c r="Z83" s="415">
        <f t="shared" si="62"/>
        <v>0.34688888888888891</v>
      </c>
      <c r="AA83" s="402">
        <f t="shared" si="63"/>
        <v>1683.5911111111086</v>
      </c>
      <c r="AB83" s="403">
        <f t="shared" si="63"/>
        <v>693.77777777777783</v>
      </c>
      <c r="AC83" s="402">
        <f t="shared" si="64"/>
        <v>1683.5911111111086</v>
      </c>
      <c r="AD83" s="403">
        <f t="shared" si="65"/>
        <v>693.77777777777783</v>
      </c>
      <c r="AE83" s="402">
        <f t="shared" si="66"/>
        <v>50.002655999999924</v>
      </c>
      <c r="AF83" s="403">
        <f t="shared" si="67"/>
        <v>20.6052</v>
      </c>
      <c r="AG83" s="351">
        <v>0</v>
      </c>
      <c r="AH83" s="425">
        <f t="shared" si="83"/>
        <v>515.65432098765427</v>
      </c>
      <c r="AI83" s="426">
        <f t="shared" si="68"/>
        <v>221.62345679012344</v>
      </c>
      <c r="AJ83" s="424">
        <f t="shared" si="69"/>
        <v>280.36728888888848</v>
      </c>
      <c r="AK83" s="429">
        <f t="shared" si="70"/>
        <v>115.62962962962963</v>
      </c>
      <c r="AL83" s="402">
        <f t="shared" si="84"/>
        <v>64.568888888888893</v>
      </c>
      <c r="AM83" s="403">
        <f t="shared" si="71"/>
        <v>27.751111111111115</v>
      </c>
      <c r="AN83" s="424">
        <f t="shared" si="72"/>
        <v>65.178192592592666</v>
      </c>
      <c r="AO83" s="429">
        <f t="shared" si="73"/>
        <v>28.907407407407408</v>
      </c>
      <c r="AP83" s="424">
        <f t="shared" si="74"/>
        <v>78.469135802469125</v>
      </c>
      <c r="AQ83" s="429">
        <f t="shared" si="75"/>
        <v>33.72530864197531</v>
      </c>
      <c r="AR83" s="467">
        <f t="shared" si="76"/>
        <v>0</v>
      </c>
      <c r="AS83" s="85">
        <f t="shared" si="77"/>
        <v>624.31999999997788</v>
      </c>
    </row>
    <row r="84" spans="1:61" ht="12.75" customHeight="1" x14ac:dyDescent="0.2">
      <c r="B84" s="338">
        <v>77900.039999999994</v>
      </c>
      <c r="C84" s="339">
        <v>78637.72</v>
      </c>
      <c r="D84" s="340" t="s">
        <v>15</v>
      </c>
      <c r="E84" s="340" t="s">
        <v>105</v>
      </c>
      <c r="F84" s="340" t="s">
        <v>111</v>
      </c>
      <c r="G84" s="47" t="str">
        <f t="shared" si="56"/>
        <v>E/S - C/B</v>
      </c>
      <c r="H84" s="26">
        <f t="shared" si="79"/>
        <v>1.5</v>
      </c>
      <c r="I84" s="27">
        <f t="shared" si="80"/>
        <v>15.573244444444603</v>
      </c>
      <c r="J84" s="27">
        <f t="shared" si="81"/>
        <v>18.305392592592781</v>
      </c>
      <c r="K84" s="27">
        <f t="shared" si="82"/>
        <v>-4.9178666666667175</v>
      </c>
      <c r="L84" s="341">
        <v>0</v>
      </c>
      <c r="M84" s="83">
        <f t="shared" si="57"/>
        <v>737.68000000000757</v>
      </c>
      <c r="N84" s="388">
        <v>55.04</v>
      </c>
      <c r="O84" s="389">
        <v>20</v>
      </c>
      <c r="P84" s="222">
        <f t="shared" si="78"/>
        <v>40602</v>
      </c>
      <c r="Q84" s="274">
        <f t="shared" si="58"/>
        <v>14754</v>
      </c>
      <c r="R84" s="398">
        <v>0</v>
      </c>
      <c r="S84" s="399">
        <v>0</v>
      </c>
      <c r="T84" s="221">
        <f t="shared" si="59"/>
        <v>40602</v>
      </c>
      <c r="U84" s="269">
        <f t="shared" si="59"/>
        <v>14754</v>
      </c>
      <c r="V84" s="348">
        <v>0</v>
      </c>
      <c r="W84" s="406">
        <v>0</v>
      </c>
      <c r="X84" s="407">
        <v>0</v>
      </c>
      <c r="Y84" s="414">
        <f t="shared" si="62"/>
        <v>2.3171400000000006</v>
      </c>
      <c r="Z84" s="415">
        <f t="shared" si="62"/>
        <v>0.81966666666666665</v>
      </c>
      <c r="AA84" s="402">
        <f t="shared" si="63"/>
        <v>4634.2800000000016</v>
      </c>
      <c r="AB84" s="403">
        <f t="shared" si="63"/>
        <v>1639.3333333333333</v>
      </c>
      <c r="AC84" s="402">
        <f t="shared" si="64"/>
        <v>4634.2800000000016</v>
      </c>
      <c r="AD84" s="403">
        <f t="shared" si="65"/>
        <v>1639.3333333333333</v>
      </c>
      <c r="AE84" s="402">
        <f t="shared" si="66"/>
        <v>137.63811600000002</v>
      </c>
      <c r="AF84" s="403">
        <f t="shared" si="67"/>
        <v>48.688199999999995</v>
      </c>
      <c r="AG84" s="351">
        <v>0</v>
      </c>
      <c r="AH84" s="425">
        <f t="shared" si="83"/>
        <v>1456.693614814815</v>
      </c>
      <c r="AI84" s="426">
        <f t="shared" si="68"/>
        <v>523.67592592592598</v>
      </c>
      <c r="AJ84" s="424">
        <f t="shared" si="69"/>
        <v>770.19428148148165</v>
      </c>
      <c r="AK84" s="429">
        <f t="shared" si="70"/>
        <v>273.22222222222223</v>
      </c>
      <c r="AL84" s="402">
        <f t="shared" si="84"/>
        <v>180.45333333333332</v>
      </c>
      <c r="AM84" s="403">
        <f t="shared" si="71"/>
        <v>65.573333333333338</v>
      </c>
      <c r="AN84" s="424">
        <f t="shared" si="72"/>
        <v>183.0543555555555</v>
      </c>
      <c r="AO84" s="429">
        <f t="shared" si="73"/>
        <v>68.305555555555557</v>
      </c>
      <c r="AP84" s="424">
        <f t="shared" si="74"/>
        <v>219.30092592592592</v>
      </c>
      <c r="AQ84" s="429">
        <f t="shared" si="75"/>
        <v>79.68981481481481</v>
      </c>
      <c r="AR84" s="467">
        <f t="shared" si="76"/>
        <v>14.799135802469287</v>
      </c>
      <c r="AS84" s="85">
        <f t="shared" si="77"/>
        <v>1475.3600000000151</v>
      </c>
    </row>
    <row r="85" spans="1:61" ht="12.75" customHeight="1" x14ac:dyDescent="0.2">
      <c r="B85" s="338">
        <v>78637.72</v>
      </c>
      <c r="C85" s="339">
        <v>78687.41</v>
      </c>
      <c r="D85" s="340" t="s">
        <v>15</v>
      </c>
      <c r="E85" s="340" t="s">
        <v>105</v>
      </c>
      <c r="F85" s="340" t="s">
        <v>111</v>
      </c>
      <c r="G85" s="47" t="str">
        <f t="shared" si="56"/>
        <v>E/S - C/B</v>
      </c>
      <c r="H85" s="26">
        <f t="shared" si="79"/>
        <v>1.5</v>
      </c>
      <c r="I85" s="27">
        <f t="shared" si="80"/>
        <v>1.0490111111111602</v>
      </c>
      <c r="J85" s="27">
        <f t="shared" si="81"/>
        <v>1.2330481481482058</v>
      </c>
      <c r="K85" s="27">
        <f t="shared" si="82"/>
        <v>-0.3312666666666822</v>
      </c>
      <c r="L85" s="341">
        <v>0</v>
      </c>
      <c r="M85" s="83">
        <f t="shared" si="57"/>
        <v>49.690000000002328</v>
      </c>
      <c r="N85" s="388">
        <v>61.55</v>
      </c>
      <c r="O85" s="389">
        <v>20</v>
      </c>
      <c r="P85" s="222">
        <f t="shared" si="78"/>
        <v>3059</v>
      </c>
      <c r="Q85" s="274">
        <f t="shared" si="58"/>
        <v>994</v>
      </c>
      <c r="R85" s="398">
        <v>0</v>
      </c>
      <c r="S85" s="399">
        <v>0</v>
      </c>
      <c r="T85" s="221">
        <f t="shared" si="59"/>
        <v>3059</v>
      </c>
      <c r="U85" s="269">
        <f t="shared" si="59"/>
        <v>994</v>
      </c>
      <c r="V85" s="348">
        <v>0</v>
      </c>
      <c r="W85" s="406">
        <v>0</v>
      </c>
      <c r="X85" s="407">
        <v>0</v>
      </c>
      <c r="Y85" s="414">
        <f t="shared" si="62"/>
        <v>0.17408527777777796</v>
      </c>
      <c r="Z85" s="415">
        <f t="shared" si="62"/>
        <v>5.5222222222222221E-2</v>
      </c>
      <c r="AA85" s="402">
        <f t="shared" si="63"/>
        <v>348.17055555555595</v>
      </c>
      <c r="AB85" s="403">
        <f t="shared" si="63"/>
        <v>110.44444444444444</v>
      </c>
      <c r="AC85" s="402">
        <f t="shared" si="64"/>
        <v>348.17055555555595</v>
      </c>
      <c r="AD85" s="403">
        <f t="shared" si="65"/>
        <v>110.44444444444444</v>
      </c>
      <c r="AE85" s="402">
        <f t="shared" si="66"/>
        <v>10.340665500000012</v>
      </c>
      <c r="AF85" s="403">
        <f t="shared" si="67"/>
        <v>3.2801999999999998</v>
      </c>
      <c r="AG85" s="351">
        <v>0</v>
      </c>
      <c r="AH85" s="425">
        <f t="shared" si="83"/>
        <v>109.62462839506176</v>
      </c>
      <c r="AI85" s="426">
        <f t="shared" si="68"/>
        <v>35.280864197530867</v>
      </c>
      <c r="AJ85" s="424">
        <f t="shared" si="69"/>
        <v>57.881196296296352</v>
      </c>
      <c r="AK85" s="429">
        <f t="shared" si="70"/>
        <v>18.407407407407408</v>
      </c>
      <c r="AL85" s="402">
        <f t="shared" si="84"/>
        <v>13.595555555555556</v>
      </c>
      <c r="AM85" s="403">
        <f t="shared" si="71"/>
        <v>4.4177777777777782</v>
      </c>
      <c r="AN85" s="424">
        <f t="shared" si="72"/>
        <v>13.830770370370354</v>
      </c>
      <c r="AO85" s="429">
        <f t="shared" si="73"/>
        <v>4.6018518518518521</v>
      </c>
      <c r="AP85" s="424">
        <f t="shared" si="74"/>
        <v>16.522376543209877</v>
      </c>
      <c r="AQ85" s="429">
        <f t="shared" si="75"/>
        <v>5.3688271604938276</v>
      </c>
      <c r="AR85" s="467">
        <f t="shared" si="76"/>
        <v>0.99686728395066393</v>
      </c>
      <c r="AS85" s="85">
        <f t="shared" si="77"/>
        <v>99.380000000004657</v>
      </c>
    </row>
    <row r="86" spans="1:61" ht="12.75" customHeight="1" x14ac:dyDescent="0.2">
      <c r="B86" s="338">
        <v>78687.41</v>
      </c>
      <c r="C86" s="339">
        <v>78882.06</v>
      </c>
      <c r="D86" s="340" t="s">
        <v>15</v>
      </c>
      <c r="E86" s="340" t="s">
        <v>105</v>
      </c>
      <c r="F86" s="340" t="s">
        <v>111</v>
      </c>
      <c r="G86" s="47" t="str">
        <f t="shared" si="56"/>
        <v>E/S - C/B</v>
      </c>
      <c r="H86" s="26">
        <f t="shared" si="79"/>
        <v>1.5</v>
      </c>
      <c r="I86" s="27">
        <f t="shared" si="80"/>
        <v>4.1092777777776544</v>
      </c>
      <c r="J86" s="27">
        <f t="shared" si="81"/>
        <v>4.8302037037035594</v>
      </c>
      <c r="K86" s="27">
        <f t="shared" si="82"/>
        <v>-1.2976666666666277</v>
      </c>
      <c r="L86" s="341">
        <v>0</v>
      </c>
      <c r="M86" s="83">
        <f t="shared" si="57"/>
        <v>194.64999999999418</v>
      </c>
      <c r="N86" s="388" t="s">
        <v>101</v>
      </c>
      <c r="O86" s="389" t="s">
        <v>101</v>
      </c>
      <c r="P86" s="222">
        <f t="shared" si="78"/>
        <v>0</v>
      </c>
      <c r="Q86" s="274">
        <f t="shared" si="58"/>
        <v>0</v>
      </c>
      <c r="R86" s="398">
        <v>12713</v>
      </c>
      <c r="S86" s="399">
        <v>3893</v>
      </c>
      <c r="T86" s="221">
        <f t="shared" si="59"/>
        <v>12713</v>
      </c>
      <c r="U86" s="269">
        <f t="shared" si="59"/>
        <v>3893</v>
      </c>
      <c r="V86" s="348">
        <v>0</v>
      </c>
      <c r="W86" s="406">
        <v>0</v>
      </c>
      <c r="X86" s="407">
        <v>0</v>
      </c>
      <c r="Y86" s="414">
        <f t="shared" si="62"/>
        <v>0.72249861111111069</v>
      </c>
      <c r="Z86" s="415">
        <f t="shared" si="62"/>
        <v>0.21627777777777776</v>
      </c>
      <c r="AA86" s="402">
        <f t="shared" si="63"/>
        <v>1444.9972222222214</v>
      </c>
      <c r="AB86" s="403">
        <f t="shared" si="63"/>
        <v>432.55555555555554</v>
      </c>
      <c r="AC86" s="402">
        <f t="shared" si="64"/>
        <v>1444.9972222222214</v>
      </c>
      <c r="AD86" s="403">
        <f t="shared" si="65"/>
        <v>432.55555555555554</v>
      </c>
      <c r="AE86" s="402">
        <f t="shared" si="66"/>
        <v>42.916417499999973</v>
      </c>
      <c r="AF86" s="403">
        <f t="shared" si="67"/>
        <v>12.846899999999998</v>
      </c>
      <c r="AG86" s="351">
        <v>0</v>
      </c>
      <c r="AH86" s="425">
        <f t="shared" si="83"/>
        <v>455.34230246913569</v>
      </c>
      <c r="AI86" s="426">
        <f t="shared" si="68"/>
        <v>138.17746913580245</v>
      </c>
      <c r="AJ86" s="424">
        <f t="shared" si="69"/>
        <v>240.25612962962947</v>
      </c>
      <c r="AK86" s="429">
        <f t="shared" si="70"/>
        <v>72.092592592592595</v>
      </c>
      <c r="AL86" s="402">
        <f t="shared" si="84"/>
        <v>56.50222222222223</v>
      </c>
      <c r="AM86" s="403">
        <f t="shared" si="71"/>
        <v>17.302222222222223</v>
      </c>
      <c r="AN86" s="424">
        <f t="shared" si="72"/>
        <v>57.558814814814852</v>
      </c>
      <c r="AO86" s="429">
        <f t="shared" si="73"/>
        <v>18.023148148148149</v>
      </c>
      <c r="AP86" s="424">
        <f t="shared" si="74"/>
        <v>68.665895061728392</v>
      </c>
      <c r="AQ86" s="429">
        <f t="shared" si="75"/>
        <v>21.027006172839506</v>
      </c>
      <c r="AR86" s="467">
        <f t="shared" si="76"/>
        <v>3.9050154320986485</v>
      </c>
      <c r="AS86" s="85">
        <f t="shared" si="77"/>
        <v>389.29999999998836</v>
      </c>
    </row>
    <row r="87" spans="1:61" ht="12.75" customHeight="1" x14ac:dyDescent="0.2">
      <c r="B87" s="338">
        <v>78882.06</v>
      </c>
      <c r="C87" s="339">
        <v>79600</v>
      </c>
      <c r="D87" s="340" t="s">
        <v>15</v>
      </c>
      <c r="E87" s="340" t="s">
        <v>105</v>
      </c>
      <c r="F87" s="340" t="s">
        <v>111</v>
      </c>
      <c r="G87" s="47" t="str">
        <f t="shared" si="56"/>
        <v>E/S - C/B</v>
      </c>
      <c r="H87" s="26">
        <f t="shared" si="79"/>
        <v>1.5</v>
      </c>
      <c r="I87" s="27">
        <f t="shared" si="80"/>
        <v>15.156511111111159</v>
      </c>
      <c r="J87" s="27">
        <f t="shared" si="81"/>
        <v>17.815548148148206</v>
      </c>
      <c r="K87" s="27">
        <f t="shared" si="82"/>
        <v>-4.7862666666666822</v>
      </c>
      <c r="L87" s="341">
        <v>0</v>
      </c>
      <c r="M87" s="83">
        <f t="shared" si="57"/>
        <v>717.94000000000233</v>
      </c>
      <c r="N87" s="388">
        <v>41.42</v>
      </c>
      <c r="O87" s="389">
        <v>20</v>
      </c>
      <c r="P87" s="222">
        <f t="shared" si="78"/>
        <v>29738</v>
      </c>
      <c r="Q87" s="274">
        <f t="shared" si="58"/>
        <v>14359</v>
      </c>
      <c r="R87" s="398">
        <v>0</v>
      </c>
      <c r="S87" s="399">
        <v>0</v>
      </c>
      <c r="T87" s="221">
        <f t="shared" si="59"/>
        <v>29738</v>
      </c>
      <c r="U87" s="269">
        <f t="shared" si="59"/>
        <v>14359</v>
      </c>
      <c r="V87" s="348">
        <v>0</v>
      </c>
      <c r="W87" s="406">
        <v>0</v>
      </c>
      <c r="X87" s="407">
        <v>0</v>
      </c>
      <c r="Y87" s="414">
        <f t="shared" si="62"/>
        <v>1.7119394444444447</v>
      </c>
      <c r="Z87" s="415">
        <f t="shared" si="62"/>
        <v>0.79772222222222222</v>
      </c>
      <c r="AA87" s="402">
        <f t="shared" si="63"/>
        <v>3423.8788888888894</v>
      </c>
      <c r="AB87" s="403">
        <f t="shared" si="63"/>
        <v>1595.4444444444443</v>
      </c>
      <c r="AC87" s="402">
        <f t="shared" si="64"/>
        <v>3423.8788888888894</v>
      </c>
      <c r="AD87" s="403">
        <f t="shared" si="65"/>
        <v>1595.4444444444443</v>
      </c>
      <c r="AE87" s="402">
        <f t="shared" si="66"/>
        <v>101.68920300000003</v>
      </c>
      <c r="AF87" s="403">
        <f t="shared" si="67"/>
        <v>47.384699999999995</v>
      </c>
      <c r="AG87" s="351">
        <v>0</v>
      </c>
      <c r="AH87" s="425">
        <f t="shared" si="83"/>
        <v>1070.6719432098766</v>
      </c>
      <c r="AI87" s="426">
        <f t="shared" si="68"/>
        <v>509.65586419753089</v>
      </c>
      <c r="AJ87" s="424">
        <f t="shared" si="69"/>
        <v>568.51925185185189</v>
      </c>
      <c r="AK87" s="429">
        <f t="shared" si="70"/>
        <v>265.90740740740739</v>
      </c>
      <c r="AL87" s="402">
        <f t="shared" si="84"/>
        <v>132.16888888888889</v>
      </c>
      <c r="AM87" s="403">
        <f t="shared" si="71"/>
        <v>63.817777777777778</v>
      </c>
      <c r="AN87" s="424">
        <f t="shared" si="72"/>
        <v>132.88965925925925</v>
      </c>
      <c r="AO87" s="429">
        <f t="shared" si="73"/>
        <v>66.476851851851848</v>
      </c>
      <c r="AP87" s="424">
        <f t="shared" si="74"/>
        <v>160.62191358024691</v>
      </c>
      <c r="AQ87" s="429">
        <f t="shared" si="75"/>
        <v>77.556327160493836</v>
      </c>
      <c r="AR87" s="467">
        <f t="shared" si="76"/>
        <v>14.403117283950664</v>
      </c>
      <c r="AS87" s="85">
        <f t="shared" si="77"/>
        <v>1435.8800000000047</v>
      </c>
    </row>
    <row r="88" spans="1:61" s="81" customFormat="1" ht="12.75" customHeight="1" x14ac:dyDescent="0.2">
      <c r="B88" s="338">
        <v>79600</v>
      </c>
      <c r="C88" s="339">
        <v>79939.679999999993</v>
      </c>
      <c r="D88" s="340" t="s">
        <v>15</v>
      </c>
      <c r="E88" s="340" t="s">
        <v>105</v>
      </c>
      <c r="F88" s="340" t="s">
        <v>111</v>
      </c>
      <c r="G88" s="103" t="str">
        <f t="shared" si="56"/>
        <v>E/S - C/B</v>
      </c>
      <c r="H88" s="26">
        <f t="shared" si="79"/>
        <v>1.5</v>
      </c>
      <c r="I88" s="27">
        <f t="shared" si="80"/>
        <v>7.1710222222220743</v>
      </c>
      <c r="J88" s="27">
        <f t="shared" si="81"/>
        <v>8.4290962962961231</v>
      </c>
      <c r="K88" s="27">
        <f t="shared" si="82"/>
        <v>-2.2645333333332864</v>
      </c>
      <c r="L88" s="341">
        <v>1</v>
      </c>
      <c r="M88" s="492">
        <f t="shared" ref="M88" si="85">C88-B88</f>
        <v>339.67999999999302</v>
      </c>
      <c r="N88" s="388">
        <v>41.42</v>
      </c>
      <c r="O88" s="389">
        <v>20</v>
      </c>
      <c r="P88" s="222">
        <f t="shared" ref="P88" si="86">IF(N88="-",0,ROUNDUP($M88*N88,0))</f>
        <v>14070</v>
      </c>
      <c r="Q88" s="274">
        <f t="shared" ref="Q88" si="87">IF($O88="-",0,ROUNDUP($M88*O88,0))</f>
        <v>6794</v>
      </c>
      <c r="R88" s="398">
        <v>0</v>
      </c>
      <c r="S88" s="399">
        <v>0</v>
      </c>
      <c r="T88" s="221">
        <f t="shared" ref="T88" si="88">P88+R88</f>
        <v>14070</v>
      </c>
      <c r="U88" s="269">
        <f t="shared" ref="U88" si="89">Q88+S88</f>
        <v>6794</v>
      </c>
      <c r="V88" s="348">
        <v>0</v>
      </c>
      <c r="W88" s="402">
        <f t="shared" ref="W88" si="90">IF(OR($A88="APP SLAB",T88=0),0,(T88+$H88*$M88)/9)</f>
        <v>1619.9466666666656</v>
      </c>
      <c r="X88" s="403">
        <f t="shared" ref="X88" si="91">IF($A88="APP SLAB",0,U88/9)</f>
        <v>754.88888888888891</v>
      </c>
      <c r="Y88" s="414">
        <f t="shared" ref="Y88" si="92">IF(AND(W88=0,AA88=0),0,IF(AA88=0,W88/2000,AA88/2000))</f>
        <v>0.80997333333333277</v>
      </c>
      <c r="Z88" s="415">
        <f t="shared" ref="Z88" si="93">IF(AND(X88=0,AB88=0),0,IF(AB88=0,X88/2000,AB88/2000))</f>
        <v>0.37744444444444447</v>
      </c>
      <c r="AA88" s="402">
        <f t="shared" ref="AA88" si="94">IF(OR($A88="APP SLAB",W88&lt;&gt;0),0,AC88)</f>
        <v>0</v>
      </c>
      <c r="AB88" s="403">
        <f t="shared" ref="AB88" si="95">IF(OR($A88="APP SLAB",X88&lt;&gt;0),0,AD88)</f>
        <v>0</v>
      </c>
      <c r="AC88" s="402">
        <f t="shared" ref="AC88" si="96">IF(OR($A88="APP SLAB",W88&lt;&gt;0),0,(T88+$H88*$M88)/9)</f>
        <v>0</v>
      </c>
      <c r="AD88" s="403">
        <f t="shared" ref="AD88" si="97">IF(OR($A88="APP SLAB",X88&lt;&gt;0),0,U88/9)</f>
        <v>0</v>
      </c>
      <c r="AE88" s="402">
        <f t="shared" ref="AE88" si="98">IF(OR($A88="APP SLAB",W88&lt;&gt;0),0,$AC$1*AC88*110*0.06*0.75/2000)</f>
        <v>0</v>
      </c>
      <c r="AF88" s="403">
        <f t="shared" ref="AF88" si="99">IF(OR($A88="APP SLAB",X88&lt;&gt;0),0,$AC$1*AD88*110*0.06*0.75/2000)</f>
        <v>0</v>
      </c>
      <c r="AG88" s="351">
        <v>1</v>
      </c>
      <c r="AH88" s="425">
        <f t="shared" ref="AH88" si="100">IF(A88="APP SLAB",0,(T88*$AH$1/12)/27+I88)</f>
        <v>506.56917037037022</v>
      </c>
      <c r="AI88" s="426">
        <f t="shared" ref="AI88" si="101">IF($A88="APP SLAB",0,(U88*$AH$1/12)/27)</f>
        <v>241.14506172839506</v>
      </c>
      <c r="AJ88" s="424">
        <f t="shared" ref="AJ88" si="102">(T88*$AJ$1/12)/27+J88</f>
        <v>268.98465185185165</v>
      </c>
      <c r="AK88" s="429">
        <f t="shared" ref="AK88" si="103">(U88*$AJ$1/12)/27</f>
        <v>125.81481481481481</v>
      </c>
      <c r="AL88" s="402">
        <f t="shared" ref="AL88" si="104">IF(A88="APP SLAB",0,(T88/9)*$AL$1)</f>
        <v>62.533333333333331</v>
      </c>
      <c r="AM88" s="403">
        <f t="shared" ref="AM88" si="105">IF($A88="APP SLAB",0,(U88/9)*$AL$1)</f>
        <v>30.195555555555558</v>
      </c>
      <c r="AN88" s="424">
        <f t="shared" ref="AN88" si="106">IF(A88="APP SLAB",0,(T88*($AN$1/12))/27+K88)</f>
        <v>62.874355555555596</v>
      </c>
      <c r="AO88" s="429">
        <f t="shared" ref="AO88" si="107">IF($A88="APP SLAB",0,(U88*($AN$1/12))/27)</f>
        <v>31.453703703703702</v>
      </c>
      <c r="AP88" s="424">
        <f t="shared" ref="AP88" si="108">IF(A88="APP SLAB",0,(T88*$AP$1/12)/27+L88)</f>
        <v>76.995370370370367</v>
      </c>
      <c r="AQ88" s="429">
        <f t="shared" ref="AQ88" si="109">IF($A88="APP SLAB",0,(U88*$AP$1/12)/27)</f>
        <v>36.695987654320987</v>
      </c>
      <c r="AR88" s="510">
        <f t="shared" si="76"/>
        <v>6.8145679012344278</v>
      </c>
      <c r="AS88" s="493">
        <f t="shared" ref="AS88" si="110">IF(A88="APP SLAB",0,(M88*2))</f>
        <v>679.35999999998603</v>
      </c>
    </row>
    <row r="89" spans="1:61" ht="12.75" customHeight="1" x14ac:dyDescent="0.2">
      <c r="B89" s="338">
        <v>79939.679999999993</v>
      </c>
      <c r="C89" s="339">
        <v>80563.53</v>
      </c>
      <c r="D89" s="340" t="s">
        <v>15</v>
      </c>
      <c r="E89" s="340" t="s">
        <v>106</v>
      </c>
      <c r="F89" s="340" t="s">
        <v>111</v>
      </c>
      <c r="G89" s="47" t="str">
        <f t="shared" si="56"/>
        <v>F/C - C/B</v>
      </c>
      <c r="H89" s="26">
        <f t="shared" si="79"/>
        <v>2</v>
      </c>
      <c r="I89" s="27">
        <f t="shared" si="80"/>
        <v>0</v>
      </c>
      <c r="J89" s="27">
        <f t="shared" si="81"/>
        <v>22.643444444444658</v>
      </c>
      <c r="K89" s="27">
        <f t="shared" si="82"/>
        <v>-4.1590000000000389</v>
      </c>
      <c r="L89" s="341">
        <v>0</v>
      </c>
      <c r="M89" s="83">
        <f t="shared" si="57"/>
        <v>623.85000000000582</v>
      </c>
      <c r="N89" s="388">
        <v>43.42</v>
      </c>
      <c r="O89" s="389">
        <v>20</v>
      </c>
      <c r="P89" s="222">
        <f t="shared" si="78"/>
        <v>27088</v>
      </c>
      <c r="Q89" s="274">
        <f t="shared" si="58"/>
        <v>12478</v>
      </c>
      <c r="R89" s="398">
        <v>0</v>
      </c>
      <c r="S89" s="399">
        <v>0</v>
      </c>
      <c r="T89" s="221">
        <f t="shared" si="59"/>
        <v>27088</v>
      </c>
      <c r="U89" s="269">
        <f t="shared" si="59"/>
        <v>12478</v>
      </c>
      <c r="V89" s="348">
        <v>0</v>
      </c>
      <c r="W89" s="402">
        <f t="shared" ref="W89:W97" si="111">IF(OR($A89="APP SLAB",T89=0),0,(T89+$H89*$M89)/9)</f>
        <v>3148.4111111111124</v>
      </c>
      <c r="X89" s="403">
        <f t="shared" ref="X89:X97" si="112">IF($A89="APP SLAB",0,U89/9)</f>
        <v>1386.4444444444443</v>
      </c>
      <c r="Y89" s="414">
        <f t="shared" si="62"/>
        <v>1.5742055555555563</v>
      </c>
      <c r="Z89" s="415">
        <f t="shared" si="62"/>
        <v>0.69322222222222218</v>
      </c>
      <c r="AA89" s="402">
        <f t="shared" si="63"/>
        <v>0</v>
      </c>
      <c r="AB89" s="403">
        <f t="shared" si="63"/>
        <v>0</v>
      </c>
      <c r="AC89" s="402">
        <f t="shared" si="64"/>
        <v>0</v>
      </c>
      <c r="AD89" s="403">
        <f t="shared" si="65"/>
        <v>0</v>
      </c>
      <c r="AE89" s="402">
        <f t="shared" si="66"/>
        <v>0</v>
      </c>
      <c r="AF89" s="403">
        <f t="shared" si="67"/>
        <v>0</v>
      </c>
      <c r="AG89" s="351">
        <v>0</v>
      </c>
      <c r="AH89" s="425">
        <f t="shared" si="83"/>
        <v>961.4567901234567</v>
      </c>
      <c r="AI89" s="426">
        <f t="shared" si="68"/>
        <v>442.89197530864197</v>
      </c>
      <c r="AJ89" s="424">
        <f t="shared" si="69"/>
        <v>524.27307407407432</v>
      </c>
      <c r="AK89" s="429">
        <f t="shared" si="70"/>
        <v>231.07407407407408</v>
      </c>
      <c r="AL89" s="402">
        <f t="shared" si="84"/>
        <v>120.39111111111112</v>
      </c>
      <c r="AM89" s="403">
        <f t="shared" si="71"/>
        <v>55.457777777777778</v>
      </c>
      <c r="AN89" s="424">
        <f t="shared" si="72"/>
        <v>121.24840740740737</v>
      </c>
      <c r="AO89" s="429">
        <f t="shared" si="73"/>
        <v>57.768518518518519</v>
      </c>
      <c r="AP89" s="424">
        <f t="shared" si="74"/>
        <v>146.30864197530866</v>
      </c>
      <c r="AQ89" s="429">
        <f t="shared" si="75"/>
        <v>67.396604938271608</v>
      </c>
      <c r="AR89" s="467">
        <f t="shared" si="76"/>
        <v>0</v>
      </c>
      <c r="AS89" s="85">
        <f t="shared" si="77"/>
        <v>1247.7000000000116</v>
      </c>
    </row>
    <row r="90" spans="1:61" ht="12.75" customHeight="1" x14ac:dyDescent="0.2">
      <c r="B90" s="338">
        <v>80563.53</v>
      </c>
      <c r="C90" s="339">
        <v>80591.100000000006</v>
      </c>
      <c r="D90" s="340" t="s">
        <v>15</v>
      </c>
      <c r="E90" s="340" t="s">
        <v>101</v>
      </c>
      <c r="F90" s="340" t="s">
        <v>111</v>
      </c>
      <c r="G90" s="47" t="str">
        <f t="shared" si="56"/>
        <v>-</v>
      </c>
      <c r="H90" s="342">
        <v>0</v>
      </c>
      <c r="I90" s="341">
        <v>0</v>
      </c>
      <c r="J90" s="341">
        <v>0</v>
      </c>
      <c r="K90" s="341">
        <v>-0.18</v>
      </c>
      <c r="L90" s="341">
        <v>0</v>
      </c>
      <c r="M90" s="83">
        <f t="shared" si="57"/>
        <v>27.570000000006985</v>
      </c>
      <c r="N90" s="388" t="s">
        <v>101</v>
      </c>
      <c r="O90" s="389" t="s">
        <v>101</v>
      </c>
      <c r="P90" s="222">
        <f t="shared" si="78"/>
        <v>0</v>
      </c>
      <c r="Q90" s="274">
        <f t="shared" si="58"/>
        <v>0</v>
      </c>
      <c r="R90" s="398">
        <v>599</v>
      </c>
      <c r="S90" s="399">
        <v>276</v>
      </c>
      <c r="T90" s="221">
        <f t="shared" si="59"/>
        <v>599</v>
      </c>
      <c r="U90" s="269">
        <f t="shared" si="59"/>
        <v>276</v>
      </c>
      <c r="V90" s="348">
        <v>0</v>
      </c>
      <c r="W90" s="402">
        <f t="shared" si="111"/>
        <v>66.555555555555557</v>
      </c>
      <c r="X90" s="403">
        <f t="shared" si="112"/>
        <v>30.666666666666668</v>
      </c>
      <c r="Y90" s="414">
        <f t="shared" si="62"/>
        <v>3.3277777777777781E-2</v>
      </c>
      <c r="Z90" s="415">
        <f t="shared" si="62"/>
        <v>1.5333333333333334E-2</v>
      </c>
      <c r="AA90" s="402">
        <f t="shared" si="63"/>
        <v>0</v>
      </c>
      <c r="AB90" s="403">
        <f t="shared" si="63"/>
        <v>0</v>
      </c>
      <c r="AC90" s="402">
        <f t="shared" si="64"/>
        <v>0</v>
      </c>
      <c r="AD90" s="403">
        <f t="shared" si="65"/>
        <v>0</v>
      </c>
      <c r="AE90" s="402">
        <f t="shared" si="66"/>
        <v>0</v>
      </c>
      <c r="AF90" s="403">
        <f t="shared" si="67"/>
        <v>0</v>
      </c>
      <c r="AG90" s="351">
        <v>0</v>
      </c>
      <c r="AH90" s="425">
        <f t="shared" si="83"/>
        <v>21.2608024691358</v>
      </c>
      <c r="AI90" s="426">
        <f t="shared" si="68"/>
        <v>9.7962962962962958</v>
      </c>
      <c r="AJ90" s="424">
        <f t="shared" si="69"/>
        <v>11.092592592592593</v>
      </c>
      <c r="AK90" s="429">
        <f t="shared" si="70"/>
        <v>5.1111111111111107</v>
      </c>
      <c r="AL90" s="402">
        <f t="shared" si="84"/>
        <v>2.6622222222222223</v>
      </c>
      <c r="AM90" s="403">
        <f t="shared" si="71"/>
        <v>1.2266666666666668</v>
      </c>
      <c r="AN90" s="424">
        <f t="shared" si="72"/>
        <v>2.5931481481481482</v>
      </c>
      <c r="AO90" s="429">
        <f t="shared" si="73"/>
        <v>1.2777777777777777</v>
      </c>
      <c r="AP90" s="424">
        <f t="shared" si="74"/>
        <v>3.2353395061728398</v>
      </c>
      <c r="AQ90" s="429">
        <f t="shared" si="75"/>
        <v>1.4907407407407407</v>
      </c>
      <c r="AR90" s="467">
        <f t="shared" si="76"/>
        <v>0</v>
      </c>
      <c r="AS90" s="85">
        <f t="shared" si="77"/>
        <v>55.14000000001397</v>
      </c>
    </row>
    <row r="91" spans="1:61" ht="12.75" customHeight="1" x14ac:dyDescent="0.2">
      <c r="A91" s="48" t="s">
        <v>28</v>
      </c>
      <c r="B91" s="338">
        <v>80591.100000000006</v>
      </c>
      <c r="C91" s="339">
        <v>80621.100000000006</v>
      </c>
      <c r="D91" s="340" t="s">
        <v>15</v>
      </c>
      <c r="E91" s="340" t="s">
        <v>101</v>
      </c>
      <c r="F91" s="340" t="s">
        <v>101</v>
      </c>
      <c r="G91" s="47" t="str">
        <f t="shared" si="56"/>
        <v>-</v>
      </c>
      <c r="H91" s="26">
        <f>IF(AND($E91=$AU$2,$F91=$AU$2),2*$AW$12,IF(OR(AND($E91=$AU$2, $F91=$AU$3),AND($E91=$AU$3,$F91=$AU$2)),$AW$12+$AW$13,IF(OR(AND($E91=$AU$2,$F91=$AU$4),AND($E91=$AU$4,$F91=$AU$2)),$AW$12,IF(OR(AND($E91=$AU$3,$F91=$AU$4),AND($E91=$AU$4,$F91=$AU$3)),$AW$13,IF(AND($E91=$AU$3,$F91=$AU$3),2*$AW$13,0)))))</f>
        <v>0</v>
      </c>
      <c r="I91" s="27">
        <f>IF(AND($E91=$AU$2,$F91=$AU$2),2*$AZ$12*$M91/27,IF(OR(AND($E91=$AU$2,$F91=$AU$3),AND($E91=$AU$3,$F91=$AU$2)),$AZ$12*$M91/27,IF(OR(AND($E91=$AU$2,$F91=$AU$4),AND($E91=$AU$4,$F91=$AU$2)),$AZ$12*$M91/27,0)))</f>
        <v>0</v>
      </c>
      <c r="J91" s="27">
        <f>IF(AND($E91=$AU$2,$F91=$AU$2),2*$BC$12*$M91/27,IF(OR(AND($E91=$AU$2,$F91=$AU$3),AND($E91=$AU$3,$F91=$AU$2)),($BC$12+$BC$13)*$M91/27,IF(OR(AND($E91=$AU$2,$F91=$AU$4),AND($E91=$AU$4,$F91=$AU$2)),$BC$12*$M91/27,IF(OR(AND($E91=$AU$3,$F91=$AU$4),AND($E91=$AU$4,$F91=$AU$3)),$BC$13*$M91/27,IF(AND($E91=$AU$3,$F91=$AU$3),2*$BC$13*$M91/27,0)))))</f>
        <v>0</v>
      </c>
      <c r="K91" s="27">
        <f>IF(AND($E91=$AU$4,$F91=$AU$4),2*$BF$14*$M91/27,IF(OR($E91=$AU$4,$F91=$AU$4),$BF$14*$M91/27,0))</f>
        <v>0</v>
      </c>
      <c r="L91" s="341">
        <v>0</v>
      </c>
      <c r="M91" s="83">
        <f t="shared" si="57"/>
        <v>30</v>
      </c>
      <c r="N91" s="388" t="s">
        <v>101</v>
      </c>
      <c r="O91" s="389" t="s">
        <v>101</v>
      </c>
      <c r="P91" s="222">
        <f t="shared" si="78"/>
        <v>0</v>
      </c>
      <c r="Q91" s="274">
        <f t="shared" si="58"/>
        <v>0</v>
      </c>
      <c r="R91" s="398">
        <v>1393</v>
      </c>
      <c r="S91" s="399">
        <v>600</v>
      </c>
      <c r="T91" s="221">
        <f t="shared" si="59"/>
        <v>1393</v>
      </c>
      <c r="U91" s="269">
        <f t="shared" si="59"/>
        <v>600</v>
      </c>
      <c r="V91" s="348">
        <v>0</v>
      </c>
      <c r="W91" s="402">
        <f t="shared" si="111"/>
        <v>0</v>
      </c>
      <c r="X91" s="403">
        <f t="shared" si="112"/>
        <v>0</v>
      </c>
      <c r="Y91" s="414">
        <f t="shared" si="62"/>
        <v>0</v>
      </c>
      <c r="Z91" s="415">
        <f t="shared" si="62"/>
        <v>0</v>
      </c>
      <c r="AA91" s="402">
        <f t="shared" si="63"/>
        <v>0</v>
      </c>
      <c r="AB91" s="403">
        <f t="shared" si="63"/>
        <v>0</v>
      </c>
      <c r="AC91" s="402">
        <f t="shared" si="64"/>
        <v>0</v>
      </c>
      <c r="AD91" s="403">
        <f t="shared" si="65"/>
        <v>0</v>
      </c>
      <c r="AE91" s="402">
        <f t="shared" si="66"/>
        <v>0</v>
      </c>
      <c r="AF91" s="403">
        <f t="shared" si="67"/>
        <v>0</v>
      </c>
      <c r="AG91" s="351">
        <v>0</v>
      </c>
      <c r="AH91" s="425">
        <f t="shared" si="83"/>
        <v>0</v>
      </c>
      <c r="AI91" s="426">
        <f t="shared" si="68"/>
        <v>0</v>
      </c>
      <c r="AJ91" s="424">
        <f t="shared" si="69"/>
        <v>25.796296296296298</v>
      </c>
      <c r="AK91" s="429">
        <f t="shared" si="70"/>
        <v>11.111111111111111</v>
      </c>
      <c r="AL91" s="402">
        <f t="shared" si="84"/>
        <v>0</v>
      </c>
      <c r="AM91" s="403">
        <f t="shared" si="71"/>
        <v>0</v>
      </c>
      <c r="AN91" s="424">
        <f t="shared" si="72"/>
        <v>0</v>
      </c>
      <c r="AO91" s="429">
        <f t="shared" si="73"/>
        <v>0</v>
      </c>
      <c r="AP91" s="424">
        <f t="shared" si="74"/>
        <v>0</v>
      </c>
      <c r="AQ91" s="429">
        <f t="shared" si="75"/>
        <v>0</v>
      </c>
      <c r="AR91" s="467">
        <f t="shared" si="76"/>
        <v>0</v>
      </c>
      <c r="AS91" s="85">
        <f t="shared" si="77"/>
        <v>0</v>
      </c>
    </row>
    <row r="92" spans="1:61" ht="12.75" customHeight="1" x14ac:dyDescent="0.2">
      <c r="A92" s="48" t="s">
        <v>28</v>
      </c>
      <c r="B92" s="338">
        <v>80726.02</v>
      </c>
      <c r="C92" s="339">
        <v>80756.02</v>
      </c>
      <c r="D92" s="340" t="s">
        <v>15</v>
      </c>
      <c r="E92" s="340" t="s">
        <v>101</v>
      </c>
      <c r="F92" s="340" t="s">
        <v>101</v>
      </c>
      <c r="G92" s="47" t="str">
        <f t="shared" si="56"/>
        <v>-</v>
      </c>
      <c r="H92" s="26">
        <f>IF(AND($E92=$AU$2,$F92=$AU$2),2*$AW$12,IF(OR(AND($E92=$AU$2, $F92=$AU$3),AND($E92=$AU$3,$F92=$AU$2)),$AW$12+$AW$13,IF(OR(AND($E92=$AU$2,$F92=$AU$4),AND($E92=$AU$4,$F92=$AU$2)),$AW$12,IF(OR(AND($E92=$AU$3,$F92=$AU$4),AND($E92=$AU$4,$F92=$AU$3)),$AW$13,IF(AND($E92=$AU$3,$F92=$AU$3),2*$AW$13,0)))))</f>
        <v>0</v>
      </c>
      <c r="I92" s="27">
        <f>IF(AND($E92=$AU$2,$F92=$AU$2),2*$AZ$12*$M92/27,IF(OR(AND($E92=$AU$2,$F92=$AU$3),AND($E92=$AU$3,$F92=$AU$2)),$AZ$12*$M92/27,IF(OR(AND($E92=$AU$2,$F92=$AU$4),AND($E92=$AU$4,$F92=$AU$2)),$AZ$12*$M92/27,0)))</f>
        <v>0</v>
      </c>
      <c r="J92" s="27">
        <f>IF(AND($E92=$AU$2,$F92=$AU$2),2*$BC$12*$M92/27,IF(OR(AND($E92=$AU$2,$F92=$AU$3),AND($E92=$AU$3,$F92=$AU$2)),($BC$12+$BC$13)*$M92/27,IF(OR(AND($E92=$AU$2,$F92=$AU$4),AND($E92=$AU$4,$F92=$AU$2)),$BC$12*$M92/27,IF(OR(AND($E92=$AU$3,$F92=$AU$4),AND($E92=$AU$4,$F92=$AU$3)),$BC$13*$M92/27,IF(AND($E92=$AU$3,$F92=$AU$3),2*$BC$13*$M92/27,0)))))</f>
        <v>0</v>
      </c>
      <c r="K92" s="27">
        <f>IF(AND($E92=$AU$4,$F92=$AU$4),2*$BF$14*$M92/27,IF(OR($E92=$AU$4,$F92=$AU$4),$BF$14*$M92/27,0))</f>
        <v>0</v>
      </c>
      <c r="L92" s="341">
        <v>0</v>
      </c>
      <c r="M92" s="83">
        <f t="shared" si="57"/>
        <v>30</v>
      </c>
      <c r="N92" s="388" t="s">
        <v>101</v>
      </c>
      <c r="O92" s="389" t="s">
        <v>101</v>
      </c>
      <c r="P92" s="222">
        <f t="shared" si="78"/>
        <v>0</v>
      </c>
      <c r="Q92" s="274">
        <f t="shared" si="58"/>
        <v>0</v>
      </c>
      <c r="R92" s="398">
        <v>1385</v>
      </c>
      <c r="S92" s="399">
        <v>600</v>
      </c>
      <c r="T92" s="221">
        <f t="shared" si="59"/>
        <v>1385</v>
      </c>
      <c r="U92" s="269">
        <f t="shared" si="59"/>
        <v>600</v>
      </c>
      <c r="V92" s="348">
        <v>0</v>
      </c>
      <c r="W92" s="402">
        <f t="shared" si="111"/>
        <v>0</v>
      </c>
      <c r="X92" s="403">
        <f t="shared" si="112"/>
        <v>0</v>
      </c>
      <c r="Y92" s="414">
        <f t="shared" si="62"/>
        <v>0</v>
      </c>
      <c r="Z92" s="415">
        <f t="shared" si="62"/>
        <v>0</v>
      </c>
      <c r="AA92" s="402">
        <f t="shared" si="63"/>
        <v>0</v>
      </c>
      <c r="AB92" s="403">
        <f t="shared" si="63"/>
        <v>0</v>
      </c>
      <c r="AC92" s="402">
        <f t="shared" si="64"/>
        <v>0</v>
      </c>
      <c r="AD92" s="403">
        <f t="shared" si="65"/>
        <v>0</v>
      </c>
      <c r="AE92" s="402">
        <f t="shared" si="66"/>
        <v>0</v>
      </c>
      <c r="AF92" s="403">
        <f t="shared" si="67"/>
        <v>0</v>
      </c>
      <c r="AG92" s="351">
        <v>0</v>
      </c>
      <c r="AH92" s="425">
        <f t="shared" si="83"/>
        <v>0</v>
      </c>
      <c r="AI92" s="426">
        <f t="shared" si="68"/>
        <v>0</v>
      </c>
      <c r="AJ92" s="424">
        <f t="shared" si="69"/>
        <v>25.648148148148149</v>
      </c>
      <c r="AK92" s="429">
        <f t="shared" si="70"/>
        <v>11.111111111111111</v>
      </c>
      <c r="AL92" s="402">
        <f t="shared" si="84"/>
        <v>0</v>
      </c>
      <c r="AM92" s="403">
        <f t="shared" si="71"/>
        <v>0</v>
      </c>
      <c r="AN92" s="424">
        <f t="shared" si="72"/>
        <v>0</v>
      </c>
      <c r="AO92" s="429">
        <f t="shared" si="73"/>
        <v>0</v>
      </c>
      <c r="AP92" s="424">
        <f t="shared" si="74"/>
        <v>0</v>
      </c>
      <c r="AQ92" s="429">
        <f t="shared" si="75"/>
        <v>0</v>
      </c>
      <c r="AR92" s="467">
        <f t="shared" si="76"/>
        <v>0</v>
      </c>
      <c r="AS92" s="85">
        <f t="shared" si="77"/>
        <v>0</v>
      </c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</row>
    <row r="93" spans="1:61" ht="12.75" customHeight="1" x14ac:dyDescent="0.2">
      <c r="B93" s="338">
        <v>80734.399999999994</v>
      </c>
      <c r="C93" s="339">
        <v>80756.02</v>
      </c>
      <c r="D93" s="340" t="s">
        <v>15</v>
      </c>
      <c r="E93" s="340" t="s">
        <v>106</v>
      </c>
      <c r="F93" s="340" t="s">
        <v>101</v>
      </c>
      <c r="G93" s="47" t="str">
        <f t="shared" si="56"/>
        <v>-</v>
      </c>
      <c r="H93" s="342">
        <v>2</v>
      </c>
      <c r="I93" s="341">
        <v>0</v>
      </c>
      <c r="J93" s="341">
        <v>0.77</v>
      </c>
      <c r="K93" s="341">
        <v>0</v>
      </c>
      <c r="L93" s="341">
        <v>0</v>
      </c>
      <c r="M93" s="83">
        <f t="shared" si="57"/>
        <v>21.620000000009895</v>
      </c>
      <c r="N93" s="388" t="s">
        <v>101</v>
      </c>
      <c r="O93" s="389" t="s">
        <v>101</v>
      </c>
      <c r="P93" s="222">
        <f t="shared" si="78"/>
        <v>0</v>
      </c>
      <c r="Q93" s="274">
        <f t="shared" si="58"/>
        <v>0</v>
      </c>
      <c r="R93" s="398">
        <v>449</v>
      </c>
      <c r="S93" s="399">
        <v>216</v>
      </c>
      <c r="T93" s="221">
        <f t="shared" si="59"/>
        <v>449</v>
      </c>
      <c r="U93" s="269">
        <f t="shared" si="59"/>
        <v>216</v>
      </c>
      <c r="V93" s="348">
        <v>0</v>
      </c>
      <c r="W93" s="402">
        <f t="shared" si="111"/>
        <v>54.693333333335531</v>
      </c>
      <c r="X93" s="403">
        <f t="shared" si="112"/>
        <v>24</v>
      </c>
      <c r="Y93" s="414">
        <f t="shared" si="62"/>
        <v>2.7346666666667765E-2</v>
      </c>
      <c r="Z93" s="415">
        <f t="shared" si="62"/>
        <v>1.2E-2</v>
      </c>
      <c r="AA93" s="402">
        <f t="shared" si="63"/>
        <v>0</v>
      </c>
      <c r="AB93" s="403">
        <f t="shared" si="63"/>
        <v>0</v>
      </c>
      <c r="AC93" s="402">
        <f t="shared" si="64"/>
        <v>0</v>
      </c>
      <c r="AD93" s="403">
        <f t="shared" si="65"/>
        <v>0</v>
      </c>
      <c r="AE93" s="402">
        <f t="shared" si="66"/>
        <v>0</v>
      </c>
      <c r="AF93" s="403">
        <f t="shared" si="67"/>
        <v>0</v>
      </c>
      <c r="AG93" s="351">
        <v>0</v>
      </c>
      <c r="AH93" s="425">
        <f t="shared" si="83"/>
        <v>15.93672839506173</v>
      </c>
      <c r="AI93" s="426">
        <f t="shared" si="68"/>
        <v>7.666666666666667</v>
      </c>
      <c r="AJ93" s="424">
        <f t="shared" si="69"/>
        <v>9.0848148148148145</v>
      </c>
      <c r="AK93" s="429">
        <f t="shared" si="70"/>
        <v>4</v>
      </c>
      <c r="AL93" s="402">
        <f t="shared" si="84"/>
        <v>1.9955555555555555</v>
      </c>
      <c r="AM93" s="403">
        <f t="shared" si="71"/>
        <v>0.96</v>
      </c>
      <c r="AN93" s="424">
        <f t="shared" si="72"/>
        <v>2.0787037037037037</v>
      </c>
      <c r="AO93" s="429">
        <f t="shared" si="73"/>
        <v>1</v>
      </c>
      <c r="AP93" s="424">
        <f t="shared" si="74"/>
        <v>2.4251543209876547</v>
      </c>
      <c r="AQ93" s="429">
        <f t="shared" si="75"/>
        <v>1.1666666666666667</v>
      </c>
      <c r="AR93" s="467">
        <f t="shared" si="76"/>
        <v>0</v>
      </c>
      <c r="AS93" s="85">
        <f t="shared" si="77"/>
        <v>43.240000000019791</v>
      </c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</row>
    <row r="94" spans="1:61" ht="12.75" customHeight="1" x14ac:dyDescent="0.2">
      <c r="B94" s="338">
        <v>80756.02</v>
      </c>
      <c r="C94" s="339">
        <v>81236.52</v>
      </c>
      <c r="D94" s="340" t="s">
        <v>15</v>
      </c>
      <c r="E94" s="340" t="s">
        <v>106</v>
      </c>
      <c r="F94" s="340" t="s">
        <v>111</v>
      </c>
      <c r="G94" s="47" t="str">
        <f t="shared" si="56"/>
        <v>F/C - C/B</v>
      </c>
      <c r="H94" s="26">
        <f>IF(AND($E94=$AU$2,$F94=$AU$2),2*$AW$12,IF(OR(AND($E94=$AU$2, $F94=$AU$3),AND($E94=$AU$3,$F94=$AU$2)),$AW$12+$AW$13,IF(OR(AND($E94=$AU$2,$F94=$AU$4),AND($E94=$AU$4,$F94=$AU$2)),$AW$12,IF(OR(AND($E94=$AU$3,$F94=$AU$4),AND($E94=$AU$4,$F94=$AU$3)),$AW$13,IF(AND($E94=$AU$3,$F94=$AU$3),2*$AW$13,0)))))</f>
        <v>2</v>
      </c>
      <c r="I94" s="27">
        <f>IF(AND($E94=$AU$2,$F94=$AU$2),2*$AZ$12*$M94/27,IF(OR(AND($E94=$AU$2,$F94=$AU$3),AND($E94=$AU$3,$F94=$AU$2)),$AZ$12*$M94/27,IF(OR(AND($E94=$AU$2,$F94=$AU$4),AND($E94=$AU$4,$F94=$AU$2)),$AZ$12*$M94/27,0)))</f>
        <v>0</v>
      </c>
      <c r="J94" s="27">
        <f>IF(AND($E94=$AU$2,$F94=$AU$2),2*$BC$12*$M94/27,IF(OR(AND($E94=$AU$2,$F94=$AU$3),AND($E94=$AU$3,$F94=$AU$2)),($BC$12+$BC$13)*$M94/27,IF(OR(AND($E94=$AU$2,$F94=$AU$4),AND($E94=$AU$4,$F94=$AU$2)),$BC$12*$M94/27,IF(OR(AND($E94=$AU$3,$F94=$AU$4),AND($E94=$AU$4,$F94=$AU$3)),$BC$13*$M94/27,IF(AND($E94=$AU$3,$F94=$AU$3),2*$BC$13*$M94/27,0)))))</f>
        <v>17.440370370370371</v>
      </c>
      <c r="K94" s="27">
        <f>IF(AND($E94=$AU$4,$F94=$AU$4),2*$BF$14*$M94/27,IF(OR($E94=$AU$4,$F94=$AU$4),$BF$14*$M94/27,0))</f>
        <v>-3.2033333333333331</v>
      </c>
      <c r="L94" s="341">
        <v>0</v>
      </c>
      <c r="M94" s="83">
        <f t="shared" si="57"/>
        <v>480.5</v>
      </c>
      <c r="N94" s="388">
        <v>43.42</v>
      </c>
      <c r="O94" s="389">
        <v>20</v>
      </c>
      <c r="P94" s="222">
        <f t="shared" si="78"/>
        <v>20864</v>
      </c>
      <c r="Q94" s="274">
        <f t="shared" si="58"/>
        <v>9610</v>
      </c>
      <c r="R94" s="398">
        <v>0</v>
      </c>
      <c r="S94" s="399">
        <v>0</v>
      </c>
      <c r="T94" s="221">
        <f t="shared" si="59"/>
        <v>20864</v>
      </c>
      <c r="U94" s="269">
        <f t="shared" si="59"/>
        <v>9610</v>
      </c>
      <c r="V94" s="348">
        <v>0</v>
      </c>
      <c r="W94" s="402">
        <f t="shared" si="111"/>
        <v>2425</v>
      </c>
      <c r="X94" s="403">
        <f t="shared" si="112"/>
        <v>1067.7777777777778</v>
      </c>
      <c r="Y94" s="414">
        <f t="shared" si="62"/>
        <v>1.2124999999999999</v>
      </c>
      <c r="Z94" s="415">
        <f t="shared" si="62"/>
        <v>0.53388888888888897</v>
      </c>
      <c r="AA94" s="402">
        <f t="shared" si="63"/>
        <v>0</v>
      </c>
      <c r="AB94" s="403">
        <f t="shared" si="63"/>
        <v>0</v>
      </c>
      <c r="AC94" s="402">
        <f t="shared" si="64"/>
        <v>0</v>
      </c>
      <c r="AD94" s="403">
        <f t="shared" si="65"/>
        <v>0</v>
      </c>
      <c r="AE94" s="402">
        <f t="shared" si="66"/>
        <v>0</v>
      </c>
      <c r="AF94" s="403">
        <f t="shared" si="67"/>
        <v>0</v>
      </c>
      <c r="AG94" s="351">
        <v>0</v>
      </c>
      <c r="AH94" s="425">
        <f t="shared" si="83"/>
        <v>740.5432098765433</v>
      </c>
      <c r="AI94" s="426">
        <f t="shared" si="68"/>
        <v>341.09567901234573</v>
      </c>
      <c r="AJ94" s="424">
        <f t="shared" si="69"/>
        <v>403.81074074074075</v>
      </c>
      <c r="AK94" s="429">
        <f t="shared" si="70"/>
        <v>177.96296296296296</v>
      </c>
      <c r="AL94" s="402">
        <f t="shared" si="84"/>
        <v>92.728888888888889</v>
      </c>
      <c r="AM94" s="403">
        <f t="shared" si="71"/>
        <v>42.711111111111116</v>
      </c>
      <c r="AN94" s="424">
        <f t="shared" si="72"/>
        <v>93.389259259259262</v>
      </c>
      <c r="AO94" s="429">
        <f t="shared" si="73"/>
        <v>44.49074074074074</v>
      </c>
      <c r="AP94" s="424">
        <f t="shared" si="74"/>
        <v>112.69135802469135</v>
      </c>
      <c r="AQ94" s="429">
        <f t="shared" si="75"/>
        <v>51.90586419753086</v>
      </c>
      <c r="AR94" s="467">
        <f t="shared" si="76"/>
        <v>0</v>
      </c>
      <c r="AS94" s="85">
        <f t="shared" si="77"/>
        <v>961</v>
      </c>
    </row>
    <row r="95" spans="1:61" ht="12.75" customHeight="1" x14ac:dyDescent="0.2">
      <c r="B95" s="338">
        <v>81236.52</v>
      </c>
      <c r="C95" s="339">
        <v>81317.06</v>
      </c>
      <c r="D95" s="340" t="s">
        <v>15</v>
      </c>
      <c r="E95" s="340" t="s">
        <v>101</v>
      </c>
      <c r="F95" s="340" t="s">
        <v>111</v>
      </c>
      <c r="G95" s="47" t="str">
        <f t="shared" si="56"/>
        <v>-</v>
      </c>
      <c r="H95" s="342">
        <v>0</v>
      </c>
      <c r="I95" s="341">
        <v>0</v>
      </c>
      <c r="J95" s="341">
        <v>0</v>
      </c>
      <c r="K95" s="341">
        <v>-0.54</v>
      </c>
      <c r="L95" s="341">
        <v>0</v>
      </c>
      <c r="M95" s="83">
        <f t="shared" si="57"/>
        <v>80.539999999993597</v>
      </c>
      <c r="N95" s="388" t="s">
        <v>101</v>
      </c>
      <c r="O95" s="389" t="s">
        <v>101</v>
      </c>
      <c r="P95" s="222">
        <f t="shared" si="78"/>
        <v>0</v>
      </c>
      <c r="Q95" s="274">
        <f t="shared" si="58"/>
        <v>0</v>
      </c>
      <c r="R95" s="398">
        <v>1769</v>
      </c>
      <c r="S95" s="399">
        <v>805</v>
      </c>
      <c r="T95" s="221">
        <f t="shared" si="59"/>
        <v>1769</v>
      </c>
      <c r="U95" s="269">
        <f t="shared" si="59"/>
        <v>805</v>
      </c>
      <c r="V95" s="348">
        <v>0</v>
      </c>
      <c r="W95" s="402">
        <f t="shared" si="111"/>
        <v>196.55555555555554</v>
      </c>
      <c r="X95" s="403">
        <f t="shared" si="112"/>
        <v>89.444444444444443</v>
      </c>
      <c r="Y95" s="414">
        <f t="shared" si="62"/>
        <v>9.8277777777777769E-2</v>
      </c>
      <c r="Z95" s="415">
        <f t="shared" si="62"/>
        <v>4.4722222222222219E-2</v>
      </c>
      <c r="AA95" s="402">
        <f t="shared" si="63"/>
        <v>0</v>
      </c>
      <c r="AB95" s="403">
        <f t="shared" si="63"/>
        <v>0</v>
      </c>
      <c r="AC95" s="402">
        <f t="shared" si="64"/>
        <v>0</v>
      </c>
      <c r="AD95" s="403">
        <f t="shared" si="65"/>
        <v>0</v>
      </c>
      <c r="AE95" s="402">
        <f t="shared" si="66"/>
        <v>0</v>
      </c>
      <c r="AF95" s="403">
        <f t="shared" si="67"/>
        <v>0</v>
      </c>
      <c r="AG95" s="351">
        <v>0</v>
      </c>
      <c r="AH95" s="425">
        <f t="shared" si="83"/>
        <v>62.788580246913583</v>
      </c>
      <c r="AI95" s="426">
        <f t="shared" si="68"/>
        <v>28.572530864197532</v>
      </c>
      <c r="AJ95" s="424">
        <f t="shared" si="69"/>
        <v>32.75925925925926</v>
      </c>
      <c r="AK95" s="429">
        <f t="shared" si="70"/>
        <v>14.907407407407407</v>
      </c>
      <c r="AL95" s="402">
        <f t="shared" si="84"/>
        <v>7.862222222222222</v>
      </c>
      <c r="AM95" s="403">
        <f t="shared" si="71"/>
        <v>3.5777777777777779</v>
      </c>
      <c r="AN95" s="424">
        <f t="shared" si="72"/>
        <v>7.6498148148148148</v>
      </c>
      <c r="AO95" s="429">
        <f t="shared" si="73"/>
        <v>3.7268518518518516</v>
      </c>
      <c r="AP95" s="424">
        <f t="shared" si="74"/>
        <v>9.5547839506172849</v>
      </c>
      <c r="AQ95" s="429">
        <f t="shared" si="75"/>
        <v>4.3479938271604937</v>
      </c>
      <c r="AR95" s="467">
        <f t="shared" si="76"/>
        <v>0</v>
      </c>
      <c r="AS95" s="85">
        <f t="shared" si="77"/>
        <v>161.07999999998719</v>
      </c>
    </row>
    <row r="96" spans="1:61" ht="12.75" customHeight="1" x14ac:dyDescent="0.2">
      <c r="A96" s="48" t="s">
        <v>28</v>
      </c>
      <c r="B96" s="338">
        <v>81316.460000000006</v>
      </c>
      <c r="C96" s="339">
        <v>81346.460000000006</v>
      </c>
      <c r="D96" s="340" t="s">
        <v>15</v>
      </c>
      <c r="E96" s="340" t="s">
        <v>101</v>
      </c>
      <c r="F96" s="340" t="s">
        <v>101</v>
      </c>
      <c r="G96" s="47" t="str">
        <f t="shared" si="56"/>
        <v>-</v>
      </c>
      <c r="H96" s="26">
        <f>IF(AND($E96=$AU$2,$F96=$AU$2),2*$AW$12,IF(OR(AND($E96=$AU$2, $F96=$AU$3),AND($E96=$AU$3,$F96=$AU$2)),$AW$12+$AW$13,IF(OR(AND($E96=$AU$2,$F96=$AU$4),AND($E96=$AU$4,$F96=$AU$2)),$AW$12,IF(OR(AND($E96=$AU$3,$F96=$AU$4),AND($E96=$AU$4,$F96=$AU$3)),$AW$13,IF(AND($E96=$AU$3,$F96=$AU$3),2*$AW$13,0)))))</f>
        <v>0</v>
      </c>
      <c r="I96" s="27">
        <f>IF(AND($E96=$AU$2,$F96=$AU$2),2*$AZ$12*$M96/27,IF(OR(AND($E96=$AU$2,$F96=$AU$3),AND($E96=$AU$3,$F96=$AU$2)),$AZ$12*$M96/27,IF(OR(AND($E96=$AU$2,$F96=$AU$4),AND($E96=$AU$4,$F96=$AU$2)),$AZ$12*$M96/27,0)))</f>
        <v>0</v>
      </c>
      <c r="J96" s="27">
        <f>IF(AND($E96=$AU$2,$F96=$AU$2),2*$BC$12*$M96/27,IF(OR(AND($E96=$AU$2,$F96=$AU$3),AND($E96=$AU$3,$F96=$AU$2)),($BC$12+$BC$13)*$M96/27,IF(OR(AND($E96=$AU$2,$F96=$AU$4),AND($E96=$AU$4,$F96=$AU$2)),$BC$12*$M96/27,IF(OR(AND($E96=$AU$3,$F96=$AU$4),AND($E96=$AU$4,$F96=$AU$3)),$BC$13*$M96/27,IF(AND($E96=$AU$3,$F96=$AU$3),2*$BC$13*$M96/27,0)))))</f>
        <v>0</v>
      </c>
      <c r="K96" s="27">
        <f>IF(AND($E96=$AU$4,$F96=$AU$4),2*$BF$14*$M96/27,IF(OR($E96=$AU$4,$F96=$AU$4),$BF$14*$M96/27,0))</f>
        <v>0</v>
      </c>
      <c r="L96" s="341">
        <v>0</v>
      </c>
      <c r="M96" s="83">
        <f t="shared" si="57"/>
        <v>30</v>
      </c>
      <c r="N96" s="388" t="s">
        <v>101</v>
      </c>
      <c r="O96" s="389" t="s">
        <v>101</v>
      </c>
      <c r="P96" s="222">
        <f t="shared" si="78"/>
        <v>0</v>
      </c>
      <c r="Q96" s="274">
        <f t="shared" si="58"/>
        <v>0</v>
      </c>
      <c r="R96" s="398">
        <v>1407</v>
      </c>
      <c r="S96" s="399">
        <v>600</v>
      </c>
      <c r="T96" s="221">
        <f t="shared" si="59"/>
        <v>1407</v>
      </c>
      <c r="U96" s="269">
        <f t="shared" si="59"/>
        <v>600</v>
      </c>
      <c r="V96" s="348">
        <v>0</v>
      </c>
      <c r="W96" s="402">
        <f>IF(OR(T96=0),0,(T96+$H96*$M96)/9)</f>
        <v>156.33333333333334</v>
      </c>
      <c r="X96" s="403">
        <f>IF($A96="",0,U96/9)</f>
        <v>66.666666666666671</v>
      </c>
      <c r="Y96" s="414">
        <f t="shared" si="62"/>
        <v>7.8166666666666676E-2</v>
      </c>
      <c r="Z96" s="415">
        <f t="shared" si="62"/>
        <v>3.3333333333333333E-2</v>
      </c>
      <c r="AA96" s="402">
        <f>IF(OR(W96&lt;&gt;0),0,AC96)</f>
        <v>0</v>
      </c>
      <c r="AB96" s="403">
        <f>IF(OR(X96&lt;&gt;0),0,AD96)</f>
        <v>0</v>
      </c>
      <c r="AC96" s="402">
        <f>IF(OR(W96&lt;&gt;0),0,(T96+$H96*$M96)/9)</f>
        <v>0</v>
      </c>
      <c r="AD96" s="403">
        <f>IF(OR(X96&lt;&gt;0),0,U96/9)</f>
        <v>0</v>
      </c>
      <c r="AE96" s="402">
        <f>IF(OR(W96&lt;&gt;0),0,$AC$1*AC96*110*0.06*0.75/2000)</f>
        <v>0</v>
      </c>
      <c r="AF96" s="403">
        <f>IF(OR(X96&lt;&gt;0),0,$AC$1*AD96*110*0.06*0.75/2000)</f>
        <v>0</v>
      </c>
      <c r="AG96" s="351">
        <v>0</v>
      </c>
      <c r="AH96" s="425">
        <f t="shared" si="83"/>
        <v>0</v>
      </c>
      <c r="AI96" s="426">
        <f t="shared" si="68"/>
        <v>0</v>
      </c>
      <c r="AJ96" s="424">
        <f t="shared" si="69"/>
        <v>26.055555555555557</v>
      </c>
      <c r="AK96" s="429">
        <f t="shared" si="70"/>
        <v>11.111111111111111</v>
      </c>
      <c r="AL96" s="402">
        <f t="shared" si="84"/>
        <v>0</v>
      </c>
      <c r="AM96" s="403">
        <f t="shared" si="71"/>
        <v>0</v>
      </c>
      <c r="AN96" s="424">
        <f t="shared" si="72"/>
        <v>0</v>
      </c>
      <c r="AO96" s="429">
        <f t="shared" si="73"/>
        <v>0</v>
      </c>
      <c r="AP96" s="424">
        <f t="shared" si="74"/>
        <v>0</v>
      </c>
      <c r="AQ96" s="429">
        <f t="shared" si="75"/>
        <v>0</v>
      </c>
      <c r="AR96" s="467">
        <f t="shared" si="76"/>
        <v>0</v>
      </c>
      <c r="AS96" s="85">
        <f t="shared" si="77"/>
        <v>0</v>
      </c>
    </row>
    <row r="97" spans="1:45" ht="12.75" customHeight="1" x14ac:dyDescent="0.2">
      <c r="A97" s="48" t="s">
        <v>28</v>
      </c>
      <c r="B97" s="338">
        <v>81611.05</v>
      </c>
      <c r="C97" s="339">
        <v>81641.05</v>
      </c>
      <c r="D97" s="340" t="s">
        <v>15</v>
      </c>
      <c r="E97" s="340" t="s">
        <v>101</v>
      </c>
      <c r="F97" s="340" t="s">
        <v>101</v>
      </c>
      <c r="G97" s="47" t="str">
        <f t="shared" si="56"/>
        <v>-</v>
      </c>
      <c r="H97" s="26">
        <f>IF(AND($E97=$AU$2,$F97=$AU$2),2*$AW$12,IF(OR(AND($E97=$AU$2, $F97=$AU$3),AND($E97=$AU$3,$F97=$AU$2)),$AW$12+$AW$13,IF(OR(AND($E97=$AU$2,$F97=$AU$4),AND($E97=$AU$4,$F97=$AU$2)),$AW$12,IF(OR(AND($E97=$AU$3,$F97=$AU$4),AND($E97=$AU$4,$F97=$AU$3)),$AW$13,IF(AND($E97=$AU$3,$F97=$AU$3),2*$AW$13,0)))))</f>
        <v>0</v>
      </c>
      <c r="I97" s="27">
        <f>IF(AND($E97=$AU$2,$F97=$AU$2),2*$AZ$12*$M97/27,IF(OR(AND($E97=$AU$2,$F97=$AU$3),AND($E97=$AU$3,$F97=$AU$2)),$AZ$12*$M97/27,IF(OR(AND($E97=$AU$2,$F97=$AU$4),AND($E97=$AU$4,$F97=$AU$2)),$AZ$12*$M97/27,0)))</f>
        <v>0</v>
      </c>
      <c r="J97" s="27">
        <f>IF(AND($E97=$AU$2,$F97=$AU$2),2*$BC$12*$M97/27,IF(OR(AND($E97=$AU$2,$F97=$AU$3),AND($E97=$AU$3,$F97=$AU$2)),($BC$12+$BC$13)*$M97/27,IF(OR(AND($E97=$AU$2,$F97=$AU$4),AND($E97=$AU$4,$F97=$AU$2)),$BC$12*$M97/27,IF(OR(AND($E97=$AU$3,$F97=$AU$4),AND($E97=$AU$4,$F97=$AU$3)),$BC$13*$M97/27,IF(AND($E97=$AU$3,$F97=$AU$3),2*$BC$13*$M97/27,0)))))</f>
        <v>0</v>
      </c>
      <c r="K97" s="27">
        <f>IF(AND($E97=$AU$4,$F97=$AU$4),2*$BF$14*$M97/27,IF(OR($E97=$AU$4,$F97=$AU$4),$BF$14*$M97/27,0))</f>
        <v>0</v>
      </c>
      <c r="L97" s="341">
        <v>0</v>
      </c>
      <c r="M97" s="83">
        <f t="shared" si="57"/>
        <v>30</v>
      </c>
      <c r="N97" s="388" t="s">
        <v>101</v>
      </c>
      <c r="O97" s="389" t="s">
        <v>101</v>
      </c>
      <c r="P97" s="222">
        <f t="shared" si="78"/>
        <v>0</v>
      </c>
      <c r="Q97" s="274">
        <f t="shared" si="58"/>
        <v>0</v>
      </c>
      <c r="R97" s="398">
        <v>1385</v>
      </c>
      <c r="S97" s="399">
        <v>600</v>
      </c>
      <c r="T97" s="221">
        <f t="shared" si="59"/>
        <v>1385</v>
      </c>
      <c r="U97" s="269">
        <f t="shared" si="59"/>
        <v>600</v>
      </c>
      <c r="V97" s="348">
        <v>0</v>
      </c>
      <c r="W97" s="402">
        <f t="shared" si="111"/>
        <v>0</v>
      </c>
      <c r="X97" s="403">
        <f t="shared" si="112"/>
        <v>0</v>
      </c>
      <c r="Y97" s="414">
        <f t="shared" si="62"/>
        <v>7.694444444444444E-2</v>
      </c>
      <c r="Z97" s="415">
        <f t="shared" si="62"/>
        <v>3.3333333333333333E-2</v>
      </c>
      <c r="AA97" s="402">
        <f>IF(OR(W97&lt;&gt;0),0,AC97)</f>
        <v>153.88888888888889</v>
      </c>
      <c r="AB97" s="403">
        <f>IF(OR(X97&lt;&gt;0),0,AD97)</f>
        <v>66.666666666666671</v>
      </c>
      <c r="AC97" s="402">
        <f>IF(OR(W97&lt;&gt;0),0,(T97+$H97*$M97)/9)</f>
        <v>153.88888888888889</v>
      </c>
      <c r="AD97" s="403">
        <f>IF(OR(X97&lt;&gt;0),0,U97/9)</f>
        <v>66.666666666666671</v>
      </c>
      <c r="AE97" s="402">
        <f>IF(OR(W97&lt;&gt;0),0,$AC$1*AC97*110*0.06*0.75/2000)</f>
        <v>4.5704999999999991</v>
      </c>
      <c r="AF97" s="403">
        <f>IF(OR(X97&lt;&gt;0),0,$AC$1*AD97*110*0.06*0.75/2000)</f>
        <v>1.98</v>
      </c>
      <c r="AG97" s="351">
        <v>0</v>
      </c>
      <c r="AH97" s="425">
        <f t="shared" si="83"/>
        <v>0</v>
      </c>
      <c r="AI97" s="426">
        <f t="shared" si="68"/>
        <v>0</v>
      </c>
      <c r="AJ97" s="424">
        <f t="shared" si="69"/>
        <v>25.648148148148149</v>
      </c>
      <c r="AK97" s="429">
        <f t="shared" si="70"/>
        <v>11.111111111111111</v>
      </c>
      <c r="AL97" s="402">
        <f t="shared" si="84"/>
        <v>0</v>
      </c>
      <c r="AM97" s="403">
        <f t="shared" si="71"/>
        <v>0</v>
      </c>
      <c r="AN97" s="424">
        <f t="shared" si="72"/>
        <v>0</v>
      </c>
      <c r="AO97" s="429">
        <f t="shared" si="73"/>
        <v>0</v>
      </c>
      <c r="AP97" s="424">
        <f t="shared" si="74"/>
        <v>0</v>
      </c>
      <c r="AQ97" s="429">
        <f t="shared" si="75"/>
        <v>0</v>
      </c>
      <c r="AR97" s="467">
        <f t="shared" si="76"/>
        <v>0</v>
      </c>
      <c r="AS97" s="85">
        <f t="shared" si="77"/>
        <v>0</v>
      </c>
    </row>
    <row r="98" spans="1:45" ht="12.75" customHeight="1" x14ac:dyDescent="0.2">
      <c r="B98" s="338">
        <v>81581.45</v>
      </c>
      <c r="C98" s="339">
        <v>81641.52</v>
      </c>
      <c r="D98" s="340" t="s">
        <v>15</v>
      </c>
      <c r="E98" s="340" t="s">
        <v>106</v>
      </c>
      <c r="F98" s="340" t="s">
        <v>101</v>
      </c>
      <c r="G98" s="47" t="str">
        <f t="shared" si="56"/>
        <v>-</v>
      </c>
      <c r="H98" s="342">
        <v>2</v>
      </c>
      <c r="I98" s="341">
        <v>0</v>
      </c>
      <c r="J98" s="341">
        <v>2.14</v>
      </c>
      <c r="K98" s="341">
        <v>0</v>
      </c>
      <c r="L98" s="341">
        <v>0</v>
      </c>
      <c r="M98" s="83">
        <f t="shared" si="57"/>
        <v>60.070000000006985</v>
      </c>
      <c r="N98" s="388" t="s">
        <v>101</v>
      </c>
      <c r="O98" s="389" t="s">
        <v>101</v>
      </c>
      <c r="P98" s="222">
        <f t="shared" si="78"/>
        <v>0</v>
      </c>
      <c r="Q98" s="274">
        <f t="shared" si="58"/>
        <v>0</v>
      </c>
      <c r="R98" s="398">
        <v>1269</v>
      </c>
      <c r="S98" s="399">
        <v>601</v>
      </c>
      <c r="T98" s="221">
        <f t="shared" si="59"/>
        <v>1269</v>
      </c>
      <c r="U98" s="269">
        <f t="shared" si="59"/>
        <v>601</v>
      </c>
      <c r="V98" s="348">
        <v>0</v>
      </c>
      <c r="W98" s="406">
        <v>0</v>
      </c>
      <c r="X98" s="407">
        <v>0</v>
      </c>
      <c r="Y98" s="414">
        <f>IF(AND(W98=0,AA98=0),0,IF(AA98=0,W98/2000,AA98/2000))</f>
        <v>7.7174444444445212E-2</v>
      </c>
      <c r="Z98" s="415">
        <f t="shared" si="62"/>
        <v>3.3388888888888885E-2</v>
      </c>
      <c r="AA98" s="402">
        <f t="shared" si="63"/>
        <v>154.34888888889043</v>
      </c>
      <c r="AB98" s="403">
        <f t="shared" si="63"/>
        <v>66.777777777777771</v>
      </c>
      <c r="AC98" s="402">
        <f t="shared" si="64"/>
        <v>154.34888888889043</v>
      </c>
      <c r="AD98" s="403">
        <f t="shared" si="65"/>
        <v>66.777777777777771</v>
      </c>
      <c r="AE98" s="402">
        <f t="shared" si="66"/>
        <v>4.5841620000000454</v>
      </c>
      <c r="AF98" s="403">
        <f t="shared" si="67"/>
        <v>1.9832999999999996</v>
      </c>
      <c r="AG98" s="351">
        <v>0</v>
      </c>
      <c r="AH98" s="425">
        <f t="shared" si="83"/>
        <v>45.041666666666664</v>
      </c>
      <c r="AI98" s="426">
        <f t="shared" si="68"/>
        <v>21.331790123456791</v>
      </c>
      <c r="AJ98" s="424">
        <f t="shared" si="69"/>
        <v>25.64</v>
      </c>
      <c r="AK98" s="429">
        <f t="shared" si="70"/>
        <v>11.12962962962963</v>
      </c>
      <c r="AL98" s="402">
        <f t="shared" si="84"/>
        <v>5.64</v>
      </c>
      <c r="AM98" s="403">
        <f t="shared" si="71"/>
        <v>2.6711111111111108</v>
      </c>
      <c r="AN98" s="424">
        <f t="shared" si="72"/>
        <v>5.875</v>
      </c>
      <c r="AO98" s="429">
        <f t="shared" si="73"/>
        <v>2.7824074074074074</v>
      </c>
      <c r="AP98" s="424">
        <f t="shared" si="74"/>
        <v>6.854166666666667</v>
      </c>
      <c r="AQ98" s="429">
        <f t="shared" si="75"/>
        <v>3.246141975308642</v>
      </c>
      <c r="AR98" s="467">
        <f t="shared" si="76"/>
        <v>0</v>
      </c>
      <c r="AS98" s="85">
        <f t="shared" si="77"/>
        <v>120.14000000001397</v>
      </c>
    </row>
    <row r="99" spans="1:45" ht="12.75" customHeight="1" x14ac:dyDescent="0.2">
      <c r="B99" s="338">
        <v>81641.52</v>
      </c>
      <c r="C99" s="339">
        <v>82187.839999999997</v>
      </c>
      <c r="D99" s="340" t="s">
        <v>15</v>
      </c>
      <c r="E99" s="340" t="s">
        <v>106</v>
      </c>
      <c r="F99" s="340" t="s">
        <v>111</v>
      </c>
      <c r="G99" s="47" t="str">
        <f t="shared" si="56"/>
        <v>F/C - C/B</v>
      </c>
      <c r="H99" s="26">
        <f t="shared" ref="H99:H113" si="113">IF(AND($E99=$AU$2,$F99=$AU$2),2*$AW$12,IF(OR(AND($E99=$AU$2, $F99=$AU$3),AND($E99=$AU$3,$F99=$AU$2)),$AW$12+$AW$13,IF(OR(AND($E99=$AU$2,$F99=$AU$4),AND($E99=$AU$4,$F99=$AU$2)),$AW$12,IF(OR(AND($E99=$AU$3,$F99=$AU$4),AND($E99=$AU$4,$F99=$AU$3)),$AW$13,IF(AND($E99=$AU$3,$F99=$AU$3),2*$AW$13,0)))))</f>
        <v>2</v>
      </c>
      <c r="I99" s="27">
        <f t="shared" ref="I99:I113" si="114">IF(AND($E99=$AU$2,$F99=$AU$2),2*$AZ$12*$M99/27,IF(OR(AND($E99=$AU$2,$F99=$AU$3),AND($E99=$AU$3,$F99=$AU$2)),$AZ$12*$M99/27,IF(OR(AND($E99=$AU$2,$F99=$AU$4),AND($E99=$AU$4,$F99=$AU$2)),$AZ$12*$M99/27,0)))</f>
        <v>0</v>
      </c>
      <c r="J99" s="27">
        <f t="shared" ref="J99:J113" si="115">IF(AND($E99=$AU$2,$F99=$AU$2),2*$BC$12*$M99/27,IF(OR(AND($E99=$AU$2,$F99=$AU$3),AND($E99=$AU$3,$F99=$AU$2)),($BC$12+$BC$13)*$M99/27,IF(OR(AND($E99=$AU$2,$F99=$AU$4),AND($E99=$AU$4,$F99=$AU$2)),$BC$12*$M99/27,IF(OR(AND($E99=$AU$3,$F99=$AU$4),AND($E99=$AU$4,$F99=$AU$3)),$BC$13*$M99/27,IF(AND($E99=$AU$3,$F99=$AU$3),2*$BC$13*$M99/27,0)))))</f>
        <v>19.829392592592317</v>
      </c>
      <c r="K99" s="27">
        <f t="shared" ref="K99:K113" si="116">IF(AND($E99=$AU$4,$F99=$AU$4),2*$BF$14*$M99/27,IF(OR($E99=$AU$4,$F99=$AU$4),$BF$14*$M99/27,0))</f>
        <v>-3.6421333333332826</v>
      </c>
      <c r="L99" s="341">
        <v>0</v>
      </c>
      <c r="M99" s="83">
        <f t="shared" si="57"/>
        <v>546.31999999999243</v>
      </c>
      <c r="N99" s="388">
        <v>43.42</v>
      </c>
      <c r="O99" s="389">
        <v>20</v>
      </c>
      <c r="P99" s="222">
        <f t="shared" si="78"/>
        <v>23722</v>
      </c>
      <c r="Q99" s="274">
        <f t="shared" si="58"/>
        <v>10927</v>
      </c>
      <c r="R99" s="398">
        <v>0</v>
      </c>
      <c r="S99" s="399">
        <v>0</v>
      </c>
      <c r="T99" s="221">
        <f t="shared" si="59"/>
        <v>23722</v>
      </c>
      <c r="U99" s="269">
        <f t="shared" si="59"/>
        <v>10927</v>
      </c>
      <c r="V99" s="348">
        <v>0</v>
      </c>
      <c r="W99" s="406">
        <v>0</v>
      </c>
      <c r="X99" s="407">
        <v>0</v>
      </c>
      <c r="Y99" s="414">
        <f t="shared" si="62"/>
        <v>1.3785911111111102</v>
      </c>
      <c r="Z99" s="415">
        <f t="shared" si="62"/>
        <v>0.60705555555555557</v>
      </c>
      <c r="AA99" s="402">
        <f t="shared" si="63"/>
        <v>2757.1822222222204</v>
      </c>
      <c r="AB99" s="403">
        <f t="shared" si="63"/>
        <v>1214.1111111111111</v>
      </c>
      <c r="AC99" s="402">
        <f t="shared" si="64"/>
        <v>2757.1822222222204</v>
      </c>
      <c r="AD99" s="403">
        <f t="shared" si="65"/>
        <v>1214.1111111111111</v>
      </c>
      <c r="AE99" s="402">
        <f t="shared" si="66"/>
        <v>81.888311999999942</v>
      </c>
      <c r="AF99" s="403">
        <f t="shared" si="67"/>
        <v>36.059100000000001</v>
      </c>
      <c r="AG99" s="351">
        <v>0</v>
      </c>
      <c r="AH99" s="425">
        <f t="shared" si="83"/>
        <v>841.98456790123453</v>
      </c>
      <c r="AI99" s="426">
        <f t="shared" si="68"/>
        <v>387.84104938271605</v>
      </c>
      <c r="AJ99" s="424">
        <f t="shared" si="69"/>
        <v>459.12568888888865</v>
      </c>
      <c r="AK99" s="429">
        <f t="shared" si="70"/>
        <v>202.35185185185185</v>
      </c>
      <c r="AL99" s="402">
        <f t="shared" si="84"/>
        <v>105.43111111111112</v>
      </c>
      <c r="AM99" s="403">
        <f t="shared" si="71"/>
        <v>48.564444444444447</v>
      </c>
      <c r="AN99" s="424">
        <f t="shared" si="72"/>
        <v>106.1819407407408</v>
      </c>
      <c r="AO99" s="429">
        <f t="shared" si="73"/>
        <v>50.587962962962962</v>
      </c>
      <c r="AP99" s="424">
        <f t="shared" si="74"/>
        <v>128.12808641975309</v>
      </c>
      <c r="AQ99" s="429">
        <f t="shared" si="75"/>
        <v>59.019290123456784</v>
      </c>
      <c r="AR99" s="467">
        <f t="shared" si="76"/>
        <v>0</v>
      </c>
      <c r="AS99" s="85">
        <f t="shared" si="77"/>
        <v>1092.6399999999849</v>
      </c>
    </row>
    <row r="100" spans="1:45" ht="12.75" customHeight="1" x14ac:dyDescent="0.2">
      <c r="B100" s="338">
        <v>82187.839999999997</v>
      </c>
      <c r="C100" s="339">
        <v>82642.14</v>
      </c>
      <c r="D100" s="340" t="s">
        <v>15</v>
      </c>
      <c r="E100" s="340" t="s">
        <v>105</v>
      </c>
      <c r="F100" s="340" t="s">
        <v>111</v>
      </c>
      <c r="G100" s="47" t="str">
        <f t="shared" si="56"/>
        <v>E/S - C/B</v>
      </c>
      <c r="H100" s="26">
        <f t="shared" si="113"/>
        <v>1.5</v>
      </c>
      <c r="I100" s="27">
        <f t="shared" si="114"/>
        <v>9.5907777777778378</v>
      </c>
      <c r="J100" s="27">
        <f t="shared" si="115"/>
        <v>11.273370370370444</v>
      </c>
      <c r="K100" s="27">
        <f t="shared" si="116"/>
        <v>-3.0286666666666862</v>
      </c>
      <c r="L100" s="341">
        <v>0</v>
      </c>
      <c r="M100" s="83">
        <f t="shared" si="57"/>
        <v>454.30000000000291</v>
      </c>
      <c r="N100" s="388" t="s">
        <v>101</v>
      </c>
      <c r="O100" s="389" t="s">
        <v>101</v>
      </c>
      <c r="P100" s="222">
        <f t="shared" si="78"/>
        <v>0</v>
      </c>
      <c r="Q100" s="274">
        <f t="shared" si="58"/>
        <v>0</v>
      </c>
      <c r="R100" s="398">
        <v>26525</v>
      </c>
      <c r="S100" s="399">
        <v>9086</v>
      </c>
      <c r="T100" s="221">
        <f t="shared" si="59"/>
        <v>26525</v>
      </c>
      <c r="U100" s="269">
        <f t="shared" si="59"/>
        <v>9086</v>
      </c>
      <c r="V100" s="348">
        <v>0</v>
      </c>
      <c r="W100" s="406">
        <v>0</v>
      </c>
      <c r="X100" s="407">
        <v>0</v>
      </c>
      <c r="Y100" s="414">
        <f t="shared" si="62"/>
        <v>1.5114694444444448</v>
      </c>
      <c r="Z100" s="415">
        <f t="shared" si="62"/>
        <v>0.50477777777777777</v>
      </c>
      <c r="AA100" s="402">
        <f t="shared" si="63"/>
        <v>3022.9388888888893</v>
      </c>
      <c r="AB100" s="403">
        <f t="shared" si="63"/>
        <v>1009.5555555555555</v>
      </c>
      <c r="AC100" s="402">
        <f t="shared" si="64"/>
        <v>3022.9388888888893</v>
      </c>
      <c r="AD100" s="403">
        <f t="shared" si="65"/>
        <v>1009.5555555555555</v>
      </c>
      <c r="AE100" s="402">
        <f t="shared" si="66"/>
        <v>89.781284999999997</v>
      </c>
      <c r="AF100" s="403">
        <f t="shared" si="67"/>
        <v>29.983799999999995</v>
      </c>
      <c r="AG100" s="351">
        <v>0</v>
      </c>
      <c r="AH100" s="425">
        <f t="shared" si="83"/>
        <v>951.06454320987666</v>
      </c>
      <c r="AI100" s="426">
        <f t="shared" si="68"/>
        <v>322.49691358024688</v>
      </c>
      <c r="AJ100" s="424">
        <f t="shared" si="69"/>
        <v>502.47707407407415</v>
      </c>
      <c r="AK100" s="429">
        <f t="shared" si="70"/>
        <v>168.25925925925927</v>
      </c>
      <c r="AL100" s="402">
        <f t="shared" si="84"/>
        <v>117.88888888888889</v>
      </c>
      <c r="AM100" s="403">
        <f t="shared" si="71"/>
        <v>40.382222222222225</v>
      </c>
      <c r="AN100" s="424">
        <f t="shared" si="72"/>
        <v>119.77225925925924</v>
      </c>
      <c r="AO100" s="429">
        <f t="shared" si="73"/>
        <v>42.064814814814817</v>
      </c>
      <c r="AP100" s="424">
        <f t="shared" si="74"/>
        <v>143.26774691358025</v>
      </c>
      <c r="AQ100" s="429">
        <f t="shared" si="75"/>
        <v>49.075617283950621</v>
      </c>
      <c r="AR100" s="467">
        <f t="shared" si="76"/>
        <v>9.114043209876602</v>
      </c>
      <c r="AS100" s="85">
        <f t="shared" si="77"/>
        <v>908.60000000000582</v>
      </c>
    </row>
    <row r="101" spans="1:45" ht="12.75" customHeight="1" x14ac:dyDescent="0.2">
      <c r="B101" s="338">
        <v>82642.14</v>
      </c>
      <c r="C101" s="339">
        <v>82987.839999999997</v>
      </c>
      <c r="D101" s="340" t="s">
        <v>15</v>
      </c>
      <c r="E101" s="340" t="s">
        <v>105</v>
      </c>
      <c r="F101" s="340" t="s">
        <v>111</v>
      </c>
      <c r="G101" s="47" t="str">
        <f t="shared" si="56"/>
        <v>E/S - C/B</v>
      </c>
      <c r="H101" s="26">
        <f t="shared" si="113"/>
        <v>1.5</v>
      </c>
      <c r="I101" s="27">
        <f t="shared" si="114"/>
        <v>7.2981111111110488</v>
      </c>
      <c r="J101" s="27">
        <f t="shared" si="115"/>
        <v>8.5784814814814094</v>
      </c>
      <c r="K101" s="27">
        <f t="shared" si="116"/>
        <v>-2.3046666666666473</v>
      </c>
      <c r="L101" s="341">
        <v>0</v>
      </c>
      <c r="M101" s="83">
        <f t="shared" si="57"/>
        <v>345.69999999999709</v>
      </c>
      <c r="N101" s="388">
        <v>49.42</v>
      </c>
      <c r="O101" s="389">
        <v>20</v>
      </c>
      <c r="P101" s="222">
        <f t="shared" si="78"/>
        <v>17085</v>
      </c>
      <c r="Q101" s="274">
        <f t="shared" si="58"/>
        <v>6914</v>
      </c>
      <c r="R101" s="398">
        <v>0</v>
      </c>
      <c r="S101" s="399">
        <v>0</v>
      </c>
      <c r="T101" s="221">
        <f t="shared" si="59"/>
        <v>17085</v>
      </c>
      <c r="U101" s="269">
        <f t="shared" si="59"/>
        <v>6914</v>
      </c>
      <c r="V101" s="348">
        <v>0</v>
      </c>
      <c r="W101" s="406">
        <v>0</v>
      </c>
      <c r="X101" s="407">
        <v>0</v>
      </c>
      <c r="Y101" s="414">
        <f t="shared" si="62"/>
        <v>0.97797499999999982</v>
      </c>
      <c r="Z101" s="415">
        <f t="shared" si="62"/>
        <v>0.38411111111111107</v>
      </c>
      <c r="AA101" s="402">
        <f t="shared" si="63"/>
        <v>1955.9499999999996</v>
      </c>
      <c r="AB101" s="403">
        <f t="shared" si="63"/>
        <v>768.22222222222217</v>
      </c>
      <c r="AC101" s="402">
        <f t="shared" si="64"/>
        <v>1955.9499999999996</v>
      </c>
      <c r="AD101" s="403">
        <f t="shared" si="65"/>
        <v>768.22222222222217</v>
      </c>
      <c r="AE101" s="402">
        <f t="shared" si="66"/>
        <v>58.091714999999979</v>
      </c>
      <c r="AF101" s="403">
        <f t="shared" si="67"/>
        <v>22.816199999999998</v>
      </c>
      <c r="AG101" s="351">
        <v>0</v>
      </c>
      <c r="AH101" s="425">
        <f t="shared" si="83"/>
        <v>613.71014814814816</v>
      </c>
      <c r="AI101" s="426">
        <f t="shared" si="68"/>
        <v>245.40432098765433</v>
      </c>
      <c r="AJ101" s="424">
        <f t="shared" si="69"/>
        <v>324.9673703703703</v>
      </c>
      <c r="AK101" s="429">
        <f t="shared" si="70"/>
        <v>128.03703703703704</v>
      </c>
      <c r="AL101" s="402">
        <f t="shared" si="84"/>
        <v>75.933333333333337</v>
      </c>
      <c r="AM101" s="403">
        <f t="shared" si="71"/>
        <v>30.728888888888889</v>
      </c>
      <c r="AN101" s="424">
        <f t="shared" si="72"/>
        <v>76.79255555555558</v>
      </c>
      <c r="AO101" s="429">
        <f t="shared" si="73"/>
        <v>32.00925925925926</v>
      </c>
      <c r="AP101" s="424">
        <f t="shared" si="74"/>
        <v>92.280092592592595</v>
      </c>
      <c r="AQ101" s="429">
        <f t="shared" si="75"/>
        <v>37.344135802469133</v>
      </c>
      <c r="AR101" s="467">
        <f t="shared" si="76"/>
        <v>6.9353395061727818</v>
      </c>
      <c r="AS101" s="85">
        <f t="shared" si="77"/>
        <v>691.39999999999418</v>
      </c>
    </row>
    <row r="102" spans="1:45" ht="12.75" customHeight="1" x14ac:dyDescent="0.2">
      <c r="B102" s="338">
        <v>82987.839999999997</v>
      </c>
      <c r="C102" s="339">
        <v>83087.839999999997</v>
      </c>
      <c r="D102" s="340" t="s">
        <v>15</v>
      </c>
      <c r="E102" s="340" t="s">
        <v>105</v>
      </c>
      <c r="F102" s="340" t="s">
        <v>111</v>
      </c>
      <c r="G102" s="47" t="str">
        <f t="shared" si="56"/>
        <v>E/S - C/B</v>
      </c>
      <c r="H102" s="26">
        <f t="shared" si="113"/>
        <v>1.5</v>
      </c>
      <c r="I102" s="27">
        <f t="shared" si="114"/>
        <v>2.1111111111111107</v>
      </c>
      <c r="J102" s="27">
        <f t="shared" si="115"/>
        <v>2.4814814814814814</v>
      </c>
      <c r="K102" s="27">
        <f t="shared" si="116"/>
        <v>-0.66666666666666663</v>
      </c>
      <c r="L102" s="341">
        <v>0</v>
      </c>
      <c r="M102" s="83">
        <f t="shared" si="57"/>
        <v>100</v>
      </c>
      <c r="N102" s="388">
        <v>45.42</v>
      </c>
      <c r="O102" s="389">
        <v>20</v>
      </c>
      <c r="P102" s="222">
        <f t="shared" si="78"/>
        <v>4542</v>
      </c>
      <c r="Q102" s="274">
        <f t="shared" si="58"/>
        <v>2000</v>
      </c>
      <c r="R102" s="398">
        <v>0</v>
      </c>
      <c r="S102" s="399">
        <v>0</v>
      </c>
      <c r="T102" s="221">
        <f t="shared" si="59"/>
        <v>4542</v>
      </c>
      <c r="U102" s="269">
        <f t="shared" si="59"/>
        <v>2000</v>
      </c>
      <c r="V102" s="348">
        <v>0</v>
      </c>
      <c r="W102" s="406">
        <v>0</v>
      </c>
      <c r="X102" s="407">
        <v>0</v>
      </c>
      <c r="Y102" s="414">
        <f t="shared" si="62"/>
        <v>0.26066666666666671</v>
      </c>
      <c r="Z102" s="415">
        <f t="shared" si="62"/>
        <v>0.11111111111111112</v>
      </c>
      <c r="AA102" s="402">
        <f t="shared" si="63"/>
        <v>521.33333333333337</v>
      </c>
      <c r="AB102" s="403">
        <f t="shared" si="63"/>
        <v>222.22222222222223</v>
      </c>
      <c r="AC102" s="402">
        <f t="shared" si="64"/>
        <v>521.33333333333337</v>
      </c>
      <c r="AD102" s="403">
        <f t="shared" si="65"/>
        <v>222.22222222222223</v>
      </c>
      <c r="AE102" s="402">
        <f t="shared" si="66"/>
        <v>15.483599999999999</v>
      </c>
      <c r="AF102" s="403">
        <f t="shared" si="67"/>
        <v>6.6</v>
      </c>
      <c r="AG102" s="351">
        <v>0</v>
      </c>
      <c r="AH102" s="425">
        <f t="shared" si="83"/>
        <v>163.32407407407408</v>
      </c>
      <c r="AI102" s="426">
        <f t="shared" si="68"/>
        <v>70.987654320987659</v>
      </c>
      <c r="AJ102" s="424">
        <f t="shared" si="69"/>
        <v>86.592592592592595</v>
      </c>
      <c r="AK102" s="429">
        <f t="shared" si="70"/>
        <v>37.037037037037038</v>
      </c>
      <c r="AL102" s="402">
        <f t="shared" si="84"/>
        <v>20.186666666666667</v>
      </c>
      <c r="AM102" s="403">
        <f t="shared" si="71"/>
        <v>8.8888888888888893</v>
      </c>
      <c r="AN102" s="424">
        <f t="shared" si="72"/>
        <v>20.361111111111111</v>
      </c>
      <c r="AO102" s="429">
        <f t="shared" si="73"/>
        <v>9.2592592592592595</v>
      </c>
      <c r="AP102" s="424">
        <f t="shared" si="74"/>
        <v>24.532407407407408</v>
      </c>
      <c r="AQ102" s="429">
        <f t="shared" si="75"/>
        <v>10.80246913580247</v>
      </c>
      <c r="AR102" s="467">
        <f t="shared" si="76"/>
        <v>2.0061728395061729</v>
      </c>
      <c r="AS102" s="85">
        <f t="shared" si="77"/>
        <v>200</v>
      </c>
    </row>
    <row r="103" spans="1:45" ht="12.75" customHeight="1" x14ac:dyDescent="0.2">
      <c r="B103" s="338">
        <v>83087.839999999997</v>
      </c>
      <c r="C103" s="339">
        <v>84207.01</v>
      </c>
      <c r="D103" s="340" t="s">
        <v>15</v>
      </c>
      <c r="E103" s="340" t="s">
        <v>105</v>
      </c>
      <c r="F103" s="340" t="s">
        <v>111</v>
      </c>
      <c r="G103" s="47" t="str">
        <f t="shared" si="56"/>
        <v>E/S - C/B</v>
      </c>
      <c r="H103" s="26">
        <f t="shared" si="113"/>
        <v>1.5</v>
      </c>
      <c r="I103" s="27">
        <f t="shared" si="114"/>
        <v>23.626922222222181</v>
      </c>
      <c r="J103" s="27">
        <f t="shared" si="115"/>
        <v>27.771996296296251</v>
      </c>
      <c r="K103" s="27">
        <f t="shared" si="116"/>
        <v>-7.4611333333333212</v>
      </c>
      <c r="L103" s="341">
        <v>0</v>
      </c>
      <c r="M103" s="83">
        <f t="shared" si="57"/>
        <v>1119.1699999999983</v>
      </c>
      <c r="N103" s="388">
        <v>41.42</v>
      </c>
      <c r="O103" s="389">
        <v>20</v>
      </c>
      <c r="P103" s="222">
        <f t="shared" si="78"/>
        <v>46357</v>
      </c>
      <c r="Q103" s="274">
        <f t="shared" si="58"/>
        <v>22384</v>
      </c>
      <c r="R103" s="398">
        <v>0</v>
      </c>
      <c r="S103" s="399">
        <v>0</v>
      </c>
      <c r="T103" s="221">
        <f t="shared" si="59"/>
        <v>46357</v>
      </c>
      <c r="U103" s="269">
        <f t="shared" si="59"/>
        <v>22384</v>
      </c>
      <c r="V103" s="348">
        <v>0</v>
      </c>
      <c r="W103" s="406">
        <v>0</v>
      </c>
      <c r="X103" s="407">
        <v>0</v>
      </c>
      <c r="Y103" s="414">
        <f t="shared" si="62"/>
        <v>2.6686530555555557</v>
      </c>
      <c r="Z103" s="415">
        <f t="shared" si="62"/>
        <v>1.2435555555555557</v>
      </c>
      <c r="AA103" s="402">
        <f t="shared" si="63"/>
        <v>5337.306111111111</v>
      </c>
      <c r="AB103" s="403">
        <f t="shared" si="63"/>
        <v>2487.1111111111113</v>
      </c>
      <c r="AC103" s="402">
        <f t="shared" si="64"/>
        <v>5337.306111111111</v>
      </c>
      <c r="AD103" s="403">
        <f t="shared" si="65"/>
        <v>2487.1111111111113</v>
      </c>
      <c r="AE103" s="402">
        <f t="shared" si="66"/>
        <v>158.51799149999999</v>
      </c>
      <c r="AF103" s="403">
        <f t="shared" si="67"/>
        <v>73.867200000000011</v>
      </c>
      <c r="AG103" s="351">
        <v>0</v>
      </c>
      <c r="AH103" s="425">
        <f t="shared" si="83"/>
        <v>1669.0142679012347</v>
      </c>
      <c r="AI103" s="426">
        <f t="shared" si="68"/>
        <v>794.49382716049377</v>
      </c>
      <c r="AJ103" s="424">
        <f t="shared" si="69"/>
        <v>886.2349592592592</v>
      </c>
      <c r="AK103" s="429">
        <f t="shared" si="70"/>
        <v>414.51851851851853</v>
      </c>
      <c r="AL103" s="402">
        <f t="shared" si="84"/>
        <v>206.0311111111111</v>
      </c>
      <c r="AM103" s="403">
        <f t="shared" si="71"/>
        <v>99.484444444444449</v>
      </c>
      <c r="AN103" s="424">
        <f t="shared" si="72"/>
        <v>207.15460740740741</v>
      </c>
      <c r="AO103" s="429">
        <f t="shared" si="73"/>
        <v>103.62962962962963</v>
      </c>
      <c r="AP103" s="424">
        <f t="shared" si="74"/>
        <v>250.38503086419752</v>
      </c>
      <c r="AQ103" s="429">
        <f t="shared" si="75"/>
        <v>120.90123456790124</v>
      </c>
      <c r="AR103" s="467">
        <f t="shared" si="76"/>
        <v>22.452484567901202</v>
      </c>
      <c r="AS103" s="85">
        <f t="shared" si="77"/>
        <v>2238.3399999999965</v>
      </c>
    </row>
    <row r="104" spans="1:45" ht="12.75" customHeight="1" x14ac:dyDescent="0.2">
      <c r="B104" s="338">
        <v>84207.01</v>
      </c>
      <c r="C104" s="339">
        <v>85257.01</v>
      </c>
      <c r="D104" s="340" t="s">
        <v>15</v>
      </c>
      <c r="E104" s="340" t="s">
        <v>105</v>
      </c>
      <c r="F104" s="340" t="s">
        <v>111</v>
      </c>
      <c r="G104" s="47" t="str">
        <f t="shared" si="56"/>
        <v>E/S - C/B</v>
      </c>
      <c r="H104" s="26">
        <f t="shared" si="113"/>
        <v>1.5</v>
      </c>
      <c r="I104" s="27">
        <f t="shared" si="114"/>
        <v>22.166666666666668</v>
      </c>
      <c r="J104" s="27">
        <f t="shared" si="115"/>
        <v>26.055555555555557</v>
      </c>
      <c r="K104" s="27">
        <f t="shared" si="116"/>
        <v>-7</v>
      </c>
      <c r="L104" s="341">
        <v>0</v>
      </c>
      <c r="M104" s="83">
        <f t="shared" si="57"/>
        <v>1050</v>
      </c>
      <c r="N104" s="388">
        <v>51.92</v>
      </c>
      <c r="O104" s="389">
        <v>20</v>
      </c>
      <c r="P104" s="222">
        <f t="shared" si="78"/>
        <v>54516</v>
      </c>
      <c r="Q104" s="274">
        <f t="shared" si="58"/>
        <v>21000</v>
      </c>
      <c r="R104" s="398">
        <v>0</v>
      </c>
      <c r="S104" s="399">
        <v>0</v>
      </c>
      <c r="T104" s="221">
        <f t="shared" si="59"/>
        <v>54516</v>
      </c>
      <c r="U104" s="269">
        <f t="shared" si="59"/>
        <v>21000</v>
      </c>
      <c r="V104" s="348">
        <v>0</v>
      </c>
      <c r="W104" s="406">
        <v>0</v>
      </c>
      <c r="X104" s="407">
        <v>0</v>
      </c>
      <c r="Y104" s="414">
        <f t="shared" si="62"/>
        <v>3.1161666666666665</v>
      </c>
      <c r="Z104" s="415">
        <f t="shared" si="62"/>
        <v>1.1666666666666667</v>
      </c>
      <c r="AA104" s="402">
        <f t="shared" si="63"/>
        <v>6232.333333333333</v>
      </c>
      <c r="AB104" s="403">
        <f t="shared" si="63"/>
        <v>2333.3333333333335</v>
      </c>
      <c r="AC104" s="402">
        <f t="shared" si="64"/>
        <v>6232.333333333333</v>
      </c>
      <c r="AD104" s="403">
        <f t="shared" si="65"/>
        <v>2333.3333333333335</v>
      </c>
      <c r="AE104" s="402">
        <f t="shared" si="66"/>
        <v>185.10029999999998</v>
      </c>
      <c r="AF104" s="403">
        <f t="shared" si="67"/>
        <v>69.3</v>
      </c>
      <c r="AG104" s="351">
        <v>0</v>
      </c>
      <c r="AH104" s="425">
        <f t="shared" si="83"/>
        <v>1957.1481481481483</v>
      </c>
      <c r="AI104" s="426">
        <f t="shared" si="68"/>
        <v>745.37037037037032</v>
      </c>
      <c r="AJ104" s="424">
        <f t="shared" si="69"/>
        <v>1035.6111111111111</v>
      </c>
      <c r="AK104" s="429">
        <f t="shared" si="70"/>
        <v>388.88888888888891</v>
      </c>
      <c r="AL104" s="402">
        <f t="shared" si="84"/>
        <v>242.29333333333332</v>
      </c>
      <c r="AM104" s="403">
        <f t="shared" si="71"/>
        <v>93.333333333333343</v>
      </c>
      <c r="AN104" s="424">
        <f t="shared" si="72"/>
        <v>245.38888888888889</v>
      </c>
      <c r="AO104" s="429">
        <f t="shared" si="73"/>
        <v>97.222222222222229</v>
      </c>
      <c r="AP104" s="424">
        <f t="shared" si="74"/>
        <v>294.4537037037037</v>
      </c>
      <c r="AQ104" s="429">
        <f t="shared" si="75"/>
        <v>113.42592592592592</v>
      </c>
      <c r="AR104" s="467">
        <f t="shared" si="76"/>
        <v>21.064814814814813</v>
      </c>
      <c r="AS104" s="85">
        <f t="shared" si="77"/>
        <v>2100</v>
      </c>
    </row>
    <row r="105" spans="1:45" ht="12.75" customHeight="1" x14ac:dyDescent="0.2">
      <c r="B105" s="338">
        <v>85257.01</v>
      </c>
      <c r="C105" s="339">
        <v>85535.87</v>
      </c>
      <c r="D105" s="340" t="s">
        <v>15</v>
      </c>
      <c r="E105" s="340" t="s">
        <v>105</v>
      </c>
      <c r="F105" s="340" t="s">
        <v>111</v>
      </c>
      <c r="G105" s="47" t="str">
        <f t="shared" si="56"/>
        <v>E/S - C/B</v>
      </c>
      <c r="H105" s="26">
        <f t="shared" si="113"/>
        <v>1.5</v>
      </c>
      <c r="I105" s="27">
        <f t="shared" si="114"/>
        <v>5.8870444444444558</v>
      </c>
      <c r="J105" s="27">
        <f t="shared" si="115"/>
        <v>6.9198592592592734</v>
      </c>
      <c r="K105" s="27">
        <f t="shared" si="116"/>
        <v>-1.8590666666666704</v>
      </c>
      <c r="L105" s="341">
        <v>0</v>
      </c>
      <c r="M105" s="83">
        <f t="shared" si="57"/>
        <v>278.86000000000058</v>
      </c>
      <c r="N105" s="388" t="s">
        <v>101</v>
      </c>
      <c r="O105" s="389" t="s">
        <v>101</v>
      </c>
      <c r="P105" s="222">
        <f t="shared" si="78"/>
        <v>0</v>
      </c>
      <c r="Q105" s="274">
        <f t="shared" si="58"/>
        <v>0</v>
      </c>
      <c r="R105" s="398">
        <v>18269</v>
      </c>
      <c r="S105" s="399">
        <v>5577</v>
      </c>
      <c r="T105" s="221">
        <f t="shared" si="59"/>
        <v>18269</v>
      </c>
      <c r="U105" s="269">
        <f t="shared" si="59"/>
        <v>5577</v>
      </c>
      <c r="V105" s="348">
        <v>0</v>
      </c>
      <c r="W105" s="406">
        <v>0</v>
      </c>
      <c r="X105" s="407">
        <v>0</v>
      </c>
      <c r="Y105" s="414">
        <f t="shared" si="62"/>
        <v>1.0381827777777779</v>
      </c>
      <c r="Z105" s="415">
        <f t="shared" si="62"/>
        <v>0.30983333333333329</v>
      </c>
      <c r="AA105" s="402">
        <f t="shared" si="63"/>
        <v>2076.3655555555556</v>
      </c>
      <c r="AB105" s="403">
        <f t="shared" si="63"/>
        <v>619.66666666666663</v>
      </c>
      <c r="AC105" s="402">
        <f t="shared" si="64"/>
        <v>2076.3655555555556</v>
      </c>
      <c r="AD105" s="403">
        <f t="shared" si="65"/>
        <v>619.66666666666663</v>
      </c>
      <c r="AE105" s="402">
        <f t="shared" si="66"/>
        <v>61.668056999999983</v>
      </c>
      <c r="AF105" s="403">
        <f t="shared" si="67"/>
        <v>18.4041</v>
      </c>
      <c r="AG105" s="351">
        <v>0</v>
      </c>
      <c r="AH105" s="425">
        <f t="shared" si="83"/>
        <v>654.3237728395062</v>
      </c>
      <c r="AI105" s="426">
        <f t="shared" si="68"/>
        <v>197.94907407407408</v>
      </c>
      <c r="AJ105" s="424">
        <f t="shared" si="69"/>
        <v>345.23467407407412</v>
      </c>
      <c r="AK105" s="429">
        <f t="shared" si="70"/>
        <v>103.27777777777777</v>
      </c>
      <c r="AL105" s="402">
        <f t="shared" si="84"/>
        <v>81.195555555555558</v>
      </c>
      <c r="AM105" s="403">
        <f t="shared" si="71"/>
        <v>24.786666666666665</v>
      </c>
      <c r="AN105" s="424">
        <f t="shared" si="72"/>
        <v>82.719637037037046</v>
      </c>
      <c r="AO105" s="429">
        <f t="shared" si="73"/>
        <v>25.819444444444443</v>
      </c>
      <c r="AP105" s="424">
        <f t="shared" si="74"/>
        <v>98.675154320987644</v>
      </c>
      <c r="AQ105" s="429">
        <f t="shared" si="75"/>
        <v>30.122685185185187</v>
      </c>
      <c r="AR105" s="467">
        <f t="shared" si="76"/>
        <v>5.5944135802469255</v>
      </c>
      <c r="AS105" s="85">
        <f t="shared" si="77"/>
        <v>557.72000000000116</v>
      </c>
    </row>
    <row r="106" spans="1:45" ht="12.75" customHeight="1" x14ac:dyDescent="0.2">
      <c r="B106" s="338">
        <v>85535.87</v>
      </c>
      <c r="C106" s="339">
        <v>86875.27</v>
      </c>
      <c r="D106" s="340" t="s">
        <v>15</v>
      </c>
      <c r="E106" s="340" t="s">
        <v>105</v>
      </c>
      <c r="F106" s="340" t="s">
        <v>111</v>
      </c>
      <c r="G106" s="47" t="str">
        <f t="shared" si="56"/>
        <v>E/S - C/B</v>
      </c>
      <c r="H106" s="26">
        <f t="shared" si="113"/>
        <v>1.5</v>
      </c>
      <c r="I106" s="27">
        <f t="shared" si="114"/>
        <v>28.276222222222401</v>
      </c>
      <c r="J106" s="27">
        <f t="shared" si="115"/>
        <v>33.236962962963183</v>
      </c>
      <c r="K106" s="27">
        <f t="shared" si="116"/>
        <v>-8.9293333333333909</v>
      </c>
      <c r="L106" s="341">
        <v>0</v>
      </c>
      <c r="M106" s="83">
        <f t="shared" si="57"/>
        <v>1339.4000000000087</v>
      </c>
      <c r="N106" s="388">
        <v>41.42</v>
      </c>
      <c r="O106" s="389">
        <v>20</v>
      </c>
      <c r="P106" s="222">
        <f t="shared" si="78"/>
        <v>55478</v>
      </c>
      <c r="Q106" s="274">
        <f t="shared" si="58"/>
        <v>26789</v>
      </c>
      <c r="R106" s="398">
        <v>0</v>
      </c>
      <c r="S106" s="399">
        <v>0</v>
      </c>
      <c r="T106" s="221">
        <f t="shared" si="59"/>
        <v>55478</v>
      </c>
      <c r="U106" s="269">
        <f t="shared" si="59"/>
        <v>26789</v>
      </c>
      <c r="V106" s="348">
        <v>0</v>
      </c>
      <c r="W106" s="406">
        <v>0</v>
      </c>
      <c r="X106" s="407">
        <v>0</v>
      </c>
      <c r="Y106" s="414">
        <f t="shared" si="62"/>
        <v>3.1937277777777786</v>
      </c>
      <c r="Z106" s="415">
        <f t="shared" si="62"/>
        <v>1.4882777777777778</v>
      </c>
      <c r="AA106" s="402">
        <f t="shared" si="63"/>
        <v>6387.4555555555571</v>
      </c>
      <c r="AB106" s="403">
        <f t="shared" si="63"/>
        <v>2976.5555555555557</v>
      </c>
      <c r="AC106" s="402">
        <f t="shared" si="64"/>
        <v>6387.4555555555571</v>
      </c>
      <c r="AD106" s="403">
        <f t="shared" si="65"/>
        <v>2976.5555555555557</v>
      </c>
      <c r="AE106" s="402">
        <f t="shared" si="66"/>
        <v>189.70743000000004</v>
      </c>
      <c r="AF106" s="403">
        <f t="shared" si="67"/>
        <v>88.403700000000015</v>
      </c>
      <c r="AG106" s="351">
        <v>0</v>
      </c>
      <c r="AH106" s="425">
        <f t="shared" si="83"/>
        <v>1997.4027654320989</v>
      </c>
      <c r="AI106" s="426">
        <f t="shared" si="68"/>
        <v>950.84413580246917</v>
      </c>
      <c r="AJ106" s="424">
        <f t="shared" si="69"/>
        <v>1060.6073333333336</v>
      </c>
      <c r="AK106" s="429">
        <f t="shared" si="70"/>
        <v>496.09259259259261</v>
      </c>
      <c r="AL106" s="402">
        <f t="shared" si="84"/>
        <v>246.56888888888892</v>
      </c>
      <c r="AM106" s="403">
        <f t="shared" si="71"/>
        <v>119.06222222222223</v>
      </c>
      <c r="AN106" s="424">
        <f t="shared" si="72"/>
        <v>247.91325925925921</v>
      </c>
      <c r="AO106" s="429">
        <f t="shared" si="73"/>
        <v>124.02314814814815</v>
      </c>
      <c r="AP106" s="424">
        <f t="shared" si="74"/>
        <v>299.64969135802471</v>
      </c>
      <c r="AQ106" s="429">
        <f t="shared" si="75"/>
        <v>144.69367283950618</v>
      </c>
      <c r="AR106" s="467">
        <f t="shared" si="76"/>
        <v>26.870679012345857</v>
      </c>
      <c r="AS106" s="85">
        <f t="shared" si="77"/>
        <v>2678.8000000000175</v>
      </c>
    </row>
    <row r="107" spans="1:45" ht="12.75" customHeight="1" x14ac:dyDescent="0.2">
      <c r="B107" s="338">
        <v>86875.27</v>
      </c>
      <c r="C107" s="339">
        <v>87200.34</v>
      </c>
      <c r="D107" s="340" t="s">
        <v>15</v>
      </c>
      <c r="E107" s="340" t="s">
        <v>105</v>
      </c>
      <c r="F107" s="340" t="s">
        <v>111</v>
      </c>
      <c r="G107" s="47" t="str">
        <f t="shared" si="56"/>
        <v>E/S - C/B</v>
      </c>
      <c r="H107" s="26">
        <f t="shared" si="113"/>
        <v>1.5</v>
      </c>
      <c r="I107" s="27">
        <f t="shared" si="114"/>
        <v>6.8625888888887285</v>
      </c>
      <c r="J107" s="27">
        <f t="shared" si="115"/>
        <v>8.0665518518516635</v>
      </c>
      <c r="K107" s="27">
        <f t="shared" si="116"/>
        <v>-2.167133333333283</v>
      </c>
      <c r="L107" s="341">
        <v>0</v>
      </c>
      <c r="M107" s="83">
        <f t="shared" si="57"/>
        <v>325.06999999999243</v>
      </c>
      <c r="N107" s="388" t="s">
        <v>101</v>
      </c>
      <c r="O107" s="389" t="s">
        <v>101</v>
      </c>
      <c r="P107" s="222">
        <f t="shared" si="78"/>
        <v>0</v>
      </c>
      <c r="Q107" s="274">
        <f t="shared" si="58"/>
        <v>0</v>
      </c>
      <c r="R107" s="398">
        <v>20246</v>
      </c>
      <c r="S107" s="399">
        <v>6501</v>
      </c>
      <c r="T107" s="221">
        <f t="shared" si="59"/>
        <v>20246</v>
      </c>
      <c r="U107" s="269">
        <f t="shared" si="59"/>
        <v>6501</v>
      </c>
      <c r="V107" s="348">
        <v>0</v>
      </c>
      <c r="W107" s="406">
        <v>0</v>
      </c>
      <c r="X107" s="407">
        <v>0</v>
      </c>
      <c r="Y107" s="414">
        <f t="shared" si="62"/>
        <v>1.1518669444444438</v>
      </c>
      <c r="Z107" s="415">
        <f t="shared" si="62"/>
        <v>0.36116666666666669</v>
      </c>
      <c r="AA107" s="402">
        <f t="shared" si="63"/>
        <v>2303.7338888888876</v>
      </c>
      <c r="AB107" s="403">
        <f t="shared" si="63"/>
        <v>722.33333333333337</v>
      </c>
      <c r="AC107" s="402">
        <f t="shared" si="64"/>
        <v>2303.7338888888876</v>
      </c>
      <c r="AD107" s="403">
        <f t="shared" si="65"/>
        <v>722.33333333333337</v>
      </c>
      <c r="AE107" s="402">
        <f t="shared" si="66"/>
        <v>68.420896499999941</v>
      </c>
      <c r="AF107" s="403">
        <f t="shared" si="67"/>
        <v>21.453299999999999</v>
      </c>
      <c r="AG107" s="351">
        <v>0</v>
      </c>
      <c r="AH107" s="425">
        <f t="shared" si="83"/>
        <v>725.47061358024678</v>
      </c>
      <c r="AI107" s="426">
        <f t="shared" si="68"/>
        <v>230.74537037037038</v>
      </c>
      <c r="AJ107" s="424">
        <f t="shared" si="69"/>
        <v>382.99247777777759</v>
      </c>
      <c r="AK107" s="429">
        <f t="shared" si="70"/>
        <v>120.38888888888889</v>
      </c>
      <c r="AL107" s="402">
        <f t="shared" si="84"/>
        <v>89.982222222222234</v>
      </c>
      <c r="AM107" s="403">
        <f t="shared" si="71"/>
        <v>28.893333333333334</v>
      </c>
      <c r="AN107" s="424">
        <f t="shared" si="72"/>
        <v>91.564348148148198</v>
      </c>
      <c r="AO107" s="429">
        <f t="shared" si="73"/>
        <v>30.097222222222221</v>
      </c>
      <c r="AP107" s="424">
        <f t="shared" si="74"/>
        <v>109.35339506172839</v>
      </c>
      <c r="AQ107" s="429">
        <f t="shared" si="75"/>
        <v>35.113425925925924</v>
      </c>
      <c r="AR107" s="467">
        <f t="shared" si="76"/>
        <v>6.521466049382564</v>
      </c>
      <c r="AS107" s="85">
        <f t="shared" si="77"/>
        <v>650.13999999998487</v>
      </c>
    </row>
    <row r="108" spans="1:45" ht="12.75" customHeight="1" x14ac:dyDescent="0.2">
      <c r="B108" s="338">
        <v>87200.34</v>
      </c>
      <c r="C108" s="339">
        <v>87372.92</v>
      </c>
      <c r="D108" s="340" t="s">
        <v>15</v>
      </c>
      <c r="E108" s="340" t="s">
        <v>106</v>
      </c>
      <c r="F108" s="340" t="s">
        <v>111</v>
      </c>
      <c r="G108" s="47" t="str">
        <f t="shared" ref="G108:G133" si="117">IF(AND($E108=$AU$2,$F108=$AU$2),$AW$2,IF(OR(AND($E108=$AU$2,$F108=$AU$3),AND($E108=$AU$3,$F108=$AU$2)),$AW$3,IF(OR(AND($E108=$AU$2,$F108=$AU$4),AND($E108=$AU$4,$F108=$AU$2)),$AW$4,IF(OR(AND($E108=$AU$3,$F108=$AU$4),AND($E108=$AU$4,$F108=$AU$3)),$AW$5,IF(AND($E108=$AU$3,$F108=$AU$3),$AW$6,IF(AND($E108=$AU$4,$F108=$AU$4),$AW$7,"-"))))))</f>
        <v>F/C - C/B</v>
      </c>
      <c r="H108" s="26">
        <f t="shared" si="113"/>
        <v>2</v>
      </c>
      <c r="I108" s="27">
        <f t="shared" si="114"/>
        <v>0</v>
      </c>
      <c r="J108" s="27">
        <f t="shared" si="115"/>
        <v>6.2640148148148782</v>
      </c>
      <c r="K108" s="27">
        <f t="shared" si="116"/>
        <v>-1.150533333333345</v>
      </c>
      <c r="L108" s="341">
        <v>0</v>
      </c>
      <c r="M108" s="83">
        <f t="shared" si="57"/>
        <v>172.58000000000175</v>
      </c>
      <c r="N108" s="388" t="s">
        <v>101</v>
      </c>
      <c r="O108" s="389" t="s">
        <v>101</v>
      </c>
      <c r="P108" s="222">
        <f t="shared" si="78"/>
        <v>0</v>
      </c>
      <c r="Q108" s="274">
        <f t="shared" si="58"/>
        <v>0</v>
      </c>
      <c r="R108" s="398">
        <v>9158</v>
      </c>
      <c r="S108" s="399">
        <v>3452</v>
      </c>
      <c r="T108" s="221">
        <f t="shared" si="59"/>
        <v>9158</v>
      </c>
      <c r="U108" s="269">
        <f t="shared" si="59"/>
        <v>3452</v>
      </c>
      <c r="V108" s="348">
        <v>0</v>
      </c>
      <c r="W108" s="406">
        <v>0</v>
      </c>
      <c r="X108" s="407">
        <v>0</v>
      </c>
      <c r="Y108" s="414">
        <f t="shared" si="62"/>
        <v>0.5279533333333335</v>
      </c>
      <c r="Z108" s="415">
        <f t="shared" si="62"/>
        <v>0.19177777777777777</v>
      </c>
      <c r="AA108" s="402">
        <f t="shared" si="63"/>
        <v>1055.906666666667</v>
      </c>
      <c r="AB108" s="403">
        <f t="shared" si="63"/>
        <v>383.55555555555554</v>
      </c>
      <c r="AC108" s="402">
        <f t="shared" ref="AC108:AC133" si="118">IF(OR($A108="APP SLAB",W108&lt;&gt;0),0,(T108+$H108*$M108)/9)</f>
        <v>1055.906666666667</v>
      </c>
      <c r="AD108" s="403">
        <f t="shared" ref="AD108:AD133" si="119">IF(OR($A108="APP SLAB",X108&lt;&gt;0),0,U108/9)</f>
        <v>383.55555555555554</v>
      </c>
      <c r="AE108" s="402">
        <f t="shared" ref="AE108:AE133" si="120">IF(OR($A108="APP SLAB",W108&lt;&gt;0),0,$AC$1*AC108*110*0.06*0.75/2000)</f>
        <v>31.360428000000013</v>
      </c>
      <c r="AF108" s="403">
        <f t="shared" ref="AF108:AF133" si="121">IF(OR($A108="APP SLAB",X108&lt;&gt;0),0,$AC$1*AD108*110*0.06*0.75/2000)</f>
        <v>11.391599999999999</v>
      </c>
      <c r="AG108" s="351">
        <v>0</v>
      </c>
      <c r="AH108" s="425">
        <f t="shared" si="83"/>
        <v>325.05246913580243</v>
      </c>
      <c r="AI108" s="426">
        <f t="shared" ref="AI108:AI133" si="122">IF($A108="APP SLAB",0,(U108*$AH$1/12)/27)</f>
        <v>122.52469135802468</v>
      </c>
      <c r="AJ108" s="424">
        <f t="shared" ref="AJ108:AJ133" si="123">(T108*$AJ$1/12)/27+J108</f>
        <v>175.85660740740747</v>
      </c>
      <c r="AK108" s="429">
        <f t="shared" ref="AK108:AK133" si="124">(U108*$AJ$1/12)/27</f>
        <v>63.925925925925924</v>
      </c>
      <c r="AL108" s="402">
        <f t="shared" si="84"/>
        <v>40.702222222222225</v>
      </c>
      <c r="AM108" s="403">
        <f t="shared" ref="AM108:AM133" si="125">IF($A108="APP SLAB",0,(U108/9)*$AL$1)</f>
        <v>15.342222222222222</v>
      </c>
      <c r="AN108" s="424">
        <f t="shared" ref="AN108:AN133" si="126">IF(A108="APP SLAB",0,(T108*($AN$1/12))/27+K108)</f>
        <v>41.247614814814803</v>
      </c>
      <c r="AO108" s="429">
        <f t="shared" ref="AO108:AO133" si="127">IF($A108="APP SLAB",0,(U108*($AN$1/12))/27)</f>
        <v>15.981481481481481</v>
      </c>
      <c r="AP108" s="424">
        <f t="shared" ref="AP108:AP133" si="128">IF(A108="APP SLAB",0,(T108*$AP$1/12)/27+L108)</f>
        <v>49.464506172839506</v>
      </c>
      <c r="AQ108" s="429">
        <f t="shared" ref="AQ108:AQ133" si="129">IF($A108="APP SLAB",0,(U108*$AP$1/12)/27)</f>
        <v>18.645061728395063</v>
      </c>
      <c r="AR108" s="467">
        <f t="shared" si="76"/>
        <v>0</v>
      </c>
      <c r="AS108" s="85">
        <f t="shared" ref="AS108:AS133" si="130">IF(A108="APP SLAB",0,(M108*2))</f>
        <v>345.16000000000349</v>
      </c>
    </row>
    <row r="109" spans="1:45" ht="12.75" customHeight="1" x14ac:dyDescent="0.2">
      <c r="B109" s="338">
        <v>87372.92</v>
      </c>
      <c r="C109" s="339">
        <v>87675.37</v>
      </c>
      <c r="D109" s="340" t="s">
        <v>15</v>
      </c>
      <c r="E109" s="340" t="s">
        <v>106</v>
      </c>
      <c r="F109" s="340" t="s">
        <v>111</v>
      </c>
      <c r="G109" s="47" t="str">
        <f t="shared" si="117"/>
        <v>F/C - C/B</v>
      </c>
      <c r="H109" s="26">
        <f t="shared" si="113"/>
        <v>2</v>
      </c>
      <c r="I109" s="27">
        <f t="shared" si="114"/>
        <v>0</v>
      </c>
      <c r="J109" s="27">
        <f t="shared" si="115"/>
        <v>10.97781481481471</v>
      </c>
      <c r="K109" s="27">
        <f t="shared" si="116"/>
        <v>-2.0163333333333138</v>
      </c>
      <c r="L109" s="341">
        <v>0</v>
      </c>
      <c r="M109" s="83">
        <f t="shared" si="57"/>
        <v>302.44999999999709</v>
      </c>
      <c r="N109" s="388">
        <v>51.42</v>
      </c>
      <c r="O109" s="389">
        <v>20</v>
      </c>
      <c r="P109" s="222">
        <f t="shared" si="78"/>
        <v>15552</v>
      </c>
      <c r="Q109" s="274">
        <f t="shared" si="58"/>
        <v>6049</v>
      </c>
      <c r="R109" s="398">
        <v>0</v>
      </c>
      <c r="S109" s="399">
        <v>0</v>
      </c>
      <c r="T109" s="221">
        <f t="shared" si="59"/>
        <v>15552</v>
      </c>
      <c r="U109" s="269">
        <f t="shared" si="59"/>
        <v>6049</v>
      </c>
      <c r="V109" s="348">
        <v>0</v>
      </c>
      <c r="W109" s="406">
        <v>0</v>
      </c>
      <c r="X109" s="407">
        <v>0</v>
      </c>
      <c r="Y109" s="414">
        <f t="shared" si="62"/>
        <v>0.89760555555555532</v>
      </c>
      <c r="Z109" s="415">
        <f t="shared" si="62"/>
        <v>0.33605555555555555</v>
      </c>
      <c r="AA109" s="402">
        <f t="shared" si="63"/>
        <v>1795.2111111111105</v>
      </c>
      <c r="AB109" s="403">
        <f t="shared" si="63"/>
        <v>672.11111111111109</v>
      </c>
      <c r="AC109" s="402">
        <f t="shared" si="118"/>
        <v>1795.2111111111105</v>
      </c>
      <c r="AD109" s="403">
        <f t="shared" si="119"/>
        <v>672.11111111111109</v>
      </c>
      <c r="AE109" s="402">
        <f t="shared" si="120"/>
        <v>53.317769999999975</v>
      </c>
      <c r="AF109" s="403">
        <f t="shared" si="121"/>
        <v>19.961699999999997</v>
      </c>
      <c r="AG109" s="351">
        <v>0</v>
      </c>
      <c r="AH109" s="425">
        <f t="shared" si="83"/>
        <v>552</v>
      </c>
      <c r="AI109" s="426">
        <f t="shared" si="122"/>
        <v>214.70216049382714</v>
      </c>
      <c r="AJ109" s="424">
        <f t="shared" si="123"/>
        <v>298.97781481481474</v>
      </c>
      <c r="AK109" s="429">
        <f t="shared" si="124"/>
        <v>112.01851851851852</v>
      </c>
      <c r="AL109" s="402">
        <f t="shared" si="84"/>
        <v>69.12</v>
      </c>
      <c r="AM109" s="403">
        <f t="shared" si="125"/>
        <v>26.884444444444444</v>
      </c>
      <c r="AN109" s="424">
        <f t="shared" si="126"/>
        <v>69.983666666666693</v>
      </c>
      <c r="AO109" s="429">
        <f t="shared" si="127"/>
        <v>28.00462962962963</v>
      </c>
      <c r="AP109" s="424">
        <f t="shared" si="128"/>
        <v>84</v>
      </c>
      <c r="AQ109" s="429">
        <f t="shared" si="129"/>
        <v>32.67206790123457</v>
      </c>
      <c r="AR109" s="467">
        <f t="shared" si="76"/>
        <v>0</v>
      </c>
      <c r="AS109" s="85">
        <f t="shared" si="130"/>
        <v>604.89999999999418</v>
      </c>
    </row>
    <row r="110" spans="1:45" ht="12.75" customHeight="1" x14ac:dyDescent="0.2">
      <c r="B110" s="338">
        <v>87675.37</v>
      </c>
      <c r="C110" s="339">
        <v>87775.37</v>
      </c>
      <c r="D110" s="340" t="s">
        <v>15</v>
      </c>
      <c r="E110" s="340" t="s">
        <v>106</v>
      </c>
      <c r="F110" s="340" t="s">
        <v>111</v>
      </c>
      <c r="G110" s="47" t="str">
        <f t="shared" si="117"/>
        <v>F/C - C/B</v>
      </c>
      <c r="H110" s="26">
        <f t="shared" si="113"/>
        <v>2</v>
      </c>
      <c r="I110" s="27">
        <f t="shared" si="114"/>
        <v>0</v>
      </c>
      <c r="J110" s="27">
        <f t="shared" si="115"/>
        <v>3.6296296296296298</v>
      </c>
      <c r="K110" s="27">
        <f t="shared" si="116"/>
        <v>-0.66666666666666663</v>
      </c>
      <c r="L110" s="341">
        <v>0</v>
      </c>
      <c r="M110" s="83">
        <f t="shared" si="57"/>
        <v>100</v>
      </c>
      <c r="N110" s="388">
        <v>47.42</v>
      </c>
      <c r="O110" s="389">
        <v>20</v>
      </c>
      <c r="P110" s="222">
        <f t="shared" si="78"/>
        <v>4742</v>
      </c>
      <c r="Q110" s="274">
        <f t="shared" si="58"/>
        <v>2000</v>
      </c>
      <c r="R110" s="398">
        <v>0</v>
      </c>
      <c r="S110" s="399">
        <v>0</v>
      </c>
      <c r="T110" s="221">
        <f t="shared" si="59"/>
        <v>4742</v>
      </c>
      <c r="U110" s="269">
        <f t="shared" si="59"/>
        <v>2000</v>
      </c>
      <c r="V110" s="348">
        <v>0</v>
      </c>
      <c r="W110" s="406">
        <v>0</v>
      </c>
      <c r="X110" s="407">
        <v>0</v>
      </c>
      <c r="Y110" s="414">
        <f t="shared" si="62"/>
        <v>0.27455555555555555</v>
      </c>
      <c r="Z110" s="415">
        <f t="shared" si="62"/>
        <v>0.11111111111111112</v>
      </c>
      <c r="AA110" s="402">
        <f t="shared" si="63"/>
        <v>549.11111111111109</v>
      </c>
      <c r="AB110" s="403">
        <f t="shared" si="63"/>
        <v>222.22222222222223</v>
      </c>
      <c r="AC110" s="402">
        <f t="shared" si="118"/>
        <v>549.11111111111109</v>
      </c>
      <c r="AD110" s="403">
        <f t="shared" si="119"/>
        <v>222.22222222222223</v>
      </c>
      <c r="AE110" s="402">
        <f t="shared" si="120"/>
        <v>16.308599999999998</v>
      </c>
      <c r="AF110" s="403">
        <f t="shared" si="121"/>
        <v>6.6</v>
      </c>
      <c r="AG110" s="351">
        <v>0</v>
      </c>
      <c r="AH110" s="425">
        <f t="shared" si="83"/>
        <v>168.31172839506175</v>
      </c>
      <c r="AI110" s="426">
        <f t="shared" si="122"/>
        <v>70.987654320987659</v>
      </c>
      <c r="AJ110" s="424">
        <f t="shared" si="123"/>
        <v>91.444444444444443</v>
      </c>
      <c r="AK110" s="429">
        <f t="shared" si="124"/>
        <v>37.037037037037038</v>
      </c>
      <c r="AL110" s="402">
        <f t="shared" si="84"/>
        <v>21.075555555555557</v>
      </c>
      <c r="AM110" s="403">
        <f t="shared" si="125"/>
        <v>8.8888888888888893</v>
      </c>
      <c r="AN110" s="424">
        <f t="shared" si="126"/>
        <v>21.287037037037035</v>
      </c>
      <c r="AO110" s="429">
        <f t="shared" si="127"/>
        <v>9.2592592592592595</v>
      </c>
      <c r="AP110" s="424">
        <f t="shared" si="128"/>
        <v>25.612654320987652</v>
      </c>
      <c r="AQ110" s="429">
        <f t="shared" si="129"/>
        <v>10.80246913580247</v>
      </c>
      <c r="AR110" s="467">
        <f t="shared" si="76"/>
        <v>0</v>
      </c>
      <c r="AS110" s="85">
        <f t="shared" si="130"/>
        <v>200</v>
      </c>
    </row>
    <row r="111" spans="1:45" ht="12.75" customHeight="1" x14ac:dyDescent="0.2">
      <c r="B111" s="338">
        <v>87775.37</v>
      </c>
      <c r="C111" s="339">
        <v>87820</v>
      </c>
      <c r="D111" s="340" t="s">
        <v>15</v>
      </c>
      <c r="E111" s="340" t="s">
        <v>106</v>
      </c>
      <c r="F111" s="340" t="s">
        <v>111</v>
      </c>
      <c r="G111" s="47" t="str">
        <f t="shared" si="117"/>
        <v>F/C - C/B</v>
      </c>
      <c r="H111" s="26">
        <f t="shared" si="113"/>
        <v>2</v>
      </c>
      <c r="I111" s="27">
        <f t="shared" si="114"/>
        <v>0</v>
      </c>
      <c r="J111" s="27">
        <f t="shared" si="115"/>
        <v>1.6199037037038726</v>
      </c>
      <c r="K111" s="27">
        <f t="shared" si="116"/>
        <v>-0.2975333333333644</v>
      </c>
      <c r="L111" s="341">
        <v>0</v>
      </c>
      <c r="M111" s="83">
        <f t="shared" si="57"/>
        <v>44.630000000004657</v>
      </c>
      <c r="N111" s="388">
        <v>43.42</v>
      </c>
      <c r="O111" s="389">
        <v>20</v>
      </c>
      <c r="P111" s="222">
        <f t="shared" si="78"/>
        <v>1938</v>
      </c>
      <c r="Q111" s="274">
        <f t="shared" si="58"/>
        <v>893</v>
      </c>
      <c r="R111" s="398">
        <v>0</v>
      </c>
      <c r="S111" s="399">
        <v>0</v>
      </c>
      <c r="T111" s="221">
        <f t="shared" si="59"/>
        <v>1938</v>
      </c>
      <c r="U111" s="269">
        <f t="shared" si="59"/>
        <v>893</v>
      </c>
      <c r="V111" s="348">
        <v>0</v>
      </c>
      <c r="W111" s="406">
        <v>0</v>
      </c>
      <c r="X111" s="407">
        <v>0</v>
      </c>
      <c r="Y111" s="414">
        <f t="shared" si="62"/>
        <v>0.11262555555555608</v>
      </c>
      <c r="Z111" s="415">
        <f t="shared" si="62"/>
        <v>4.9611111111111113E-2</v>
      </c>
      <c r="AA111" s="402">
        <f t="shared" si="63"/>
        <v>225.25111111111215</v>
      </c>
      <c r="AB111" s="403">
        <f t="shared" si="63"/>
        <v>99.222222222222229</v>
      </c>
      <c r="AC111" s="402">
        <f t="shared" si="118"/>
        <v>225.25111111111215</v>
      </c>
      <c r="AD111" s="403">
        <f t="shared" si="119"/>
        <v>99.222222222222229</v>
      </c>
      <c r="AE111" s="402">
        <f t="shared" si="120"/>
        <v>6.6899580000000318</v>
      </c>
      <c r="AF111" s="403">
        <f t="shared" si="121"/>
        <v>2.9469000000000003</v>
      </c>
      <c r="AG111" s="351">
        <v>0</v>
      </c>
      <c r="AH111" s="425">
        <f t="shared" si="83"/>
        <v>68.787037037037038</v>
      </c>
      <c r="AI111" s="426">
        <f t="shared" si="122"/>
        <v>31.695987654320987</v>
      </c>
      <c r="AJ111" s="424">
        <f t="shared" si="123"/>
        <v>37.508792592592755</v>
      </c>
      <c r="AK111" s="429">
        <f t="shared" si="124"/>
        <v>16.537037037037038</v>
      </c>
      <c r="AL111" s="402">
        <f t="shared" si="84"/>
        <v>8.6133333333333333</v>
      </c>
      <c r="AM111" s="403">
        <f t="shared" si="125"/>
        <v>3.9688888888888894</v>
      </c>
      <c r="AN111" s="424">
        <f t="shared" si="126"/>
        <v>8.6746888888888574</v>
      </c>
      <c r="AO111" s="429">
        <f t="shared" si="127"/>
        <v>4.1342592592592595</v>
      </c>
      <c r="AP111" s="424">
        <f t="shared" si="128"/>
        <v>10.467592592592593</v>
      </c>
      <c r="AQ111" s="429">
        <f t="shared" si="129"/>
        <v>4.8233024691358022</v>
      </c>
      <c r="AR111" s="467">
        <f t="shared" si="76"/>
        <v>0</v>
      </c>
      <c r="AS111" s="85">
        <f t="shared" si="130"/>
        <v>89.260000000009313</v>
      </c>
    </row>
    <row r="112" spans="1:45" ht="12.75" customHeight="1" x14ac:dyDescent="0.2">
      <c r="B112" s="338">
        <v>87820</v>
      </c>
      <c r="C112" s="339">
        <v>89190.3</v>
      </c>
      <c r="D112" s="340" t="s">
        <v>15</v>
      </c>
      <c r="E112" s="340" t="s">
        <v>105</v>
      </c>
      <c r="F112" s="340" t="s">
        <v>111</v>
      </c>
      <c r="G112" s="47" t="str">
        <f t="shared" si="117"/>
        <v>E/S - C/B</v>
      </c>
      <c r="H112" s="26">
        <f t="shared" si="113"/>
        <v>1.5</v>
      </c>
      <c r="I112" s="27">
        <f t="shared" si="114"/>
        <v>28.928555555555615</v>
      </c>
      <c r="J112" s="27">
        <f t="shared" si="115"/>
        <v>34.003740740740817</v>
      </c>
      <c r="K112" s="27">
        <f t="shared" si="116"/>
        <v>-9.1353333333333513</v>
      </c>
      <c r="L112" s="341">
        <v>0</v>
      </c>
      <c r="M112" s="83">
        <f t="shared" si="57"/>
        <v>1370.3000000000029</v>
      </c>
      <c r="N112" s="388">
        <v>41.42</v>
      </c>
      <c r="O112" s="389">
        <v>20</v>
      </c>
      <c r="P112" s="222">
        <f t="shared" si="78"/>
        <v>56758</v>
      </c>
      <c r="Q112" s="274">
        <f t="shared" si="58"/>
        <v>27407</v>
      </c>
      <c r="R112" s="398">
        <v>0</v>
      </c>
      <c r="S112" s="399">
        <v>0</v>
      </c>
      <c r="T112" s="221">
        <f t="shared" si="59"/>
        <v>56758</v>
      </c>
      <c r="U112" s="269">
        <f t="shared" si="59"/>
        <v>27407</v>
      </c>
      <c r="V112" s="348">
        <v>0</v>
      </c>
      <c r="W112" s="406">
        <v>0</v>
      </c>
      <c r="X112" s="407">
        <v>0</v>
      </c>
      <c r="Y112" s="414">
        <f t="shared" si="62"/>
        <v>3.2674138888888891</v>
      </c>
      <c r="Z112" s="415">
        <f t="shared" si="62"/>
        <v>1.5226111111111111</v>
      </c>
      <c r="AA112" s="402">
        <f t="shared" si="63"/>
        <v>6534.8277777777785</v>
      </c>
      <c r="AB112" s="403">
        <f t="shared" si="63"/>
        <v>3045.2222222222222</v>
      </c>
      <c r="AC112" s="402">
        <f t="shared" si="118"/>
        <v>6534.8277777777785</v>
      </c>
      <c r="AD112" s="403">
        <f t="shared" si="119"/>
        <v>3045.2222222222222</v>
      </c>
      <c r="AE112" s="402">
        <f t="shared" si="120"/>
        <v>194.084385</v>
      </c>
      <c r="AF112" s="403">
        <f t="shared" si="121"/>
        <v>90.443099999999987</v>
      </c>
      <c r="AG112" s="351">
        <v>0</v>
      </c>
      <c r="AH112" s="425">
        <f t="shared" si="83"/>
        <v>2043.4871975308645</v>
      </c>
      <c r="AI112" s="426">
        <f t="shared" si="122"/>
        <v>972.77932098765439</v>
      </c>
      <c r="AJ112" s="424">
        <f t="shared" si="123"/>
        <v>1085.0778148148149</v>
      </c>
      <c r="AK112" s="429">
        <f t="shared" si="124"/>
        <v>507.53703703703701</v>
      </c>
      <c r="AL112" s="402">
        <f t="shared" si="84"/>
        <v>252.25777777777779</v>
      </c>
      <c r="AM112" s="403">
        <f t="shared" si="125"/>
        <v>121.80888888888889</v>
      </c>
      <c r="AN112" s="424">
        <f t="shared" si="126"/>
        <v>253.63318518518517</v>
      </c>
      <c r="AO112" s="429">
        <f t="shared" si="127"/>
        <v>126.88425925925925</v>
      </c>
      <c r="AP112" s="424">
        <f t="shared" si="128"/>
        <v>306.56327160493828</v>
      </c>
      <c r="AQ112" s="429">
        <f t="shared" si="129"/>
        <v>148.03163580246914</v>
      </c>
      <c r="AR112" s="467">
        <f t="shared" si="76"/>
        <v>27.490586419753143</v>
      </c>
      <c r="AS112" s="85">
        <f t="shared" si="130"/>
        <v>2740.6000000000058</v>
      </c>
    </row>
    <row r="113" spans="1:61" ht="12.75" customHeight="1" x14ac:dyDescent="0.2">
      <c r="B113" s="338">
        <v>89190.3</v>
      </c>
      <c r="C113" s="339">
        <v>89617.84</v>
      </c>
      <c r="D113" s="340" t="s">
        <v>15</v>
      </c>
      <c r="E113" s="340" t="s">
        <v>106</v>
      </c>
      <c r="F113" s="340" t="s">
        <v>111</v>
      </c>
      <c r="G113" s="47" t="str">
        <f t="shared" si="117"/>
        <v>F/C - C/B</v>
      </c>
      <c r="H113" s="26">
        <f t="shared" si="113"/>
        <v>2</v>
      </c>
      <c r="I113" s="27">
        <f t="shared" si="114"/>
        <v>0</v>
      </c>
      <c r="J113" s="27">
        <f t="shared" si="115"/>
        <v>15.518118518518285</v>
      </c>
      <c r="K113" s="27">
        <f t="shared" si="116"/>
        <v>-2.8502666666666241</v>
      </c>
      <c r="L113" s="341">
        <v>0</v>
      </c>
      <c r="M113" s="83">
        <f t="shared" si="57"/>
        <v>427.5399999999936</v>
      </c>
      <c r="N113" s="388">
        <v>43.42</v>
      </c>
      <c r="O113" s="389">
        <v>20</v>
      </c>
      <c r="P113" s="222">
        <f t="shared" si="78"/>
        <v>18564</v>
      </c>
      <c r="Q113" s="274">
        <f t="shared" si="58"/>
        <v>8551</v>
      </c>
      <c r="R113" s="398">
        <v>0</v>
      </c>
      <c r="S113" s="399">
        <v>0</v>
      </c>
      <c r="T113" s="221">
        <f t="shared" si="59"/>
        <v>18564</v>
      </c>
      <c r="U113" s="269">
        <f t="shared" si="59"/>
        <v>8551</v>
      </c>
      <c r="V113" s="348">
        <v>0</v>
      </c>
      <c r="W113" s="406">
        <v>0</v>
      </c>
      <c r="X113" s="407">
        <v>0</v>
      </c>
      <c r="Y113" s="414">
        <f t="shared" si="62"/>
        <v>1.0788377777777771</v>
      </c>
      <c r="Z113" s="415">
        <f t="shared" si="62"/>
        <v>0.47505555555555556</v>
      </c>
      <c r="AA113" s="402">
        <f t="shared" si="63"/>
        <v>2157.6755555555542</v>
      </c>
      <c r="AB113" s="403">
        <f t="shared" si="63"/>
        <v>950.11111111111109</v>
      </c>
      <c r="AC113" s="402">
        <f t="shared" si="118"/>
        <v>2157.6755555555542</v>
      </c>
      <c r="AD113" s="403">
        <f t="shared" si="119"/>
        <v>950.11111111111109</v>
      </c>
      <c r="AE113" s="402">
        <f t="shared" si="120"/>
        <v>64.082963999999961</v>
      </c>
      <c r="AF113" s="403">
        <f t="shared" si="121"/>
        <v>28.218299999999996</v>
      </c>
      <c r="AG113" s="351">
        <v>0</v>
      </c>
      <c r="AH113" s="425">
        <f t="shared" ref="AH113:AH133" si="131">IF(A113="APP SLAB",0,(T113*$AH$1/12)/27+I113)</f>
        <v>658.90740740740739</v>
      </c>
      <c r="AI113" s="426">
        <f t="shared" si="122"/>
        <v>303.50771604938274</v>
      </c>
      <c r="AJ113" s="424">
        <f t="shared" si="123"/>
        <v>359.29589629629606</v>
      </c>
      <c r="AK113" s="429">
        <f t="shared" si="124"/>
        <v>158.35185185185185</v>
      </c>
      <c r="AL113" s="402">
        <f t="shared" ref="AL113:AL133" si="132">IF(A113="APP SLAB",0,(T113/9)*$AL$1)</f>
        <v>82.506666666666661</v>
      </c>
      <c r="AM113" s="403">
        <f t="shared" si="125"/>
        <v>38.004444444444445</v>
      </c>
      <c r="AN113" s="424">
        <f t="shared" si="126"/>
        <v>83.094177777777816</v>
      </c>
      <c r="AO113" s="429">
        <f t="shared" si="127"/>
        <v>39.587962962962962</v>
      </c>
      <c r="AP113" s="424">
        <f t="shared" si="128"/>
        <v>100.26851851851852</v>
      </c>
      <c r="AQ113" s="429">
        <f t="shared" si="129"/>
        <v>46.185956790123456</v>
      </c>
      <c r="AR113" s="467">
        <f t="shared" si="76"/>
        <v>0</v>
      </c>
      <c r="AS113" s="85">
        <f t="shared" si="130"/>
        <v>855.07999999998719</v>
      </c>
      <c r="AT113" s="20"/>
      <c r="BG113" s="20"/>
      <c r="BH113" s="20"/>
      <c r="BI113" s="20"/>
    </row>
    <row r="114" spans="1:61" ht="12.75" customHeight="1" x14ac:dyDescent="0.2">
      <c r="B114" s="338">
        <v>89617.84</v>
      </c>
      <c r="C114" s="339">
        <v>89637.55</v>
      </c>
      <c r="D114" s="340" t="s">
        <v>15</v>
      </c>
      <c r="E114" s="340" t="s">
        <v>106</v>
      </c>
      <c r="F114" s="340" t="s">
        <v>101</v>
      </c>
      <c r="G114" s="47" t="str">
        <f t="shared" si="117"/>
        <v>-</v>
      </c>
      <c r="H114" s="342">
        <v>2</v>
      </c>
      <c r="I114" s="341">
        <v>0</v>
      </c>
      <c r="J114" s="341">
        <v>0.72</v>
      </c>
      <c r="K114" s="341">
        <v>0</v>
      </c>
      <c r="L114" s="341">
        <v>0</v>
      </c>
      <c r="M114" s="83">
        <f t="shared" si="57"/>
        <v>19.710000000006403</v>
      </c>
      <c r="N114" s="388" t="s">
        <v>101</v>
      </c>
      <c r="O114" s="389" t="s">
        <v>101</v>
      </c>
      <c r="P114" s="222">
        <f t="shared" si="78"/>
        <v>0</v>
      </c>
      <c r="Q114" s="274">
        <f t="shared" si="58"/>
        <v>0</v>
      </c>
      <c r="R114" s="398">
        <v>432</v>
      </c>
      <c r="S114" s="399">
        <v>197</v>
      </c>
      <c r="T114" s="221">
        <f t="shared" si="59"/>
        <v>432</v>
      </c>
      <c r="U114" s="269">
        <f t="shared" si="59"/>
        <v>197</v>
      </c>
      <c r="V114" s="348">
        <v>0</v>
      </c>
      <c r="W114" s="406">
        <v>0</v>
      </c>
      <c r="X114" s="407">
        <v>0</v>
      </c>
      <c r="Y114" s="414">
        <f t="shared" si="62"/>
        <v>2.6190000000000713E-2</v>
      </c>
      <c r="Z114" s="415">
        <f t="shared" si="62"/>
        <v>1.0944444444444444E-2</v>
      </c>
      <c r="AA114" s="402">
        <f t="shared" si="63"/>
        <v>52.380000000001424</v>
      </c>
      <c r="AB114" s="403">
        <f t="shared" si="63"/>
        <v>21.888888888888889</v>
      </c>
      <c r="AC114" s="402">
        <f t="shared" si="118"/>
        <v>52.380000000001424</v>
      </c>
      <c r="AD114" s="403">
        <f t="shared" si="119"/>
        <v>21.888888888888889</v>
      </c>
      <c r="AE114" s="402">
        <f t="shared" si="120"/>
        <v>1.5556860000000425</v>
      </c>
      <c r="AF114" s="403">
        <f t="shared" si="121"/>
        <v>0.65010000000000001</v>
      </c>
      <c r="AG114" s="351">
        <v>0</v>
      </c>
      <c r="AH114" s="425">
        <f t="shared" si="131"/>
        <v>15.333333333333334</v>
      </c>
      <c r="AI114" s="426">
        <f t="shared" si="122"/>
        <v>6.992283950617284</v>
      </c>
      <c r="AJ114" s="424">
        <f t="shared" si="123"/>
        <v>8.7200000000000006</v>
      </c>
      <c r="AK114" s="429">
        <f t="shared" si="124"/>
        <v>3.6481481481481484</v>
      </c>
      <c r="AL114" s="402">
        <f t="shared" si="132"/>
        <v>1.92</v>
      </c>
      <c r="AM114" s="403">
        <f t="shared" si="125"/>
        <v>0.87555555555555564</v>
      </c>
      <c r="AN114" s="424">
        <f t="shared" si="126"/>
        <v>2</v>
      </c>
      <c r="AO114" s="429">
        <f t="shared" si="127"/>
        <v>0.91203703703703709</v>
      </c>
      <c r="AP114" s="424">
        <f t="shared" si="128"/>
        <v>2.3333333333333335</v>
      </c>
      <c r="AQ114" s="429">
        <f t="shared" si="129"/>
        <v>1.0640432098765433</v>
      </c>
      <c r="AR114" s="467">
        <f t="shared" si="76"/>
        <v>0</v>
      </c>
      <c r="AS114" s="85">
        <f t="shared" si="130"/>
        <v>39.420000000012806</v>
      </c>
      <c r="AT114" s="20"/>
      <c r="BG114" s="20"/>
      <c r="BH114" s="20"/>
      <c r="BI114" s="20"/>
    </row>
    <row r="115" spans="1:61" ht="12.75" customHeight="1" x14ac:dyDescent="0.2">
      <c r="A115" s="48" t="s">
        <v>28</v>
      </c>
      <c r="B115" s="338">
        <v>89617.38</v>
      </c>
      <c r="C115" s="339">
        <v>89642.38</v>
      </c>
      <c r="D115" s="340" t="s">
        <v>15</v>
      </c>
      <c r="E115" s="340" t="s">
        <v>101</v>
      </c>
      <c r="F115" s="340" t="s">
        <v>101</v>
      </c>
      <c r="G115" s="47" t="str">
        <f t="shared" si="117"/>
        <v>-</v>
      </c>
      <c r="H115" s="26">
        <v>4</v>
      </c>
      <c r="I115" s="27">
        <f>IF(AND($E115=$AU$2,$F115=$AU$2),2*$AZ$12*$M115/27,IF(OR(AND($E115=$AU$2,$F115=$AU$3),AND($E115=$AU$3,$F115=$AU$2)),$AZ$12*$M115/27,IF(OR(AND($E115=$AU$2,$F115=$AU$4),AND($E115=$AU$4,$F115=$AU$2)),$AZ$12*$M115/27,0)))</f>
        <v>0</v>
      </c>
      <c r="J115" s="27">
        <f>IF(AND($E115=$AU$2,$F115=$AU$2),2*$BC$12*$M115/27,IF(OR(AND($E115=$AU$2,$F115=$AU$3),AND($E115=$AU$3,$F115=$AU$2)),($BC$12+$BC$13)*$M115/27,IF(OR(AND($E115=$AU$2,$F115=$AU$4),AND($E115=$AU$4,$F115=$AU$2)),$BC$12*$M115/27,IF(OR(AND($E115=$AU$3,$F115=$AU$4),AND($E115=$AU$4,$F115=$AU$3)),$BC$13*$M115/27,IF(AND($E115=$AU$3,$F115=$AU$3),2*$BC$13*$M115/27,0)))))</f>
        <v>0</v>
      </c>
      <c r="K115" s="27">
        <f>IF(AND($E115=$AU$4,$F115=$AU$4),2*$BF$14*$M115/27,IF(OR($E115=$AU$4,$F115=$AU$4),$BF$14*$M115/27,0))</f>
        <v>0</v>
      </c>
      <c r="L115" s="341">
        <v>0</v>
      </c>
      <c r="M115" s="83">
        <f t="shared" si="57"/>
        <v>25</v>
      </c>
      <c r="N115" s="388" t="s">
        <v>101</v>
      </c>
      <c r="O115" s="389" t="s">
        <v>101</v>
      </c>
      <c r="P115" s="222">
        <f t="shared" si="78"/>
        <v>0</v>
      </c>
      <c r="Q115" s="274">
        <f t="shared" si="58"/>
        <v>0</v>
      </c>
      <c r="R115" s="398">
        <v>1123</v>
      </c>
      <c r="S115" s="399">
        <v>500</v>
      </c>
      <c r="T115" s="221">
        <f t="shared" si="59"/>
        <v>1123</v>
      </c>
      <c r="U115" s="269">
        <f t="shared" si="59"/>
        <v>500</v>
      </c>
      <c r="V115" s="348">
        <v>0</v>
      </c>
      <c r="W115" s="406">
        <v>0</v>
      </c>
      <c r="X115" s="407">
        <v>0</v>
      </c>
      <c r="Y115" s="414">
        <f t="shared" si="62"/>
        <v>6.7944444444444446E-2</v>
      </c>
      <c r="Z115" s="415">
        <f t="shared" si="62"/>
        <v>2.777777777777778E-2</v>
      </c>
      <c r="AA115" s="402">
        <f>IF(OR(W115&lt;&gt;0),0,AC115)</f>
        <v>135.88888888888889</v>
      </c>
      <c r="AB115" s="403">
        <f>IF(OR(X115&lt;&gt;0),0,AD115)</f>
        <v>55.555555555555557</v>
      </c>
      <c r="AC115" s="402">
        <f>IF(OR(W115&lt;&gt;0),0,(T115+$H115*$M115)/9)</f>
        <v>135.88888888888889</v>
      </c>
      <c r="AD115" s="403">
        <f>IF(OR(X115&lt;&gt;0),0,U115/9)</f>
        <v>55.555555555555557</v>
      </c>
      <c r="AE115" s="402">
        <f>IF(OR(W115&lt;&gt;0),0,$AC$1*AC115*110*0.06*0.75/2000)</f>
        <v>4.0358999999999989</v>
      </c>
      <c r="AF115" s="403">
        <f>IF(OR(X115&lt;&gt;0),0,$AC$1*AD115*110*0.06*0.75/2000)</f>
        <v>1.65</v>
      </c>
      <c r="AG115" s="351">
        <v>0</v>
      </c>
      <c r="AH115" s="425">
        <f t="shared" si="131"/>
        <v>0</v>
      </c>
      <c r="AI115" s="426">
        <f t="shared" si="122"/>
        <v>0</v>
      </c>
      <c r="AJ115" s="424">
        <f t="shared" si="123"/>
        <v>20.796296296296298</v>
      </c>
      <c r="AK115" s="429">
        <f t="shared" si="124"/>
        <v>9.2592592592592595</v>
      </c>
      <c r="AL115" s="402">
        <f t="shared" si="132"/>
        <v>0</v>
      </c>
      <c r="AM115" s="403">
        <f t="shared" si="125"/>
        <v>0</v>
      </c>
      <c r="AN115" s="424">
        <f t="shared" si="126"/>
        <v>0</v>
      </c>
      <c r="AO115" s="429">
        <f t="shared" si="127"/>
        <v>0</v>
      </c>
      <c r="AP115" s="424">
        <f t="shared" si="128"/>
        <v>0</v>
      </c>
      <c r="AQ115" s="429">
        <f t="shared" si="129"/>
        <v>0</v>
      </c>
      <c r="AR115" s="467">
        <f t="shared" si="76"/>
        <v>0</v>
      </c>
      <c r="AS115" s="85">
        <f t="shared" si="130"/>
        <v>0</v>
      </c>
    </row>
    <row r="116" spans="1:61" ht="12.75" customHeight="1" x14ac:dyDescent="0.2">
      <c r="A116" s="48" t="s">
        <v>28</v>
      </c>
      <c r="B116" s="338">
        <v>89984.24</v>
      </c>
      <c r="C116" s="339">
        <v>90009.24</v>
      </c>
      <c r="D116" s="340" t="s">
        <v>15</v>
      </c>
      <c r="E116" s="340" t="s">
        <v>101</v>
      </c>
      <c r="F116" s="340" t="s">
        <v>101</v>
      </c>
      <c r="G116" s="47" t="str">
        <f t="shared" si="117"/>
        <v>-</v>
      </c>
      <c r="H116" s="26">
        <v>4</v>
      </c>
      <c r="I116" s="27">
        <f>IF(AND($E116=$AU$2,$F116=$AU$2),2*$AZ$12*$M116/27,IF(OR(AND($E116=$AU$2,$F116=$AU$3),AND($E116=$AU$3,$F116=$AU$2)),$AZ$12*$M116/27,IF(OR(AND($E116=$AU$2,$F116=$AU$4),AND($E116=$AU$4,$F116=$AU$2)),$AZ$12*$M116/27,0)))</f>
        <v>0</v>
      </c>
      <c r="J116" s="27">
        <f>IF(AND($E116=$AU$2,$F116=$AU$2),2*$BC$12*$M116/27,IF(OR(AND($E116=$AU$2,$F116=$AU$3),AND($E116=$AU$3,$F116=$AU$2)),($BC$12+$BC$13)*$M116/27,IF(OR(AND($E116=$AU$2,$F116=$AU$4),AND($E116=$AU$4,$F116=$AU$2)),$BC$12*$M116/27,IF(OR(AND($E116=$AU$3,$F116=$AU$4),AND($E116=$AU$4,$F116=$AU$3)),$BC$13*$M116/27,IF(AND($E116=$AU$3,$F116=$AU$3),2*$BC$13*$M116/27,0)))))</f>
        <v>0</v>
      </c>
      <c r="K116" s="27">
        <f>IF(AND($E116=$AU$4,$F116=$AU$4),2*$BF$14*$M116/27,IF(OR($E116=$AU$4,$F116=$AU$4),$BF$14*$M116/27,0))</f>
        <v>0</v>
      </c>
      <c r="L116" s="341">
        <v>0</v>
      </c>
      <c r="M116" s="83">
        <f t="shared" si="57"/>
        <v>25</v>
      </c>
      <c r="N116" s="388" t="s">
        <v>101</v>
      </c>
      <c r="O116" s="389" t="s">
        <v>101</v>
      </c>
      <c r="P116" s="222">
        <f t="shared" si="78"/>
        <v>0</v>
      </c>
      <c r="Q116" s="274">
        <f t="shared" si="58"/>
        <v>0</v>
      </c>
      <c r="R116" s="398">
        <v>1123</v>
      </c>
      <c r="S116" s="399">
        <v>500</v>
      </c>
      <c r="T116" s="221">
        <f t="shared" si="59"/>
        <v>1123</v>
      </c>
      <c r="U116" s="269">
        <f t="shared" si="59"/>
        <v>500</v>
      </c>
      <c r="V116" s="348">
        <v>0</v>
      </c>
      <c r="W116" s="406">
        <v>0</v>
      </c>
      <c r="X116" s="407">
        <v>0</v>
      </c>
      <c r="Y116" s="414">
        <f t="shared" si="62"/>
        <v>6.7944444444444446E-2</v>
      </c>
      <c r="Z116" s="415">
        <f t="shared" si="62"/>
        <v>2.777777777777778E-2</v>
      </c>
      <c r="AA116" s="402">
        <f>IF(OR(W116&lt;&gt;0),0,AC116)</f>
        <v>135.88888888888889</v>
      </c>
      <c r="AB116" s="403">
        <f>IF(OR(X116&lt;&gt;0),0,AD116)</f>
        <v>55.555555555555557</v>
      </c>
      <c r="AC116" s="402">
        <f>IF(OR(W116&lt;&gt;0),0,(T116+$H116*$M116)/9)</f>
        <v>135.88888888888889</v>
      </c>
      <c r="AD116" s="403">
        <f>IF(OR(X116&lt;&gt;0),0,U116/9)</f>
        <v>55.555555555555557</v>
      </c>
      <c r="AE116" s="402">
        <f>IF(OR(W116&lt;&gt;0),0,$AC$1*AC116*110*0.06*0.75/2000)</f>
        <v>4.0358999999999989</v>
      </c>
      <c r="AF116" s="403">
        <f>IF(OR(X116&lt;&gt;0),0,$AC$1*AD116*110*0.06*0.75/2000)</f>
        <v>1.65</v>
      </c>
      <c r="AG116" s="351">
        <v>0</v>
      </c>
      <c r="AH116" s="425">
        <f t="shared" si="131"/>
        <v>0</v>
      </c>
      <c r="AI116" s="426">
        <f t="shared" si="122"/>
        <v>0</v>
      </c>
      <c r="AJ116" s="424">
        <f t="shared" si="123"/>
        <v>20.796296296296298</v>
      </c>
      <c r="AK116" s="429">
        <f t="shared" si="124"/>
        <v>9.2592592592592595</v>
      </c>
      <c r="AL116" s="402">
        <f t="shared" si="132"/>
        <v>0</v>
      </c>
      <c r="AM116" s="403">
        <f t="shared" si="125"/>
        <v>0</v>
      </c>
      <c r="AN116" s="424">
        <f t="shared" si="126"/>
        <v>0</v>
      </c>
      <c r="AO116" s="429">
        <f t="shared" si="127"/>
        <v>0</v>
      </c>
      <c r="AP116" s="424">
        <f t="shared" si="128"/>
        <v>0</v>
      </c>
      <c r="AQ116" s="429">
        <f t="shared" si="129"/>
        <v>0</v>
      </c>
      <c r="AR116" s="467">
        <f t="shared" si="76"/>
        <v>0</v>
      </c>
      <c r="AS116" s="85">
        <f t="shared" si="130"/>
        <v>0</v>
      </c>
    </row>
    <row r="117" spans="1:61" ht="12.75" customHeight="1" x14ac:dyDescent="0.2">
      <c r="B117" s="338">
        <v>90009.24</v>
      </c>
      <c r="C117" s="339">
        <v>90029.24</v>
      </c>
      <c r="D117" s="340" t="s">
        <v>15</v>
      </c>
      <c r="E117" s="340" t="s">
        <v>101</v>
      </c>
      <c r="F117" s="340" t="s">
        <v>111</v>
      </c>
      <c r="G117" s="47" t="str">
        <f t="shared" si="117"/>
        <v>-</v>
      </c>
      <c r="H117" s="342">
        <v>0</v>
      </c>
      <c r="I117" s="341">
        <v>0</v>
      </c>
      <c r="J117" s="341">
        <v>0</v>
      </c>
      <c r="K117" s="341">
        <v>-0.13</v>
      </c>
      <c r="L117" s="341">
        <v>0</v>
      </c>
      <c r="M117" s="83">
        <f t="shared" si="57"/>
        <v>20</v>
      </c>
      <c r="N117" s="388" t="s">
        <v>101</v>
      </c>
      <c r="O117" s="389" t="s">
        <v>101</v>
      </c>
      <c r="P117" s="222">
        <f t="shared" si="78"/>
        <v>0</v>
      </c>
      <c r="Q117" s="274">
        <f t="shared" si="58"/>
        <v>0</v>
      </c>
      <c r="R117" s="398">
        <v>435</v>
      </c>
      <c r="S117" s="399">
        <v>200</v>
      </c>
      <c r="T117" s="221">
        <f t="shared" si="59"/>
        <v>435</v>
      </c>
      <c r="U117" s="269">
        <f t="shared" si="59"/>
        <v>200</v>
      </c>
      <c r="V117" s="348">
        <v>0</v>
      </c>
      <c r="W117" s="406">
        <v>0</v>
      </c>
      <c r="X117" s="407">
        <v>0</v>
      </c>
      <c r="Y117" s="414">
        <f t="shared" si="62"/>
        <v>2.4166666666666666E-2</v>
      </c>
      <c r="Z117" s="415">
        <f t="shared" si="62"/>
        <v>1.1111111111111112E-2</v>
      </c>
      <c r="AA117" s="402">
        <f t="shared" si="63"/>
        <v>48.333333333333336</v>
      </c>
      <c r="AB117" s="403">
        <f t="shared" si="63"/>
        <v>22.222222222222221</v>
      </c>
      <c r="AC117" s="402">
        <f t="shared" si="118"/>
        <v>48.333333333333336</v>
      </c>
      <c r="AD117" s="403">
        <f t="shared" si="119"/>
        <v>22.222222222222221</v>
      </c>
      <c r="AE117" s="402">
        <f t="shared" si="120"/>
        <v>1.4355</v>
      </c>
      <c r="AF117" s="403">
        <f t="shared" si="121"/>
        <v>0.65999999999999981</v>
      </c>
      <c r="AG117" s="351">
        <v>0</v>
      </c>
      <c r="AH117" s="425">
        <f t="shared" si="131"/>
        <v>15.439814814814815</v>
      </c>
      <c r="AI117" s="426">
        <f t="shared" si="122"/>
        <v>7.098765432098765</v>
      </c>
      <c r="AJ117" s="424">
        <f t="shared" si="123"/>
        <v>8.0555555555555554</v>
      </c>
      <c r="AK117" s="429">
        <f t="shared" si="124"/>
        <v>3.7037037037037037</v>
      </c>
      <c r="AL117" s="402">
        <f t="shared" si="132"/>
        <v>1.9333333333333336</v>
      </c>
      <c r="AM117" s="403">
        <f t="shared" si="125"/>
        <v>0.88888888888888884</v>
      </c>
      <c r="AN117" s="424">
        <f t="shared" si="126"/>
        <v>1.8838888888888889</v>
      </c>
      <c r="AO117" s="429">
        <f t="shared" si="127"/>
        <v>0.92592592592592593</v>
      </c>
      <c r="AP117" s="424">
        <f t="shared" si="128"/>
        <v>2.3495370370370372</v>
      </c>
      <c r="AQ117" s="429">
        <f t="shared" si="129"/>
        <v>1.080246913580247</v>
      </c>
      <c r="AR117" s="467">
        <f t="shared" si="76"/>
        <v>0</v>
      </c>
      <c r="AS117" s="85">
        <f t="shared" si="130"/>
        <v>40</v>
      </c>
    </row>
    <row r="118" spans="1:61" ht="12.75" customHeight="1" x14ac:dyDescent="0.2">
      <c r="B118" s="338">
        <v>90029.24</v>
      </c>
      <c r="C118" s="339">
        <v>90318.11</v>
      </c>
      <c r="D118" s="340" t="s">
        <v>15</v>
      </c>
      <c r="E118" s="340" t="s">
        <v>106</v>
      </c>
      <c r="F118" s="340" t="s">
        <v>111</v>
      </c>
      <c r="G118" s="47" t="str">
        <f t="shared" si="117"/>
        <v>F/C - C/B</v>
      </c>
      <c r="H118" s="26">
        <f t="shared" ref="H118:H125" si="133">IF(AND($E118=$AU$2,$F118=$AU$2),2*$AW$12,IF(OR(AND($E118=$AU$2, $F118=$AU$3),AND($E118=$AU$3,$F118=$AU$2)),$AW$12+$AW$13,IF(OR(AND($E118=$AU$2,$F118=$AU$4),AND($E118=$AU$4,$F118=$AU$2)),$AW$12,IF(OR(AND($E118=$AU$3,$F118=$AU$4),AND($E118=$AU$4,$F118=$AU$3)),$AW$13,IF(AND($E118=$AU$3,$F118=$AU$3),2*$AW$13,0)))))</f>
        <v>2</v>
      </c>
      <c r="I118" s="27">
        <f t="shared" ref="I118:I125" si="134">IF(AND($E118=$AU$2,$F118=$AU$2),2*$AZ$12*$M118/27,IF(OR(AND($E118=$AU$2,$F118=$AU$3),AND($E118=$AU$3,$F118=$AU$2)),$AZ$12*$M118/27,IF(OR(AND($E118=$AU$2,$F118=$AU$4),AND($E118=$AU$4,$F118=$AU$2)),$AZ$12*$M118/27,0)))</f>
        <v>0</v>
      </c>
      <c r="J118" s="27">
        <f t="shared" ref="J118:J125" si="135">IF(AND($E118=$AU$2,$F118=$AU$2),2*$BC$12*$M118/27,IF(OR(AND($E118=$AU$2,$F118=$AU$3),AND($E118=$AU$3,$F118=$AU$2)),($BC$12+$BC$13)*$M118/27,IF(OR(AND($E118=$AU$2,$F118=$AU$4),AND($E118=$AU$4,$F118=$AU$2)),$BC$12*$M118/27,IF(OR(AND($E118=$AU$3,$F118=$AU$4),AND($E118=$AU$4,$F118=$AU$3)),$BC$13*$M118/27,IF(AND($E118=$AU$3,$F118=$AU$3),2*$BC$13*$M118/27,0)))))</f>
        <v>10.484911111110943</v>
      </c>
      <c r="K118" s="27">
        <f t="shared" ref="K118:K125" si="136">IF(AND($E118=$AU$4,$F118=$AU$4),2*$BF$14*$M118/27,IF(OR($E118=$AU$4,$F118=$AU$4),$BF$14*$M118/27,0))</f>
        <v>-1.9257999999999689</v>
      </c>
      <c r="L118" s="341">
        <v>0</v>
      </c>
      <c r="M118" s="83">
        <f t="shared" si="57"/>
        <v>288.86999999999534</v>
      </c>
      <c r="N118" s="388">
        <v>43.42</v>
      </c>
      <c r="O118" s="389">
        <v>20</v>
      </c>
      <c r="P118" s="222">
        <f t="shared" si="78"/>
        <v>12543</v>
      </c>
      <c r="Q118" s="274">
        <f t="shared" si="58"/>
        <v>5778</v>
      </c>
      <c r="R118" s="398">
        <v>0</v>
      </c>
      <c r="S118" s="399">
        <v>0</v>
      </c>
      <c r="T118" s="221">
        <f t="shared" si="59"/>
        <v>12543</v>
      </c>
      <c r="U118" s="269">
        <f t="shared" si="59"/>
        <v>5778</v>
      </c>
      <c r="V118" s="348">
        <v>0</v>
      </c>
      <c r="W118" s="406">
        <v>0</v>
      </c>
      <c r="X118" s="407">
        <v>0</v>
      </c>
      <c r="Y118" s="414">
        <f t="shared" si="62"/>
        <v>0.72892999999999952</v>
      </c>
      <c r="Z118" s="415">
        <f t="shared" si="62"/>
        <v>0.32100000000000001</v>
      </c>
      <c r="AA118" s="402">
        <f t="shared" si="63"/>
        <v>1457.859999999999</v>
      </c>
      <c r="AB118" s="403">
        <f t="shared" si="63"/>
        <v>642</v>
      </c>
      <c r="AC118" s="402">
        <f t="shared" si="118"/>
        <v>1457.859999999999</v>
      </c>
      <c r="AD118" s="403">
        <f t="shared" si="119"/>
        <v>642</v>
      </c>
      <c r="AE118" s="402">
        <f t="shared" si="120"/>
        <v>43.298441999999973</v>
      </c>
      <c r="AF118" s="403">
        <f t="shared" si="121"/>
        <v>19.067400000000003</v>
      </c>
      <c r="AG118" s="351">
        <v>0</v>
      </c>
      <c r="AH118" s="425">
        <f t="shared" si="131"/>
        <v>445.19907407407408</v>
      </c>
      <c r="AI118" s="426">
        <f t="shared" si="122"/>
        <v>205.08333333333334</v>
      </c>
      <c r="AJ118" s="424">
        <f t="shared" si="123"/>
        <v>242.7626888888887</v>
      </c>
      <c r="AK118" s="429">
        <f t="shared" si="124"/>
        <v>107</v>
      </c>
      <c r="AL118" s="402">
        <f t="shared" si="132"/>
        <v>55.74666666666667</v>
      </c>
      <c r="AM118" s="403">
        <f t="shared" si="125"/>
        <v>25.68</v>
      </c>
      <c r="AN118" s="424">
        <f t="shared" si="126"/>
        <v>56.143644444444476</v>
      </c>
      <c r="AO118" s="429">
        <f t="shared" si="127"/>
        <v>26.75</v>
      </c>
      <c r="AP118" s="424">
        <f t="shared" si="128"/>
        <v>67.74768518518519</v>
      </c>
      <c r="AQ118" s="429">
        <f t="shared" si="129"/>
        <v>31.208333333333332</v>
      </c>
      <c r="AR118" s="467">
        <f t="shared" si="76"/>
        <v>0</v>
      </c>
      <c r="AS118" s="85">
        <f t="shared" si="130"/>
        <v>577.73999999999069</v>
      </c>
    </row>
    <row r="119" spans="1:61" ht="12.75" customHeight="1" x14ac:dyDescent="0.2">
      <c r="B119" s="338">
        <v>90318.11</v>
      </c>
      <c r="C119" s="339">
        <v>91368.11</v>
      </c>
      <c r="D119" s="340" t="s">
        <v>15</v>
      </c>
      <c r="E119" s="340" t="s">
        <v>106</v>
      </c>
      <c r="F119" s="340" t="s">
        <v>111</v>
      </c>
      <c r="G119" s="47" t="str">
        <f t="shared" si="117"/>
        <v>F/C - C/B</v>
      </c>
      <c r="H119" s="26">
        <f t="shared" si="133"/>
        <v>2</v>
      </c>
      <c r="I119" s="27">
        <f t="shared" si="134"/>
        <v>0</v>
      </c>
      <c r="J119" s="27">
        <f t="shared" si="135"/>
        <v>38.111111111111114</v>
      </c>
      <c r="K119" s="27">
        <f t="shared" si="136"/>
        <v>-7</v>
      </c>
      <c r="L119" s="341">
        <v>0</v>
      </c>
      <c r="M119" s="83">
        <f t="shared" si="57"/>
        <v>1050</v>
      </c>
      <c r="N119" s="388">
        <v>53.92</v>
      </c>
      <c r="O119" s="389">
        <v>20</v>
      </c>
      <c r="P119" s="222">
        <f t="shared" si="78"/>
        <v>56616</v>
      </c>
      <c r="Q119" s="274">
        <f t="shared" si="58"/>
        <v>21000</v>
      </c>
      <c r="R119" s="398">
        <v>0</v>
      </c>
      <c r="S119" s="399">
        <v>0</v>
      </c>
      <c r="T119" s="221">
        <f t="shared" si="59"/>
        <v>56616</v>
      </c>
      <c r="U119" s="269">
        <f t="shared" si="59"/>
        <v>21000</v>
      </c>
      <c r="V119" s="348">
        <v>0</v>
      </c>
      <c r="W119" s="406">
        <v>0</v>
      </c>
      <c r="X119" s="407">
        <v>0</v>
      </c>
      <c r="Y119" s="414">
        <f t="shared" si="62"/>
        <v>3.262</v>
      </c>
      <c r="Z119" s="415">
        <f t="shared" si="62"/>
        <v>1.1666666666666667</v>
      </c>
      <c r="AA119" s="402">
        <f t="shared" si="63"/>
        <v>6524</v>
      </c>
      <c r="AB119" s="403">
        <f t="shared" si="63"/>
        <v>2333.3333333333335</v>
      </c>
      <c r="AC119" s="402">
        <f t="shared" si="118"/>
        <v>6524</v>
      </c>
      <c r="AD119" s="403">
        <f t="shared" si="119"/>
        <v>2333.3333333333335</v>
      </c>
      <c r="AE119" s="402">
        <f t="shared" si="120"/>
        <v>193.7628</v>
      </c>
      <c r="AF119" s="403">
        <f t="shared" si="121"/>
        <v>69.3</v>
      </c>
      <c r="AG119" s="351">
        <v>0</v>
      </c>
      <c r="AH119" s="425">
        <f t="shared" si="131"/>
        <v>2009.5185185185185</v>
      </c>
      <c r="AI119" s="426">
        <f t="shared" si="122"/>
        <v>745.37037037037032</v>
      </c>
      <c r="AJ119" s="424">
        <f t="shared" si="123"/>
        <v>1086.5555555555554</v>
      </c>
      <c r="AK119" s="429">
        <f t="shared" si="124"/>
        <v>388.88888888888891</v>
      </c>
      <c r="AL119" s="402">
        <f t="shared" si="132"/>
        <v>251.62666666666669</v>
      </c>
      <c r="AM119" s="403">
        <f t="shared" si="125"/>
        <v>93.333333333333343</v>
      </c>
      <c r="AN119" s="424">
        <f t="shared" si="126"/>
        <v>255.11111111111109</v>
      </c>
      <c r="AO119" s="429">
        <f t="shared" si="127"/>
        <v>97.222222222222229</v>
      </c>
      <c r="AP119" s="424">
        <f t="shared" si="128"/>
        <v>305.7962962962963</v>
      </c>
      <c r="AQ119" s="429">
        <f t="shared" si="129"/>
        <v>113.42592592592592</v>
      </c>
      <c r="AR119" s="467">
        <f t="shared" si="76"/>
        <v>0</v>
      </c>
      <c r="AS119" s="85">
        <f t="shared" si="130"/>
        <v>2100</v>
      </c>
    </row>
    <row r="120" spans="1:61" ht="12.75" customHeight="1" x14ac:dyDescent="0.2">
      <c r="B120" s="338">
        <v>91368.11</v>
      </c>
      <c r="C120" s="339">
        <v>91745.83</v>
      </c>
      <c r="D120" s="340" t="s">
        <v>15</v>
      </c>
      <c r="E120" s="340" t="s">
        <v>106</v>
      </c>
      <c r="F120" s="340" t="s">
        <v>111</v>
      </c>
      <c r="G120" s="47" t="str">
        <f t="shared" si="117"/>
        <v>F/C - C/B</v>
      </c>
      <c r="H120" s="26">
        <f t="shared" si="133"/>
        <v>2</v>
      </c>
      <c r="I120" s="27">
        <f t="shared" si="134"/>
        <v>0</v>
      </c>
      <c r="J120" s="27">
        <f t="shared" si="135"/>
        <v>13.709837037037078</v>
      </c>
      <c r="K120" s="27">
        <f t="shared" si="136"/>
        <v>-2.5181333333333411</v>
      </c>
      <c r="L120" s="341">
        <v>0</v>
      </c>
      <c r="M120" s="83">
        <f t="shared" si="57"/>
        <v>377.72000000000116</v>
      </c>
      <c r="N120" s="388" t="s">
        <v>101</v>
      </c>
      <c r="O120" s="389" t="s">
        <v>101</v>
      </c>
      <c r="P120" s="222">
        <f t="shared" si="78"/>
        <v>0</v>
      </c>
      <c r="Q120" s="274">
        <f t="shared" si="58"/>
        <v>0</v>
      </c>
      <c r="R120" s="398">
        <v>25013</v>
      </c>
      <c r="S120" s="399">
        <v>7554</v>
      </c>
      <c r="T120" s="221">
        <f t="shared" si="59"/>
        <v>25013</v>
      </c>
      <c r="U120" s="269">
        <f t="shared" si="59"/>
        <v>7554</v>
      </c>
      <c r="V120" s="348">
        <v>0</v>
      </c>
      <c r="W120" s="406">
        <v>0</v>
      </c>
      <c r="X120" s="407">
        <v>0</v>
      </c>
      <c r="Y120" s="414">
        <f t="shared" si="62"/>
        <v>1.4315800000000001</v>
      </c>
      <c r="Z120" s="415">
        <f t="shared" si="62"/>
        <v>0.41966666666666669</v>
      </c>
      <c r="AA120" s="402">
        <f t="shared" si="63"/>
        <v>2863.1600000000003</v>
      </c>
      <c r="AB120" s="403">
        <f t="shared" si="63"/>
        <v>839.33333333333337</v>
      </c>
      <c r="AC120" s="402">
        <f t="shared" si="118"/>
        <v>2863.1600000000003</v>
      </c>
      <c r="AD120" s="403">
        <f t="shared" si="119"/>
        <v>839.33333333333337</v>
      </c>
      <c r="AE120" s="402">
        <f t="shared" si="120"/>
        <v>85.03585200000002</v>
      </c>
      <c r="AF120" s="403">
        <f t="shared" si="121"/>
        <v>24.928199999999997</v>
      </c>
      <c r="AG120" s="351">
        <v>0</v>
      </c>
      <c r="AH120" s="425">
        <f t="shared" si="131"/>
        <v>887.8070987654321</v>
      </c>
      <c r="AI120" s="426">
        <f t="shared" si="122"/>
        <v>268.12037037037038</v>
      </c>
      <c r="AJ120" s="424">
        <f t="shared" si="123"/>
        <v>476.91354074074076</v>
      </c>
      <c r="AK120" s="429">
        <f t="shared" si="124"/>
        <v>139.88888888888889</v>
      </c>
      <c r="AL120" s="402">
        <f t="shared" si="132"/>
        <v>111.16888888888889</v>
      </c>
      <c r="AM120" s="403">
        <f t="shared" si="125"/>
        <v>33.573333333333338</v>
      </c>
      <c r="AN120" s="424">
        <f t="shared" si="126"/>
        <v>113.28279259259259</v>
      </c>
      <c r="AO120" s="429">
        <f t="shared" si="127"/>
        <v>34.972222222222221</v>
      </c>
      <c r="AP120" s="424">
        <f t="shared" si="128"/>
        <v>135.10108024691357</v>
      </c>
      <c r="AQ120" s="429">
        <f t="shared" si="129"/>
        <v>40.800925925925924</v>
      </c>
      <c r="AR120" s="467">
        <f t="shared" si="76"/>
        <v>0</v>
      </c>
      <c r="AS120" s="85">
        <f t="shared" si="130"/>
        <v>755.44000000000233</v>
      </c>
    </row>
    <row r="121" spans="1:61" ht="12.75" customHeight="1" x14ac:dyDescent="0.2">
      <c r="B121" s="338">
        <v>91745.83</v>
      </c>
      <c r="C121" s="339">
        <v>93258.71</v>
      </c>
      <c r="D121" s="340" t="s">
        <v>15</v>
      </c>
      <c r="E121" s="340" t="s">
        <v>105</v>
      </c>
      <c r="F121" s="340" t="s">
        <v>111</v>
      </c>
      <c r="G121" s="47" t="str">
        <f t="shared" si="117"/>
        <v>E/S - C/B</v>
      </c>
      <c r="H121" s="26">
        <f t="shared" si="133"/>
        <v>1.5</v>
      </c>
      <c r="I121" s="27">
        <f t="shared" si="134"/>
        <v>31.938577777777873</v>
      </c>
      <c r="J121" s="27">
        <f t="shared" si="135"/>
        <v>37.541837037037155</v>
      </c>
      <c r="K121" s="27">
        <f t="shared" si="136"/>
        <v>-10.085866666666698</v>
      </c>
      <c r="L121" s="341">
        <v>0</v>
      </c>
      <c r="M121" s="83">
        <f t="shared" si="57"/>
        <v>1512.8800000000047</v>
      </c>
      <c r="N121" s="388">
        <v>41.42</v>
      </c>
      <c r="O121" s="389">
        <v>20</v>
      </c>
      <c r="P121" s="222">
        <f t="shared" si="78"/>
        <v>62664</v>
      </c>
      <c r="Q121" s="274">
        <f t="shared" si="58"/>
        <v>30258</v>
      </c>
      <c r="R121" s="398">
        <v>0</v>
      </c>
      <c r="S121" s="399">
        <v>0</v>
      </c>
      <c r="T121" s="221">
        <f t="shared" si="59"/>
        <v>62664</v>
      </c>
      <c r="U121" s="269">
        <f t="shared" si="59"/>
        <v>30258</v>
      </c>
      <c r="V121" s="348">
        <v>0</v>
      </c>
      <c r="W121" s="406">
        <v>0</v>
      </c>
      <c r="X121" s="407">
        <v>0</v>
      </c>
      <c r="Y121" s="414">
        <f t="shared" si="62"/>
        <v>3.6074066666666673</v>
      </c>
      <c r="Z121" s="415">
        <f t="shared" si="62"/>
        <v>1.681</v>
      </c>
      <c r="AA121" s="402">
        <f t="shared" si="63"/>
        <v>7214.8133333333344</v>
      </c>
      <c r="AB121" s="403">
        <f t="shared" si="63"/>
        <v>3362</v>
      </c>
      <c r="AC121" s="402">
        <f t="shared" si="118"/>
        <v>7214.8133333333344</v>
      </c>
      <c r="AD121" s="403">
        <f t="shared" si="119"/>
        <v>3362</v>
      </c>
      <c r="AE121" s="402">
        <f t="shared" si="120"/>
        <v>214.279956</v>
      </c>
      <c r="AF121" s="403">
        <f t="shared" si="121"/>
        <v>99.851399999999998</v>
      </c>
      <c r="AG121" s="351">
        <v>0</v>
      </c>
      <c r="AH121" s="425">
        <f t="shared" si="131"/>
        <v>2256.1237629629632</v>
      </c>
      <c r="AI121" s="426">
        <f t="shared" si="122"/>
        <v>1073.9722222222222</v>
      </c>
      <c r="AJ121" s="424">
        <f t="shared" si="123"/>
        <v>1197.9862814814815</v>
      </c>
      <c r="AK121" s="429">
        <f t="shared" si="124"/>
        <v>560.33333333333337</v>
      </c>
      <c r="AL121" s="402">
        <f t="shared" si="132"/>
        <v>278.50666666666666</v>
      </c>
      <c r="AM121" s="403">
        <f t="shared" si="125"/>
        <v>134.47999999999999</v>
      </c>
      <c r="AN121" s="424">
        <f t="shared" si="126"/>
        <v>280.02524444444441</v>
      </c>
      <c r="AO121" s="429">
        <f t="shared" si="127"/>
        <v>140.08333333333334</v>
      </c>
      <c r="AP121" s="424">
        <f t="shared" si="128"/>
        <v>338.46296296296299</v>
      </c>
      <c r="AQ121" s="429">
        <f t="shared" si="129"/>
        <v>163.43055555555554</v>
      </c>
      <c r="AR121" s="467">
        <f t="shared" si="76"/>
        <v>30.350987654321081</v>
      </c>
      <c r="AS121" s="85">
        <f t="shared" si="130"/>
        <v>3025.7600000000093</v>
      </c>
    </row>
    <row r="122" spans="1:61" ht="12.75" customHeight="1" x14ac:dyDescent="0.2">
      <c r="B122" s="338">
        <v>93258.71</v>
      </c>
      <c r="C122" s="339">
        <v>93710.71</v>
      </c>
      <c r="D122" s="340" t="s">
        <v>15</v>
      </c>
      <c r="E122" s="340" t="s">
        <v>105</v>
      </c>
      <c r="F122" s="340" t="s">
        <v>111</v>
      </c>
      <c r="G122" s="47" t="str">
        <f t="shared" si="117"/>
        <v>E/S - C/B</v>
      </c>
      <c r="H122" s="26">
        <f t="shared" si="133"/>
        <v>1.5</v>
      </c>
      <c r="I122" s="27">
        <f t="shared" si="134"/>
        <v>9.5422222222222217</v>
      </c>
      <c r="J122" s="27">
        <f t="shared" si="135"/>
        <v>11.216296296296298</v>
      </c>
      <c r="K122" s="27">
        <f t="shared" si="136"/>
        <v>-3.0133333333333332</v>
      </c>
      <c r="L122" s="341">
        <v>0</v>
      </c>
      <c r="M122" s="83">
        <f t="shared" si="57"/>
        <v>452</v>
      </c>
      <c r="N122" s="388" t="s">
        <v>101</v>
      </c>
      <c r="O122" s="389" t="s">
        <v>101</v>
      </c>
      <c r="P122" s="222">
        <f t="shared" si="78"/>
        <v>0</v>
      </c>
      <c r="Q122" s="274">
        <f t="shared" si="58"/>
        <v>0</v>
      </c>
      <c r="R122" s="398">
        <v>26355</v>
      </c>
      <c r="S122" s="399">
        <v>9040</v>
      </c>
      <c r="T122" s="221">
        <f t="shared" si="59"/>
        <v>26355</v>
      </c>
      <c r="U122" s="269">
        <f t="shared" si="59"/>
        <v>9040</v>
      </c>
      <c r="V122" s="348">
        <v>0</v>
      </c>
      <c r="W122" s="406">
        <v>0</v>
      </c>
      <c r="X122" s="407">
        <v>0</v>
      </c>
      <c r="Y122" s="414">
        <f t="shared" si="62"/>
        <v>1.5018333333333334</v>
      </c>
      <c r="Z122" s="415">
        <f t="shared" si="62"/>
        <v>0.50222222222222224</v>
      </c>
      <c r="AA122" s="402">
        <f t="shared" si="63"/>
        <v>3003.6666666666665</v>
      </c>
      <c r="AB122" s="403">
        <f t="shared" si="63"/>
        <v>1004.4444444444445</v>
      </c>
      <c r="AC122" s="402">
        <f t="shared" si="118"/>
        <v>3003.6666666666665</v>
      </c>
      <c r="AD122" s="403">
        <f t="shared" si="119"/>
        <v>1004.4444444444445</v>
      </c>
      <c r="AE122" s="402">
        <f t="shared" si="120"/>
        <v>89.2089</v>
      </c>
      <c r="AF122" s="403">
        <f t="shared" si="121"/>
        <v>29.832000000000001</v>
      </c>
      <c r="AG122" s="351">
        <v>0</v>
      </c>
      <c r="AH122" s="425">
        <f t="shared" si="131"/>
        <v>944.982037037037</v>
      </c>
      <c r="AI122" s="426">
        <f t="shared" si="122"/>
        <v>320.8641975308642</v>
      </c>
      <c r="AJ122" s="424">
        <f t="shared" si="123"/>
        <v>499.27185185185186</v>
      </c>
      <c r="AK122" s="429">
        <f t="shared" si="124"/>
        <v>167.40740740740742</v>
      </c>
      <c r="AL122" s="402">
        <f t="shared" si="132"/>
        <v>117.13333333333334</v>
      </c>
      <c r="AM122" s="403">
        <f t="shared" si="125"/>
        <v>40.177777777777777</v>
      </c>
      <c r="AN122" s="424">
        <f t="shared" si="126"/>
        <v>119.00055555555555</v>
      </c>
      <c r="AO122" s="429">
        <f t="shared" si="127"/>
        <v>41.851851851851855</v>
      </c>
      <c r="AP122" s="424">
        <f t="shared" si="128"/>
        <v>142.34953703703704</v>
      </c>
      <c r="AQ122" s="429">
        <f t="shared" si="129"/>
        <v>48.827160493827158</v>
      </c>
      <c r="AR122" s="467">
        <f t="shared" si="76"/>
        <v>9.067901234567902</v>
      </c>
      <c r="AS122" s="85">
        <f t="shared" si="130"/>
        <v>904</v>
      </c>
    </row>
    <row r="123" spans="1:61" ht="12.75" customHeight="1" x14ac:dyDescent="0.2">
      <c r="B123" s="338">
        <v>93710.71</v>
      </c>
      <c r="C123" s="339">
        <v>94058.71</v>
      </c>
      <c r="D123" s="340" t="s">
        <v>15</v>
      </c>
      <c r="E123" s="340" t="s">
        <v>105</v>
      </c>
      <c r="F123" s="340" t="s">
        <v>111</v>
      </c>
      <c r="G123" s="47" t="str">
        <f t="shared" si="117"/>
        <v>E/S - C/B</v>
      </c>
      <c r="H123" s="26">
        <f t="shared" si="133"/>
        <v>1.5</v>
      </c>
      <c r="I123" s="27">
        <f t="shared" si="134"/>
        <v>7.3466666666666658</v>
      </c>
      <c r="J123" s="27">
        <f t="shared" si="135"/>
        <v>8.6355555555555572</v>
      </c>
      <c r="K123" s="27">
        <f t="shared" si="136"/>
        <v>-2.3199999999999998</v>
      </c>
      <c r="L123" s="341">
        <v>0</v>
      </c>
      <c r="M123" s="83">
        <f t="shared" si="57"/>
        <v>348</v>
      </c>
      <c r="N123" s="388">
        <v>49.42</v>
      </c>
      <c r="O123" s="389">
        <v>20</v>
      </c>
      <c r="P123" s="222">
        <f t="shared" si="78"/>
        <v>17199</v>
      </c>
      <c r="Q123" s="274">
        <f t="shared" si="58"/>
        <v>6960</v>
      </c>
      <c r="R123" s="398">
        <v>0</v>
      </c>
      <c r="S123" s="399">
        <v>0</v>
      </c>
      <c r="T123" s="221">
        <f t="shared" si="59"/>
        <v>17199</v>
      </c>
      <c r="U123" s="269">
        <f t="shared" si="59"/>
        <v>6960</v>
      </c>
      <c r="V123" s="348">
        <v>0</v>
      </c>
      <c r="W123" s="406">
        <v>0</v>
      </c>
      <c r="X123" s="407">
        <v>0</v>
      </c>
      <c r="Y123" s="414">
        <f t="shared" si="62"/>
        <v>0.98450000000000004</v>
      </c>
      <c r="Z123" s="415">
        <f t="shared" si="62"/>
        <v>0.38666666666666666</v>
      </c>
      <c r="AA123" s="402">
        <f t="shared" si="63"/>
        <v>1969</v>
      </c>
      <c r="AB123" s="403">
        <f t="shared" si="63"/>
        <v>773.33333333333337</v>
      </c>
      <c r="AC123" s="402">
        <f t="shared" si="118"/>
        <v>1969</v>
      </c>
      <c r="AD123" s="403">
        <f t="shared" si="119"/>
        <v>773.33333333333337</v>
      </c>
      <c r="AE123" s="402">
        <f t="shared" si="120"/>
        <v>58.479299999999995</v>
      </c>
      <c r="AF123" s="403">
        <f t="shared" si="121"/>
        <v>22.968</v>
      </c>
      <c r="AG123" s="351">
        <v>0</v>
      </c>
      <c r="AH123" s="425">
        <f t="shared" si="131"/>
        <v>617.80500000000006</v>
      </c>
      <c r="AI123" s="426">
        <f t="shared" si="122"/>
        <v>247.03703703703704</v>
      </c>
      <c r="AJ123" s="424">
        <f t="shared" si="123"/>
        <v>327.13555555555558</v>
      </c>
      <c r="AK123" s="429">
        <f t="shared" si="124"/>
        <v>128.88888888888889</v>
      </c>
      <c r="AL123" s="402">
        <f t="shared" si="132"/>
        <v>76.44</v>
      </c>
      <c r="AM123" s="403">
        <f t="shared" si="125"/>
        <v>30.933333333333337</v>
      </c>
      <c r="AN123" s="424">
        <f t="shared" si="126"/>
        <v>77.305000000000007</v>
      </c>
      <c r="AO123" s="429">
        <f t="shared" si="127"/>
        <v>32.222222222222221</v>
      </c>
      <c r="AP123" s="424">
        <f t="shared" si="128"/>
        <v>92.895833333333329</v>
      </c>
      <c r="AQ123" s="429">
        <f t="shared" si="129"/>
        <v>37.592592592592595</v>
      </c>
      <c r="AR123" s="467">
        <f t="shared" si="76"/>
        <v>6.9814814814814818</v>
      </c>
      <c r="AS123" s="85">
        <f t="shared" si="130"/>
        <v>696</v>
      </c>
    </row>
    <row r="124" spans="1:61" ht="12.75" customHeight="1" x14ac:dyDescent="0.2">
      <c r="B124" s="338">
        <v>94058.71</v>
      </c>
      <c r="C124" s="339">
        <v>94158.71</v>
      </c>
      <c r="D124" s="340" t="s">
        <v>15</v>
      </c>
      <c r="E124" s="340" t="s">
        <v>105</v>
      </c>
      <c r="F124" s="340" t="s">
        <v>111</v>
      </c>
      <c r="G124" s="47" t="str">
        <f t="shared" si="117"/>
        <v>E/S - C/B</v>
      </c>
      <c r="H124" s="26">
        <f t="shared" si="133"/>
        <v>1.5</v>
      </c>
      <c r="I124" s="27">
        <f t="shared" si="134"/>
        <v>2.1111111111111107</v>
      </c>
      <c r="J124" s="27">
        <f t="shared" si="135"/>
        <v>2.4814814814814814</v>
      </c>
      <c r="K124" s="27">
        <f t="shared" si="136"/>
        <v>-0.66666666666666663</v>
      </c>
      <c r="L124" s="341">
        <v>0</v>
      </c>
      <c r="M124" s="83">
        <f t="shared" si="57"/>
        <v>100</v>
      </c>
      <c r="N124" s="388">
        <v>45.42</v>
      </c>
      <c r="O124" s="389">
        <v>20</v>
      </c>
      <c r="P124" s="222">
        <f t="shared" si="78"/>
        <v>4542</v>
      </c>
      <c r="Q124" s="274">
        <f t="shared" si="58"/>
        <v>2000</v>
      </c>
      <c r="R124" s="398">
        <v>0</v>
      </c>
      <c r="S124" s="399">
        <v>0</v>
      </c>
      <c r="T124" s="221">
        <f t="shared" si="59"/>
        <v>4542</v>
      </c>
      <c r="U124" s="269">
        <f t="shared" si="59"/>
        <v>2000</v>
      </c>
      <c r="V124" s="348">
        <v>0</v>
      </c>
      <c r="W124" s="406">
        <v>0</v>
      </c>
      <c r="X124" s="407">
        <v>0</v>
      </c>
      <c r="Y124" s="414">
        <f t="shared" si="62"/>
        <v>0.26066666666666671</v>
      </c>
      <c r="Z124" s="415">
        <f t="shared" si="62"/>
        <v>0.11111111111111112</v>
      </c>
      <c r="AA124" s="402">
        <f t="shared" si="63"/>
        <v>521.33333333333337</v>
      </c>
      <c r="AB124" s="403">
        <f t="shared" si="63"/>
        <v>222.22222222222223</v>
      </c>
      <c r="AC124" s="402">
        <f t="shared" si="118"/>
        <v>521.33333333333337</v>
      </c>
      <c r="AD124" s="403">
        <f t="shared" si="119"/>
        <v>222.22222222222223</v>
      </c>
      <c r="AE124" s="402">
        <f t="shared" si="120"/>
        <v>15.483599999999999</v>
      </c>
      <c r="AF124" s="403">
        <f t="shared" si="121"/>
        <v>6.6</v>
      </c>
      <c r="AG124" s="351">
        <v>0</v>
      </c>
      <c r="AH124" s="425">
        <f t="shared" si="131"/>
        <v>163.32407407407408</v>
      </c>
      <c r="AI124" s="426">
        <f t="shared" si="122"/>
        <v>70.987654320987659</v>
      </c>
      <c r="AJ124" s="424">
        <f t="shared" si="123"/>
        <v>86.592592592592595</v>
      </c>
      <c r="AK124" s="429">
        <f t="shared" si="124"/>
        <v>37.037037037037038</v>
      </c>
      <c r="AL124" s="402">
        <f t="shared" si="132"/>
        <v>20.186666666666667</v>
      </c>
      <c r="AM124" s="403">
        <f t="shared" si="125"/>
        <v>8.8888888888888893</v>
      </c>
      <c r="AN124" s="424">
        <f t="shared" si="126"/>
        <v>20.361111111111111</v>
      </c>
      <c r="AO124" s="429">
        <f t="shared" si="127"/>
        <v>9.2592592592592595</v>
      </c>
      <c r="AP124" s="424">
        <f t="shared" si="128"/>
        <v>24.532407407407408</v>
      </c>
      <c r="AQ124" s="429">
        <f t="shared" si="129"/>
        <v>10.80246913580247</v>
      </c>
      <c r="AR124" s="467">
        <f t="shared" si="76"/>
        <v>2.0061728395061729</v>
      </c>
      <c r="AS124" s="85">
        <f t="shared" si="130"/>
        <v>200</v>
      </c>
    </row>
    <row r="125" spans="1:61" ht="12.75" customHeight="1" x14ac:dyDescent="0.2">
      <c r="B125" s="338">
        <v>94158.71</v>
      </c>
      <c r="C125" s="339">
        <v>94895</v>
      </c>
      <c r="D125" s="340" t="s">
        <v>15</v>
      </c>
      <c r="E125" s="340" t="s">
        <v>105</v>
      </c>
      <c r="F125" s="340" t="s">
        <v>111</v>
      </c>
      <c r="G125" s="47" t="str">
        <f t="shared" si="117"/>
        <v>E/S - C/B</v>
      </c>
      <c r="H125" s="26">
        <f t="shared" si="133"/>
        <v>1.5</v>
      </c>
      <c r="I125" s="27">
        <f t="shared" si="134"/>
        <v>15.543899999999862</v>
      </c>
      <c r="J125" s="27">
        <f t="shared" si="135"/>
        <v>18.270899999999841</v>
      </c>
      <c r="K125" s="27">
        <f t="shared" si="136"/>
        <v>-4.9085999999999572</v>
      </c>
      <c r="L125" s="341">
        <v>0</v>
      </c>
      <c r="M125" s="83">
        <f t="shared" si="57"/>
        <v>736.2899999999936</v>
      </c>
      <c r="N125" s="388">
        <v>41.42</v>
      </c>
      <c r="O125" s="389">
        <v>20</v>
      </c>
      <c r="P125" s="222">
        <f t="shared" si="78"/>
        <v>30498</v>
      </c>
      <c r="Q125" s="274">
        <f t="shared" si="58"/>
        <v>14726</v>
      </c>
      <c r="R125" s="398">
        <v>0</v>
      </c>
      <c r="S125" s="399">
        <v>0</v>
      </c>
      <c r="T125" s="221">
        <f t="shared" si="59"/>
        <v>30498</v>
      </c>
      <c r="U125" s="269">
        <f t="shared" si="59"/>
        <v>14726</v>
      </c>
      <c r="V125" s="348">
        <v>0</v>
      </c>
      <c r="W125" s="406">
        <v>0</v>
      </c>
      <c r="X125" s="407">
        <v>0</v>
      </c>
      <c r="Y125" s="414">
        <f t="shared" si="62"/>
        <v>1.755690833333333</v>
      </c>
      <c r="Z125" s="415">
        <f t="shared" si="62"/>
        <v>0.81811111111111112</v>
      </c>
      <c r="AA125" s="402">
        <f t="shared" si="63"/>
        <v>3511.3816666666658</v>
      </c>
      <c r="AB125" s="403">
        <f t="shared" si="63"/>
        <v>1636.2222222222222</v>
      </c>
      <c r="AC125" s="402">
        <f t="shared" si="118"/>
        <v>3511.3816666666658</v>
      </c>
      <c r="AD125" s="403">
        <f t="shared" si="119"/>
        <v>1636.2222222222222</v>
      </c>
      <c r="AE125" s="402">
        <f t="shared" si="120"/>
        <v>104.28803549999996</v>
      </c>
      <c r="AF125" s="403">
        <f t="shared" si="121"/>
        <v>48.59579999999999</v>
      </c>
      <c r="AG125" s="351">
        <v>0</v>
      </c>
      <c r="AH125" s="425">
        <f t="shared" si="131"/>
        <v>1098.0346407407405</v>
      </c>
      <c r="AI125" s="426">
        <f t="shared" si="122"/>
        <v>522.6820987654321</v>
      </c>
      <c r="AJ125" s="424">
        <f t="shared" si="123"/>
        <v>583.0486777777777</v>
      </c>
      <c r="AK125" s="429">
        <f t="shared" si="124"/>
        <v>272.7037037037037</v>
      </c>
      <c r="AL125" s="402">
        <f t="shared" si="132"/>
        <v>135.54666666666665</v>
      </c>
      <c r="AM125" s="403">
        <f t="shared" si="125"/>
        <v>65.448888888888888</v>
      </c>
      <c r="AN125" s="424">
        <f t="shared" si="126"/>
        <v>136.28584444444451</v>
      </c>
      <c r="AO125" s="429">
        <f t="shared" si="127"/>
        <v>68.175925925925924</v>
      </c>
      <c r="AP125" s="424">
        <f t="shared" si="128"/>
        <v>164.72685185185185</v>
      </c>
      <c r="AQ125" s="429">
        <f t="shared" si="129"/>
        <v>79.538580246913568</v>
      </c>
      <c r="AR125" s="467">
        <f t="shared" si="76"/>
        <v>14.771249999999872</v>
      </c>
      <c r="AS125" s="85">
        <f t="shared" si="130"/>
        <v>1472.5799999999872</v>
      </c>
    </row>
    <row r="126" spans="1:61" ht="12.75" customHeight="1" x14ac:dyDescent="0.2">
      <c r="B126" s="338">
        <v>94895</v>
      </c>
      <c r="C126" s="339">
        <v>95726.25</v>
      </c>
      <c r="D126" s="340" t="s">
        <v>15</v>
      </c>
      <c r="E126" s="340" t="s">
        <v>112</v>
      </c>
      <c r="F126" s="340" t="s">
        <v>111</v>
      </c>
      <c r="G126" s="47" t="str">
        <f t="shared" si="117"/>
        <v>-</v>
      </c>
      <c r="H126" s="342">
        <v>3.67</v>
      </c>
      <c r="I126" s="341">
        <v>81.59</v>
      </c>
      <c r="J126" s="341">
        <v>53.88</v>
      </c>
      <c r="K126" s="341">
        <v>-5.54</v>
      </c>
      <c r="L126" s="341">
        <v>9.85</v>
      </c>
      <c r="M126" s="83">
        <f t="shared" si="57"/>
        <v>831.25</v>
      </c>
      <c r="N126" s="388">
        <v>43.42</v>
      </c>
      <c r="O126" s="389">
        <v>20</v>
      </c>
      <c r="P126" s="222">
        <f t="shared" si="78"/>
        <v>36093</v>
      </c>
      <c r="Q126" s="274">
        <f t="shared" si="58"/>
        <v>16625</v>
      </c>
      <c r="R126" s="398">
        <v>0</v>
      </c>
      <c r="S126" s="399">
        <v>0</v>
      </c>
      <c r="T126" s="221">
        <f t="shared" si="59"/>
        <v>36093</v>
      </c>
      <c r="U126" s="269">
        <f t="shared" si="59"/>
        <v>16625</v>
      </c>
      <c r="V126" s="348">
        <v>0</v>
      </c>
      <c r="W126" s="406">
        <v>0</v>
      </c>
      <c r="X126" s="407">
        <v>0</v>
      </c>
      <c r="Y126" s="414">
        <f t="shared" si="62"/>
        <v>2.1746493055555556</v>
      </c>
      <c r="Z126" s="415">
        <f t="shared" si="62"/>
        <v>0.92361111111111105</v>
      </c>
      <c r="AA126" s="402">
        <f t="shared" si="63"/>
        <v>4349.2986111111113</v>
      </c>
      <c r="AB126" s="403">
        <f t="shared" si="63"/>
        <v>1847.2222222222222</v>
      </c>
      <c r="AC126" s="402">
        <f t="shared" si="118"/>
        <v>4349.2986111111113</v>
      </c>
      <c r="AD126" s="403">
        <f t="shared" si="119"/>
        <v>1847.2222222222222</v>
      </c>
      <c r="AE126" s="402">
        <f t="shared" si="120"/>
        <v>129.17416875000001</v>
      </c>
      <c r="AF126" s="403">
        <f t="shared" si="121"/>
        <v>54.862499999999983</v>
      </c>
      <c r="AG126" s="351">
        <v>0</v>
      </c>
      <c r="AH126" s="425">
        <f t="shared" si="131"/>
        <v>1362.6687037037036</v>
      </c>
      <c r="AI126" s="426">
        <f t="shared" si="122"/>
        <v>590.08487654320982</v>
      </c>
      <c r="AJ126" s="424">
        <f t="shared" si="123"/>
        <v>722.26888888888891</v>
      </c>
      <c r="AK126" s="429">
        <f t="shared" si="124"/>
        <v>307.87037037037038</v>
      </c>
      <c r="AL126" s="402">
        <f t="shared" si="132"/>
        <v>160.41333333333336</v>
      </c>
      <c r="AM126" s="403">
        <f t="shared" si="125"/>
        <v>73.888888888888886</v>
      </c>
      <c r="AN126" s="424">
        <f t="shared" si="126"/>
        <v>161.55722222222224</v>
      </c>
      <c r="AO126" s="429">
        <f t="shared" si="127"/>
        <v>76.967592592592595</v>
      </c>
      <c r="AP126" s="424">
        <f t="shared" si="128"/>
        <v>204.79675925925926</v>
      </c>
      <c r="AQ126" s="429">
        <f t="shared" si="129"/>
        <v>89.795524691358025</v>
      </c>
      <c r="AR126" s="467">
        <f t="shared" si="76"/>
        <v>0</v>
      </c>
      <c r="AS126" s="85">
        <f t="shared" si="130"/>
        <v>1662.5</v>
      </c>
    </row>
    <row r="127" spans="1:61" ht="12.75" customHeight="1" x14ac:dyDescent="0.2">
      <c r="B127" s="338">
        <v>95726.25</v>
      </c>
      <c r="C127" s="339">
        <v>98057.71</v>
      </c>
      <c r="D127" s="340" t="s">
        <v>15</v>
      </c>
      <c r="E127" s="340" t="s">
        <v>105</v>
      </c>
      <c r="F127" s="340" t="s">
        <v>111</v>
      </c>
      <c r="G127" s="47" t="str">
        <f t="shared" si="117"/>
        <v>E/S - C/B</v>
      </c>
      <c r="H127" s="26">
        <f>IF(AND($E127=$AU$2,$F127=$AU$2),2*$AW$12,IF(OR(AND($E127=$AU$2, $F127=$AU$3),AND($E127=$AU$3,$F127=$AU$2)),$AW$12+$AW$13,IF(OR(AND($E127=$AU$2,$F127=$AU$4),AND($E127=$AU$4,$F127=$AU$2)),$AW$12,IF(OR(AND($E127=$AU$3,$F127=$AU$4),AND($E127=$AU$4,$F127=$AU$3)),$AW$13,IF(AND($E127=$AU$3,$F127=$AU$3),2*$AW$13,0)))))</f>
        <v>1.5</v>
      </c>
      <c r="I127" s="27">
        <f>IF(AND($E127=$AU$2,$F127=$AU$2),2*$AZ$12*$M127/27,IF(OR(AND($E127=$AU$2,$F127=$AU$3),AND($E127=$AU$3,$F127=$AU$2)),$AZ$12*$M127/27,IF(OR(AND($E127=$AU$2,$F127=$AU$4),AND($E127=$AU$4,$F127=$AU$2)),$AZ$12*$M127/27,0)))</f>
        <v>49.219711111111245</v>
      </c>
      <c r="J127" s="27">
        <f>IF(AND($E127=$AU$2,$F127=$AU$2),2*$BC$12*$M127/27,IF(OR(AND($E127=$AU$2,$F127=$AU$3),AND($E127=$AU$3,$F127=$AU$2)),($BC$12+$BC$13)*$M127/27,IF(OR(AND($E127=$AU$2,$F127=$AU$4),AND($E127=$AU$4,$F127=$AU$2)),$BC$12*$M127/27,IF(OR(AND($E127=$AU$3,$F127=$AU$4),AND($E127=$AU$4,$F127=$AU$3)),$BC$13*$M127/27,IF(AND($E127=$AU$3,$F127=$AU$3),2*$BC$13*$M127/27,0)))))</f>
        <v>57.85474814814831</v>
      </c>
      <c r="K127" s="27">
        <f>IF(AND($E127=$AU$4,$F127=$AU$4),2*$BF$14*$M127/27,IF(OR($E127=$AU$4,$F127=$AU$4),$BF$14*$M127/27,0))</f>
        <v>-15.543066666666709</v>
      </c>
      <c r="L127" s="341">
        <v>0</v>
      </c>
      <c r="M127" s="83">
        <f t="shared" si="57"/>
        <v>2331.4600000000064</v>
      </c>
      <c r="N127" s="388">
        <v>41.42</v>
      </c>
      <c r="O127" s="389">
        <v>20</v>
      </c>
      <c r="P127" s="222">
        <f t="shared" si="78"/>
        <v>96570</v>
      </c>
      <c r="Q127" s="274">
        <f t="shared" si="58"/>
        <v>46630</v>
      </c>
      <c r="R127" s="398">
        <v>0</v>
      </c>
      <c r="S127" s="399">
        <v>0</v>
      </c>
      <c r="T127" s="221">
        <f t="shared" si="59"/>
        <v>96570</v>
      </c>
      <c r="U127" s="269">
        <f t="shared" si="59"/>
        <v>46630</v>
      </c>
      <c r="V127" s="348">
        <v>0</v>
      </c>
      <c r="W127" s="406">
        <v>0</v>
      </c>
      <c r="X127" s="407">
        <v>0</v>
      </c>
      <c r="Y127" s="414">
        <f t="shared" si="62"/>
        <v>5.5592883333333338</v>
      </c>
      <c r="Z127" s="415">
        <f t="shared" si="62"/>
        <v>2.5905555555555555</v>
      </c>
      <c r="AA127" s="402">
        <f t="shared" si="63"/>
        <v>11118.576666666668</v>
      </c>
      <c r="AB127" s="403">
        <f t="shared" si="63"/>
        <v>5181.1111111111113</v>
      </c>
      <c r="AC127" s="402">
        <f t="shared" si="118"/>
        <v>11118.576666666668</v>
      </c>
      <c r="AD127" s="403">
        <f t="shared" si="119"/>
        <v>5181.1111111111113</v>
      </c>
      <c r="AE127" s="402">
        <f t="shared" si="120"/>
        <v>330.22172699999999</v>
      </c>
      <c r="AF127" s="403">
        <f t="shared" si="121"/>
        <v>153.87899999999999</v>
      </c>
      <c r="AG127" s="351">
        <v>0</v>
      </c>
      <c r="AH127" s="425">
        <f t="shared" si="131"/>
        <v>3476.8586</v>
      </c>
      <c r="AI127" s="426">
        <f t="shared" si="122"/>
        <v>1655.0771604938273</v>
      </c>
      <c r="AJ127" s="424">
        <f t="shared" si="123"/>
        <v>1846.1880814814815</v>
      </c>
      <c r="AK127" s="429">
        <f t="shared" si="124"/>
        <v>863.51851851851848</v>
      </c>
      <c r="AL127" s="402">
        <f t="shared" si="132"/>
        <v>429.2</v>
      </c>
      <c r="AM127" s="403">
        <f t="shared" si="125"/>
        <v>207.24444444444447</v>
      </c>
      <c r="AN127" s="424">
        <f t="shared" si="126"/>
        <v>431.54026666666658</v>
      </c>
      <c r="AO127" s="429">
        <f t="shared" si="127"/>
        <v>215.87962962962962</v>
      </c>
      <c r="AP127" s="424">
        <f t="shared" si="128"/>
        <v>521.59722222222217</v>
      </c>
      <c r="AQ127" s="429">
        <f t="shared" si="129"/>
        <v>251.85956790123456</v>
      </c>
      <c r="AR127" s="467">
        <f t="shared" si="76"/>
        <v>46.773117283950747</v>
      </c>
      <c r="AS127" s="85">
        <f t="shared" si="130"/>
        <v>4662.9200000000128</v>
      </c>
    </row>
    <row r="128" spans="1:61" ht="12.75" customHeight="1" x14ac:dyDescent="0.2">
      <c r="B128" s="338">
        <v>98057.71</v>
      </c>
      <c r="C128" s="339">
        <v>98116.800000000003</v>
      </c>
      <c r="D128" s="340" t="s">
        <v>15</v>
      </c>
      <c r="E128" s="340" t="s">
        <v>112</v>
      </c>
      <c r="F128" s="340" t="s">
        <v>111</v>
      </c>
      <c r="G128" s="47" t="str">
        <f t="shared" si="117"/>
        <v>-</v>
      </c>
      <c r="H128" s="342">
        <v>3.67</v>
      </c>
      <c r="I128" s="341">
        <v>5.8</v>
      </c>
      <c r="J128" s="341">
        <v>3.83</v>
      </c>
      <c r="K128" s="341">
        <v>-0.39</v>
      </c>
      <c r="L128" s="341">
        <v>0.7</v>
      </c>
      <c r="M128" s="83">
        <f t="shared" si="57"/>
        <v>59.089999999996508</v>
      </c>
      <c r="N128" s="388">
        <v>41.42</v>
      </c>
      <c r="O128" s="389">
        <v>20</v>
      </c>
      <c r="P128" s="222">
        <f t="shared" si="78"/>
        <v>2448</v>
      </c>
      <c r="Q128" s="274">
        <f t="shared" si="58"/>
        <v>1182</v>
      </c>
      <c r="R128" s="398">
        <v>0</v>
      </c>
      <c r="S128" s="399">
        <v>0</v>
      </c>
      <c r="T128" s="221">
        <f t="shared" si="59"/>
        <v>2448</v>
      </c>
      <c r="U128" s="269">
        <f t="shared" si="59"/>
        <v>1182</v>
      </c>
      <c r="V128" s="348">
        <v>0</v>
      </c>
      <c r="W128" s="406">
        <v>0</v>
      </c>
      <c r="X128" s="407">
        <v>0</v>
      </c>
      <c r="Y128" s="414">
        <f t="shared" si="62"/>
        <v>0.14804779444444371</v>
      </c>
      <c r="Z128" s="415">
        <f t="shared" si="62"/>
        <v>6.5666666666666665E-2</v>
      </c>
      <c r="AA128" s="402">
        <f t="shared" si="63"/>
        <v>296.09558888888745</v>
      </c>
      <c r="AB128" s="403">
        <f t="shared" si="63"/>
        <v>131.33333333333334</v>
      </c>
      <c r="AC128" s="402">
        <f t="shared" si="118"/>
        <v>296.09558888888745</v>
      </c>
      <c r="AD128" s="403">
        <f t="shared" si="119"/>
        <v>131.33333333333334</v>
      </c>
      <c r="AE128" s="402">
        <f t="shared" si="120"/>
        <v>8.794038989999958</v>
      </c>
      <c r="AF128" s="403">
        <f t="shared" si="121"/>
        <v>3.9006000000000003</v>
      </c>
      <c r="AG128" s="351">
        <v>0</v>
      </c>
      <c r="AH128" s="425">
        <f t="shared" si="131"/>
        <v>92.688888888888883</v>
      </c>
      <c r="AI128" s="426">
        <f t="shared" si="122"/>
        <v>41.953703703703702</v>
      </c>
      <c r="AJ128" s="424">
        <f t="shared" si="123"/>
        <v>49.163333333333334</v>
      </c>
      <c r="AK128" s="429">
        <f t="shared" si="124"/>
        <v>21.888888888888889</v>
      </c>
      <c r="AL128" s="402">
        <f t="shared" si="132"/>
        <v>10.88</v>
      </c>
      <c r="AM128" s="403">
        <f t="shared" si="125"/>
        <v>5.2533333333333339</v>
      </c>
      <c r="AN128" s="424">
        <f t="shared" si="126"/>
        <v>10.943333333333333</v>
      </c>
      <c r="AO128" s="429">
        <f t="shared" si="127"/>
        <v>5.4722222222222223</v>
      </c>
      <c r="AP128" s="424">
        <f t="shared" si="128"/>
        <v>13.922222222222221</v>
      </c>
      <c r="AQ128" s="429">
        <f t="shared" si="129"/>
        <v>6.3842592592592595</v>
      </c>
      <c r="AR128" s="467">
        <f t="shared" si="76"/>
        <v>0</v>
      </c>
      <c r="AS128" s="85">
        <f t="shared" si="130"/>
        <v>118.17999999999302</v>
      </c>
    </row>
    <row r="129" spans="2:45" ht="12.75" customHeight="1" x14ac:dyDescent="0.2">
      <c r="B129" s="338">
        <v>98116.800000000003</v>
      </c>
      <c r="C129" s="339">
        <v>98141.8</v>
      </c>
      <c r="D129" s="340" t="s">
        <v>15</v>
      </c>
      <c r="E129" s="340" t="s">
        <v>106</v>
      </c>
      <c r="F129" s="340" t="s">
        <v>111</v>
      </c>
      <c r="G129" s="47" t="str">
        <f t="shared" si="117"/>
        <v>F/C - C/B</v>
      </c>
      <c r="H129" s="26">
        <f>IF(AND($E129=$AU$2,$F129=$AU$2),2*$AW$12,IF(OR(AND($E129=$AU$2, $F129=$AU$3),AND($E129=$AU$3,$F129=$AU$2)),$AW$12+$AW$13,IF(OR(AND($E129=$AU$2,$F129=$AU$4),AND($E129=$AU$4,$F129=$AU$2)),$AW$12,IF(OR(AND($E129=$AU$3,$F129=$AU$4),AND($E129=$AU$4,$F129=$AU$3)),$AW$13,IF(AND($E129=$AU$3,$F129=$AU$3),2*$AW$13,0)))))</f>
        <v>2</v>
      </c>
      <c r="I129" s="27">
        <f>IF(AND($E129=$AU$2,$F129=$AU$2),2*$AZ$12*$M129/27,IF(OR(AND($E129=$AU$2,$F129=$AU$3),AND($E129=$AU$3,$F129=$AU$2)),$AZ$12*$M129/27,IF(OR(AND($E129=$AU$2,$F129=$AU$4),AND($E129=$AU$4,$F129=$AU$2)),$AZ$12*$M129/27,0)))</f>
        <v>0</v>
      </c>
      <c r="J129" s="27">
        <f>IF(AND($E129=$AU$2,$F129=$AU$2),2*$BC$12*$M129/27,IF(OR(AND($E129=$AU$2,$F129=$AU$3),AND($E129=$AU$3,$F129=$AU$2)),($BC$12+$BC$13)*$M129/27,IF(OR(AND($E129=$AU$2,$F129=$AU$4),AND($E129=$AU$4,$F129=$AU$2)),$BC$12*$M129/27,IF(OR(AND($E129=$AU$3,$F129=$AU$4),AND($E129=$AU$4,$F129=$AU$3)),$BC$13*$M129/27,IF(AND($E129=$AU$3,$F129=$AU$3),2*$BC$13*$M129/27,0)))))</f>
        <v>0.90740740740740744</v>
      </c>
      <c r="K129" s="27">
        <f>IF(AND($E129=$AU$4,$F129=$AU$4),2*$BF$14*$M129/27,IF(OR($E129=$AU$4,$F129=$AU$4),$BF$14*$M129/27,0))</f>
        <v>-0.16666666666666666</v>
      </c>
      <c r="L129" s="341">
        <v>0</v>
      </c>
      <c r="M129" s="83">
        <f t="shared" si="57"/>
        <v>25</v>
      </c>
      <c r="N129" s="388">
        <v>41.42</v>
      </c>
      <c r="O129" s="389">
        <v>20</v>
      </c>
      <c r="P129" s="222">
        <f t="shared" si="78"/>
        <v>1036</v>
      </c>
      <c r="Q129" s="274">
        <f t="shared" si="58"/>
        <v>500</v>
      </c>
      <c r="R129" s="398">
        <v>0</v>
      </c>
      <c r="S129" s="399">
        <v>0</v>
      </c>
      <c r="T129" s="221">
        <f t="shared" si="59"/>
        <v>1036</v>
      </c>
      <c r="U129" s="269">
        <f t="shared" si="59"/>
        <v>500</v>
      </c>
      <c r="V129" s="348">
        <v>0</v>
      </c>
      <c r="W129" s="406">
        <v>0</v>
      </c>
      <c r="X129" s="407">
        <v>0</v>
      </c>
      <c r="Y129" s="414">
        <f t="shared" si="62"/>
        <v>6.0333333333333336E-2</v>
      </c>
      <c r="Z129" s="415">
        <f t="shared" si="62"/>
        <v>2.777777777777778E-2</v>
      </c>
      <c r="AA129" s="402">
        <f t="shared" si="63"/>
        <v>120.66666666666667</v>
      </c>
      <c r="AB129" s="403">
        <f t="shared" si="63"/>
        <v>55.555555555555557</v>
      </c>
      <c r="AC129" s="402">
        <f t="shared" si="118"/>
        <v>120.66666666666667</v>
      </c>
      <c r="AD129" s="403">
        <f t="shared" si="119"/>
        <v>55.555555555555557</v>
      </c>
      <c r="AE129" s="402">
        <f t="shared" si="120"/>
        <v>3.5837999999999997</v>
      </c>
      <c r="AF129" s="403">
        <f t="shared" si="121"/>
        <v>1.65</v>
      </c>
      <c r="AG129" s="351">
        <v>0</v>
      </c>
      <c r="AH129" s="425">
        <f t="shared" si="131"/>
        <v>36.771604938271608</v>
      </c>
      <c r="AI129" s="426">
        <f t="shared" si="122"/>
        <v>17.746913580246915</v>
      </c>
      <c r="AJ129" s="424">
        <f t="shared" si="123"/>
        <v>20.092592592592595</v>
      </c>
      <c r="AK129" s="429">
        <f t="shared" si="124"/>
        <v>9.2592592592592595</v>
      </c>
      <c r="AL129" s="402">
        <f t="shared" si="132"/>
        <v>4.6044444444444448</v>
      </c>
      <c r="AM129" s="403">
        <f t="shared" si="125"/>
        <v>2.2222222222222223</v>
      </c>
      <c r="AN129" s="424">
        <f t="shared" si="126"/>
        <v>4.6296296296296298</v>
      </c>
      <c r="AO129" s="429">
        <f t="shared" si="127"/>
        <v>2.3148148148148149</v>
      </c>
      <c r="AP129" s="424">
        <f t="shared" si="128"/>
        <v>5.5956790123456797</v>
      </c>
      <c r="AQ129" s="429">
        <f t="shared" si="129"/>
        <v>2.7006172839506175</v>
      </c>
      <c r="AR129" s="467">
        <f t="shared" si="76"/>
        <v>0</v>
      </c>
      <c r="AS129" s="85">
        <f t="shared" si="130"/>
        <v>50</v>
      </c>
    </row>
    <row r="130" spans="2:45" ht="12.75" customHeight="1" x14ac:dyDescent="0.2">
      <c r="B130" s="338">
        <v>98141.8</v>
      </c>
      <c r="C130" s="339">
        <v>98171.8</v>
      </c>
      <c r="D130" s="340" t="s">
        <v>15</v>
      </c>
      <c r="E130" s="340" t="s">
        <v>106</v>
      </c>
      <c r="F130" s="340" t="s">
        <v>111</v>
      </c>
      <c r="G130" s="47" t="str">
        <f t="shared" si="117"/>
        <v>F/C - C/B</v>
      </c>
      <c r="H130" s="26">
        <f>IF(AND($E130=$AU$2,$F130=$AU$2),2*$AW$12,IF(OR(AND($E130=$AU$2, $F130=$AU$3),AND($E130=$AU$3,$F130=$AU$2)),$AW$12+$AW$13,IF(OR(AND($E130=$AU$2,$F130=$AU$4),AND($E130=$AU$4,$F130=$AU$2)),$AW$12,IF(OR(AND($E130=$AU$3,$F130=$AU$4),AND($E130=$AU$4,$F130=$AU$3)),$AW$13,IF(AND($E130=$AU$3,$F130=$AU$3),2*$AW$13,0)))))</f>
        <v>2</v>
      </c>
      <c r="I130" s="27">
        <f>IF(AND($E130=$AU$2,$F130=$AU$2),2*$AZ$12*$M130/27,IF(OR(AND($E130=$AU$2,$F130=$AU$3),AND($E130=$AU$3,$F130=$AU$2)),$AZ$12*$M130/27,IF(OR(AND($E130=$AU$2,$F130=$AU$4),AND($E130=$AU$4,$F130=$AU$2)),$AZ$12*$M130/27,0)))</f>
        <v>0</v>
      </c>
      <c r="J130" s="27">
        <f>IF(AND($E130=$AU$2,$F130=$AU$2),2*$BC$12*$M130/27,IF(OR(AND($E130=$AU$2,$F130=$AU$3),AND($E130=$AU$3,$F130=$AU$2)),($BC$12+$BC$13)*$M130/27,IF(OR(AND($E130=$AU$2,$F130=$AU$4),AND($E130=$AU$4,$F130=$AU$2)),$BC$12*$M130/27,IF(OR(AND($E130=$AU$3,$F130=$AU$4),AND($E130=$AU$4,$F130=$AU$3)),$BC$13*$M130/27,IF(AND($E130=$AU$3,$F130=$AU$3),2*$BC$13*$M130/27,0)))))</f>
        <v>1.0888888888888888</v>
      </c>
      <c r="K130" s="27">
        <f>IF(AND($E130=$AU$4,$F130=$AU$4),2*$BF$14*$M130/27,IF(OR($E130=$AU$4,$F130=$AU$4),$BF$14*$M130/27,0))</f>
        <v>-0.19999999999999998</v>
      </c>
      <c r="L130" s="341">
        <v>0</v>
      </c>
      <c r="M130" s="83">
        <f t="shared" si="57"/>
        <v>30</v>
      </c>
      <c r="N130" s="388">
        <v>42.42</v>
      </c>
      <c r="O130" s="389">
        <v>20</v>
      </c>
      <c r="P130" s="222">
        <f t="shared" si="78"/>
        <v>1273</v>
      </c>
      <c r="Q130" s="274">
        <f t="shared" si="58"/>
        <v>600</v>
      </c>
      <c r="R130" s="398">
        <v>0</v>
      </c>
      <c r="S130" s="399">
        <v>0</v>
      </c>
      <c r="T130" s="221">
        <f t="shared" si="59"/>
        <v>1273</v>
      </c>
      <c r="U130" s="269">
        <f t="shared" si="59"/>
        <v>600</v>
      </c>
      <c r="V130" s="348">
        <v>0</v>
      </c>
      <c r="W130" s="406">
        <v>0</v>
      </c>
      <c r="X130" s="407">
        <v>0</v>
      </c>
      <c r="Y130" s="414">
        <f t="shared" si="62"/>
        <v>7.4055555555555555E-2</v>
      </c>
      <c r="Z130" s="415">
        <f t="shared" si="62"/>
        <v>3.3333333333333333E-2</v>
      </c>
      <c r="AA130" s="402">
        <f t="shared" si="63"/>
        <v>148.11111111111111</v>
      </c>
      <c r="AB130" s="403">
        <f t="shared" si="63"/>
        <v>66.666666666666671</v>
      </c>
      <c r="AC130" s="402">
        <f t="shared" si="118"/>
        <v>148.11111111111111</v>
      </c>
      <c r="AD130" s="403">
        <f t="shared" si="119"/>
        <v>66.666666666666671</v>
      </c>
      <c r="AE130" s="402">
        <f t="shared" si="120"/>
        <v>4.3989000000000003</v>
      </c>
      <c r="AF130" s="403">
        <f t="shared" si="121"/>
        <v>1.98</v>
      </c>
      <c r="AG130" s="351">
        <v>0</v>
      </c>
      <c r="AH130" s="425">
        <f t="shared" si="131"/>
        <v>45.183641975308639</v>
      </c>
      <c r="AI130" s="426">
        <f t="shared" si="122"/>
        <v>21.296296296296298</v>
      </c>
      <c r="AJ130" s="424">
        <f t="shared" si="123"/>
        <v>24.662962962962961</v>
      </c>
      <c r="AK130" s="429">
        <f t="shared" si="124"/>
        <v>11.111111111111111</v>
      </c>
      <c r="AL130" s="402">
        <f t="shared" si="132"/>
        <v>5.6577777777777785</v>
      </c>
      <c r="AM130" s="403">
        <f t="shared" si="125"/>
        <v>2.666666666666667</v>
      </c>
      <c r="AN130" s="424">
        <f t="shared" si="126"/>
        <v>5.693518518518518</v>
      </c>
      <c r="AO130" s="429">
        <f t="shared" si="127"/>
        <v>2.7777777777777777</v>
      </c>
      <c r="AP130" s="424">
        <f t="shared" si="128"/>
        <v>6.8757716049382722</v>
      </c>
      <c r="AQ130" s="429">
        <f t="shared" si="129"/>
        <v>3.2407407407407409</v>
      </c>
      <c r="AR130" s="467">
        <f t="shared" si="76"/>
        <v>0</v>
      </c>
      <c r="AS130" s="85">
        <f t="shared" si="130"/>
        <v>60</v>
      </c>
    </row>
    <row r="131" spans="2:45" ht="12.75" customHeight="1" x14ac:dyDescent="0.2">
      <c r="B131" s="338">
        <v>98171.8</v>
      </c>
      <c r="C131" s="339">
        <v>98778.16</v>
      </c>
      <c r="D131" s="340" t="s">
        <v>15</v>
      </c>
      <c r="E131" s="340" t="s">
        <v>106</v>
      </c>
      <c r="F131" s="340" t="s">
        <v>111</v>
      </c>
      <c r="G131" s="47" t="str">
        <f t="shared" si="117"/>
        <v>F/C - C/B</v>
      </c>
      <c r="H131" s="26">
        <f>IF(AND($E131=$AU$2,$F131=$AU$2),2*$AW$12,IF(OR(AND($E131=$AU$2, $F131=$AU$3),AND($E131=$AU$3,$F131=$AU$2)),$AW$12+$AW$13,IF(OR(AND($E131=$AU$2,$F131=$AU$4),AND($E131=$AU$4,$F131=$AU$2)),$AW$12,IF(OR(AND($E131=$AU$3,$F131=$AU$4),AND($E131=$AU$4,$F131=$AU$3)),$AW$13,IF(AND($E131=$AU$3,$F131=$AU$3),2*$AW$13,0)))))</f>
        <v>2</v>
      </c>
      <c r="I131" s="27">
        <f>IF(AND($E131=$AU$2,$F131=$AU$2),2*$AZ$12*$M131/27,IF(OR(AND($E131=$AU$2,$F131=$AU$3),AND($E131=$AU$3,$F131=$AU$2)),$AZ$12*$M131/27,IF(OR(AND($E131=$AU$2,$F131=$AU$4),AND($E131=$AU$4,$F131=$AU$2)),$AZ$12*$M131/27,0)))</f>
        <v>0</v>
      </c>
      <c r="J131" s="27">
        <f>IF(AND($E131=$AU$2,$F131=$AU$2),2*$BC$12*$M131/27,IF(OR(AND($E131=$AU$2,$F131=$AU$3),AND($E131=$AU$3,$F131=$AU$2)),($BC$12+$BC$13)*$M131/27,IF(OR(AND($E131=$AU$2,$F131=$AU$4),AND($E131=$AU$4,$F131=$AU$2)),$BC$12*$M131/27,IF(OR(AND($E131=$AU$3,$F131=$AU$4),AND($E131=$AU$4,$F131=$AU$3)),$BC$13*$M131/27,IF(AND($E131=$AU$3,$F131=$AU$3),2*$BC$13*$M131/27,0)))))</f>
        <v>22.008622222222243</v>
      </c>
      <c r="K131" s="27">
        <f>IF(AND($E131=$AU$4,$F131=$AU$4),2*$BF$14*$M131/27,IF(OR($E131=$AU$4,$F131=$AU$4),$BF$14*$M131/27,0))</f>
        <v>-4.0424000000000042</v>
      </c>
      <c r="L131" s="341">
        <v>0</v>
      </c>
      <c r="M131" s="83">
        <f t="shared" si="57"/>
        <v>606.36000000000058</v>
      </c>
      <c r="N131" s="388">
        <v>43.42</v>
      </c>
      <c r="O131" s="389">
        <v>20</v>
      </c>
      <c r="P131" s="222">
        <f t="shared" si="78"/>
        <v>26329</v>
      </c>
      <c r="Q131" s="274">
        <f t="shared" si="58"/>
        <v>12128</v>
      </c>
      <c r="R131" s="398">
        <v>0</v>
      </c>
      <c r="S131" s="399">
        <v>0</v>
      </c>
      <c r="T131" s="221">
        <f t="shared" si="59"/>
        <v>26329</v>
      </c>
      <c r="U131" s="269">
        <f t="shared" si="59"/>
        <v>12128</v>
      </c>
      <c r="V131" s="348">
        <v>0</v>
      </c>
      <c r="W131" s="406">
        <v>0</v>
      </c>
      <c r="X131" s="407">
        <v>0</v>
      </c>
      <c r="Y131" s="414">
        <f t="shared" si="62"/>
        <v>1.5300955555555555</v>
      </c>
      <c r="Z131" s="415">
        <f t="shared" si="62"/>
        <v>0.67377777777777781</v>
      </c>
      <c r="AA131" s="402">
        <f t="shared" si="63"/>
        <v>3060.1911111111112</v>
      </c>
      <c r="AB131" s="403">
        <f t="shared" si="63"/>
        <v>1347.5555555555557</v>
      </c>
      <c r="AC131" s="402">
        <f t="shared" si="118"/>
        <v>3060.1911111111112</v>
      </c>
      <c r="AD131" s="403">
        <f t="shared" si="119"/>
        <v>1347.5555555555557</v>
      </c>
      <c r="AE131" s="402">
        <f t="shared" si="120"/>
        <v>90.887676000000013</v>
      </c>
      <c r="AF131" s="403">
        <f t="shared" si="121"/>
        <v>40.022400000000005</v>
      </c>
      <c r="AG131" s="351">
        <v>0</v>
      </c>
      <c r="AH131" s="425">
        <f t="shared" si="131"/>
        <v>934.51697530864192</v>
      </c>
      <c r="AI131" s="426">
        <f t="shared" si="122"/>
        <v>430.46913580246911</v>
      </c>
      <c r="AJ131" s="424">
        <f t="shared" si="123"/>
        <v>509.58269629629632</v>
      </c>
      <c r="AK131" s="429">
        <f t="shared" si="124"/>
        <v>224.59259259259258</v>
      </c>
      <c r="AL131" s="402">
        <f t="shared" si="132"/>
        <v>117.01777777777778</v>
      </c>
      <c r="AM131" s="403">
        <f t="shared" si="125"/>
        <v>53.902222222222228</v>
      </c>
      <c r="AN131" s="424">
        <f t="shared" si="126"/>
        <v>117.85111851851852</v>
      </c>
      <c r="AO131" s="429">
        <f t="shared" si="127"/>
        <v>56.148148148148145</v>
      </c>
      <c r="AP131" s="424">
        <f t="shared" si="128"/>
        <v>142.20910493827162</v>
      </c>
      <c r="AQ131" s="429">
        <f t="shared" si="129"/>
        <v>65.506172839506178</v>
      </c>
      <c r="AR131" s="467">
        <f t="shared" si="76"/>
        <v>0</v>
      </c>
      <c r="AS131" s="85">
        <f t="shared" si="130"/>
        <v>1212.7200000000012</v>
      </c>
    </row>
    <row r="132" spans="2:45" ht="12.75" customHeight="1" x14ac:dyDescent="0.2">
      <c r="B132" s="338">
        <v>98778.16</v>
      </c>
      <c r="C132" s="339">
        <v>101500</v>
      </c>
      <c r="D132" s="340" t="s">
        <v>15</v>
      </c>
      <c r="E132" s="340" t="s">
        <v>105</v>
      </c>
      <c r="F132" s="340" t="s">
        <v>111</v>
      </c>
      <c r="G132" s="47" t="str">
        <f t="shared" si="117"/>
        <v>E/S - C/B</v>
      </c>
      <c r="H132" s="26">
        <f>IF(AND($E132=$AU$2,$F132=$AU$2),2*$AW$12,IF(OR(AND($E132=$AU$2, $F132=$AU$3),AND($E132=$AU$3,$F132=$AU$2)),$AW$12+$AW$13,IF(OR(AND($E132=$AU$2,$F132=$AU$4),AND($E132=$AU$4,$F132=$AU$2)),$AW$12,IF(OR(AND($E132=$AU$3,$F132=$AU$4),AND($E132=$AU$4,$F132=$AU$3)),$AW$13,IF(AND($E132=$AU$3,$F132=$AU$3),2*$AW$13,0)))))</f>
        <v>1.5</v>
      </c>
      <c r="I132" s="27">
        <f>IF(AND($E132=$AU$2,$F132=$AU$2),2*$AZ$12*$M132/27,IF(OR(AND($E132=$AU$2,$F132=$AU$3),AND($E132=$AU$3,$F132=$AU$2)),$AZ$12*$M132/27,IF(OR(AND($E132=$AU$2,$F132=$AU$4),AND($E132=$AU$4,$F132=$AU$2)),$AZ$12*$M132/27,0)))</f>
        <v>57.461066666666589</v>
      </c>
      <c r="J132" s="27">
        <f>IF(AND($E132=$AU$2,$F132=$AU$2),2*$BC$12*$M132/27,IF(OR(AND($E132=$AU$2,$F132=$AU$3),AND($E132=$AU$3,$F132=$AU$2)),($BC$12+$BC$13)*$M132/27,IF(OR(AND($E132=$AU$2,$F132=$AU$4),AND($E132=$AU$4,$F132=$AU$2)),$BC$12*$M132/27,IF(OR(AND($E132=$AU$3,$F132=$AU$4),AND($E132=$AU$4,$F132=$AU$3)),$BC$13*$M132/27,IF(AND($E132=$AU$3,$F132=$AU$3),2*$BC$13*$M132/27,0)))))</f>
        <v>67.541955555555475</v>
      </c>
      <c r="K132" s="27">
        <f>IF(AND($E132=$AU$4,$F132=$AU$4),2*$BF$14*$M132/27,IF(OR($E132=$AU$4,$F132=$AU$4),$BF$14*$M132/27,0))</f>
        <v>-18.145599999999977</v>
      </c>
      <c r="L132" s="341">
        <v>0</v>
      </c>
      <c r="M132" s="83">
        <f>C132-B132</f>
        <v>2721.8399999999965</v>
      </c>
      <c r="N132" s="388">
        <v>41.42</v>
      </c>
      <c r="O132" s="389">
        <v>20</v>
      </c>
      <c r="P132" s="222">
        <f>IF(N132="-",0,ROUNDUP($M132*N132,0))</f>
        <v>112739</v>
      </c>
      <c r="Q132" s="274">
        <f t="shared" si="58"/>
        <v>54437</v>
      </c>
      <c r="R132" s="398">
        <v>0</v>
      </c>
      <c r="S132" s="399">
        <v>0</v>
      </c>
      <c r="T132" s="221">
        <f t="shared" si="59"/>
        <v>112739</v>
      </c>
      <c r="U132" s="269">
        <f t="shared" si="59"/>
        <v>54437</v>
      </c>
      <c r="V132" s="348">
        <v>0</v>
      </c>
      <c r="W132" s="406">
        <v>0</v>
      </c>
      <c r="X132" s="407">
        <v>0</v>
      </c>
      <c r="Y132" s="414">
        <f>IF(AND(W132=0,AA132=0),0,IF(AA132=0,W132/2000,AA132/2000))</f>
        <v>6.4900977777777769</v>
      </c>
      <c r="Z132" s="415">
        <f t="shared" si="62"/>
        <v>3.0242777777777778</v>
      </c>
      <c r="AA132" s="402">
        <f t="shared" si="63"/>
        <v>12980.195555555554</v>
      </c>
      <c r="AB132" s="403">
        <f t="shared" si="63"/>
        <v>6048.5555555555557</v>
      </c>
      <c r="AC132" s="402">
        <f t="shared" si="118"/>
        <v>12980.195555555554</v>
      </c>
      <c r="AD132" s="403">
        <f t="shared" si="119"/>
        <v>6048.5555555555557</v>
      </c>
      <c r="AE132" s="402">
        <f t="shared" si="120"/>
        <v>385.51180799999997</v>
      </c>
      <c r="AF132" s="403">
        <f t="shared" si="121"/>
        <v>179.6421</v>
      </c>
      <c r="AG132" s="351">
        <v>0</v>
      </c>
      <c r="AH132" s="425">
        <f t="shared" si="131"/>
        <v>4058.9996469135804</v>
      </c>
      <c r="AI132" s="426">
        <f t="shared" si="122"/>
        <v>1932.1774691358023</v>
      </c>
      <c r="AJ132" s="424">
        <f t="shared" si="123"/>
        <v>2155.3012148148146</v>
      </c>
      <c r="AK132" s="429">
        <f t="shared" si="124"/>
        <v>1008.0925925925926</v>
      </c>
      <c r="AL132" s="402">
        <f t="shared" si="132"/>
        <v>501.0622222222222</v>
      </c>
      <c r="AM132" s="403">
        <f t="shared" si="125"/>
        <v>241.94222222222223</v>
      </c>
      <c r="AN132" s="424">
        <f t="shared" si="126"/>
        <v>503.79421481481478</v>
      </c>
      <c r="AO132" s="429">
        <f t="shared" si="127"/>
        <v>252.02314814814815</v>
      </c>
      <c r="AP132" s="424">
        <f t="shared" si="128"/>
        <v>608.92978395061732</v>
      </c>
      <c r="AQ132" s="429">
        <f t="shared" si="129"/>
        <v>294.02700617283949</v>
      </c>
      <c r="AR132" s="467">
        <f t="shared" si="76"/>
        <v>54.604814814814745</v>
      </c>
      <c r="AS132" s="85">
        <f t="shared" si="130"/>
        <v>5443.679999999993</v>
      </c>
    </row>
    <row r="133" spans="2:45" s="81" customFormat="1" ht="12.75" customHeight="1" x14ac:dyDescent="0.2">
      <c r="B133" s="338">
        <v>101500</v>
      </c>
      <c r="C133" s="339">
        <v>102250</v>
      </c>
      <c r="D133" s="340" t="s">
        <v>15</v>
      </c>
      <c r="E133" s="340" t="s">
        <v>105</v>
      </c>
      <c r="F133" s="340" t="s">
        <v>111</v>
      </c>
      <c r="G133" s="103" t="str">
        <f t="shared" si="117"/>
        <v>E/S - C/B</v>
      </c>
      <c r="H133" s="26">
        <f>IF(AND($E133=$AU$2,$F133=$AU$2),2*$AW$12,IF(OR(AND($E133=$AU$2, $F133=$AU$3),AND($E133=$AU$3,$F133=$AU$2)),$AW$12+$AW$13,IF(OR(AND($E133=$AU$2,$F133=$AU$4),AND($E133=$AU$4,$F133=$AU$2)),$AW$12,IF(OR(AND($E133=$AU$3,$F133=$AU$4),AND($E133=$AU$4,$F133=$AU$3)),$AW$13,IF(AND($E133=$AU$3,$F133=$AU$3),2*$AW$13,0)))))</f>
        <v>1.5</v>
      </c>
      <c r="I133" s="27">
        <f>IF(AND($E133=$AU$2,$F133=$AU$2),2*$AZ$12*$M133/27,IF(OR(AND($E133=$AU$2,$F133=$AU$3),AND($E133=$AU$3,$F133=$AU$2)),$AZ$12*$M133/27,IF(OR(AND($E133=$AU$2,$F133=$AU$4),AND($E133=$AU$4,$F133=$AU$2)),$AZ$12*$M133/27,0)))</f>
        <v>15.83333333333333</v>
      </c>
      <c r="J133" s="27">
        <f>IF(AND($E133=$AU$2,$F133=$AU$2),2*$BC$12*$M133/27,IF(OR(AND($E133=$AU$2,$F133=$AU$3),AND($E133=$AU$3,$F133=$AU$2)),($BC$12+$BC$13)*$M133/27,IF(OR(AND($E133=$AU$2,$F133=$AU$4),AND($E133=$AU$4,$F133=$AU$2)),$BC$12*$M133/27,IF(OR(AND($E133=$AU$3,$F133=$AU$4),AND($E133=$AU$4,$F133=$AU$3)),$BC$13*$M133/27,IF(AND($E133=$AU$3,$F133=$AU$3),2*$BC$13*$M133/27,0)))))</f>
        <v>18.611111111111114</v>
      </c>
      <c r="K133" s="27">
        <f>IF(AND($E133=$AU$4,$F133=$AU$4),2*$BF$14*$M133/27,IF(OR($E133=$AU$4,$F133=$AU$4),$BF$14*$M133/27,0))</f>
        <v>-5</v>
      </c>
      <c r="L133" s="341">
        <v>0</v>
      </c>
      <c r="M133" s="492">
        <f>C133-B133</f>
        <v>750</v>
      </c>
      <c r="N133" s="497">
        <v>12</v>
      </c>
      <c r="O133" s="389" t="s">
        <v>101</v>
      </c>
      <c r="P133" s="222">
        <f>IF(N133="-",0,ROUNDUP($M133*N133,0))</f>
        <v>9000</v>
      </c>
      <c r="Q133" s="274">
        <f t="shared" si="58"/>
        <v>0</v>
      </c>
      <c r="R133" s="498">
        <v>0</v>
      </c>
      <c r="S133" s="499">
        <v>0</v>
      </c>
      <c r="T133" s="500">
        <f t="shared" si="59"/>
        <v>9000</v>
      </c>
      <c r="U133" s="501">
        <f t="shared" si="59"/>
        <v>0</v>
      </c>
      <c r="V133" s="348">
        <v>0</v>
      </c>
      <c r="W133" s="508">
        <v>0</v>
      </c>
      <c r="X133" s="509">
        <v>0</v>
      </c>
      <c r="Y133" s="504">
        <f>IF(AND(W133=0,AA133=0),0,IF(AA133=0,W133/2000,AA133/2000))</f>
        <v>0.5625</v>
      </c>
      <c r="Z133" s="505">
        <f t="shared" si="62"/>
        <v>0</v>
      </c>
      <c r="AA133" s="402">
        <f t="shared" si="63"/>
        <v>1125</v>
      </c>
      <c r="AB133" s="403">
        <f t="shared" si="63"/>
        <v>0</v>
      </c>
      <c r="AC133" s="402">
        <f t="shared" si="118"/>
        <v>1125</v>
      </c>
      <c r="AD133" s="403">
        <f t="shared" si="119"/>
        <v>0</v>
      </c>
      <c r="AE133" s="402">
        <f t="shared" si="120"/>
        <v>33.412500000000001</v>
      </c>
      <c r="AF133" s="403">
        <f t="shared" si="121"/>
        <v>0</v>
      </c>
      <c r="AG133" s="351">
        <v>764</v>
      </c>
      <c r="AH133" s="425">
        <f t="shared" si="131"/>
        <v>335.27777777777777</v>
      </c>
      <c r="AI133" s="426">
        <f t="shared" si="122"/>
        <v>0</v>
      </c>
      <c r="AJ133" s="424">
        <f t="shared" si="123"/>
        <v>185.27777777777777</v>
      </c>
      <c r="AK133" s="429">
        <f t="shared" si="124"/>
        <v>0</v>
      </c>
      <c r="AL133" s="402">
        <f t="shared" si="132"/>
        <v>40</v>
      </c>
      <c r="AM133" s="403">
        <f t="shared" si="125"/>
        <v>0</v>
      </c>
      <c r="AN133" s="424">
        <f t="shared" si="126"/>
        <v>36.666666666666664</v>
      </c>
      <c r="AO133" s="429">
        <f t="shared" si="127"/>
        <v>0</v>
      </c>
      <c r="AP133" s="424">
        <f t="shared" si="128"/>
        <v>48.611111111111114</v>
      </c>
      <c r="AQ133" s="430">
        <f t="shared" si="129"/>
        <v>0</v>
      </c>
      <c r="AR133" s="491">
        <f t="shared" si="76"/>
        <v>15.046296296296296</v>
      </c>
      <c r="AS133" s="482">
        <f t="shared" si="130"/>
        <v>1500</v>
      </c>
    </row>
    <row r="134" spans="2:45" ht="12.75" customHeight="1" thickBot="1" x14ac:dyDescent="0.25">
      <c r="B134" s="54"/>
      <c r="C134" s="3"/>
      <c r="D134" s="32"/>
      <c r="E134" s="32"/>
      <c r="F134" s="32"/>
      <c r="G134" s="32"/>
      <c r="H134" s="26"/>
      <c r="I134" s="27"/>
      <c r="J134" s="27"/>
      <c r="K134" s="27"/>
      <c r="L134" s="27"/>
      <c r="M134" s="4"/>
      <c r="N134" s="390"/>
      <c r="O134" s="389"/>
      <c r="P134" s="222"/>
      <c r="Q134" s="274"/>
      <c r="R134" s="223"/>
      <c r="S134" s="280"/>
      <c r="T134" s="223"/>
      <c r="U134" s="280"/>
      <c r="V134" s="123"/>
      <c r="W134" s="223"/>
      <c r="X134" s="280"/>
      <c r="Y134" s="416"/>
      <c r="Z134" s="417"/>
      <c r="AA134" s="402"/>
      <c r="AB134" s="403"/>
      <c r="AC134" s="402"/>
      <c r="AD134" s="403"/>
      <c r="AE134" s="402"/>
      <c r="AF134" s="403"/>
      <c r="AG134" s="70"/>
      <c r="AH134" s="425"/>
      <c r="AI134" s="426"/>
      <c r="AJ134" s="424"/>
      <c r="AK134" s="429"/>
      <c r="AL134" s="402"/>
      <c r="AM134" s="403"/>
      <c r="AN134" s="424"/>
      <c r="AO134" s="429"/>
      <c r="AP134" s="424"/>
      <c r="AQ134" s="430"/>
      <c r="AR134" s="470"/>
      <c r="AS134" s="19"/>
    </row>
    <row r="135" spans="2:45" s="81" customFormat="1" ht="12.75" customHeight="1" x14ac:dyDescent="0.2">
      <c r="B135" s="573" t="s">
        <v>265</v>
      </c>
      <c r="C135" s="574"/>
      <c r="D135" s="585" t="s">
        <v>242</v>
      </c>
      <c r="E135" s="586"/>
      <c r="F135" s="586"/>
      <c r="G135" s="586"/>
      <c r="H135" s="586"/>
      <c r="I135" s="586"/>
      <c r="J135" s="586"/>
      <c r="K135" s="586"/>
      <c r="L135" s="586"/>
      <c r="M135" s="586"/>
      <c r="N135" s="586"/>
      <c r="O135" s="586"/>
      <c r="P135" s="586"/>
      <c r="Q135" s="586"/>
      <c r="R135" s="586"/>
      <c r="S135" s="586"/>
      <c r="T135" s="586"/>
      <c r="U135" s="587"/>
      <c r="V135" s="592">
        <f t="shared" ref="V135:AS135" si="137">ROUNDUP(SUM(V75:V133),0)</f>
        <v>0</v>
      </c>
      <c r="W135" s="592">
        <f t="shared" si="137"/>
        <v>20004</v>
      </c>
      <c r="X135" s="592">
        <f t="shared" si="137"/>
        <v>8456</v>
      </c>
      <c r="Y135" s="592">
        <f t="shared" si="137"/>
        <v>70</v>
      </c>
      <c r="Z135" s="592">
        <f t="shared" si="137"/>
        <v>29</v>
      </c>
      <c r="AA135" s="592">
        <f t="shared" si="137"/>
        <v>118379</v>
      </c>
      <c r="AB135" s="592">
        <f t="shared" si="137"/>
        <v>49292</v>
      </c>
      <c r="AC135" s="592">
        <f t="shared" si="137"/>
        <v>118379</v>
      </c>
      <c r="AD135" s="592">
        <f t="shared" si="137"/>
        <v>49292</v>
      </c>
      <c r="AE135" s="592">
        <f t="shared" si="137"/>
        <v>3516</v>
      </c>
      <c r="AF135" s="592">
        <f t="shared" si="137"/>
        <v>1464</v>
      </c>
      <c r="AG135" s="592">
        <f t="shared" si="137"/>
        <v>765</v>
      </c>
      <c r="AH135" s="592">
        <f t="shared" si="137"/>
        <v>42858</v>
      </c>
      <c r="AI135" s="592">
        <f t="shared" si="137"/>
        <v>18369</v>
      </c>
      <c r="AJ135" s="592">
        <f t="shared" si="137"/>
        <v>23040</v>
      </c>
      <c r="AK135" s="592">
        <f t="shared" si="137"/>
        <v>9647</v>
      </c>
      <c r="AL135" s="592">
        <f t="shared" si="137"/>
        <v>5296</v>
      </c>
      <c r="AM135" s="592">
        <f t="shared" si="137"/>
        <v>2301</v>
      </c>
      <c r="AN135" s="592">
        <f t="shared" si="137"/>
        <v>5350</v>
      </c>
      <c r="AO135" s="592">
        <f t="shared" si="137"/>
        <v>2396</v>
      </c>
      <c r="AP135" s="592">
        <f t="shared" si="137"/>
        <v>6450</v>
      </c>
      <c r="AQ135" s="592">
        <f t="shared" si="137"/>
        <v>2796</v>
      </c>
      <c r="AR135" s="592">
        <f t="shared" si="137"/>
        <v>401</v>
      </c>
      <c r="AS135" s="592">
        <f t="shared" si="137"/>
        <v>54097</v>
      </c>
    </row>
    <row r="136" spans="2:45" s="81" customFormat="1" ht="12.75" customHeight="1" thickBot="1" x14ac:dyDescent="0.25">
      <c r="B136" s="577"/>
      <c r="C136" s="578"/>
      <c r="D136" s="588"/>
      <c r="E136" s="589"/>
      <c r="F136" s="589"/>
      <c r="G136" s="589"/>
      <c r="H136" s="589"/>
      <c r="I136" s="589"/>
      <c r="J136" s="589"/>
      <c r="K136" s="589"/>
      <c r="L136" s="589"/>
      <c r="M136" s="589"/>
      <c r="N136" s="589"/>
      <c r="O136" s="589"/>
      <c r="P136" s="589"/>
      <c r="Q136" s="589"/>
      <c r="R136" s="589"/>
      <c r="S136" s="589"/>
      <c r="T136" s="589"/>
      <c r="U136" s="590"/>
      <c r="V136" s="593"/>
      <c r="W136" s="593"/>
      <c r="X136" s="593"/>
      <c r="Y136" s="593"/>
      <c r="Z136" s="593"/>
      <c r="AA136" s="593"/>
      <c r="AB136" s="593"/>
      <c r="AC136" s="593"/>
      <c r="AD136" s="593"/>
      <c r="AE136" s="593"/>
      <c r="AF136" s="593"/>
      <c r="AG136" s="593"/>
      <c r="AH136" s="593"/>
      <c r="AI136" s="593"/>
      <c r="AJ136" s="593"/>
      <c r="AK136" s="593"/>
      <c r="AL136" s="593"/>
      <c r="AM136" s="593"/>
      <c r="AN136" s="593"/>
      <c r="AO136" s="593"/>
      <c r="AP136" s="593"/>
      <c r="AQ136" s="593"/>
      <c r="AR136" s="593"/>
      <c r="AS136" s="593"/>
    </row>
    <row r="137" spans="2:45" s="81" customFormat="1" ht="12.75" customHeight="1" x14ac:dyDescent="0.2">
      <c r="B137" s="629" t="s">
        <v>193</v>
      </c>
      <c r="C137" s="630"/>
      <c r="D137" s="450"/>
      <c r="E137" s="451"/>
      <c r="F137" s="452"/>
      <c r="G137" s="452"/>
      <c r="H137" s="453"/>
      <c r="I137" s="453"/>
      <c r="J137" s="453"/>
      <c r="K137" s="367"/>
      <c r="L137" s="367"/>
      <c r="M137" s="454"/>
      <c r="N137" s="222"/>
      <c r="O137" s="274"/>
      <c r="P137" s="222"/>
      <c r="Q137" s="274"/>
      <c r="R137" s="222"/>
      <c r="S137" s="274"/>
      <c r="T137" s="222"/>
      <c r="U137" s="274"/>
      <c r="V137" s="124"/>
      <c r="W137" s="222"/>
      <c r="X137" s="274"/>
      <c r="Y137" s="222"/>
      <c r="Z137" s="274"/>
      <c r="AA137" s="222"/>
      <c r="AB137" s="274"/>
      <c r="AC137" s="222"/>
      <c r="AD137" s="274"/>
      <c r="AE137" s="222"/>
      <c r="AF137" s="274"/>
      <c r="AG137" s="71"/>
      <c r="AH137" s="222"/>
      <c r="AI137" s="274"/>
      <c r="AJ137" s="222"/>
      <c r="AK137" s="274"/>
      <c r="AL137" s="222"/>
      <c r="AM137" s="274"/>
      <c r="AN137" s="222"/>
      <c r="AO137" s="274"/>
      <c r="AP137" s="222"/>
      <c r="AQ137" s="274"/>
      <c r="AR137" s="126"/>
      <c r="AS137" s="89"/>
    </row>
    <row r="138" spans="2:45" s="81" customFormat="1" ht="12.75" customHeight="1" x14ac:dyDescent="0.2">
      <c r="B138" s="338">
        <v>73400</v>
      </c>
      <c r="C138" s="339">
        <v>74426.75</v>
      </c>
      <c r="D138" s="343" t="s">
        <v>16</v>
      </c>
      <c r="E138" s="344" t="s">
        <v>101</v>
      </c>
      <c r="F138" s="344" t="s">
        <v>101</v>
      </c>
      <c r="G138" s="103" t="str">
        <f>IF(AND($E138=$AU$2,$F138=$AU$2),$AW$2,IF(OR(AND($E138=$AU$2,$F138=$AU$3),AND($E138=$AU$3,$F138=$AU$2)),$AW$3,IF(OR(AND($E138=$AU$2,$F138=$AU$4),AND($E138=$AU$4,$F138=$AU$2)),$AW$4,IF(OR(AND($E138=$AU$3,$F138=$AU$4),AND($E138=$AU$4,$F138=$AU$3)),$AW$5,IF(AND($E138=$AU$3,$F138=$AU$3),$AW$6,IF(AND($E138=$AU$4,$F138=$AU$4),$AW$7,"-"))))))</f>
        <v>-</v>
      </c>
      <c r="H138" s="26">
        <f>IF(AND($E138=$AU$2,$F138=$AU$2),2*$AW$12,IF(OR(AND($E138=$AU$2, $F138=$AU$3),AND($E138=$AU$3,$F138=$AU$2)),$AW$12+$AW$13,IF(OR(AND($E138=$AU$2,$F138=$AU$4),AND($E138=$AU$4,$F138=$AU$2)),$AW$12,IF(OR(AND($E138=$AU$3,$F138=$AU$4),AND($E138=$AU$4,$F138=$AU$3)),$AW$13,IF(AND($E138=$AU$3,$F138=$AU$3),2*$AW$13,0)))))</f>
        <v>0</v>
      </c>
      <c r="I138" s="27">
        <f>IF(AND($E138=$AU$2,$F138=$AU$2),2*$AZ$12*$M138/27,IF(OR(AND($E138=$AU$2,$F138=$AU$3),AND($E138=$AU$3,$F138=$AU$2)),$AZ$12*$M138/27,IF(OR(AND($E138=$AU$2,$F138=$AU$4),AND($E138=$AU$4,$F138=$AU$2)),$AZ$12*$M138/27,0)))</f>
        <v>0</v>
      </c>
      <c r="J138" s="27">
        <f>IF(AND($E138=$AU$2,$F138=$AU$2),2*$BC$12*$M138/27,IF(OR(AND($E138=$AU$2,$F138=$AU$3),AND($E138=$AU$3,$F138=$AU$2)),($BC$12+$BC$13)*$M138/27,IF(OR(AND($E138=$AU$2,$F138=$AU$4),AND($E138=$AU$4,$F138=$AU$2)),$BC$12*$M138/27,IF(OR(AND($E138=$AU$3,$F138=$AU$4),AND($E138=$AU$4,$F138=$AU$3)),$BC$13*$M138/27,IF(AND($E138=$AU$3,$F138=$AU$3),2*$BC$13*$M138/27,0)))))</f>
        <v>0</v>
      </c>
      <c r="K138" s="27">
        <f>IF(AND($E138=$AU$4,$F138=$AU$4),2*$BF$14*$M138/27,IF(OR($E138=$AU$4,$F138=$AU$4),$BF$14*$M138/27,0))</f>
        <v>0</v>
      </c>
      <c r="L138" s="341">
        <v>0</v>
      </c>
      <c r="M138" s="83">
        <f t="shared" ref="M138" si="138">C138-B138</f>
        <v>1026.75</v>
      </c>
      <c r="N138" s="392" t="s">
        <v>101</v>
      </c>
      <c r="O138" s="393" t="s">
        <v>101</v>
      </c>
      <c r="P138" s="221">
        <f>IF($N138="-",0,ROUNDUP($M138*$N138,0))</f>
        <v>0</v>
      </c>
      <c r="Q138" s="269">
        <f>IF($O138="-",0,ROUNDUP($M138*O138,0))</f>
        <v>0</v>
      </c>
      <c r="R138" s="400">
        <v>41973</v>
      </c>
      <c r="S138" s="401">
        <v>0</v>
      </c>
      <c r="T138" s="221">
        <f t="shared" ref="T138:U141" si="139">P138+R138</f>
        <v>41973</v>
      </c>
      <c r="U138" s="269">
        <f t="shared" si="139"/>
        <v>0</v>
      </c>
      <c r="V138" s="348">
        <v>0</v>
      </c>
      <c r="W138" s="406">
        <v>0</v>
      </c>
      <c r="X138" s="407">
        <v>0</v>
      </c>
      <c r="Y138" s="410">
        <v>0</v>
      </c>
      <c r="Z138" s="411">
        <v>0</v>
      </c>
      <c r="AA138" s="406">
        <v>0</v>
      </c>
      <c r="AB138" s="407">
        <v>0</v>
      </c>
      <c r="AC138" s="410">
        <v>0</v>
      </c>
      <c r="AD138" s="411">
        <v>0</v>
      </c>
      <c r="AE138" s="410">
        <v>0</v>
      </c>
      <c r="AF138" s="411">
        <v>0</v>
      </c>
      <c r="AG138" s="353">
        <v>40</v>
      </c>
      <c r="AH138" s="427">
        <v>0</v>
      </c>
      <c r="AI138" s="428">
        <v>0</v>
      </c>
      <c r="AJ138" s="392">
        <v>0</v>
      </c>
      <c r="AK138" s="393">
        <v>0</v>
      </c>
      <c r="AL138" s="402">
        <f>IF(A138="APP SLAB",0,(T138/9)*$AL$1)</f>
        <v>186.54666666666668</v>
      </c>
      <c r="AM138" s="403">
        <f>IF(A138="APP SLAB",0,(U138/9)*$AL$1)</f>
        <v>0</v>
      </c>
      <c r="AN138" s="424">
        <f>IF(A138="APP SLAB",0,(T138*($AN$1/12))/27+K138)</f>
        <v>194.31944444444446</v>
      </c>
      <c r="AO138" s="429">
        <f>IF(A138="APP SLAB",0,(U138*($AN$1/12))/27)</f>
        <v>0</v>
      </c>
      <c r="AP138" s="392">
        <v>0</v>
      </c>
      <c r="AQ138" s="393">
        <v>0</v>
      </c>
      <c r="AR138" s="371"/>
      <c r="AS138" s="350">
        <v>0</v>
      </c>
    </row>
    <row r="139" spans="2:45" s="81" customFormat="1" ht="12.75" customHeight="1" x14ac:dyDescent="0.2">
      <c r="B139" s="338">
        <v>73400</v>
      </c>
      <c r="C139" s="339">
        <v>74452.94</v>
      </c>
      <c r="D139" s="340" t="s">
        <v>15</v>
      </c>
      <c r="E139" s="340" t="s">
        <v>101</v>
      </c>
      <c r="F139" s="340" t="s">
        <v>101</v>
      </c>
      <c r="G139" s="103" t="str">
        <f>IF(AND($E139=$AU$2,$F139=$AU$2),$AW$2,IF(OR(AND($E139=$AU$2,$F139=$AU$3),AND($E139=$AU$3,$F139=$AU$2)),$AW$3,IF(OR(AND($E139=$AU$2,$F139=$AU$4),AND($E139=$AU$4,$F139=$AU$2)),$AW$4,IF(OR(AND($E139=$AU$3,$F139=$AU$4),AND($E139=$AU$4,$F139=$AU$3)),$AW$5,IF(AND($E139=$AU$3,$F139=$AU$3),$AW$6,IF(AND($E139=$AU$4,$F139=$AU$4),$AW$7,"-"))))))</f>
        <v>-</v>
      </c>
      <c r="H139" s="26">
        <f>IF(AND($E139=$AU$2,$F139=$AU$2),2*$AW$12,IF(OR(AND($E139=$AU$2, $F139=$AU$3),AND($E139=$AU$3,$F139=$AU$2)),$AW$12+$AW$13,IF(OR(AND($E139=$AU$2,$F139=$AU$4),AND($E139=$AU$4,$F139=$AU$2)),$AW$12,IF(OR(AND($E139=$AU$3,$F139=$AU$4),AND($E139=$AU$4,$F139=$AU$3)),$AW$13,IF(AND($E139=$AU$3,$F139=$AU$3),2*$AW$13,0)))))</f>
        <v>0</v>
      </c>
      <c r="I139" s="27">
        <f>IF(AND($E139=$AU$2,$F139=$AU$2),2*$AZ$12*$M139/27,IF(OR(AND($E139=$AU$2,$F139=$AU$3),AND($E139=$AU$3,$F139=$AU$2)),$AZ$12*$M139/27,IF(OR(AND($E139=$AU$2,$F139=$AU$4),AND($E139=$AU$4,$F139=$AU$2)),$AZ$12*$M139/27,0)))</f>
        <v>0</v>
      </c>
      <c r="J139" s="27">
        <f>IF(AND($E139=$AU$2,$F139=$AU$2),2*$BC$12*$M139/27,IF(OR(AND($E139=$AU$2,$F139=$AU$3),AND($E139=$AU$3,$F139=$AU$2)),($BC$12+$BC$13)*$M139/27,IF(OR(AND($E139=$AU$2,$F139=$AU$4),AND($E139=$AU$4,$F139=$AU$2)),$BC$12*$M139/27,IF(OR(AND($E139=$AU$3,$F139=$AU$4),AND($E139=$AU$4,$F139=$AU$3)),$BC$13*$M139/27,IF(AND($E139=$AU$3,$F139=$AU$3),2*$BC$13*$M139/27,0)))))</f>
        <v>0</v>
      </c>
      <c r="K139" s="27">
        <f>IF(AND($E139=$AU$4,$F139=$AU$4),2*$BF$14*$M139/27,IF(OR($E139=$AU$4,$F139=$AU$4),$BF$14*$M139/27,0))</f>
        <v>0</v>
      </c>
      <c r="L139" s="341">
        <v>0</v>
      </c>
      <c r="M139" s="83">
        <f t="shared" ref="M139" si="140">C139-B139</f>
        <v>1052.9400000000023</v>
      </c>
      <c r="N139" s="388" t="s">
        <v>101</v>
      </c>
      <c r="O139" s="389" t="s">
        <v>101</v>
      </c>
      <c r="P139" s="222">
        <f>IF(N139="-",0,ROUNDUP($M139*N139,0))</f>
        <v>0</v>
      </c>
      <c r="Q139" s="274">
        <f>IF($O139="-",0,ROUNDUP($M139*O139,0))</f>
        <v>0</v>
      </c>
      <c r="R139" s="398">
        <v>42226</v>
      </c>
      <c r="S139" s="399">
        <v>0</v>
      </c>
      <c r="T139" s="221">
        <f t="shared" si="139"/>
        <v>42226</v>
      </c>
      <c r="U139" s="269">
        <f t="shared" si="139"/>
        <v>0</v>
      </c>
      <c r="V139" s="348">
        <v>0</v>
      </c>
      <c r="W139" s="406">
        <v>0</v>
      </c>
      <c r="X139" s="407">
        <v>0</v>
      </c>
      <c r="Y139" s="410">
        <v>0</v>
      </c>
      <c r="Z139" s="411">
        <v>0</v>
      </c>
      <c r="AA139" s="406">
        <v>0</v>
      </c>
      <c r="AB139" s="407">
        <v>0</v>
      </c>
      <c r="AC139" s="410">
        <v>0</v>
      </c>
      <c r="AD139" s="405">
        <v>0</v>
      </c>
      <c r="AE139" s="404">
        <v>0</v>
      </c>
      <c r="AF139" s="405">
        <v>0</v>
      </c>
      <c r="AG139" s="351">
        <v>48</v>
      </c>
      <c r="AH139" s="427">
        <v>0</v>
      </c>
      <c r="AI139" s="428">
        <v>0</v>
      </c>
      <c r="AJ139" s="392">
        <v>0</v>
      </c>
      <c r="AK139" s="393">
        <v>0</v>
      </c>
      <c r="AL139" s="402">
        <f>IF(A139="APP SLAB",0,(T139/9)*$AL$1)</f>
        <v>187.67111111111109</v>
      </c>
      <c r="AM139" s="403">
        <f>IF(A139="APP SLAB",0,(U139/9)*$AL$1)</f>
        <v>0</v>
      </c>
      <c r="AN139" s="424">
        <f>IF(A139="APP SLAB",0,(T139*($AN$1/12))/27+K139)</f>
        <v>195.49074074074073</v>
      </c>
      <c r="AO139" s="429">
        <f>IF(A139="APP SLAB",0,(U139*($AN$1/12))/27)</f>
        <v>0</v>
      </c>
      <c r="AP139" s="392">
        <v>0</v>
      </c>
      <c r="AQ139" s="393">
        <v>0</v>
      </c>
      <c r="AR139" s="371"/>
      <c r="AS139" s="350">
        <v>0</v>
      </c>
    </row>
    <row r="140" spans="2:45" s="81" customFormat="1" ht="12.75" customHeight="1" x14ac:dyDescent="0.2">
      <c r="B140" s="338">
        <v>101500</v>
      </c>
      <c r="C140" s="339">
        <v>102600</v>
      </c>
      <c r="D140" s="340" t="s">
        <v>16</v>
      </c>
      <c r="E140" s="340" t="s">
        <v>101</v>
      </c>
      <c r="F140" s="340" t="s">
        <v>101</v>
      </c>
      <c r="G140" s="103" t="str">
        <f>IF(AND($E140=$AU$2,$F140=$AU$2),$AW$2,IF(OR(AND($E140=$AU$2,$F140=$AU$3),AND($E140=$AU$3,$F140=$AU$2)),$AW$3,IF(OR(AND($E140=$AU$2,$F140=$AU$4),AND($E140=$AU$4,$F140=$AU$2)),$AW$4,IF(OR(AND($E140=$AU$3,$F140=$AU$4),AND($E140=$AU$4,$F140=$AU$3)),$AW$5,IF(AND($E140=$AU$3,$F140=$AU$3),$AW$6,IF(AND($E140=$AU$4,$F140=$AU$4),$AW$7,"-"))))))</f>
        <v>-</v>
      </c>
      <c r="H140" s="26">
        <f>IF(AND($E140=$AU$2,$F140=$AU$2),2*$AW$12,IF(OR(AND($E140=$AU$2, $F140=$AU$3),AND($E140=$AU$3,$F140=$AU$2)),$AW$12+$AW$13,IF(OR(AND($E140=$AU$2,$F140=$AU$4),AND($E140=$AU$4,$F140=$AU$2)),$AW$12,IF(OR(AND($E140=$AU$3,$F140=$AU$4),AND($E140=$AU$4,$F140=$AU$3)),$AW$13,IF(AND($E140=$AU$3,$F140=$AU$3),2*$AW$13,0)))))</f>
        <v>0</v>
      </c>
      <c r="I140" s="27">
        <f>IF(AND($E140=$AU$2,$F140=$AU$2),2*$AZ$12*$M140/27,IF(OR(AND($E140=$AU$2,$F140=$AU$3),AND($E140=$AU$3,$F140=$AU$2)),$AZ$12*$M140/27,IF(OR(AND($E140=$AU$2,$F140=$AU$4),AND($E140=$AU$4,$F140=$AU$2)),$AZ$12*$M140/27,0)))</f>
        <v>0</v>
      </c>
      <c r="J140" s="27">
        <f>IF(AND($E140=$AU$2,$F140=$AU$2),2*$BC$12*$M140/27,IF(OR(AND($E140=$AU$2,$F140=$AU$3),AND($E140=$AU$3,$F140=$AU$2)),($BC$12+$BC$13)*$M140/27,IF(OR(AND($E140=$AU$2,$F140=$AU$4),AND($E140=$AU$4,$F140=$AU$2)),$BC$12*$M140/27,IF(OR(AND($E140=$AU$3,$F140=$AU$4),AND($E140=$AU$4,$F140=$AU$3)),$BC$13*$M140/27,IF(AND($E140=$AU$3,$F140=$AU$3),2*$BC$13*$M140/27,0)))))</f>
        <v>0</v>
      </c>
      <c r="K140" s="27">
        <f>IF(AND($E140=$AU$4,$F140=$AU$4),2*$BF$14*$M140/27,IF(OR($E140=$AU$4,$F140=$AU$4),$BF$14*$M140/27,0))</f>
        <v>0</v>
      </c>
      <c r="L140" s="341">
        <v>0</v>
      </c>
      <c r="M140" s="83">
        <f t="shared" ref="M140" si="141">C140-B140</f>
        <v>1100</v>
      </c>
      <c r="N140" s="388" t="s">
        <v>101</v>
      </c>
      <c r="O140" s="389" t="s">
        <v>101</v>
      </c>
      <c r="P140" s="222">
        <f>IF(N140="-",0,ROUNDUP($M140*N140,0))</f>
        <v>0</v>
      </c>
      <c r="Q140" s="274">
        <f>IF($O140="-",0,ROUNDUP($M140*O140,0))</f>
        <v>0</v>
      </c>
      <c r="R140" s="398">
        <v>72192</v>
      </c>
      <c r="S140" s="399">
        <v>0</v>
      </c>
      <c r="T140" s="221">
        <f t="shared" si="139"/>
        <v>72192</v>
      </c>
      <c r="U140" s="269">
        <f t="shared" si="139"/>
        <v>0</v>
      </c>
      <c r="V140" s="348">
        <v>0</v>
      </c>
      <c r="W140" s="404">
        <v>0</v>
      </c>
      <c r="X140" s="405">
        <v>0</v>
      </c>
      <c r="Y140" s="410">
        <v>0</v>
      </c>
      <c r="Z140" s="411">
        <v>0</v>
      </c>
      <c r="AA140" s="406">
        <v>0</v>
      </c>
      <c r="AB140" s="407">
        <v>0</v>
      </c>
      <c r="AC140" s="410">
        <v>0</v>
      </c>
      <c r="AD140" s="407">
        <v>0</v>
      </c>
      <c r="AE140" s="406">
        <v>0</v>
      </c>
      <c r="AF140" s="423">
        <v>0</v>
      </c>
      <c r="AG140" s="351">
        <v>59</v>
      </c>
      <c r="AH140" s="427">
        <v>0</v>
      </c>
      <c r="AI140" s="428">
        <v>0</v>
      </c>
      <c r="AJ140" s="392">
        <v>0</v>
      </c>
      <c r="AK140" s="393">
        <v>0</v>
      </c>
      <c r="AL140" s="402">
        <f>IF(A140="APP SLAB",0,(T140/9)*$AL$1)</f>
        <v>320.85333333333335</v>
      </c>
      <c r="AM140" s="403">
        <f>IF($A140="APP SLAB",0,(U140/9)*$AL$1)</f>
        <v>0</v>
      </c>
      <c r="AN140" s="424">
        <f>IF(A140="APP SLAB",0,(T140*($AN$1/12))/27+K140)</f>
        <v>334.22222222222223</v>
      </c>
      <c r="AO140" s="429">
        <f>IF($A140="APP SLAB",0,(U140*($AN$1/12))/27)</f>
        <v>0</v>
      </c>
      <c r="AP140" s="392">
        <v>0</v>
      </c>
      <c r="AQ140" s="393">
        <v>0</v>
      </c>
      <c r="AR140" s="371"/>
      <c r="AS140" s="350">
        <v>0</v>
      </c>
    </row>
    <row r="141" spans="2:45" s="81" customFormat="1" ht="12.75" customHeight="1" x14ac:dyDescent="0.2">
      <c r="B141" s="338">
        <v>101500</v>
      </c>
      <c r="C141" s="339">
        <v>102600</v>
      </c>
      <c r="D141" s="340" t="s">
        <v>15</v>
      </c>
      <c r="E141" s="340" t="s">
        <v>101</v>
      </c>
      <c r="F141" s="340" t="s">
        <v>101</v>
      </c>
      <c r="G141" s="103" t="str">
        <f>IF(AND($E141=$AU$2,$F141=$AU$2),$AW$2,IF(OR(AND($E141=$AU$2,$F141=$AU$3),AND($E141=$AU$3,$F141=$AU$2)),$AW$3,IF(OR(AND($E141=$AU$2,$F141=$AU$4),AND($E141=$AU$4,$F141=$AU$2)),$AW$4,IF(OR(AND($E141=$AU$3,$F141=$AU$4),AND($E141=$AU$4,$F141=$AU$3)),$AW$5,IF(AND($E141=$AU$3,$F141=$AU$3),$AW$6,IF(AND($E141=$AU$4,$F141=$AU$4),$AW$7,"-"))))))</f>
        <v>-</v>
      </c>
      <c r="H141" s="26">
        <f>IF(AND($E141=$AU$2,$F141=$AU$2),2*$AW$12,IF(OR(AND($E141=$AU$2, $F141=$AU$3),AND($E141=$AU$3,$F141=$AU$2)),$AW$12+$AW$13,IF(OR(AND($E141=$AU$2,$F141=$AU$4),AND($E141=$AU$4,$F141=$AU$2)),$AW$12,IF(OR(AND($E141=$AU$3,$F141=$AU$4),AND($E141=$AU$4,$F141=$AU$3)),$AW$13,IF(AND($E141=$AU$3,$F141=$AU$3),2*$AW$13,0)))))</f>
        <v>0</v>
      </c>
      <c r="I141" s="27">
        <f>IF(AND($E141=$AU$2,$F141=$AU$2),2*$AZ$12*$M141/27,IF(OR(AND($E141=$AU$2,$F141=$AU$3),AND($E141=$AU$3,$F141=$AU$2)),$AZ$12*$M141/27,IF(OR(AND($E141=$AU$2,$F141=$AU$4),AND($E141=$AU$4,$F141=$AU$2)),$AZ$12*$M141/27,0)))</f>
        <v>0</v>
      </c>
      <c r="J141" s="27">
        <f>IF(AND($E141=$AU$2,$F141=$AU$2),2*$BC$12*$M141/27,IF(OR(AND($E141=$AU$2,$F141=$AU$3),AND($E141=$AU$3,$F141=$AU$2)),($BC$12+$BC$13)*$M141/27,IF(OR(AND($E141=$AU$2,$F141=$AU$4),AND($E141=$AU$4,$F141=$AU$2)),$BC$12*$M141/27,IF(OR(AND($E141=$AU$3,$F141=$AU$4),AND($E141=$AU$4,$F141=$AU$3)),$BC$13*$M141/27,IF(AND($E141=$AU$3,$F141=$AU$3),2*$BC$13*$M141/27,0)))))</f>
        <v>0</v>
      </c>
      <c r="K141" s="27">
        <f>IF(AND($E141=$AU$4,$F141=$AU$4),2*$BF$14*$M141/27,IF(OR($E141=$AU$4,$F141=$AU$4),$BF$14*$M141/27,0))</f>
        <v>0</v>
      </c>
      <c r="L141" s="341">
        <v>0</v>
      </c>
      <c r="M141" s="83">
        <f>C141-B141</f>
        <v>1100</v>
      </c>
      <c r="N141" s="388" t="s">
        <v>101</v>
      </c>
      <c r="O141" s="389" t="s">
        <v>101</v>
      </c>
      <c r="P141" s="222">
        <f>IF(N141="-",0,ROUNDUP($M141*N141,0))</f>
        <v>0</v>
      </c>
      <c r="Q141" s="274">
        <f>IF($O141="-",0,ROUNDUP($M141*O141,0))</f>
        <v>0</v>
      </c>
      <c r="R141" s="398">
        <v>78864</v>
      </c>
      <c r="S141" s="399">
        <v>0</v>
      </c>
      <c r="T141" s="221">
        <f t="shared" si="139"/>
        <v>78864</v>
      </c>
      <c r="U141" s="269">
        <f t="shared" si="139"/>
        <v>0</v>
      </c>
      <c r="V141" s="348">
        <v>0</v>
      </c>
      <c r="W141" s="406">
        <v>0</v>
      </c>
      <c r="X141" s="407">
        <v>0</v>
      </c>
      <c r="Y141" s="410">
        <v>0</v>
      </c>
      <c r="Z141" s="411">
        <v>0</v>
      </c>
      <c r="AA141" s="406">
        <v>0</v>
      </c>
      <c r="AB141" s="407">
        <v>0</v>
      </c>
      <c r="AC141" s="410">
        <v>0</v>
      </c>
      <c r="AD141" s="407">
        <v>0</v>
      </c>
      <c r="AE141" s="406">
        <v>0</v>
      </c>
      <c r="AF141" s="423">
        <v>0</v>
      </c>
      <c r="AG141" s="351">
        <v>60</v>
      </c>
      <c r="AH141" s="427">
        <v>0</v>
      </c>
      <c r="AI141" s="428">
        <v>0</v>
      </c>
      <c r="AJ141" s="392">
        <v>0</v>
      </c>
      <c r="AK141" s="393">
        <v>0</v>
      </c>
      <c r="AL141" s="402">
        <f>IF(A141="APP SLAB",0,(T141/9)*$AL$1)</f>
        <v>350.50666666666666</v>
      </c>
      <c r="AM141" s="403">
        <f>IF($A141="APP SLAB",0,(U141/9)*$AL$1)</f>
        <v>0</v>
      </c>
      <c r="AN141" s="424">
        <f>IF(A141="APP SLAB",0,(T141*($AN$1/12))/27+K141)</f>
        <v>365.11111111111109</v>
      </c>
      <c r="AO141" s="429">
        <f>IF($A141="APP SLAB",0,(U141*($AN$1/12))/27)</f>
        <v>0</v>
      </c>
      <c r="AP141" s="392">
        <v>0</v>
      </c>
      <c r="AQ141" s="393">
        <v>0</v>
      </c>
      <c r="AR141" s="371"/>
      <c r="AS141" s="350">
        <v>0</v>
      </c>
    </row>
    <row r="142" spans="2:45" s="81" customFormat="1" ht="12.75" customHeight="1" thickBot="1" x14ac:dyDescent="0.25">
      <c r="B142" s="338"/>
      <c r="C142" s="339"/>
      <c r="D142" s="151"/>
      <c r="E142" s="152"/>
      <c r="F142" s="121"/>
      <c r="G142" s="121"/>
      <c r="H142" s="153"/>
      <c r="I142" s="153"/>
      <c r="J142" s="153"/>
      <c r="K142" s="154"/>
      <c r="L142" s="154"/>
      <c r="M142" s="155"/>
      <c r="N142" s="313"/>
      <c r="O142" s="314"/>
      <c r="P142" s="313"/>
      <c r="Q142" s="314"/>
      <c r="R142" s="313"/>
      <c r="S142" s="314"/>
      <c r="T142" s="313"/>
      <c r="U142" s="314"/>
      <c r="V142" s="165"/>
      <c r="W142" s="313"/>
      <c r="X142" s="314"/>
      <c r="Y142" s="313"/>
      <c r="Z142" s="314"/>
      <c r="AA142" s="313"/>
      <c r="AB142" s="314"/>
      <c r="AC142" s="313"/>
      <c r="AD142" s="314"/>
      <c r="AE142" s="313"/>
      <c r="AF142" s="314"/>
      <c r="AG142" s="253"/>
      <c r="AH142" s="313"/>
      <c r="AI142" s="314"/>
      <c r="AJ142" s="313"/>
      <c r="AK142" s="314"/>
      <c r="AL142" s="313"/>
      <c r="AM142" s="314"/>
      <c r="AN142" s="313"/>
      <c r="AO142" s="314"/>
      <c r="AP142" s="223"/>
      <c r="AQ142" s="280"/>
      <c r="AR142" s="283"/>
      <c r="AS142" s="84"/>
    </row>
    <row r="143" spans="2:45" s="117" customFormat="1" x14ac:dyDescent="0.2">
      <c r="B143" s="643" t="s">
        <v>241</v>
      </c>
      <c r="C143" s="644"/>
      <c r="D143" s="100"/>
      <c r="E143" s="100"/>
      <c r="F143" s="100"/>
      <c r="G143" s="100"/>
      <c r="H143" s="100"/>
      <c r="I143" s="100"/>
      <c r="J143" s="100"/>
      <c r="K143" s="100"/>
      <c r="L143" s="100"/>
      <c r="M143" s="101"/>
      <c r="N143" s="386"/>
      <c r="O143" s="387"/>
      <c r="P143" s="264"/>
      <c r="Q143" s="265"/>
      <c r="R143" s="264"/>
      <c r="S143" s="265"/>
      <c r="T143" s="264"/>
      <c r="U143" s="265"/>
      <c r="V143" s="118"/>
      <c r="W143" s="264"/>
      <c r="X143" s="265"/>
      <c r="Y143" s="386"/>
      <c r="Z143" s="387"/>
      <c r="AA143" s="386"/>
      <c r="AB143" s="387"/>
      <c r="AC143" s="386"/>
      <c r="AD143" s="387"/>
      <c r="AE143" s="421"/>
      <c r="AF143" s="422"/>
      <c r="AG143" s="49"/>
      <c r="AH143" s="386"/>
      <c r="AI143" s="387"/>
      <c r="AJ143" s="386"/>
      <c r="AK143" s="387"/>
      <c r="AL143" s="386"/>
      <c r="AM143" s="387"/>
      <c r="AN143" s="386"/>
      <c r="AO143" s="387"/>
      <c r="AP143" s="386"/>
      <c r="AQ143" s="387"/>
      <c r="AR143" s="367"/>
      <c r="AS143" s="202"/>
    </row>
    <row r="144" spans="2:45" s="117" customFormat="1" x14ac:dyDescent="0.2">
      <c r="B144" s="338" t="s">
        <v>95</v>
      </c>
      <c r="C144" s="339" t="s">
        <v>94</v>
      </c>
      <c r="D144" s="340" t="s">
        <v>30</v>
      </c>
      <c r="E144" s="104"/>
      <c r="F144" s="104"/>
      <c r="G144" s="103"/>
      <c r="H144" s="26"/>
      <c r="I144" s="27"/>
      <c r="J144" s="27"/>
      <c r="K144" s="27"/>
      <c r="L144" s="79"/>
      <c r="M144" s="83"/>
      <c r="N144" s="394"/>
      <c r="O144" s="395"/>
      <c r="P144" s="222"/>
      <c r="Q144" s="274"/>
      <c r="R144" s="398">
        <v>76743</v>
      </c>
      <c r="S144" s="399">
        <v>0</v>
      </c>
      <c r="T144" s="221">
        <f t="shared" ref="T144" si="142">P144+R144</f>
        <v>76743</v>
      </c>
      <c r="U144" s="269">
        <f t="shared" ref="U144" si="143">Q144+S144</f>
        <v>0</v>
      </c>
      <c r="V144" s="348">
        <v>8527</v>
      </c>
      <c r="W144" s="408"/>
      <c r="X144" s="409"/>
      <c r="Y144" s="412"/>
      <c r="Z144" s="413"/>
      <c r="AA144" s="418"/>
      <c r="AB144" s="419"/>
      <c r="AC144" s="418"/>
      <c r="AD144" s="420"/>
      <c r="AE144" s="424"/>
      <c r="AF144" s="395"/>
      <c r="AG144" s="71"/>
      <c r="AH144" s="222"/>
      <c r="AI144" s="274"/>
      <c r="AJ144" s="222"/>
      <c r="AK144" s="274"/>
      <c r="AL144" s="221"/>
      <c r="AM144" s="269"/>
      <c r="AN144" s="408"/>
      <c r="AO144" s="409"/>
      <c r="AP144" s="412"/>
      <c r="AQ144" s="413"/>
      <c r="AR144" s="26"/>
      <c r="AS144" s="27"/>
    </row>
    <row r="145" spans="2:45" s="117" customFormat="1" x14ac:dyDescent="0.2">
      <c r="B145" s="338" t="s">
        <v>94</v>
      </c>
      <c r="C145" s="339" t="s">
        <v>92</v>
      </c>
      <c r="D145" s="340" t="s">
        <v>30</v>
      </c>
      <c r="E145" s="104"/>
      <c r="F145" s="104"/>
      <c r="G145" s="103"/>
      <c r="H145" s="26"/>
      <c r="I145" s="27"/>
      <c r="J145" s="27"/>
      <c r="K145" s="27"/>
      <c r="L145" s="79"/>
      <c r="M145" s="83"/>
      <c r="N145" s="394"/>
      <c r="O145" s="395"/>
      <c r="P145" s="222"/>
      <c r="Q145" s="274"/>
      <c r="R145" s="398">
        <v>173673</v>
      </c>
      <c r="S145" s="399">
        <v>0</v>
      </c>
      <c r="T145" s="221">
        <f t="shared" ref="T145:T175" si="144">P145+R145</f>
        <v>173673</v>
      </c>
      <c r="U145" s="269">
        <f t="shared" ref="U145:U175" si="145">Q145+S145</f>
        <v>0</v>
      </c>
      <c r="V145" s="348">
        <v>19297</v>
      </c>
      <c r="W145" s="408"/>
      <c r="X145" s="409"/>
      <c r="Y145" s="412"/>
      <c r="Z145" s="413"/>
      <c r="AA145" s="418"/>
      <c r="AB145" s="419"/>
      <c r="AC145" s="418"/>
      <c r="AD145" s="420"/>
      <c r="AE145" s="424"/>
      <c r="AF145" s="395"/>
      <c r="AG145" s="71"/>
      <c r="AH145" s="222"/>
      <c r="AI145" s="274"/>
      <c r="AJ145" s="222"/>
      <c r="AK145" s="274"/>
      <c r="AL145" s="221"/>
      <c r="AM145" s="269"/>
      <c r="AN145" s="408"/>
      <c r="AO145" s="409"/>
      <c r="AP145" s="412"/>
      <c r="AQ145" s="413"/>
      <c r="AR145" s="26"/>
      <c r="AS145" s="27"/>
    </row>
    <row r="146" spans="2:45" s="117" customFormat="1" x14ac:dyDescent="0.2">
      <c r="B146" s="338" t="s">
        <v>94</v>
      </c>
      <c r="C146" s="339" t="s">
        <v>92</v>
      </c>
      <c r="D146" s="340" t="s">
        <v>30</v>
      </c>
      <c r="E146" s="104"/>
      <c r="F146" s="104"/>
      <c r="G146" s="103"/>
      <c r="H146" s="26"/>
      <c r="I146" s="27"/>
      <c r="J146" s="27"/>
      <c r="K146" s="27"/>
      <c r="L146" s="79"/>
      <c r="M146" s="83"/>
      <c r="N146" s="394"/>
      <c r="O146" s="395"/>
      <c r="P146" s="222"/>
      <c r="Q146" s="274"/>
      <c r="R146" s="398">
        <v>24849</v>
      </c>
      <c r="S146" s="399">
        <v>0</v>
      </c>
      <c r="T146" s="221">
        <f t="shared" si="144"/>
        <v>24849</v>
      </c>
      <c r="U146" s="269">
        <f t="shared" si="145"/>
        <v>0</v>
      </c>
      <c r="V146" s="348">
        <v>2761</v>
      </c>
      <c r="W146" s="408"/>
      <c r="X146" s="409"/>
      <c r="Y146" s="412"/>
      <c r="Z146" s="413"/>
      <c r="AA146" s="418"/>
      <c r="AB146" s="419"/>
      <c r="AC146" s="418"/>
      <c r="AD146" s="420"/>
      <c r="AE146" s="424"/>
      <c r="AF146" s="395"/>
      <c r="AG146" s="71"/>
      <c r="AH146" s="222"/>
      <c r="AI146" s="274"/>
      <c r="AJ146" s="222"/>
      <c r="AK146" s="274"/>
      <c r="AL146" s="221"/>
      <c r="AM146" s="269"/>
      <c r="AN146" s="408"/>
      <c r="AO146" s="409"/>
      <c r="AP146" s="412"/>
      <c r="AQ146" s="413"/>
      <c r="AR146" s="26"/>
      <c r="AS146" s="27"/>
    </row>
    <row r="147" spans="2:45" s="117" customFormat="1" x14ac:dyDescent="0.2">
      <c r="B147" s="338" t="s">
        <v>94</v>
      </c>
      <c r="C147" s="339" t="s">
        <v>92</v>
      </c>
      <c r="D147" s="340" t="s">
        <v>16</v>
      </c>
      <c r="E147" s="104"/>
      <c r="F147" s="104"/>
      <c r="G147" s="103"/>
      <c r="H147" s="26"/>
      <c r="I147" s="27"/>
      <c r="J147" s="27"/>
      <c r="K147" s="27"/>
      <c r="L147" s="79"/>
      <c r="M147" s="83"/>
      <c r="N147" s="394"/>
      <c r="O147" s="395"/>
      <c r="P147" s="222"/>
      <c r="Q147" s="274"/>
      <c r="R147" s="398">
        <v>61344</v>
      </c>
      <c r="S147" s="399">
        <v>0</v>
      </c>
      <c r="T147" s="221">
        <f t="shared" si="144"/>
        <v>61344</v>
      </c>
      <c r="U147" s="269">
        <f t="shared" si="145"/>
        <v>0</v>
      </c>
      <c r="V147" s="348">
        <v>6816</v>
      </c>
      <c r="W147" s="408"/>
      <c r="X147" s="409"/>
      <c r="Y147" s="412"/>
      <c r="Z147" s="413"/>
      <c r="AA147" s="418"/>
      <c r="AB147" s="419"/>
      <c r="AC147" s="418"/>
      <c r="AD147" s="420"/>
      <c r="AE147" s="424"/>
      <c r="AF147" s="395"/>
      <c r="AG147" s="71"/>
      <c r="AH147" s="222"/>
      <c r="AI147" s="274"/>
      <c r="AJ147" s="222"/>
      <c r="AK147" s="274"/>
      <c r="AL147" s="221"/>
      <c r="AM147" s="269"/>
      <c r="AN147" s="408"/>
      <c r="AO147" s="409"/>
      <c r="AP147" s="412"/>
      <c r="AQ147" s="413"/>
      <c r="AR147" s="26"/>
      <c r="AS147" s="27"/>
    </row>
    <row r="148" spans="2:45" s="117" customFormat="1" x14ac:dyDescent="0.2">
      <c r="B148" s="338" t="s">
        <v>92</v>
      </c>
      <c r="C148" s="339" t="s">
        <v>93</v>
      </c>
      <c r="D148" s="340" t="s">
        <v>30</v>
      </c>
      <c r="E148" s="104"/>
      <c r="F148" s="104"/>
      <c r="G148" s="103"/>
      <c r="H148" s="26"/>
      <c r="I148" s="27"/>
      <c r="J148" s="27"/>
      <c r="K148" s="27"/>
      <c r="L148" s="79"/>
      <c r="M148" s="83"/>
      <c r="N148" s="394"/>
      <c r="O148" s="395"/>
      <c r="P148" s="222"/>
      <c r="Q148" s="274"/>
      <c r="R148" s="398">
        <v>78111</v>
      </c>
      <c r="S148" s="399">
        <v>0</v>
      </c>
      <c r="T148" s="221">
        <f t="shared" si="144"/>
        <v>78111</v>
      </c>
      <c r="U148" s="269">
        <f t="shared" si="145"/>
        <v>0</v>
      </c>
      <c r="V148" s="348">
        <v>8679</v>
      </c>
      <c r="W148" s="408"/>
      <c r="X148" s="409"/>
      <c r="Y148" s="412"/>
      <c r="Z148" s="413"/>
      <c r="AA148" s="418"/>
      <c r="AB148" s="419"/>
      <c r="AC148" s="418"/>
      <c r="AD148" s="420"/>
      <c r="AE148" s="424"/>
      <c r="AF148" s="395"/>
      <c r="AG148" s="71"/>
      <c r="AH148" s="222"/>
      <c r="AI148" s="274"/>
      <c r="AJ148" s="222"/>
      <c r="AK148" s="274"/>
      <c r="AL148" s="221"/>
      <c r="AM148" s="269"/>
      <c r="AN148" s="408"/>
      <c r="AO148" s="409"/>
      <c r="AP148" s="412"/>
      <c r="AQ148" s="413"/>
      <c r="AR148" s="26"/>
      <c r="AS148" s="27"/>
    </row>
    <row r="149" spans="2:45" s="117" customFormat="1" x14ac:dyDescent="0.2">
      <c r="B149" s="338" t="s">
        <v>92</v>
      </c>
      <c r="C149" s="339" t="s">
        <v>93</v>
      </c>
      <c r="D149" s="340" t="s">
        <v>30</v>
      </c>
      <c r="E149" s="104"/>
      <c r="F149" s="104"/>
      <c r="G149" s="103"/>
      <c r="H149" s="26"/>
      <c r="I149" s="27"/>
      <c r="J149" s="27"/>
      <c r="K149" s="27"/>
      <c r="L149" s="79"/>
      <c r="M149" s="83"/>
      <c r="N149" s="394"/>
      <c r="O149" s="395"/>
      <c r="P149" s="222"/>
      <c r="Q149" s="274"/>
      <c r="R149" s="398">
        <v>1965</v>
      </c>
      <c r="S149" s="399">
        <v>0</v>
      </c>
      <c r="T149" s="221">
        <f t="shared" si="144"/>
        <v>1965</v>
      </c>
      <c r="U149" s="269">
        <f t="shared" si="145"/>
        <v>0</v>
      </c>
      <c r="V149" s="348">
        <v>1965</v>
      </c>
      <c r="W149" s="408"/>
      <c r="X149" s="409"/>
      <c r="Y149" s="412"/>
      <c r="Z149" s="413"/>
      <c r="AA149" s="418"/>
      <c r="AB149" s="419"/>
      <c r="AC149" s="418"/>
      <c r="AD149" s="420"/>
      <c r="AE149" s="424"/>
      <c r="AF149" s="395"/>
      <c r="AG149" s="71"/>
      <c r="AH149" s="222"/>
      <c r="AI149" s="274"/>
      <c r="AJ149" s="222"/>
      <c r="AK149" s="274"/>
      <c r="AL149" s="221"/>
      <c r="AM149" s="269"/>
      <c r="AN149" s="408"/>
      <c r="AO149" s="409"/>
      <c r="AP149" s="412"/>
      <c r="AQ149" s="413"/>
      <c r="AR149" s="26"/>
      <c r="AS149" s="27"/>
    </row>
    <row r="150" spans="2:45" s="117" customFormat="1" x14ac:dyDescent="0.2">
      <c r="B150" s="338" t="s">
        <v>92</v>
      </c>
      <c r="C150" s="339" t="s">
        <v>93</v>
      </c>
      <c r="D150" s="340" t="s">
        <v>16</v>
      </c>
      <c r="E150" s="104"/>
      <c r="F150" s="104"/>
      <c r="G150" s="103"/>
      <c r="H150" s="26"/>
      <c r="I150" s="27"/>
      <c r="J150" s="27"/>
      <c r="K150" s="27"/>
      <c r="L150" s="79"/>
      <c r="M150" s="83"/>
      <c r="N150" s="394"/>
      <c r="O150" s="395"/>
      <c r="P150" s="222"/>
      <c r="Q150" s="274"/>
      <c r="R150" s="398">
        <v>10377</v>
      </c>
      <c r="S150" s="399">
        <v>0</v>
      </c>
      <c r="T150" s="221">
        <f t="shared" si="144"/>
        <v>10377</v>
      </c>
      <c r="U150" s="269">
        <f t="shared" si="145"/>
        <v>0</v>
      </c>
      <c r="V150" s="348">
        <v>1153</v>
      </c>
      <c r="W150" s="408"/>
      <c r="X150" s="409"/>
      <c r="Y150" s="412"/>
      <c r="Z150" s="413"/>
      <c r="AA150" s="418"/>
      <c r="AB150" s="419"/>
      <c r="AC150" s="418"/>
      <c r="AD150" s="420"/>
      <c r="AE150" s="424"/>
      <c r="AF150" s="395"/>
      <c r="AG150" s="71"/>
      <c r="AH150" s="222"/>
      <c r="AI150" s="274"/>
      <c r="AJ150" s="222"/>
      <c r="AK150" s="274"/>
      <c r="AL150" s="221"/>
      <c r="AM150" s="269"/>
      <c r="AN150" s="408"/>
      <c r="AO150" s="409"/>
      <c r="AP150" s="412"/>
      <c r="AQ150" s="413"/>
      <c r="AR150" s="26"/>
      <c r="AS150" s="27"/>
    </row>
    <row r="151" spans="2:45" s="117" customFormat="1" x14ac:dyDescent="0.2">
      <c r="B151" s="338" t="s">
        <v>90</v>
      </c>
      <c r="C151" s="339" t="s">
        <v>91</v>
      </c>
      <c r="D151" s="340" t="s">
        <v>30</v>
      </c>
      <c r="E151" s="104"/>
      <c r="F151" s="104"/>
      <c r="G151" s="103"/>
      <c r="H151" s="26"/>
      <c r="I151" s="27"/>
      <c r="J151" s="27"/>
      <c r="K151" s="27"/>
      <c r="L151" s="79"/>
      <c r="M151" s="83"/>
      <c r="N151" s="394"/>
      <c r="O151" s="395"/>
      <c r="P151" s="222"/>
      <c r="Q151" s="274"/>
      <c r="R151" s="398">
        <v>46233</v>
      </c>
      <c r="S151" s="399">
        <v>0</v>
      </c>
      <c r="T151" s="221">
        <f t="shared" si="144"/>
        <v>46233</v>
      </c>
      <c r="U151" s="269">
        <f t="shared" si="145"/>
        <v>0</v>
      </c>
      <c r="V151" s="348">
        <v>5137</v>
      </c>
      <c r="W151" s="408"/>
      <c r="X151" s="409"/>
      <c r="Y151" s="412"/>
      <c r="Z151" s="413"/>
      <c r="AA151" s="418"/>
      <c r="AB151" s="419"/>
      <c r="AC151" s="418"/>
      <c r="AD151" s="420"/>
      <c r="AE151" s="424"/>
      <c r="AF151" s="395"/>
      <c r="AG151" s="71"/>
      <c r="AH151" s="222"/>
      <c r="AI151" s="274"/>
      <c r="AJ151" s="222"/>
      <c r="AK151" s="274"/>
      <c r="AL151" s="221"/>
      <c r="AM151" s="269"/>
      <c r="AN151" s="408"/>
      <c r="AO151" s="409"/>
      <c r="AP151" s="412"/>
      <c r="AQ151" s="413"/>
      <c r="AR151" s="26"/>
      <c r="AS151" s="27"/>
    </row>
    <row r="152" spans="2:45" s="117" customFormat="1" x14ac:dyDescent="0.2">
      <c r="B152" s="338" t="s">
        <v>90</v>
      </c>
      <c r="C152" s="339" t="s">
        <v>91</v>
      </c>
      <c r="D152" s="340" t="s">
        <v>30</v>
      </c>
      <c r="E152" s="104"/>
      <c r="F152" s="104"/>
      <c r="G152" s="103"/>
      <c r="H152" s="26"/>
      <c r="I152" s="27"/>
      <c r="J152" s="27"/>
      <c r="K152" s="27"/>
      <c r="L152" s="79"/>
      <c r="M152" s="83"/>
      <c r="N152" s="394"/>
      <c r="O152" s="395"/>
      <c r="P152" s="222"/>
      <c r="Q152" s="274"/>
      <c r="R152" s="398">
        <v>12726</v>
      </c>
      <c r="S152" s="399">
        <v>0</v>
      </c>
      <c r="T152" s="221">
        <f t="shared" si="144"/>
        <v>12726</v>
      </c>
      <c r="U152" s="269">
        <f t="shared" si="145"/>
        <v>0</v>
      </c>
      <c r="V152" s="348">
        <v>1414</v>
      </c>
      <c r="W152" s="408"/>
      <c r="X152" s="409"/>
      <c r="Y152" s="412"/>
      <c r="Z152" s="413"/>
      <c r="AA152" s="418"/>
      <c r="AB152" s="419"/>
      <c r="AC152" s="418"/>
      <c r="AD152" s="420"/>
      <c r="AE152" s="424"/>
      <c r="AF152" s="395"/>
      <c r="AG152" s="71"/>
      <c r="AH152" s="222"/>
      <c r="AI152" s="274"/>
      <c r="AJ152" s="222"/>
      <c r="AK152" s="274"/>
      <c r="AL152" s="221"/>
      <c r="AM152" s="269"/>
      <c r="AN152" s="408"/>
      <c r="AO152" s="409"/>
      <c r="AP152" s="412"/>
      <c r="AQ152" s="413"/>
      <c r="AR152" s="26"/>
      <c r="AS152" s="27"/>
    </row>
    <row r="153" spans="2:45" s="117" customFormat="1" x14ac:dyDescent="0.2">
      <c r="B153" s="338" t="s">
        <v>90</v>
      </c>
      <c r="C153" s="339" t="s">
        <v>91</v>
      </c>
      <c r="D153" s="340" t="s">
        <v>16</v>
      </c>
      <c r="E153" s="104"/>
      <c r="F153" s="104"/>
      <c r="G153" s="103"/>
      <c r="H153" s="26"/>
      <c r="I153" s="27"/>
      <c r="J153" s="27"/>
      <c r="K153" s="27"/>
      <c r="L153" s="79"/>
      <c r="M153" s="83"/>
      <c r="N153" s="394"/>
      <c r="O153" s="395"/>
      <c r="P153" s="222"/>
      <c r="Q153" s="274"/>
      <c r="R153" s="398">
        <v>6831</v>
      </c>
      <c r="S153" s="399">
        <v>0</v>
      </c>
      <c r="T153" s="221">
        <f t="shared" si="144"/>
        <v>6831</v>
      </c>
      <c r="U153" s="269">
        <f t="shared" si="145"/>
        <v>0</v>
      </c>
      <c r="V153" s="348">
        <v>759</v>
      </c>
      <c r="W153" s="408"/>
      <c r="X153" s="409"/>
      <c r="Y153" s="412"/>
      <c r="Z153" s="413"/>
      <c r="AA153" s="418"/>
      <c r="AB153" s="419"/>
      <c r="AC153" s="418"/>
      <c r="AD153" s="420"/>
      <c r="AE153" s="424"/>
      <c r="AF153" s="395"/>
      <c r="AG153" s="71"/>
      <c r="AH153" s="222"/>
      <c r="AI153" s="274"/>
      <c r="AJ153" s="222"/>
      <c r="AK153" s="274"/>
      <c r="AL153" s="221"/>
      <c r="AM153" s="269"/>
      <c r="AN153" s="408"/>
      <c r="AO153" s="409"/>
      <c r="AP153" s="412"/>
      <c r="AQ153" s="413"/>
      <c r="AR153" s="26"/>
      <c r="AS153" s="27"/>
    </row>
    <row r="154" spans="2:45" s="117" customFormat="1" x14ac:dyDescent="0.2">
      <c r="B154" s="338" t="s">
        <v>89</v>
      </c>
      <c r="C154" s="339" t="s">
        <v>87</v>
      </c>
      <c r="D154" s="340" t="s">
        <v>30</v>
      </c>
      <c r="E154" s="104"/>
      <c r="F154" s="104"/>
      <c r="G154" s="103"/>
      <c r="H154" s="26"/>
      <c r="I154" s="27"/>
      <c r="J154" s="27"/>
      <c r="K154" s="27"/>
      <c r="L154" s="79"/>
      <c r="M154" s="83"/>
      <c r="N154" s="394"/>
      <c r="O154" s="395"/>
      <c r="P154" s="222"/>
      <c r="Q154" s="274"/>
      <c r="R154" s="398">
        <v>451386</v>
      </c>
      <c r="S154" s="399">
        <v>0</v>
      </c>
      <c r="T154" s="221">
        <f t="shared" si="144"/>
        <v>451386</v>
      </c>
      <c r="U154" s="269">
        <f t="shared" si="145"/>
        <v>0</v>
      </c>
      <c r="V154" s="348">
        <v>50154</v>
      </c>
      <c r="W154" s="408"/>
      <c r="X154" s="409"/>
      <c r="Y154" s="412"/>
      <c r="Z154" s="413"/>
      <c r="AA154" s="418"/>
      <c r="AB154" s="419"/>
      <c r="AC154" s="418"/>
      <c r="AD154" s="420"/>
      <c r="AE154" s="424"/>
      <c r="AF154" s="395"/>
      <c r="AG154" s="71"/>
      <c r="AH154" s="222"/>
      <c r="AI154" s="274"/>
      <c r="AJ154" s="222"/>
      <c r="AK154" s="274"/>
      <c r="AL154" s="221"/>
      <c r="AM154" s="269"/>
      <c r="AN154" s="408"/>
      <c r="AO154" s="409"/>
      <c r="AP154" s="412"/>
      <c r="AQ154" s="413"/>
      <c r="AR154" s="26"/>
      <c r="AS154" s="27"/>
    </row>
    <row r="155" spans="2:45" s="117" customFormat="1" x14ac:dyDescent="0.2">
      <c r="B155" s="338" t="s">
        <v>89</v>
      </c>
      <c r="C155" s="339" t="s">
        <v>87</v>
      </c>
      <c r="D155" s="340" t="s">
        <v>30</v>
      </c>
      <c r="E155" s="104"/>
      <c r="F155" s="104"/>
      <c r="G155" s="103"/>
      <c r="H155" s="26"/>
      <c r="I155" s="27"/>
      <c r="J155" s="27"/>
      <c r="K155" s="27"/>
      <c r="L155" s="79"/>
      <c r="M155" s="83"/>
      <c r="N155" s="394"/>
      <c r="O155" s="395"/>
      <c r="P155" s="222"/>
      <c r="Q155" s="274"/>
      <c r="R155" s="398">
        <v>126783</v>
      </c>
      <c r="S155" s="399">
        <v>0</v>
      </c>
      <c r="T155" s="221">
        <f t="shared" si="144"/>
        <v>126783</v>
      </c>
      <c r="U155" s="269">
        <f t="shared" si="145"/>
        <v>0</v>
      </c>
      <c r="V155" s="348">
        <v>14087</v>
      </c>
      <c r="W155" s="408"/>
      <c r="X155" s="409"/>
      <c r="Y155" s="412"/>
      <c r="Z155" s="413"/>
      <c r="AA155" s="418"/>
      <c r="AB155" s="419"/>
      <c r="AC155" s="418"/>
      <c r="AD155" s="420"/>
      <c r="AE155" s="424"/>
      <c r="AF155" s="395"/>
      <c r="AG155" s="71"/>
      <c r="AH155" s="222"/>
      <c r="AI155" s="274"/>
      <c r="AJ155" s="222"/>
      <c r="AK155" s="274"/>
      <c r="AL155" s="221"/>
      <c r="AM155" s="269"/>
      <c r="AN155" s="408"/>
      <c r="AO155" s="409"/>
      <c r="AP155" s="412"/>
      <c r="AQ155" s="413"/>
      <c r="AR155" s="26"/>
      <c r="AS155" s="27"/>
    </row>
    <row r="156" spans="2:45" s="117" customFormat="1" x14ac:dyDescent="0.2">
      <c r="B156" s="338" t="s">
        <v>89</v>
      </c>
      <c r="C156" s="339" t="s">
        <v>87</v>
      </c>
      <c r="D156" s="340" t="s">
        <v>30</v>
      </c>
      <c r="E156" s="104"/>
      <c r="F156" s="104"/>
      <c r="G156" s="103"/>
      <c r="H156" s="26"/>
      <c r="I156" s="27"/>
      <c r="J156" s="27"/>
      <c r="K156" s="27"/>
      <c r="L156" s="79"/>
      <c r="M156" s="83"/>
      <c r="N156" s="394"/>
      <c r="O156" s="395"/>
      <c r="P156" s="222"/>
      <c r="Q156" s="274"/>
      <c r="R156" s="398">
        <v>67059</v>
      </c>
      <c r="S156" s="399">
        <v>0</v>
      </c>
      <c r="T156" s="221">
        <f t="shared" si="144"/>
        <v>67059</v>
      </c>
      <c r="U156" s="269">
        <f t="shared" si="145"/>
        <v>0</v>
      </c>
      <c r="V156" s="348">
        <v>7451</v>
      </c>
      <c r="W156" s="408"/>
      <c r="X156" s="409"/>
      <c r="Y156" s="412"/>
      <c r="Z156" s="413"/>
      <c r="AA156" s="418"/>
      <c r="AB156" s="419"/>
      <c r="AC156" s="418"/>
      <c r="AD156" s="420"/>
      <c r="AE156" s="424"/>
      <c r="AF156" s="395"/>
      <c r="AG156" s="71"/>
      <c r="AH156" s="222"/>
      <c r="AI156" s="274"/>
      <c r="AJ156" s="222"/>
      <c r="AK156" s="274"/>
      <c r="AL156" s="221"/>
      <c r="AM156" s="269"/>
      <c r="AN156" s="408"/>
      <c r="AO156" s="409"/>
      <c r="AP156" s="412"/>
      <c r="AQ156" s="413"/>
      <c r="AR156" s="26"/>
      <c r="AS156" s="27"/>
    </row>
    <row r="157" spans="2:45" s="117" customFormat="1" x14ac:dyDescent="0.2">
      <c r="B157" s="338" t="s">
        <v>87</v>
      </c>
      <c r="C157" s="339" t="s">
        <v>88</v>
      </c>
      <c r="D157" s="340" t="s">
        <v>30</v>
      </c>
      <c r="E157" s="104"/>
      <c r="F157" s="104"/>
      <c r="G157" s="103"/>
      <c r="H157" s="26"/>
      <c r="I157" s="27"/>
      <c r="J157" s="27"/>
      <c r="K157" s="27"/>
      <c r="L157" s="79"/>
      <c r="M157" s="83"/>
      <c r="N157" s="394"/>
      <c r="O157" s="395"/>
      <c r="P157" s="222"/>
      <c r="Q157" s="274"/>
      <c r="R157" s="398">
        <v>54918</v>
      </c>
      <c r="S157" s="399">
        <v>0</v>
      </c>
      <c r="T157" s="221">
        <f t="shared" si="144"/>
        <v>54918</v>
      </c>
      <c r="U157" s="269">
        <f t="shared" si="145"/>
        <v>0</v>
      </c>
      <c r="V157" s="348">
        <v>6102</v>
      </c>
      <c r="W157" s="408"/>
      <c r="X157" s="409"/>
      <c r="Y157" s="412"/>
      <c r="Z157" s="413"/>
      <c r="AA157" s="418"/>
      <c r="AB157" s="419"/>
      <c r="AC157" s="418"/>
      <c r="AD157" s="420"/>
      <c r="AE157" s="424"/>
      <c r="AF157" s="395"/>
      <c r="AG157" s="71"/>
      <c r="AH157" s="222"/>
      <c r="AI157" s="274"/>
      <c r="AJ157" s="222"/>
      <c r="AK157" s="274"/>
      <c r="AL157" s="221"/>
      <c r="AM157" s="269"/>
      <c r="AN157" s="408"/>
      <c r="AO157" s="409"/>
      <c r="AP157" s="412"/>
      <c r="AQ157" s="413"/>
      <c r="AR157" s="26"/>
      <c r="AS157" s="27"/>
    </row>
    <row r="158" spans="2:45" s="117" customFormat="1" x14ac:dyDescent="0.2">
      <c r="B158" s="338" t="s">
        <v>87</v>
      </c>
      <c r="C158" s="339" t="s">
        <v>88</v>
      </c>
      <c r="D158" s="340" t="s">
        <v>30</v>
      </c>
      <c r="E158" s="104"/>
      <c r="F158" s="104"/>
      <c r="G158" s="103"/>
      <c r="H158" s="26"/>
      <c r="I158" s="27"/>
      <c r="J158" s="27"/>
      <c r="K158" s="27"/>
      <c r="L158" s="79"/>
      <c r="M158" s="83"/>
      <c r="N158" s="394"/>
      <c r="O158" s="395"/>
      <c r="P158" s="222"/>
      <c r="Q158" s="274"/>
      <c r="R158" s="398">
        <v>19125</v>
      </c>
      <c r="S158" s="399">
        <v>0</v>
      </c>
      <c r="T158" s="221">
        <f t="shared" si="144"/>
        <v>19125</v>
      </c>
      <c r="U158" s="269">
        <f t="shared" si="145"/>
        <v>0</v>
      </c>
      <c r="V158" s="348">
        <v>2125</v>
      </c>
      <c r="W158" s="408"/>
      <c r="X158" s="409"/>
      <c r="Y158" s="412"/>
      <c r="Z158" s="413"/>
      <c r="AA158" s="418"/>
      <c r="AB158" s="419"/>
      <c r="AC158" s="418"/>
      <c r="AD158" s="420"/>
      <c r="AE158" s="424"/>
      <c r="AF158" s="395"/>
      <c r="AG158" s="71"/>
      <c r="AH158" s="222"/>
      <c r="AI158" s="274"/>
      <c r="AJ158" s="222"/>
      <c r="AK158" s="274"/>
      <c r="AL158" s="221"/>
      <c r="AM158" s="269"/>
      <c r="AN158" s="408"/>
      <c r="AO158" s="409"/>
      <c r="AP158" s="412"/>
      <c r="AQ158" s="413"/>
      <c r="AR158" s="26"/>
      <c r="AS158" s="27"/>
    </row>
    <row r="159" spans="2:45" s="117" customFormat="1" x14ac:dyDescent="0.2">
      <c r="B159" s="338" t="s">
        <v>87</v>
      </c>
      <c r="C159" s="339" t="s">
        <v>88</v>
      </c>
      <c r="D159" s="340" t="s">
        <v>16</v>
      </c>
      <c r="E159" s="104"/>
      <c r="F159" s="104"/>
      <c r="G159" s="103"/>
      <c r="H159" s="26"/>
      <c r="I159" s="27"/>
      <c r="J159" s="27"/>
      <c r="K159" s="27"/>
      <c r="L159" s="79"/>
      <c r="M159" s="83"/>
      <c r="N159" s="394"/>
      <c r="O159" s="395"/>
      <c r="P159" s="222"/>
      <c r="Q159" s="274"/>
      <c r="R159" s="398">
        <v>10917</v>
      </c>
      <c r="S159" s="399">
        <v>0</v>
      </c>
      <c r="T159" s="221">
        <f t="shared" si="144"/>
        <v>10917</v>
      </c>
      <c r="U159" s="269">
        <f t="shared" si="145"/>
        <v>0</v>
      </c>
      <c r="V159" s="348">
        <v>1213</v>
      </c>
      <c r="W159" s="408"/>
      <c r="X159" s="409"/>
      <c r="Y159" s="412"/>
      <c r="Z159" s="413"/>
      <c r="AA159" s="418"/>
      <c r="AB159" s="419"/>
      <c r="AC159" s="418"/>
      <c r="AD159" s="420"/>
      <c r="AE159" s="424"/>
      <c r="AF159" s="395"/>
      <c r="AG159" s="71"/>
      <c r="AH159" s="222"/>
      <c r="AI159" s="274"/>
      <c r="AJ159" s="222"/>
      <c r="AK159" s="274"/>
      <c r="AL159" s="221"/>
      <c r="AM159" s="269"/>
      <c r="AN159" s="408"/>
      <c r="AO159" s="409"/>
      <c r="AP159" s="412"/>
      <c r="AQ159" s="413"/>
      <c r="AR159" s="26"/>
      <c r="AS159" s="27"/>
    </row>
    <row r="160" spans="2:45" s="117" customFormat="1" x14ac:dyDescent="0.2">
      <c r="B160" s="338" t="s">
        <v>85</v>
      </c>
      <c r="C160" s="339" t="s">
        <v>86</v>
      </c>
      <c r="D160" s="340" t="s">
        <v>30</v>
      </c>
      <c r="E160" s="104"/>
      <c r="F160" s="104"/>
      <c r="G160" s="103"/>
      <c r="H160" s="26"/>
      <c r="I160" s="27"/>
      <c r="J160" s="27"/>
      <c r="K160" s="27"/>
      <c r="L160" s="79"/>
      <c r="M160" s="83"/>
      <c r="N160" s="394"/>
      <c r="O160" s="395"/>
      <c r="P160" s="222"/>
      <c r="Q160" s="274"/>
      <c r="R160" s="398">
        <v>15498</v>
      </c>
      <c r="S160" s="399">
        <v>0</v>
      </c>
      <c r="T160" s="221">
        <f t="shared" si="144"/>
        <v>15498</v>
      </c>
      <c r="U160" s="269">
        <f t="shared" si="145"/>
        <v>0</v>
      </c>
      <c r="V160" s="348">
        <v>1722</v>
      </c>
      <c r="W160" s="408"/>
      <c r="X160" s="409"/>
      <c r="Y160" s="412"/>
      <c r="Z160" s="413"/>
      <c r="AA160" s="418"/>
      <c r="AB160" s="419"/>
      <c r="AC160" s="418"/>
      <c r="AD160" s="420"/>
      <c r="AE160" s="424"/>
      <c r="AF160" s="395"/>
      <c r="AG160" s="71"/>
      <c r="AH160" s="222"/>
      <c r="AI160" s="274"/>
      <c r="AJ160" s="222"/>
      <c r="AK160" s="274"/>
      <c r="AL160" s="221"/>
      <c r="AM160" s="269"/>
      <c r="AN160" s="408"/>
      <c r="AO160" s="409"/>
      <c r="AP160" s="412"/>
      <c r="AQ160" s="413"/>
      <c r="AR160" s="26"/>
      <c r="AS160" s="27"/>
    </row>
    <row r="161" spans="2:45" s="117" customFormat="1" x14ac:dyDescent="0.2">
      <c r="B161" s="338" t="s">
        <v>85</v>
      </c>
      <c r="C161" s="339" t="s">
        <v>86</v>
      </c>
      <c r="D161" s="340" t="s">
        <v>30</v>
      </c>
      <c r="E161" s="104"/>
      <c r="F161" s="104"/>
      <c r="G161" s="103"/>
      <c r="H161" s="26"/>
      <c r="I161" s="27"/>
      <c r="J161" s="27"/>
      <c r="K161" s="27"/>
      <c r="L161" s="79"/>
      <c r="M161" s="83"/>
      <c r="N161" s="394"/>
      <c r="O161" s="395"/>
      <c r="P161" s="222"/>
      <c r="Q161" s="274"/>
      <c r="R161" s="398">
        <v>5517</v>
      </c>
      <c r="S161" s="399">
        <v>0</v>
      </c>
      <c r="T161" s="221">
        <f t="shared" si="144"/>
        <v>5517</v>
      </c>
      <c r="U161" s="269">
        <f t="shared" si="145"/>
        <v>0</v>
      </c>
      <c r="V161" s="348">
        <v>613</v>
      </c>
      <c r="W161" s="408"/>
      <c r="X161" s="409"/>
      <c r="Y161" s="412"/>
      <c r="Z161" s="413"/>
      <c r="AA161" s="418"/>
      <c r="AB161" s="419"/>
      <c r="AC161" s="418"/>
      <c r="AD161" s="420"/>
      <c r="AE161" s="424"/>
      <c r="AF161" s="395"/>
      <c r="AG161" s="71"/>
      <c r="AH161" s="222"/>
      <c r="AI161" s="274"/>
      <c r="AJ161" s="222"/>
      <c r="AK161" s="274"/>
      <c r="AL161" s="221"/>
      <c r="AM161" s="269"/>
      <c r="AN161" s="408"/>
      <c r="AO161" s="409"/>
      <c r="AP161" s="412"/>
      <c r="AQ161" s="413"/>
      <c r="AR161" s="26"/>
      <c r="AS161" s="27"/>
    </row>
    <row r="162" spans="2:45" s="117" customFormat="1" x14ac:dyDescent="0.2">
      <c r="B162" s="338" t="s">
        <v>85</v>
      </c>
      <c r="C162" s="339" t="s">
        <v>86</v>
      </c>
      <c r="D162" s="340" t="s">
        <v>30</v>
      </c>
      <c r="E162" s="104"/>
      <c r="F162" s="104"/>
      <c r="G162" s="103"/>
      <c r="H162" s="26"/>
      <c r="I162" s="27"/>
      <c r="J162" s="27"/>
      <c r="K162" s="27"/>
      <c r="L162" s="79"/>
      <c r="M162" s="83"/>
      <c r="N162" s="394"/>
      <c r="O162" s="395"/>
      <c r="P162" s="222"/>
      <c r="Q162" s="274"/>
      <c r="R162" s="398">
        <v>3672</v>
      </c>
      <c r="S162" s="399">
        <v>0</v>
      </c>
      <c r="T162" s="221">
        <f t="shared" si="144"/>
        <v>3672</v>
      </c>
      <c r="U162" s="269">
        <f t="shared" si="145"/>
        <v>0</v>
      </c>
      <c r="V162" s="348">
        <v>408</v>
      </c>
      <c r="W162" s="408"/>
      <c r="X162" s="409"/>
      <c r="Y162" s="412"/>
      <c r="Z162" s="413"/>
      <c r="AA162" s="418"/>
      <c r="AB162" s="419"/>
      <c r="AC162" s="418"/>
      <c r="AD162" s="420"/>
      <c r="AE162" s="424"/>
      <c r="AF162" s="395"/>
      <c r="AG162" s="71"/>
      <c r="AH162" s="222"/>
      <c r="AI162" s="274"/>
      <c r="AJ162" s="222"/>
      <c r="AK162" s="274"/>
      <c r="AL162" s="221"/>
      <c r="AM162" s="269"/>
      <c r="AN162" s="408"/>
      <c r="AO162" s="409"/>
      <c r="AP162" s="412"/>
      <c r="AQ162" s="413"/>
      <c r="AR162" s="26"/>
      <c r="AS162" s="27"/>
    </row>
    <row r="163" spans="2:45" s="117" customFormat="1" x14ac:dyDescent="0.2">
      <c r="B163" s="338" t="s">
        <v>83</v>
      </c>
      <c r="C163" s="339" t="s">
        <v>80</v>
      </c>
      <c r="D163" s="340" t="s">
        <v>30</v>
      </c>
      <c r="E163" s="104"/>
      <c r="F163" s="104"/>
      <c r="G163" s="103"/>
      <c r="H163" s="26"/>
      <c r="I163" s="27"/>
      <c r="J163" s="27"/>
      <c r="K163" s="27"/>
      <c r="L163" s="79"/>
      <c r="M163" s="83"/>
      <c r="N163" s="394"/>
      <c r="O163" s="395"/>
      <c r="P163" s="222"/>
      <c r="Q163" s="274"/>
      <c r="R163" s="398">
        <v>96372</v>
      </c>
      <c r="S163" s="399">
        <v>0</v>
      </c>
      <c r="T163" s="221">
        <f t="shared" si="144"/>
        <v>96372</v>
      </c>
      <c r="U163" s="269">
        <f t="shared" si="145"/>
        <v>0</v>
      </c>
      <c r="V163" s="348">
        <v>10708</v>
      </c>
      <c r="W163" s="408"/>
      <c r="X163" s="409"/>
      <c r="Y163" s="412"/>
      <c r="Z163" s="413"/>
      <c r="AA163" s="418"/>
      <c r="AB163" s="419"/>
      <c r="AC163" s="418"/>
      <c r="AD163" s="420"/>
      <c r="AE163" s="424"/>
      <c r="AF163" s="395"/>
      <c r="AG163" s="71"/>
      <c r="AH163" s="222"/>
      <c r="AI163" s="274"/>
      <c r="AJ163" s="222"/>
      <c r="AK163" s="274"/>
      <c r="AL163" s="221"/>
      <c r="AM163" s="269"/>
      <c r="AN163" s="408"/>
      <c r="AO163" s="409"/>
      <c r="AP163" s="412"/>
      <c r="AQ163" s="413"/>
      <c r="AR163" s="26"/>
      <c r="AS163" s="27"/>
    </row>
    <row r="164" spans="2:45" s="117" customFormat="1" x14ac:dyDescent="0.2">
      <c r="B164" s="338" t="s">
        <v>83</v>
      </c>
      <c r="C164" s="339" t="s">
        <v>80</v>
      </c>
      <c r="D164" s="340" t="s">
        <v>30</v>
      </c>
      <c r="E164" s="104"/>
      <c r="F164" s="104"/>
      <c r="G164" s="103"/>
      <c r="H164" s="26"/>
      <c r="I164" s="27"/>
      <c r="J164" s="27"/>
      <c r="K164" s="27"/>
      <c r="L164" s="79"/>
      <c r="M164" s="83"/>
      <c r="N164" s="394"/>
      <c r="O164" s="395"/>
      <c r="P164" s="222"/>
      <c r="Q164" s="274"/>
      <c r="R164" s="398">
        <v>2088</v>
      </c>
      <c r="S164" s="399">
        <v>0</v>
      </c>
      <c r="T164" s="221">
        <f t="shared" si="144"/>
        <v>2088</v>
      </c>
      <c r="U164" s="269">
        <f t="shared" si="145"/>
        <v>0</v>
      </c>
      <c r="V164" s="348">
        <v>232</v>
      </c>
      <c r="W164" s="408"/>
      <c r="X164" s="409"/>
      <c r="Y164" s="412"/>
      <c r="Z164" s="413"/>
      <c r="AA164" s="418"/>
      <c r="AB164" s="419"/>
      <c r="AC164" s="418"/>
      <c r="AD164" s="420"/>
      <c r="AE164" s="424"/>
      <c r="AF164" s="395"/>
      <c r="AG164" s="71"/>
      <c r="AH164" s="222"/>
      <c r="AI164" s="274"/>
      <c r="AJ164" s="222"/>
      <c r="AK164" s="274"/>
      <c r="AL164" s="221"/>
      <c r="AM164" s="269"/>
      <c r="AN164" s="408"/>
      <c r="AO164" s="409"/>
      <c r="AP164" s="412"/>
      <c r="AQ164" s="413"/>
      <c r="AR164" s="26"/>
      <c r="AS164" s="27"/>
    </row>
    <row r="165" spans="2:45" s="117" customFormat="1" x14ac:dyDescent="0.2">
      <c r="B165" s="338" t="s">
        <v>83</v>
      </c>
      <c r="C165" s="339" t="s">
        <v>80</v>
      </c>
      <c r="D165" s="340" t="s">
        <v>30</v>
      </c>
      <c r="E165" s="104"/>
      <c r="F165" s="104"/>
      <c r="G165" s="103"/>
      <c r="H165" s="26"/>
      <c r="I165" s="27"/>
      <c r="J165" s="27"/>
      <c r="K165" s="27"/>
      <c r="L165" s="79"/>
      <c r="M165" s="83"/>
      <c r="N165" s="394"/>
      <c r="O165" s="395"/>
      <c r="P165" s="222"/>
      <c r="Q165" s="274"/>
      <c r="R165" s="398">
        <v>21411</v>
      </c>
      <c r="S165" s="399">
        <v>0</v>
      </c>
      <c r="T165" s="221">
        <f t="shared" si="144"/>
        <v>21411</v>
      </c>
      <c r="U165" s="269">
        <f t="shared" si="145"/>
        <v>0</v>
      </c>
      <c r="V165" s="348">
        <v>2379</v>
      </c>
      <c r="W165" s="408"/>
      <c r="X165" s="409"/>
      <c r="Y165" s="412"/>
      <c r="Z165" s="413"/>
      <c r="AA165" s="418"/>
      <c r="AB165" s="419"/>
      <c r="AC165" s="418"/>
      <c r="AD165" s="420"/>
      <c r="AE165" s="424"/>
      <c r="AF165" s="395"/>
      <c r="AG165" s="71"/>
      <c r="AH165" s="222"/>
      <c r="AI165" s="274"/>
      <c r="AJ165" s="222"/>
      <c r="AK165" s="274"/>
      <c r="AL165" s="221"/>
      <c r="AM165" s="269"/>
      <c r="AN165" s="408"/>
      <c r="AO165" s="409"/>
      <c r="AP165" s="412"/>
      <c r="AQ165" s="413"/>
      <c r="AR165" s="26"/>
      <c r="AS165" s="27"/>
    </row>
    <row r="166" spans="2:45" s="117" customFormat="1" x14ac:dyDescent="0.2">
      <c r="B166" s="338" t="s">
        <v>84</v>
      </c>
      <c r="C166" s="339" t="s">
        <v>80</v>
      </c>
      <c r="D166" s="340" t="s">
        <v>16</v>
      </c>
      <c r="E166" s="104"/>
      <c r="F166" s="104"/>
      <c r="G166" s="103"/>
      <c r="H166" s="26"/>
      <c r="I166" s="27"/>
      <c r="J166" s="27"/>
      <c r="K166" s="27"/>
      <c r="L166" s="79"/>
      <c r="M166" s="83"/>
      <c r="N166" s="394"/>
      <c r="O166" s="395"/>
      <c r="P166" s="222"/>
      <c r="Q166" s="274"/>
      <c r="R166" s="398">
        <v>11394</v>
      </c>
      <c r="S166" s="399">
        <v>0</v>
      </c>
      <c r="T166" s="221">
        <f t="shared" si="144"/>
        <v>11394</v>
      </c>
      <c r="U166" s="269">
        <f t="shared" si="145"/>
        <v>0</v>
      </c>
      <c r="V166" s="348">
        <v>1266</v>
      </c>
      <c r="W166" s="408"/>
      <c r="X166" s="409"/>
      <c r="Y166" s="412"/>
      <c r="Z166" s="413"/>
      <c r="AA166" s="418"/>
      <c r="AB166" s="419"/>
      <c r="AC166" s="418"/>
      <c r="AD166" s="420"/>
      <c r="AE166" s="424"/>
      <c r="AF166" s="395"/>
      <c r="AG166" s="71"/>
      <c r="AH166" s="222"/>
      <c r="AI166" s="274"/>
      <c r="AJ166" s="222"/>
      <c r="AK166" s="274"/>
      <c r="AL166" s="221"/>
      <c r="AM166" s="269"/>
      <c r="AN166" s="408"/>
      <c r="AO166" s="409"/>
      <c r="AP166" s="412"/>
      <c r="AQ166" s="413"/>
      <c r="AR166" s="26"/>
      <c r="AS166" s="27"/>
    </row>
    <row r="167" spans="2:45" s="117" customFormat="1" x14ac:dyDescent="0.2">
      <c r="B167" s="338" t="s">
        <v>80</v>
      </c>
      <c r="C167" s="339" t="s">
        <v>81</v>
      </c>
      <c r="D167" s="340" t="s">
        <v>30</v>
      </c>
      <c r="E167" s="104"/>
      <c r="F167" s="104"/>
      <c r="G167" s="103"/>
      <c r="H167" s="26"/>
      <c r="I167" s="27"/>
      <c r="J167" s="27"/>
      <c r="K167" s="27"/>
      <c r="L167" s="79"/>
      <c r="M167" s="83"/>
      <c r="N167" s="394"/>
      <c r="O167" s="395"/>
      <c r="P167" s="222"/>
      <c r="Q167" s="274"/>
      <c r="R167" s="398">
        <v>283032</v>
      </c>
      <c r="S167" s="399">
        <v>0</v>
      </c>
      <c r="T167" s="221">
        <f t="shared" si="144"/>
        <v>283032</v>
      </c>
      <c r="U167" s="269">
        <f t="shared" si="145"/>
        <v>0</v>
      </c>
      <c r="V167" s="348">
        <v>31448</v>
      </c>
      <c r="W167" s="408"/>
      <c r="X167" s="409"/>
      <c r="Y167" s="412"/>
      <c r="Z167" s="413"/>
      <c r="AA167" s="418"/>
      <c r="AB167" s="419"/>
      <c r="AC167" s="418"/>
      <c r="AD167" s="420"/>
      <c r="AE167" s="424"/>
      <c r="AF167" s="395"/>
      <c r="AG167" s="71"/>
      <c r="AH167" s="222"/>
      <c r="AI167" s="274"/>
      <c r="AJ167" s="222"/>
      <c r="AK167" s="274"/>
      <c r="AL167" s="221"/>
      <c r="AM167" s="269"/>
      <c r="AN167" s="408"/>
      <c r="AO167" s="409"/>
      <c r="AP167" s="412"/>
      <c r="AQ167" s="413"/>
      <c r="AR167" s="26"/>
      <c r="AS167" s="27"/>
    </row>
    <row r="168" spans="2:45" s="117" customFormat="1" x14ac:dyDescent="0.2">
      <c r="B168" s="338" t="s">
        <v>80</v>
      </c>
      <c r="C168" s="339" t="s">
        <v>81</v>
      </c>
      <c r="D168" s="340" t="s">
        <v>30</v>
      </c>
      <c r="E168" s="104"/>
      <c r="F168" s="104"/>
      <c r="G168" s="103"/>
      <c r="H168" s="26"/>
      <c r="I168" s="27"/>
      <c r="J168" s="27"/>
      <c r="K168" s="27"/>
      <c r="L168" s="79"/>
      <c r="M168" s="83"/>
      <c r="N168" s="394"/>
      <c r="O168" s="395"/>
      <c r="P168" s="222"/>
      <c r="Q168" s="274"/>
      <c r="R168" s="398">
        <v>43146</v>
      </c>
      <c r="S168" s="399">
        <v>0</v>
      </c>
      <c r="T168" s="221">
        <f t="shared" si="144"/>
        <v>43146</v>
      </c>
      <c r="U168" s="269">
        <f t="shared" si="145"/>
        <v>0</v>
      </c>
      <c r="V168" s="348">
        <v>4794</v>
      </c>
      <c r="W168" s="408"/>
      <c r="X168" s="409"/>
      <c r="Y168" s="412"/>
      <c r="Z168" s="413"/>
      <c r="AA168" s="418"/>
      <c r="AB168" s="419"/>
      <c r="AC168" s="418"/>
      <c r="AD168" s="420"/>
      <c r="AE168" s="424"/>
      <c r="AF168" s="395"/>
      <c r="AG168" s="71"/>
      <c r="AH168" s="222"/>
      <c r="AI168" s="274"/>
      <c r="AJ168" s="222"/>
      <c r="AK168" s="274"/>
      <c r="AL168" s="221"/>
      <c r="AM168" s="269"/>
      <c r="AN168" s="408"/>
      <c r="AO168" s="409"/>
      <c r="AP168" s="412"/>
      <c r="AQ168" s="413"/>
      <c r="AR168" s="26"/>
      <c r="AS168" s="27"/>
    </row>
    <row r="169" spans="2:45" s="117" customFormat="1" x14ac:dyDescent="0.2">
      <c r="B169" s="338" t="s">
        <v>80</v>
      </c>
      <c r="C169" s="339" t="s">
        <v>81</v>
      </c>
      <c r="D169" s="340" t="s">
        <v>30</v>
      </c>
      <c r="E169" s="104"/>
      <c r="F169" s="104"/>
      <c r="G169" s="103"/>
      <c r="H169" s="26"/>
      <c r="I169" s="27"/>
      <c r="J169" s="27"/>
      <c r="K169" s="27"/>
      <c r="L169" s="79"/>
      <c r="M169" s="83"/>
      <c r="N169" s="394"/>
      <c r="O169" s="395"/>
      <c r="P169" s="222"/>
      <c r="Q169" s="274"/>
      <c r="R169" s="398">
        <v>89703</v>
      </c>
      <c r="S169" s="399">
        <v>0</v>
      </c>
      <c r="T169" s="221">
        <f t="shared" si="144"/>
        <v>89703</v>
      </c>
      <c r="U169" s="269">
        <f t="shared" si="145"/>
        <v>0</v>
      </c>
      <c r="V169" s="348">
        <v>9967</v>
      </c>
      <c r="W169" s="408"/>
      <c r="X169" s="409"/>
      <c r="Y169" s="412"/>
      <c r="Z169" s="413"/>
      <c r="AA169" s="418"/>
      <c r="AB169" s="419"/>
      <c r="AC169" s="418"/>
      <c r="AD169" s="420"/>
      <c r="AE169" s="424"/>
      <c r="AF169" s="395"/>
      <c r="AG169" s="71"/>
      <c r="AH169" s="222"/>
      <c r="AI169" s="274"/>
      <c r="AJ169" s="222"/>
      <c r="AK169" s="274"/>
      <c r="AL169" s="221"/>
      <c r="AM169" s="269"/>
      <c r="AN169" s="408"/>
      <c r="AO169" s="409"/>
      <c r="AP169" s="412"/>
      <c r="AQ169" s="413"/>
      <c r="AR169" s="26"/>
      <c r="AS169" s="27"/>
    </row>
    <row r="170" spans="2:45" s="117" customFormat="1" x14ac:dyDescent="0.2">
      <c r="B170" s="338" t="s">
        <v>81</v>
      </c>
      <c r="C170" s="339" t="s">
        <v>82</v>
      </c>
      <c r="D170" s="340" t="s">
        <v>30</v>
      </c>
      <c r="E170" s="104"/>
      <c r="F170" s="104"/>
      <c r="G170" s="103"/>
      <c r="H170" s="26"/>
      <c r="I170" s="27"/>
      <c r="J170" s="27"/>
      <c r="K170" s="27"/>
      <c r="L170" s="79"/>
      <c r="M170" s="83"/>
      <c r="N170" s="394"/>
      <c r="O170" s="395"/>
      <c r="P170" s="222"/>
      <c r="Q170" s="274"/>
      <c r="R170" s="398">
        <v>85122</v>
      </c>
      <c r="S170" s="399">
        <v>0</v>
      </c>
      <c r="T170" s="221">
        <f t="shared" si="144"/>
        <v>85122</v>
      </c>
      <c r="U170" s="269">
        <f t="shared" si="145"/>
        <v>0</v>
      </c>
      <c r="V170" s="348">
        <v>9458</v>
      </c>
      <c r="W170" s="408"/>
      <c r="X170" s="409"/>
      <c r="Y170" s="412"/>
      <c r="Z170" s="413"/>
      <c r="AA170" s="418"/>
      <c r="AB170" s="419"/>
      <c r="AC170" s="418"/>
      <c r="AD170" s="420"/>
      <c r="AE170" s="424"/>
      <c r="AF170" s="395"/>
      <c r="AG170" s="71"/>
      <c r="AH170" s="222"/>
      <c r="AI170" s="274"/>
      <c r="AJ170" s="222"/>
      <c r="AK170" s="274"/>
      <c r="AL170" s="221"/>
      <c r="AM170" s="269"/>
      <c r="AN170" s="408"/>
      <c r="AO170" s="409"/>
      <c r="AP170" s="412"/>
      <c r="AQ170" s="413"/>
      <c r="AR170" s="26"/>
      <c r="AS170" s="27"/>
    </row>
    <row r="171" spans="2:45" s="117" customFormat="1" x14ac:dyDescent="0.2">
      <c r="B171" s="338" t="s">
        <v>81</v>
      </c>
      <c r="C171" s="339" t="s">
        <v>82</v>
      </c>
      <c r="D171" s="340" t="s">
        <v>30</v>
      </c>
      <c r="E171" s="104"/>
      <c r="F171" s="104"/>
      <c r="G171" s="103"/>
      <c r="H171" s="26"/>
      <c r="I171" s="27"/>
      <c r="J171" s="27"/>
      <c r="K171" s="27"/>
      <c r="L171" s="79"/>
      <c r="M171" s="83"/>
      <c r="N171" s="394"/>
      <c r="O171" s="395"/>
      <c r="P171" s="222"/>
      <c r="Q171" s="274"/>
      <c r="R171" s="398">
        <v>13518</v>
      </c>
      <c r="S171" s="399">
        <v>0</v>
      </c>
      <c r="T171" s="221">
        <f t="shared" si="144"/>
        <v>13518</v>
      </c>
      <c r="U171" s="269">
        <f t="shared" si="145"/>
        <v>0</v>
      </c>
      <c r="V171" s="348">
        <v>1502</v>
      </c>
      <c r="W171" s="408"/>
      <c r="X171" s="409"/>
      <c r="Y171" s="412"/>
      <c r="Z171" s="413"/>
      <c r="AA171" s="418"/>
      <c r="AB171" s="419"/>
      <c r="AC171" s="418"/>
      <c r="AD171" s="420"/>
      <c r="AE171" s="424"/>
      <c r="AF171" s="395"/>
      <c r="AG171" s="71"/>
      <c r="AH171" s="222"/>
      <c r="AI171" s="274"/>
      <c r="AJ171" s="222"/>
      <c r="AK171" s="274"/>
      <c r="AL171" s="221"/>
      <c r="AM171" s="269"/>
      <c r="AN171" s="408"/>
      <c r="AO171" s="409"/>
      <c r="AP171" s="412"/>
      <c r="AQ171" s="413"/>
      <c r="AR171" s="26"/>
      <c r="AS171" s="27"/>
    </row>
    <row r="172" spans="2:45" s="117" customFormat="1" x14ac:dyDescent="0.2">
      <c r="B172" s="338" t="s">
        <v>81</v>
      </c>
      <c r="C172" s="339" t="s">
        <v>82</v>
      </c>
      <c r="D172" s="340" t="s">
        <v>30</v>
      </c>
      <c r="E172" s="104"/>
      <c r="F172" s="104"/>
      <c r="G172" s="103"/>
      <c r="H172" s="26"/>
      <c r="I172" s="27"/>
      <c r="J172" s="27"/>
      <c r="K172" s="27"/>
      <c r="L172" s="79"/>
      <c r="M172" s="83"/>
      <c r="N172" s="394"/>
      <c r="O172" s="395"/>
      <c r="P172" s="222"/>
      <c r="Q172" s="274"/>
      <c r="R172" s="398">
        <v>36288</v>
      </c>
      <c r="S172" s="399">
        <v>0</v>
      </c>
      <c r="T172" s="221">
        <f t="shared" si="144"/>
        <v>36288</v>
      </c>
      <c r="U172" s="269">
        <f t="shared" si="145"/>
        <v>0</v>
      </c>
      <c r="V172" s="348">
        <v>4032</v>
      </c>
      <c r="W172" s="408"/>
      <c r="X172" s="409"/>
      <c r="Y172" s="412"/>
      <c r="Z172" s="413"/>
      <c r="AA172" s="418"/>
      <c r="AB172" s="419"/>
      <c r="AC172" s="418"/>
      <c r="AD172" s="420"/>
      <c r="AE172" s="424"/>
      <c r="AF172" s="395"/>
      <c r="AG172" s="71"/>
      <c r="AH172" s="222"/>
      <c r="AI172" s="274"/>
      <c r="AJ172" s="222"/>
      <c r="AK172" s="274"/>
      <c r="AL172" s="221"/>
      <c r="AM172" s="269"/>
      <c r="AN172" s="408"/>
      <c r="AO172" s="409"/>
      <c r="AP172" s="412"/>
      <c r="AQ172" s="413"/>
      <c r="AR172" s="26"/>
      <c r="AS172" s="27"/>
    </row>
    <row r="173" spans="2:45" s="117" customFormat="1" x14ac:dyDescent="0.2">
      <c r="B173" s="338" t="s">
        <v>82</v>
      </c>
      <c r="C173" s="339" t="s">
        <v>53</v>
      </c>
      <c r="D173" s="340" t="s">
        <v>30</v>
      </c>
      <c r="E173" s="104"/>
      <c r="F173" s="104"/>
      <c r="G173" s="103"/>
      <c r="H173" s="26"/>
      <c r="I173" s="27"/>
      <c r="J173" s="27"/>
      <c r="K173" s="27"/>
      <c r="L173" s="79"/>
      <c r="M173" s="83"/>
      <c r="N173" s="394"/>
      <c r="O173" s="395"/>
      <c r="P173" s="222"/>
      <c r="Q173" s="274"/>
      <c r="R173" s="398">
        <v>64377</v>
      </c>
      <c r="S173" s="399">
        <v>0</v>
      </c>
      <c r="T173" s="221">
        <f t="shared" si="144"/>
        <v>64377</v>
      </c>
      <c r="U173" s="269">
        <f t="shared" si="145"/>
        <v>0</v>
      </c>
      <c r="V173" s="348">
        <v>7153</v>
      </c>
      <c r="W173" s="408"/>
      <c r="X173" s="409"/>
      <c r="Y173" s="412"/>
      <c r="Z173" s="413"/>
      <c r="AA173" s="418"/>
      <c r="AB173" s="419"/>
      <c r="AC173" s="418"/>
      <c r="AD173" s="420"/>
      <c r="AE173" s="424"/>
      <c r="AF173" s="395"/>
      <c r="AG173" s="71"/>
      <c r="AH173" s="222"/>
      <c r="AI173" s="274"/>
      <c r="AJ173" s="222"/>
      <c r="AK173" s="274"/>
      <c r="AL173" s="221"/>
      <c r="AM173" s="269"/>
      <c r="AN173" s="408"/>
      <c r="AO173" s="409"/>
      <c r="AP173" s="412"/>
      <c r="AQ173" s="413"/>
      <c r="AR173" s="26"/>
      <c r="AS173" s="27"/>
    </row>
    <row r="174" spans="2:45" s="117" customFormat="1" x14ac:dyDescent="0.2">
      <c r="B174" s="338" t="s">
        <v>82</v>
      </c>
      <c r="C174" s="339" t="s">
        <v>53</v>
      </c>
      <c r="D174" s="340" t="s">
        <v>30</v>
      </c>
      <c r="E174" s="104"/>
      <c r="F174" s="104"/>
      <c r="G174" s="103"/>
      <c r="H174" s="26"/>
      <c r="I174" s="27"/>
      <c r="J174" s="27"/>
      <c r="K174" s="27"/>
      <c r="L174" s="79"/>
      <c r="M174" s="83"/>
      <c r="N174" s="394"/>
      <c r="O174" s="395"/>
      <c r="P174" s="222"/>
      <c r="Q174" s="274"/>
      <c r="R174" s="398">
        <v>10179</v>
      </c>
      <c r="S174" s="399">
        <v>0</v>
      </c>
      <c r="T174" s="221">
        <f t="shared" si="144"/>
        <v>10179</v>
      </c>
      <c r="U174" s="269">
        <f t="shared" si="145"/>
        <v>0</v>
      </c>
      <c r="V174" s="348">
        <v>1131</v>
      </c>
      <c r="W174" s="408"/>
      <c r="X174" s="409"/>
      <c r="Y174" s="412"/>
      <c r="Z174" s="413"/>
      <c r="AA174" s="418"/>
      <c r="AB174" s="419"/>
      <c r="AC174" s="418"/>
      <c r="AD174" s="420"/>
      <c r="AE174" s="424"/>
      <c r="AF174" s="395"/>
      <c r="AG174" s="71"/>
      <c r="AH174" s="222"/>
      <c r="AI174" s="274"/>
      <c r="AJ174" s="222"/>
      <c r="AK174" s="274"/>
      <c r="AL174" s="221"/>
      <c r="AM174" s="269"/>
      <c r="AN174" s="408"/>
      <c r="AO174" s="409"/>
      <c r="AP174" s="412"/>
      <c r="AQ174" s="413"/>
      <c r="AR174" s="26"/>
      <c r="AS174" s="27"/>
    </row>
    <row r="175" spans="2:45" s="117" customFormat="1" x14ac:dyDescent="0.2">
      <c r="B175" s="338" t="s">
        <v>82</v>
      </c>
      <c r="C175" s="339" t="s">
        <v>53</v>
      </c>
      <c r="D175" s="343" t="s">
        <v>30</v>
      </c>
      <c r="E175" s="104"/>
      <c r="F175" s="104"/>
      <c r="G175" s="103"/>
      <c r="H175" s="26"/>
      <c r="I175" s="27"/>
      <c r="J175" s="27"/>
      <c r="K175" s="27"/>
      <c r="L175" s="79"/>
      <c r="M175" s="83"/>
      <c r="N175" s="394"/>
      <c r="O175" s="395"/>
      <c r="P175" s="222"/>
      <c r="Q175" s="274"/>
      <c r="R175" s="398">
        <v>27468</v>
      </c>
      <c r="S175" s="399">
        <v>0</v>
      </c>
      <c r="T175" s="221">
        <f t="shared" si="144"/>
        <v>27468</v>
      </c>
      <c r="U175" s="269">
        <f t="shared" si="145"/>
        <v>0</v>
      </c>
      <c r="V175" s="348">
        <v>3052</v>
      </c>
      <c r="W175" s="408"/>
      <c r="X175" s="409"/>
      <c r="Y175" s="412"/>
      <c r="Z175" s="413"/>
      <c r="AA175" s="418"/>
      <c r="AB175" s="419"/>
      <c r="AC175" s="418"/>
      <c r="AD175" s="420"/>
      <c r="AE175" s="424"/>
      <c r="AF175" s="395"/>
      <c r="AG175" s="71"/>
      <c r="AH175" s="222"/>
      <c r="AI175" s="274"/>
      <c r="AJ175" s="222"/>
      <c r="AK175" s="274"/>
      <c r="AL175" s="221"/>
      <c r="AM175" s="269"/>
      <c r="AN175" s="408"/>
      <c r="AO175" s="409"/>
      <c r="AP175" s="412"/>
      <c r="AQ175" s="413"/>
      <c r="AR175" s="26"/>
      <c r="AS175" s="27"/>
    </row>
    <row r="176" spans="2:45" s="117" customFormat="1" ht="13.5" thickBot="1" x14ac:dyDescent="0.25">
      <c r="B176" s="257"/>
      <c r="C176" s="197"/>
      <c r="D176" s="238"/>
      <c r="E176" s="32"/>
      <c r="F176" s="32"/>
      <c r="G176" s="32"/>
      <c r="H176" s="26"/>
      <c r="I176" s="27"/>
      <c r="J176" s="27"/>
      <c r="K176" s="27"/>
      <c r="L176" s="27"/>
      <c r="M176" s="83"/>
      <c r="N176" s="390"/>
      <c r="O176" s="391"/>
      <c r="P176" s="396"/>
      <c r="Q176" s="397"/>
      <c r="R176" s="223"/>
      <c r="S176" s="280"/>
      <c r="T176" s="223"/>
      <c r="U176" s="280"/>
      <c r="V176" s="123"/>
      <c r="W176" s="221"/>
      <c r="X176" s="269"/>
      <c r="Y176" s="402"/>
      <c r="Z176" s="403"/>
      <c r="AA176" s="402"/>
      <c r="AB176" s="403"/>
      <c r="AC176" s="402"/>
      <c r="AD176" s="403"/>
      <c r="AE176" s="402"/>
      <c r="AF176" s="403"/>
      <c r="AG176" s="70"/>
      <c r="AH176" s="425"/>
      <c r="AI176" s="426"/>
      <c r="AJ176" s="424"/>
      <c r="AK176" s="429"/>
      <c r="AL176" s="402"/>
      <c r="AM176" s="403"/>
      <c r="AN176" s="424"/>
      <c r="AO176" s="429"/>
      <c r="AP176" s="424"/>
      <c r="AQ176" s="430"/>
      <c r="AR176" s="470"/>
      <c r="AS176" s="19"/>
    </row>
    <row r="177" spans="1:61" s="81" customFormat="1" ht="12.75" customHeight="1" x14ac:dyDescent="0.2">
      <c r="B177" s="573" t="s">
        <v>266</v>
      </c>
      <c r="C177" s="574"/>
      <c r="D177" s="579" t="s">
        <v>280</v>
      </c>
      <c r="E177" s="580"/>
      <c r="F177" s="580"/>
      <c r="G177" s="580"/>
      <c r="H177" s="580"/>
      <c r="I177" s="580"/>
      <c r="J177" s="580"/>
      <c r="K177" s="580"/>
      <c r="L177" s="580"/>
      <c r="M177" s="580"/>
      <c r="N177" s="580"/>
      <c r="O177" s="580"/>
      <c r="P177" s="580"/>
      <c r="Q177" s="580"/>
      <c r="R177" s="580"/>
      <c r="S177" s="580"/>
      <c r="T177" s="580"/>
      <c r="U177" s="581"/>
      <c r="V177" s="592">
        <f t="shared" ref="V177:AS177" si="146">ROUNDUP(SUM(V138:V175),0)</f>
        <v>227505</v>
      </c>
      <c r="W177" s="594">
        <f t="shared" si="146"/>
        <v>0</v>
      </c>
      <c r="X177" s="596">
        <f t="shared" si="146"/>
        <v>0</v>
      </c>
      <c r="Y177" s="594">
        <f t="shared" si="146"/>
        <v>0</v>
      </c>
      <c r="Z177" s="596">
        <f t="shared" si="146"/>
        <v>0</v>
      </c>
      <c r="AA177" s="594">
        <f t="shared" si="146"/>
        <v>0</v>
      </c>
      <c r="AB177" s="596">
        <f t="shared" si="146"/>
        <v>0</v>
      </c>
      <c r="AC177" s="594">
        <f t="shared" si="146"/>
        <v>0</v>
      </c>
      <c r="AD177" s="596">
        <f t="shared" si="146"/>
        <v>0</v>
      </c>
      <c r="AE177" s="594">
        <f t="shared" si="146"/>
        <v>0</v>
      </c>
      <c r="AF177" s="596">
        <f t="shared" si="146"/>
        <v>0</v>
      </c>
      <c r="AG177" s="592">
        <f t="shared" si="146"/>
        <v>207</v>
      </c>
      <c r="AH177" s="594">
        <f t="shared" si="146"/>
        <v>0</v>
      </c>
      <c r="AI177" s="596">
        <f t="shared" si="146"/>
        <v>0</v>
      </c>
      <c r="AJ177" s="594">
        <f t="shared" si="146"/>
        <v>0</v>
      </c>
      <c r="AK177" s="596">
        <f t="shared" si="146"/>
        <v>0</v>
      </c>
      <c r="AL177" s="594">
        <f t="shared" si="146"/>
        <v>1046</v>
      </c>
      <c r="AM177" s="596">
        <f t="shared" si="146"/>
        <v>0</v>
      </c>
      <c r="AN177" s="594">
        <f t="shared" si="146"/>
        <v>1090</v>
      </c>
      <c r="AO177" s="596">
        <f t="shared" si="146"/>
        <v>0</v>
      </c>
      <c r="AP177" s="594">
        <f t="shared" si="146"/>
        <v>0</v>
      </c>
      <c r="AQ177" s="596">
        <f t="shared" si="146"/>
        <v>0</v>
      </c>
      <c r="AR177" s="592">
        <f t="shared" si="146"/>
        <v>0</v>
      </c>
      <c r="AS177" s="592">
        <f t="shared" si="146"/>
        <v>0</v>
      </c>
    </row>
    <row r="178" spans="1:61" s="81" customFormat="1" ht="12.75" customHeight="1" thickBot="1" x14ac:dyDescent="0.25">
      <c r="B178" s="575"/>
      <c r="C178" s="576"/>
      <c r="D178" s="582"/>
      <c r="E178" s="583"/>
      <c r="F178" s="583"/>
      <c r="G178" s="583"/>
      <c r="H178" s="583"/>
      <c r="I178" s="583"/>
      <c r="J178" s="583"/>
      <c r="K178" s="583"/>
      <c r="L178" s="583"/>
      <c r="M178" s="583"/>
      <c r="N178" s="583"/>
      <c r="O178" s="583"/>
      <c r="P178" s="583"/>
      <c r="Q178" s="583"/>
      <c r="R178" s="583"/>
      <c r="S178" s="583"/>
      <c r="T178" s="583"/>
      <c r="U178" s="584"/>
      <c r="V178" s="593"/>
      <c r="W178" s="595"/>
      <c r="X178" s="597"/>
      <c r="Y178" s="595"/>
      <c r="Z178" s="597"/>
      <c r="AA178" s="595"/>
      <c r="AB178" s="597"/>
      <c r="AC178" s="595"/>
      <c r="AD178" s="597"/>
      <c r="AE178" s="595"/>
      <c r="AF178" s="597"/>
      <c r="AG178" s="593"/>
      <c r="AH178" s="595"/>
      <c r="AI178" s="597"/>
      <c r="AJ178" s="595"/>
      <c r="AK178" s="597"/>
      <c r="AL178" s="595"/>
      <c r="AM178" s="597"/>
      <c r="AN178" s="595"/>
      <c r="AO178" s="597"/>
      <c r="AP178" s="595"/>
      <c r="AQ178" s="597"/>
      <c r="AR178" s="593"/>
      <c r="AS178" s="593"/>
    </row>
    <row r="179" spans="1:61" s="20" customFormat="1" ht="12.75" customHeight="1" x14ac:dyDescent="0.2">
      <c r="A179" s="1"/>
      <c r="B179" s="575"/>
      <c r="C179" s="576"/>
      <c r="D179" s="579" t="s">
        <v>281</v>
      </c>
      <c r="E179" s="580"/>
      <c r="F179" s="580"/>
      <c r="G179" s="580"/>
      <c r="H179" s="580"/>
      <c r="I179" s="580"/>
      <c r="J179" s="580"/>
      <c r="K179" s="580"/>
      <c r="L179" s="580"/>
      <c r="M179" s="580"/>
      <c r="N179" s="580"/>
      <c r="O179" s="580"/>
      <c r="P179" s="580"/>
      <c r="Q179" s="580"/>
      <c r="R179" s="580"/>
      <c r="S179" s="580"/>
      <c r="T179" s="580"/>
      <c r="U179" s="581"/>
      <c r="V179" s="592">
        <f t="shared" ref="V179:AS179" si="147">V72+V135</f>
        <v>0</v>
      </c>
      <c r="W179" s="594">
        <f>W72+W135</f>
        <v>38838</v>
      </c>
      <c r="X179" s="596">
        <f t="shared" si="147"/>
        <v>12835</v>
      </c>
      <c r="Y179" s="594">
        <f t="shared" si="147"/>
        <v>140</v>
      </c>
      <c r="Z179" s="596">
        <f t="shared" si="147"/>
        <v>57</v>
      </c>
      <c r="AA179" s="594">
        <f t="shared" si="147"/>
        <v>237987</v>
      </c>
      <c r="AB179" s="596">
        <f t="shared" si="147"/>
        <v>99213</v>
      </c>
      <c r="AC179" s="594">
        <f t="shared" si="147"/>
        <v>237987</v>
      </c>
      <c r="AD179" s="596">
        <f t="shared" si="147"/>
        <v>99213</v>
      </c>
      <c r="AE179" s="594">
        <f t="shared" si="147"/>
        <v>7069</v>
      </c>
      <c r="AF179" s="596">
        <f t="shared" si="147"/>
        <v>2947</v>
      </c>
      <c r="AG179" s="592">
        <f t="shared" si="147"/>
        <v>1529</v>
      </c>
      <c r="AH179" s="594">
        <f t="shared" si="147"/>
        <v>85834</v>
      </c>
      <c r="AI179" s="596">
        <f t="shared" si="147"/>
        <v>35630</v>
      </c>
      <c r="AJ179" s="594">
        <f t="shared" si="147"/>
        <v>46084</v>
      </c>
      <c r="AK179" s="596">
        <f t="shared" si="147"/>
        <v>18716</v>
      </c>
      <c r="AL179" s="594">
        <f t="shared" si="147"/>
        <v>10600</v>
      </c>
      <c r="AM179" s="596">
        <f t="shared" si="147"/>
        <v>4463</v>
      </c>
      <c r="AN179" s="594">
        <f t="shared" si="147"/>
        <v>10701</v>
      </c>
      <c r="AO179" s="596">
        <f t="shared" si="147"/>
        <v>4648</v>
      </c>
      <c r="AP179" s="594">
        <f t="shared" si="147"/>
        <v>12914</v>
      </c>
      <c r="AQ179" s="596">
        <f t="shared" si="147"/>
        <v>5423</v>
      </c>
      <c r="AR179" s="592">
        <f>AR72+AR135</f>
        <v>810</v>
      </c>
      <c r="AS179" s="592">
        <f t="shared" si="147"/>
        <v>108098</v>
      </c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1:61" s="20" customFormat="1" ht="12.75" customHeight="1" thickBot="1" x14ac:dyDescent="0.25">
      <c r="A180" s="1"/>
      <c r="B180" s="575"/>
      <c r="C180" s="576"/>
      <c r="D180" s="582"/>
      <c r="E180" s="583"/>
      <c r="F180" s="583"/>
      <c r="G180" s="583"/>
      <c r="H180" s="583"/>
      <c r="I180" s="583"/>
      <c r="J180" s="583"/>
      <c r="K180" s="583"/>
      <c r="L180" s="583"/>
      <c r="M180" s="583"/>
      <c r="N180" s="583"/>
      <c r="O180" s="583"/>
      <c r="P180" s="583"/>
      <c r="Q180" s="583"/>
      <c r="R180" s="583"/>
      <c r="S180" s="583"/>
      <c r="T180" s="583"/>
      <c r="U180" s="584"/>
      <c r="V180" s="593"/>
      <c r="W180" s="595"/>
      <c r="X180" s="597"/>
      <c r="Y180" s="595"/>
      <c r="Z180" s="597"/>
      <c r="AA180" s="595"/>
      <c r="AB180" s="597"/>
      <c r="AC180" s="595"/>
      <c r="AD180" s="597"/>
      <c r="AE180" s="595"/>
      <c r="AF180" s="597"/>
      <c r="AG180" s="593"/>
      <c r="AH180" s="595"/>
      <c r="AI180" s="597"/>
      <c r="AJ180" s="595"/>
      <c r="AK180" s="597"/>
      <c r="AL180" s="595"/>
      <c r="AM180" s="597"/>
      <c r="AN180" s="595"/>
      <c r="AO180" s="597"/>
      <c r="AP180" s="595"/>
      <c r="AQ180" s="597"/>
      <c r="AR180" s="593"/>
      <c r="AS180" s="593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 x14ac:dyDescent="0.2">
      <c r="A181" s="20"/>
      <c r="B181" s="575"/>
      <c r="C181" s="576"/>
      <c r="D181" s="585" t="s">
        <v>282</v>
      </c>
      <c r="E181" s="586"/>
      <c r="F181" s="586"/>
      <c r="G181" s="586"/>
      <c r="H181" s="586"/>
      <c r="I181" s="586"/>
      <c r="J181" s="586"/>
      <c r="K181" s="586"/>
      <c r="L181" s="586"/>
      <c r="M181" s="586"/>
      <c r="N181" s="586"/>
      <c r="O181" s="586"/>
      <c r="P181" s="586"/>
      <c r="Q181" s="586"/>
      <c r="R181" s="586"/>
      <c r="S181" s="586"/>
      <c r="T181" s="586"/>
      <c r="U181" s="587"/>
      <c r="V181" s="592">
        <f>V177+V179</f>
        <v>227505</v>
      </c>
      <c r="W181" s="604">
        <f>W179+X179+W177+X177</f>
        <v>51673</v>
      </c>
      <c r="X181" s="605"/>
      <c r="Y181" s="604">
        <f>Y179+Z179+Y177+Z177</f>
        <v>197</v>
      </c>
      <c r="Z181" s="605"/>
      <c r="AA181" s="604">
        <f>AA179+AB179+AA177+AB177</f>
        <v>337200</v>
      </c>
      <c r="AB181" s="605"/>
      <c r="AC181" s="604">
        <f>AC179+AD179+AC177+AD177</f>
        <v>337200</v>
      </c>
      <c r="AD181" s="605"/>
      <c r="AE181" s="604">
        <f>AE179+AF179+AE177+AF177</f>
        <v>10016</v>
      </c>
      <c r="AF181" s="605"/>
      <c r="AG181" s="592">
        <f>AG179+AG177</f>
        <v>1736</v>
      </c>
      <c r="AH181" s="604">
        <f>AH179+AI179+AH177+AI177</f>
        <v>121464</v>
      </c>
      <c r="AI181" s="605"/>
      <c r="AJ181" s="604">
        <f>AJ179+AK179+AJ177+AK177</f>
        <v>64800</v>
      </c>
      <c r="AK181" s="605"/>
      <c r="AL181" s="604">
        <f>AL179+AM179+AL177+AM177</f>
        <v>16109</v>
      </c>
      <c r="AM181" s="605"/>
      <c r="AN181" s="604">
        <f>AN179+AO179+AN177+AO177</f>
        <v>16439</v>
      </c>
      <c r="AO181" s="605"/>
      <c r="AP181" s="604">
        <f>AP179+AQ179+AP177+AQ177</f>
        <v>18337</v>
      </c>
      <c r="AQ181" s="605"/>
      <c r="AR181" s="592">
        <f>AR179+AR177</f>
        <v>810</v>
      </c>
      <c r="AS181" s="592">
        <f>AS179+AS177</f>
        <v>108098</v>
      </c>
    </row>
    <row r="182" spans="1:61" ht="13.5" thickBot="1" x14ac:dyDescent="0.25">
      <c r="A182" s="20"/>
      <c r="B182" s="577"/>
      <c r="C182" s="578"/>
      <c r="D182" s="588"/>
      <c r="E182" s="589"/>
      <c r="F182" s="589"/>
      <c r="G182" s="589"/>
      <c r="H182" s="589"/>
      <c r="I182" s="589"/>
      <c r="J182" s="589"/>
      <c r="K182" s="589"/>
      <c r="L182" s="589"/>
      <c r="M182" s="589"/>
      <c r="N182" s="589"/>
      <c r="O182" s="589"/>
      <c r="P182" s="589"/>
      <c r="Q182" s="589"/>
      <c r="R182" s="589"/>
      <c r="S182" s="589"/>
      <c r="T182" s="589"/>
      <c r="U182" s="590"/>
      <c r="V182" s="593"/>
      <c r="W182" s="606"/>
      <c r="X182" s="607"/>
      <c r="Y182" s="606"/>
      <c r="Z182" s="607"/>
      <c r="AA182" s="606"/>
      <c r="AB182" s="607"/>
      <c r="AC182" s="606"/>
      <c r="AD182" s="607"/>
      <c r="AE182" s="606"/>
      <c r="AF182" s="607"/>
      <c r="AG182" s="593"/>
      <c r="AH182" s="606"/>
      <c r="AI182" s="607"/>
      <c r="AJ182" s="606"/>
      <c r="AK182" s="607"/>
      <c r="AL182" s="606"/>
      <c r="AM182" s="607"/>
      <c r="AN182" s="606"/>
      <c r="AO182" s="607"/>
      <c r="AP182" s="606"/>
      <c r="AQ182" s="607"/>
      <c r="AR182" s="593"/>
      <c r="AS182" s="593"/>
    </row>
    <row r="183" spans="1:61" x14ac:dyDescent="0.2">
      <c r="C183" s="22"/>
    </row>
    <row r="184" spans="1:61" ht="15" x14ac:dyDescent="0.25">
      <c r="C184" s="22"/>
      <c r="S184" s="190" t="s">
        <v>183</v>
      </c>
      <c r="T184" s="183">
        <f>SUM(T18:T132)</f>
        <v>2391987</v>
      </c>
      <c r="U184" s="184">
        <f>SUM(U18:U132)</f>
        <v>1010621</v>
      </c>
      <c r="V184" s="179" t="s">
        <v>184</v>
      </c>
      <c r="AL184" s="1"/>
      <c r="AM184" s="1"/>
      <c r="AP184" s="181">
        <f>AP179/$AP$181</f>
        <v>0.70425914817036595</v>
      </c>
      <c r="AQ184" s="181">
        <f>AQ179/$AP$181</f>
        <v>0.29574085182963405</v>
      </c>
      <c r="AR184" s="181"/>
    </row>
    <row r="185" spans="1:61" ht="15" x14ac:dyDescent="0.25">
      <c r="S185" s="182"/>
      <c r="T185" s="603">
        <f>SUM(T18:U132)</f>
        <v>3402608</v>
      </c>
      <c r="U185" s="603"/>
      <c r="V185" s="179" t="s">
        <v>181</v>
      </c>
    </row>
  </sheetData>
  <customSheetViews>
    <customSheetView guid="{221143F3-72E3-4C4A-9811-2F859DD19779}" scale="75" showPageBreaks="1" printArea="1" hiddenColumns="1" view="pageBreakPreview">
      <pane xSplit="4" ySplit="14" topLeftCell="M105" activePane="bottomRight" state="frozen"/>
      <selection pane="bottomRight" activeCell="AA137" sqref="AA137:AF140"/>
      <rowBreaks count="1" manualBreakCount="1">
        <brk id="69" min="1" max="42" man="1"/>
      </rowBreaks>
      <pageMargins left="0.73" right="0.25" top="0.66" bottom="0.4" header="0.65" footer="0.25"/>
      <printOptions horizontalCentered="1" verticalCentered="1"/>
      <pageSetup paperSize="17" scale="55" orientation="landscape" r:id="rId1"/>
      <headerFooter alignWithMargins="0">
        <oddFooter>&amp;L&amp;D&amp;R&amp;F, &amp;A</oddFooter>
      </headerFooter>
    </customSheetView>
  </customSheetViews>
  <mergeCells count="220">
    <mergeCell ref="BF15:BH15"/>
    <mergeCell ref="AZ12:BB12"/>
    <mergeCell ref="AW13:AY13"/>
    <mergeCell ref="BC13:BE13"/>
    <mergeCell ref="BF16:BH16"/>
    <mergeCell ref="AF177:AF178"/>
    <mergeCell ref="B2:C2"/>
    <mergeCell ref="B3:C3"/>
    <mergeCell ref="B4:C4"/>
    <mergeCell ref="B143:C143"/>
    <mergeCell ref="AW10:AY10"/>
    <mergeCell ref="AZ10:BB10"/>
    <mergeCell ref="BC10:BE10"/>
    <mergeCell ref="X177:X178"/>
    <mergeCell ref="Y177:Y178"/>
    <mergeCell ref="Z177:Z178"/>
    <mergeCell ref="AA177:AA178"/>
    <mergeCell ref="AB177:AB178"/>
    <mergeCell ref="AC177:AC178"/>
    <mergeCell ref="AD177:AD178"/>
    <mergeCell ref="J16:J17"/>
    <mergeCell ref="K16:K17"/>
    <mergeCell ref="L16:L17"/>
    <mergeCell ref="M16:M17"/>
    <mergeCell ref="BF10:BH10"/>
    <mergeCell ref="AW11:AY11"/>
    <mergeCell ref="AZ11:BB11"/>
    <mergeCell ref="BC11:BE11"/>
    <mergeCell ref="BF11:BH11"/>
    <mergeCell ref="AW14:AY14"/>
    <mergeCell ref="AZ13:BB13"/>
    <mergeCell ref="AZ14:BB14"/>
    <mergeCell ref="BC14:BE14"/>
    <mergeCell ref="BF12:BH12"/>
    <mergeCell ref="BF13:BH13"/>
    <mergeCell ref="BF14:BH14"/>
    <mergeCell ref="AW12:AY12"/>
    <mergeCell ref="AE181:AF182"/>
    <mergeCell ref="AH181:AI182"/>
    <mergeCell ref="X179:X180"/>
    <mergeCell ref="Z179:Z180"/>
    <mergeCell ref="AN181:AO182"/>
    <mergeCell ref="AP181:AQ182"/>
    <mergeCell ref="AK135:AK136"/>
    <mergeCell ref="AL135:AL136"/>
    <mergeCell ref="AM135:AM136"/>
    <mergeCell ref="AI177:AI178"/>
    <mergeCell ref="AJ177:AJ178"/>
    <mergeCell ref="AK177:AK178"/>
    <mergeCell ref="AL177:AL178"/>
    <mergeCell ref="AG181:AG182"/>
    <mergeCell ref="AP179:AP180"/>
    <mergeCell ref="AG179:AG180"/>
    <mergeCell ref="AL179:AL180"/>
    <mergeCell ref="AJ179:AJ180"/>
    <mergeCell ref="AN177:AN178"/>
    <mergeCell ref="AO177:AO178"/>
    <mergeCell ref="AP177:AP178"/>
    <mergeCell ref="AE177:AE178"/>
    <mergeCell ref="W181:X182"/>
    <mergeCell ref="Y181:Z182"/>
    <mergeCell ref="AS181:AS182"/>
    <mergeCell ref="AW16:AY16"/>
    <mergeCell ref="AN135:AN136"/>
    <mergeCell ref="AO135:AO136"/>
    <mergeCell ref="AP135:AP136"/>
    <mergeCell ref="AQ135:AQ136"/>
    <mergeCell ref="AS135:AS136"/>
    <mergeCell ref="AG177:AG178"/>
    <mergeCell ref="AH177:AH178"/>
    <mergeCell ref="AJ181:AK182"/>
    <mergeCell ref="AM177:AM178"/>
    <mergeCell ref="AH179:AH180"/>
    <mergeCell ref="AK179:AK180"/>
    <mergeCell ref="AI135:AI136"/>
    <mergeCell ref="AJ135:AJ136"/>
    <mergeCell ref="AH135:AH136"/>
    <mergeCell ref="AR179:AR180"/>
    <mergeCell ref="AR181:AR182"/>
    <mergeCell ref="AZ15:BB15"/>
    <mergeCell ref="BC15:BE15"/>
    <mergeCell ref="AW15:AY15"/>
    <mergeCell ref="AS179:AS180"/>
    <mergeCell ref="AQ179:AQ180"/>
    <mergeCell ref="AM179:AM180"/>
    <mergeCell ref="AO179:AO180"/>
    <mergeCell ref="AZ16:BB16"/>
    <mergeCell ref="BC16:BE16"/>
    <mergeCell ref="AL16:AM16"/>
    <mergeCell ref="AS6:AS15"/>
    <mergeCell ref="AN179:AN180"/>
    <mergeCell ref="AN6:AO15"/>
    <mergeCell ref="AN16:AO16"/>
    <mergeCell ref="AP6:AQ15"/>
    <mergeCell ref="AU9:BH9"/>
    <mergeCell ref="AU10:AU11"/>
    <mergeCell ref="AV10:AV11"/>
    <mergeCell ref="AQ177:AQ178"/>
    <mergeCell ref="AS177:AS178"/>
    <mergeCell ref="AR6:AR15"/>
    <mergeCell ref="AR72:AR73"/>
    <mergeCell ref="AR135:AR136"/>
    <mergeCell ref="AR177:AR178"/>
    <mergeCell ref="H5:H15"/>
    <mergeCell ref="B137:C137"/>
    <mergeCell ref="B16:B17"/>
    <mergeCell ref="C16:C17"/>
    <mergeCell ref="D5:D17"/>
    <mergeCell ref="N16:O16"/>
    <mergeCell ref="N5:O15"/>
    <mergeCell ref="R16:S16"/>
    <mergeCell ref="T16:U16"/>
    <mergeCell ref="B72:C73"/>
    <mergeCell ref="D72:U73"/>
    <mergeCell ref="B135:C136"/>
    <mergeCell ref="D135:U136"/>
    <mergeCell ref="B74:C74"/>
    <mergeCell ref="B5:C15"/>
    <mergeCell ref="B18:C18"/>
    <mergeCell ref="M5:M15"/>
    <mergeCell ref="J5:J15"/>
    <mergeCell ref="I5:I15"/>
    <mergeCell ref="E5:E17"/>
    <mergeCell ref="F5:F17"/>
    <mergeCell ref="G5:G17"/>
    <mergeCell ref="H16:H17"/>
    <mergeCell ref="I16:I17"/>
    <mergeCell ref="K5:K15"/>
    <mergeCell ref="AA179:AA180"/>
    <mergeCell ref="AC179:AC180"/>
    <mergeCell ref="W177:W178"/>
    <mergeCell ref="W179:W180"/>
    <mergeCell ref="V179:V180"/>
    <mergeCell ref="V181:V182"/>
    <mergeCell ref="AA181:AB182"/>
    <mergeCell ref="AC181:AD182"/>
    <mergeCell ref="Y135:Y136"/>
    <mergeCell ref="Z135:Z136"/>
    <mergeCell ref="AA135:AA136"/>
    <mergeCell ref="AB135:AB136"/>
    <mergeCell ref="AC135:AC136"/>
    <mergeCell ref="AD135:AD136"/>
    <mergeCell ref="Y179:Y180"/>
    <mergeCell ref="AE179:AE180"/>
    <mergeCell ref="AG6:AG15"/>
    <mergeCell ref="P16:Q16"/>
    <mergeCell ref="P5:Q15"/>
    <mergeCell ref="R5:S15"/>
    <mergeCell ref="T5:U15"/>
    <mergeCell ref="L5:L15"/>
    <mergeCell ref="AE135:AE136"/>
    <mergeCell ref="AF135:AF136"/>
    <mergeCell ref="V6:V15"/>
    <mergeCell ref="V177:V178"/>
    <mergeCell ref="W5:Z5"/>
    <mergeCell ref="AG135:AG136"/>
    <mergeCell ref="W6:X15"/>
    <mergeCell ref="W16:X16"/>
    <mergeCell ref="AC1:AD1"/>
    <mergeCell ref="AH5:AI5"/>
    <mergeCell ref="AH6:AI15"/>
    <mergeCell ref="AH16:AI16"/>
    <mergeCell ref="AH1:AI1"/>
    <mergeCell ref="AJ5:AK5"/>
    <mergeCell ref="AJ6:AK15"/>
    <mergeCell ref="AJ16:AK16"/>
    <mergeCell ref="AJ1:AK1"/>
    <mergeCell ref="AC6:AD15"/>
    <mergeCell ref="AC16:AD16"/>
    <mergeCell ref="AE6:AF15"/>
    <mergeCell ref="AE16:AF16"/>
    <mergeCell ref="AA5:AF5"/>
    <mergeCell ref="AN5:AQ5"/>
    <mergeCell ref="AP16:AQ16"/>
    <mergeCell ref="BC12:BE12"/>
    <mergeCell ref="T185:U185"/>
    <mergeCell ref="AL181:AM182"/>
    <mergeCell ref="AB179:AB180"/>
    <mergeCell ref="AD179:AD180"/>
    <mergeCell ref="AF179:AF180"/>
    <mergeCell ref="AI179:AI180"/>
    <mergeCell ref="AM72:AM73"/>
    <mergeCell ref="AN72:AN73"/>
    <mergeCell ref="AO72:AO73"/>
    <mergeCell ref="AP72:AP73"/>
    <mergeCell ref="AQ72:AQ73"/>
    <mergeCell ref="AS72:AS73"/>
    <mergeCell ref="V135:V136"/>
    <mergeCell ref="W135:W136"/>
    <mergeCell ref="X135:X136"/>
    <mergeCell ref="AL6:AM15"/>
    <mergeCell ref="AL5:AM5"/>
    <mergeCell ref="Y6:Z15"/>
    <mergeCell ref="Y16:Z16"/>
    <mergeCell ref="AA6:AB15"/>
    <mergeCell ref="AA16:AB16"/>
    <mergeCell ref="B177:C182"/>
    <mergeCell ref="D177:U178"/>
    <mergeCell ref="D179:U180"/>
    <mergeCell ref="D181:U182"/>
    <mergeCell ref="AL1:AM1"/>
    <mergeCell ref="AN1:AO1"/>
    <mergeCell ref="AP1:AQ1"/>
    <mergeCell ref="V72:V73"/>
    <mergeCell ref="W72:W73"/>
    <mergeCell ref="X72:X73"/>
    <mergeCell ref="Y72:Y73"/>
    <mergeCell ref="Z72:Z73"/>
    <mergeCell ref="AA72:AA73"/>
    <mergeCell ref="AB72:AB73"/>
    <mergeCell ref="AC72:AC73"/>
    <mergeCell ref="AD72:AD73"/>
    <mergeCell ref="AE72:AE73"/>
    <mergeCell ref="AF72:AF73"/>
    <mergeCell ref="AG72:AG73"/>
    <mergeCell ref="AH72:AH73"/>
    <mergeCell ref="AI72:AI73"/>
    <mergeCell ref="AJ72:AJ73"/>
    <mergeCell ref="AK72:AK73"/>
    <mergeCell ref="AL72:AL73"/>
  </mergeCells>
  <phoneticPr fontId="0" type="noConversion"/>
  <dataValidations count="1">
    <dataValidation type="list" allowBlank="1" showInputMessage="1" showErrorMessage="1" sqref="E138:F141 E19:F71 E75:F133">
      <formula1>$AU$2:$AU$6</formula1>
    </dataValidation>
  </dataValidations>
  <printOptions horizontalCentered="1" verticalCentered="1"/>
  <pageMargins left="0.73" right="0.25" top="0.66" bottom="0.4" header="0.65" footer="0.25"/>
  <pageSetup paperSize="17" scale="52" orientation="landscape" r:id="rId2"/>
  <headerFooter scaleWithDoc="0" alignWithMargins="0">
    <oddHeader>&amp;LHAN-75-14.39</oddHeader>
    <oddFooter>&amp;R&amp;A</oddFooter>
  </headerFooter>
  <rowBreaks count="2" manualBreakCount="2">
    <brk id="73" min="1" max="43" man="1"/>
    <brk id="136" min="1" max="4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54"/>
  <sheetViews>
    <sheetView view="pageBreakPreview" zoomScaleNormal="80" zoomScaleSheetLayoutView="100" workbookViewId="0">
      <pane ySplit="16" topLeftCell="A17" activePane="bottomLeft" state="frozen"/>
      <selection pane="bottomLeft" activeCell="E1" sqref="E1:L1048576"/>
    </sheetView>
  </sheetViews>
  <sheetFormatPr defaultRowHeight="12.75" x14ac:dyDescent="0.2"/>
  <cols>
    <col min="1" max="1" width="10.42578125" style="1" bestFit="1" customWidth="1"/>
    <col min="2" max="3" width="17.7109375" style="21" customWidth="1"/>
    <col min="4" max="4" width="8.5703125" style="1" customWidth="1"/>
    <col min="5" max="7" width="9.7109375" style="1" hidden="1" customWidth="1"/>
    <col min="8" max="12" width="8.5703125" style="1" hidden="1" customWidth="1"/>
    <col min="13" max="14" width="9.28515625" style="8" customWidth="1"/>
    <col min="15" max="15" width="10.7109375" style="20" customWidth="1"/>
    <col min="16" max="16" width="10" style="20" customWidth="1"/>
    <col min="17" max="17" width="12.42578125" style="20" customWidth="1"/>
    <col min="18" max="18" width="10.7109375" style="94" customWidth="1"/>
    <col min="19" max="21" width="9.28515625" style="11" customWidth="1"/>
    <col min="22" max="23" width="9.28515625" style="13" customWidth="1"/>
    <col min="24" max="27" width="9.28515625" style="8" customWidth="1"/>
    <col min="28" max="28" width="9.7109375" style="8" customWidth="1"/>
    <col min="29" max="29" width="9.28515625" style="8" customWidth="1"/>
    <col min="30" max="30" width="9.140625" style="15"/>
    <col min="31" max="32" width="9.140625" style="90"/>
    <col min="33" max="33" width="11.85546875" style="90" bestFit="1" customWidth="1"/>
    <col min="34" max="34" width="9.7109375" style="90" customWidth="1"/>
    <col min="35" max="47" width="9.7109375" style="1" customWidth="1"/>
    <col min="48" max="16384" width="9.140625" style="1"/>
  </cols>
  <sheetData>
    <row r="1" spans="2:56" s="15" customFormat="1" ht="13.5" thickBot="1" x14ac:dyDescent="0.25">
      <c r="B1" s="23"/>
      <c r="C1" s="23"/>
      <c r="M1" s="11"/>
      <c r="N1" s="11"/>
      <c r="O1" s="43"/>
      <c r="P1" s="43"/>
      <c r="Q1" s="43"/>
      <c r="R1" s="105"/>
      <c r="S1" s="105"/>
      <c r="T1" s="11"/>
      <c r="U1" s="11"/>
      <c r="V1" s="11">
        <v>12</v>
      </c>
      <c r="W1" s="11"/>
      <c r="X1" s="10"/>
      <c r="Y1" s="10"/>
      <c r="Z1" s="11">
        <v>11.5</v>
      </c>
      <c r="AA1" s="11">
        <v>6</v>
      </c>
      <c r="AB1" s="31">
        <v>7.4999999999999997E-2</v>
      </c>
      <c r="AC1" s="11">
        <v>0.04</v>
      </c>
      <c r="AD1" s="11">
        <v>1.5</v>
      </c>
      <c r="AE1" s="11">
        <v>1.75</v>
      </c>
      <c r="AF1" s="88">
        <v>3.25</v>
      </c>
      <c r="AH1" s="90"/>
      <c r="AI1" s="90"/>
      <c r="AJ1" s="90"/>
    </row>
    <row r="2" spans="2:56" s="90" customFormat="1" x14ac:dyDescent="0.2">
      <c r="H2" s="10"/>
      <c r="I2" s="10"/>
      <c r="J2" s="10"/>
      <c r="K2" s="10"/>
      <c r="L2" s="10"/>
      <c r="M2" s="10"/>
      <c r="N2" s="10"/>
      <c r="O2" s="10"/>
      <c r="P2" s="10"/>
      <c r="W2" s="10"/>
      <c r="X2" s="10"/>
      <c r="Y2" s="10"/>
      <c r="AA2" s="146"/>
      <c r="AB2" s="145" t="s">
        <v>36</v>
      </c>
      <c r="AC2" s="168" t="s">
        <v>149</v>
      </c>
      <c r="AD2" s="168"/>
      <c r="AE2" s="170"/>
      <c r="AF2" s="170" t="s">
        <v>35</v>
      </c>
      <c r="AG2" s="211">
        <v>41920</v>
      </c>
      <c r="AI2" s="224" t="s">
        <v>105</v>
      </c>
      <c r="AJ2" s="141"/>
      <c r="AK2" s="224" t="s">
        <v>107</v>
      </c>
      <c r="AL2" s="219" t="s">
        <v>212</v>
      </c>
    </row>
    <row r="3" spans="2:56" s="90" customFormat="1" ht="13.5" thickBot="1" x14ac:dyDescent="0.25">
      <c r="H3" s="10"/>
      <c r="I3" s="10"/>
      <c r="J3" s="10"/>
      <c r="K3" s="10"/>
      <c r="L3" s="10"/>
      <c r="M3" s="10"/>
      <c r="N3" s="10"/>
      <c r="O3" s="10"/>
      <c r="P3" s="10"/>
      <c r="W3" s="10"/>
      <c r="X3" s="10"/>
      <c r="Y3" s="10"/>
      <c r="AA3" s="45"/>
      <c r="AB3" s="46" t="s">
        <v>37</v>
      </c>
      <c r="AC3" s="169" t="s">
        <v>278</v>
      </c>
      <c r="AD3" s="216"/>
      <c r="AE3" s="171"/>
      <c r="AF3" s="171" t="s">
        <v>35</v>
      </c>
      <c r="AG3" s="472">
        <v>41926</v>
      </c>
      <c r="AI3" s="225" t="s">
        <v>106</v>
      </c>
      <c r="AJ3" s="166"/>
      <c r="AK3" s="225" t="s">
        <v>108</v>
      </c>
      <c r="AL3" s="106" t="s">
        <v>213</v>
      </c>
    </row>
    <row r="4" spans="2:56" s="90" customFormat="1" ht="13.5" thickBot="1" x14ac:dyDescent="0.25">
      <c r="B4" s="260"/>
      <c r="C4" s="52"/>
      <c r="D4" s="52"/>
      <c r="E4" s="52"/>
      <c r="F4" s="5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225" t="s">
        <v>111</v>
      </c>
      <c r="AJ4" s="142"/>
      <c r="AK4" s="225" t="s">
        <v>113</v>
      </c>
      <c r="AL4" s="106" t="s">
        <v>214</v>
      </c>
    </row>
    <row r="5" spans="2:56" s="16" customFormat="1" ht="12.75" customHeight="1" x14ac:dyDescent="0.2">
      <c r="B5" s="639" t="s">
        <v>1</v>
      </c>
      <c r="C5" s="640"/>
      <c r="D5" s="635" t="s">
        <v>0</v>
      </c>
      <c r="E5" s="649" t="s">
        <v>103</v>
      </c>
      <c r="F5" s="649" t="s">
        <v>104</v>
      </c>
      <c r="G5" s="649" t="s">
        <v>110</v>
      </c>
      <c r="H5" s="649" t="s">
        <v>200</v>
      </c>
      <c r="I5" s="691" t="s">
        <v>31</v>
      </c>
      <c r="J5" s="649" t="s">
        <v>50</v>
      </c>
      <c r="K5" s="649" t="s">
        <v>115</v>
      </c>
      <c r="L5" s="649" t="s">
        <v>51</v>
      </c>
      <c r="M5" s="645" t="s">
        <v>4</v>
      </c>
      <c r="N5" s="645" t="s">
        <v>21</v>
      </c>
      <c r="O5" s="699" t="s">
        <v>17</v>
      </c>
      <c r="P5" s="699" t="s">
        <v>20</v>
      </c>
      <c r="Q5" s="699" t="s">
        <v>14</v>
      </c>
      <c r="R5" s="62">
        <v>202</v>
      </c>
      <c r="S5" s="624">
        <v>204</v>
      </c>
      <c r="T5" s="626"/>
      <c r="U5" s="526">
        <v>206</v>
      </c>
      <c r="V5" s="527"/>
      <c r="W5" s="527"/>
      <c r="X5" s="2">
        <v>252</v>
      </c>
      <c r="Y5" s="2">
        <v>254</v>
      </c>
      <c r="Z5" s="2">
        <v>302</v>
      </c>
      <c r="AA5" s="57">
        <v>304</v>
      </c>
      <c r="AB5" s="526">
        <v>407</v>
      </c>
      <c r="AC5" s="528"/>
      <c r="AD5" s="526">
        <v>442</v>
      </c>
      <c r="AE5" s="528"/>
      <c r="AF5" s="49">
        <v>617</v>
      </c>
      <c r="AG5" s="49">
        <v>618</v>
      </c>
      <c r="AH5" s="141"/>
      <c r="AI5" s="225" t="s">
        <v>112</v>
      </c>
      <c r="AJ5" s="142"/>
      <c r="AK5" s="225" t="s">
        <v>114</v>
      </c>
      <c r="AL5" s="106" t="s">
        <v>215</v>
      </c>
    </row>
    <row r="6" spans="2:56" ht="12.75" customHeight="1" thickBot="1" x14ac:dyDescent="0.25">
      <c r="B6" s="641"/>
      <c r="C6" s="642"/>
      <c r="D6" s="636"/>
      <c r="E6" s="694"/>
      <c r="F6" s="696"/>
      <c r="G6" s="696"/>
      <c r="H6" s="692"/>
      <c r="I6" s="692"/>
      <c r="J6" s="692"/>
      <c r="K6" s="692"/>
      <c r="L6" s="692"/>
      <c r="M6" s="646"/>
      <c r="N6" s="646"/>
      <c r="O6" s="700"/>
      <c r="P6" s="700"/>
      <c r="Q6" s="700"/>
      <c r="R6" s="622" t="s">
        <v>41</v>
      </c>
      <c r="S6" s="657" t="s">
        <v>194</v>
      </c>
      <c r="T6" s="658" t="s">
        <v>7</v>
      </c>
      <c r="U6" s="658" t="s">
        <v>18</v>
      </c>
      <c r="V6" s="529" t="s">
        <v>19</v>
      </c>
      <c r="W6" s="537" t="s">
        <v>23</v>
      </c>
      <c r="X6" s="537" t="s">
        <v>24</v>
      </c>
      <c r="Y6" s="529" t="s">
        <v>47</v>
      </c>
      <c r="Z6" s="657" t="s">
        <v>195</v>
      </c>
      <c r="AA6" s="658" t="s">
        <v>9</v>
      </c>
      <c r="AB6" s="657" t="s">
        <v>32</v>
      </c>
      <c r="AC6" s="657" t="s">
        <v>45</v>
      </c>
      <c r="AD6" s="543" t="s">
        <v>198</v>
      </c>
      <c r="AE6" s="543" t="s">
        <v>197</v>
      </c>
      <c r="AF6" s="657" t="s">
        <v>279</v>
      </c>
      <c r="AG6" s="657" t="s">
        <v>196</v>
      </c>
      <c r="AH6" s="166"/>
      <c r="AI6" s="226" t="s">
        <v>101</v>
      </c>
      <c r="AJ6" s="142"/>
      <c r="AK6" s="225" t="s">
        <v>109</v>
      </c>
      <c r="AL6" s="220" t="s">
        <v>216</v>
      </c>
    </row>
    <row r="7" spans="2:56" ht="12.75" customHeight="1" thickBot="1" x14ac:dyDescent="0.25">
      <c r="B7" s="641"/>
      <c r="C7" s="642"/>
      <c r="D7" s="636"/>
      <c r="E7" s="694"/>
      <c r="F7" s="696"/>
      <c r="G7" s="696"/>
      <c r="H7" s="692"/>
      <c r="I7" s="692"/>
      <c r="J7" s="692"/>
      <c r="K7" s="692"/>
      <c r="L7" s="692"/>
      <c r="M7" s="646"/>
      <c r="N7" s="646"/>
      <c r="O7" s="700"/>
      <c r="P7" s="700"/>
      <c r="Q7" s="700"/>
      <c r="R7" s="623"/>
      <c r="S7" s="658"/>
      <c r="T7" s="658"/>
      <c r="U7" s="658"/>
      <c r="V7" s="702"/>
      <c r="W7" s="702"/>
      <c r="X7" s="702"/>
      <c r="Y7" s="702"/>
      <c r="Z7" s="658"/>
      <c r="AA7" s="658"/>
      <c r="AB7" s="658"/>
      <c r="AC7" s="658"/>
      <c r="AD7" s="544"/>
      <c r="AE7" s="544"/>
      <c r="AF7" s="658"/>
      <c r="AG7" s="658"/>
      <c r="AH7" s="142"/>
      <c r="AI7" s="142"/>
      <c r="AJ7" s="142"/>
      <c r="AK7" s="226" t="s">
        <v>116</v>
      </c>
      <c r="AL7" s="220" t="s">
        <v>217</v>
      </c>
    </row>
    <row r="8" spans="2:56" ht="12.75" customHeight="1" thickBot="1" x14ac:dyDescent="0.25">
      <c r="B8" s="641"/>
      <c r="C8" s="642"/>
      <c r="D8" s="636"/>
      <c r="E8" s="694"/>
      <c r="F8" s="696"/>
      <c r="G8" s="696"/>
      <c r="H8" s="692"/>
      <c r="I8" s="692"/>
      <c r="J8" s="692"/>
      <c r="K8" s="692"/>
      <c r="L8" s="692"/>
      <c r="M8" s="646"/>
      <c r="N8" s="646"/>
      <c r="O8" s="700"/>
      <c r="P8" s="700"/>
      <c r="Q8" s="700"/>
      <c r="R8" s="623"/>
      <c r="S8" s="658"/>
      <c r="T8" s="658"/>
      <c r="U8" s="658"/>
      <c r="V8" s="702"/>
      <c r="W8" s="702"/>
      <c r="X8" s="702"/>
      <c r="Y8" s="702"/>
      <c r="Z8" s="658"/>
      <c r="AA8" s="658"/>
      <c r="AB8" s="658"/>
      <c r="AC8" s="658"/>
      <c r="AD8" s="544"/>
      <c r="AE8" s="544"/>
      <c r="AF8" s="658"/>
      <c r="AG8" s="658"/>
      <c r="AH8" s="142"/>
      <c r="AI8" s="90"/>
      <c r="AJ8" s="90"/>
    </row>
    <row r="9" spans="2:56" ht="12.75" customHeight="1" thickBot="1" x14ac:dyDescent="0.25">
      <c r="B9" s="641"/>
      <c r="C9" s="642"/>
      <c r="D9" s="636"/>
      <c r="E9" s="694"/>
      <c r="F9" s="696"/>
      <c r="G9" s="696"/>
      <c r="H9" s="692"/>
      <c r="I9" s="692"/>
      <c r="J9" s="692"/>
      <c r="K9" s="692"/>
      <c r="L9" s="692"/>
      <c r="M9" s="646"/>
      <c r="N9" s="646"/>
      <c r="O9" s="700"/>
      <c r="P9" s="700"/>
      <c r="Q9" s="700"/>
      <c r="R9" s="623"/>
      <c r="S9" s="658"/>
      <c r="T9" s="658"/>
      <c r="U9" s="658"/>
      <c r="V9" s="702"/>
      <c r="W9" s="702"/>
      <c r="X9" s="702"/>
      <c r="Y9" s="702"/>
      <c r="Z9" s="658"/>
      <c r="AA9" s="658"/>
      <c r="AB9" s="658"/>
      <c r="AC9" s="658"/>
      <c r="AD9" s="544"/>
      <c r="AE9" s="544"/>
      <c r="AF9" s="658"/>
      <c r="AG9" s="658"/>
      <c r="AH9" s="142"/>
      <c r="AI9" s="659" t="s">
        <v>211</v>
      </c>
      <c r="AJ9" s="660"/>
      <c r="AK9" s="660"/>
      <c r="AL9" s="660"/>
      <c r="AM9" s="660"/>
      <c r="AN9" s="660"/>
      <c r="AO9" s="660"/>
      <c r="AP9" s="660"/>
      <c r="AQ9" s="660"/>
      <c r="AR9" s="660"/>
      <c r="AS9" s="660"/>
      <c r="AT9" s="660"/>
      <c r="AU9" s="660"/>
      <c r="AV9" s="661"/>
    </row>
    <row r="10" spans="2:56" ht="12.75" customHeight="1" x14ac:dyDescent="0.2">
      <c r="B10" s="641"/>
      <c r="C10" s="642"/>
      <c r="D10" s="636"/>
      <c r="E10" s="694"/>
      <c r="F10" s="696"/>
      <c r="G10" s="696"/>
      <c r="H10" s="692"/>
      <c r="I10" s="692"/>
      <c r="J10" s="692"/>
      <c r="K10" s="692"/>
      <c r="L10" s="692"/>
      <c r="M10" s="646"/>
      <c r="N10" s="646"/>
      <c r="O10" s="700"/>
      <c r="P10" s="700"/>
      <c r="Q10" s="700"/>
      <c r="R10" s="623"/>
      <c r="S10" s="658"/>
      <c r="T10" s="658"/>
      <c r="U10" s="658"/>
      <c r="V10" s="702"/>
      <c r="W10" s="702"/>
      <c r="X10" s="702"/>
      <c r="Y10" s="702"/>
      <c r="Z10" s="658"/>
      <c r="AA10" s="658"/>
      <c r="AB10" s="658"/>
      <c r="AC10" s="658"/>
      <c r="AD10" s="544"/>
      <c r="AE10" s="544"/>
      <c r="AF10" s="658"/>
      <c r="AG10" s="658"/>
      <c r="AH10" s="142"/>
      <c r="AI10" s="662" t="s">
        <v>218</v>
      </c>
      <c r="AJ10" s="664" t="s">
        <v>224</v>
      </c>
      <c r="AK10" s="686" t="s">
        <v>199</v>
      </c>
      <c r="AL10" s="668"/>
      <c r="AM10" s="687"/>
      <c r="AN10" s="667" t="s">
        <v>48</v>
      </c>
      <c r="AO10" s="668"/>
      <c r="AP10" s="687"/>
      <c r="AQ10" s="667" t="s">
        <v>49</v>
      </c>
      <c r="AR10" s="668"/>
      <c r="AS10" s="687"/>
      <c r="AT10" s="667" t="s">
        <v>52</v>
      </c>
      <c r="AU10" s="668"/>
      <c r="AV10" s="669"/>
    </row>
    <row r="11" spans="2:56" ht="12.75" customHeight="1" thickBot="1" x14ac:dyDescent="0.25">
      <c r="B11" s="641"/>
      <c r="C11" s="642"/>
      <c r="D11" s="636"/>
      <c r="E11" s="694"/>
      <c r="F11" s="696"/>
      <c r="G11" s="696"/>
      <c r="H11" s="692"/>
      <c r="I11" s="692"/>
      <c r="J11" s="692"/>
      <c r="K11" s="692"/>
      <c r="L11" s="692"/>
      <c r="M11" s="646"/>
      <c r="N11" s="646"/>
      <c r="O11" s="700"/>
      <c r="P11" s="700"/>
      <c r="Q11" s="700"/>
      <c r="R11" s="623"/>
      <c r="S11" s="658"/>
      <c r="T11" s="658"/>
      <c r="U11" s="658"/>
      <c r="V11" s="702"/>
      <c r="W11" s="702"/>
      <c r="X11" s="702"/>
      <c r="Y11" s="702"/>
      <c r="Z11" s="658"/>
      <c r="AA11" s="658"/>
      <c r="AB11" s="658"/>
      <c r="AC11" s="658"/>
      <c r="AD11" s="544"/>
      <c r="AE11" s="544"/>
      <c r="AF11" s="658"/>
      <c r="AG11" s="658"/>
      <c r="AH11" s="142"/>
      <c r="AI11" s="663"/>
      <c r="AJ11" s="665"/>
      <c r="AK11" s="670" t="s">
        <v>219</v>
      </c>
      <c r="AL11" s="671"/>
      <c r="AM11" s="672"/>
      <c r="AN11" s="673" t="s">
        <v>220</v>
      </c>
      <c r="AO11" s="671"/>
      <c r="AP11" s="672"/>
      <c r="AQ11" s="673" t="s">
        <v>220</v>
      </c>
      <c r="AR11" s="671"/>
      <c r="AS11" s="672"/>
      <c r="AT11" s="673" t="s">
        <v>220</v>
      </c>
      <c r="AU11" s="671"/>
      <c r="AV11" s="674"/>
    </row>
    <row r="12" spans="2:56" ht="12.75" customHeight="1" x14ac:dyDescent="0.2">
      <c r="B12" s="641"/>
      <c r="C12" s="642"/>
      <c r="D12" s="636"/>
      <c r="E12" s="694"/>
      <c r="F12" s="696"/>
      <c r="G12" s="696"/>
      <c r="H12" s="692"/>
      <c r="I12" s="692"/>
      <c r="J12" s="692"/>
      <c r="K12" s="692"/>
      <c r="L12" s="692"/>
      <c r="M12" s="646"/>
      <c r="N12" s="646"/>
      <c r="O12" s="700"/>
      <c r="P12" s="700"/>
      <c r="Q12" s="700"/>
      <c r="R12" s="623"/>
      <c r="S12" s="658"/>
      <c r="T12" s="658"/>
      <c r="U12" s="658"/>
      <c r="V12" s="702"/>
      <c r="W12" s="702"/>
      <c r="X12" s="702"/>
      <c r="Y12" s="702"/>
      <c r="Z12" s="658"/>
      <c r="AA12" s="658"/>
      <c r="AB12" s="658"/>
      <c r="AC12" s="658"/>
      <c r="AD12" s="544"/>
      <c r="AE12" s="544"/>
      <c r="AF12" s="658"/>
      <c r="AG12" s="658"/>
      <c r="AH12" s="142"/>
      <c r="AI12" s="222" t="s">
        <v>105</v>
      </c>
      <c r="AJ12" s="104" t="s">
        <v>221</v>
      </c>
      <c r="AK12" s="653">
        <v>1.5</v>
      </c>
      <c r="AL12" s="601"/>
      <c r="AM12" s="602"/>
      <c r="AN12" s="600">
        <v>0.56999999999999995</v>
      </c>
      <c r="AO12" s="601"/>
      <c r="AP12" s="602"/>
      <c r="AQ12" s="600">
        <v>0.67</v>
      </c>
      <c r="AR12" s="601"/>
      <c r="AS12" s="602"/>
      <c r="AT12" s="600" t="s">
        <v>101</v>
      </c>
      <c r="AU12" s="601"/>
      <c r="AV12" s="681"/>
    </row>
    <row r="13" spans="2:56" ht="12.75" customHeight="1" x14ac:dyDescent="0.2">
      <c r="B13" s="641"/>
      <c r="C13" s="642"/>
      <c r="D13" s="636"/>
      <c r="E13" s="694"/>
      <c r="F13" s="696"/>
      <c r="G13" s="696"/>
      <c r="H13" s="692"/>
      <c r="I13" s="692"/>
      <c r="J13" s="692"/>
      <c r="K13" s="692"/>
      <c r="L13" s="692"/>
      <c r="M13" s="646"/>
      <c r="N13" s="646"/>
      <c r="O13" s="700"/>
      <c r="P13" s="700"/>
      <c r="Q13" s="700"/>
      <c r="R13" s="623"/>
      <c r="S13" s="658"/>
      <c r="T13" s="658"/>
      <c r="U13" s="658"/>
      <c r="V13" s="702"/>
      <c r="W13" s="702"/>
      <c r="X13" s="702"/>
      <c r="Y13" s="702"/>
      <c r="Z13" s="658"/>
      <c r="AA13" s="658"/>
      <c r="AB13" s="658"/>
      <c r="AC13" s="658"/>
      <c r="AD13" s="544"/>
      <c r="AE13" s="544"/>
      <c r="AF13" s="658"/>
      <c r="AG13" s="658"/>
      <c r="AH13" s="142"/>
      <c r="AI13" s="221" t="s">
        <v>106</v>
      </c>
      <c r="AJ13" s="103" t="s">
        <v>222</v>
      </c>
      <c r="AK13" s="675">
        <v>2</v>
      </c>
      <c r="AL13" s="676"/>
      <c r="AM13" s="677"/>
      <c r="AN13" s="678"/>
      <c r="AO13" s="679"/>
      <c r="AP13" s="680"/>
      <c r="AQ13" s="678">
        <v>0.98</v>
      </c>
      <c r="AR13" s="679"/>
      <c r="AS13" s="680"/>
      <c r="AT13" s="600" t="s">
        <v>101</v>
      </c>
      <c r="AU13" s="601"/>
      <c r="AV13" s="681"/>
      <c r="AW13" s="81"/>
      <c r="AX13" s="81"/>
      <c r="AY13" s="81"/>
      <c r="AZ13" s="81"/>
      <c r="BA13" s="81"/>
      <c r="BB13" s="81"/>
      <c r="BC13" s="81"/>
      <c r="BD13" s="81"/>
    </row>
    <row r="14" spans="2:56" ht="12.75" customHeight="1" x14ac:dyDescent="0.2">
      <c r="B14" s="641"/>
      <c r="C14" s="642"/>
      <c r="D14" s="636"/>
      <c r="E14" s="694"/>
      <c r="F14" s="696"/>
      <c r="G14" s="696"/>
      <c r="H14" s="692"/>
      <c r="I14" s="692"/>
      <c r="J14" s="692"/>
      <c r="K14" s="692"/>
      <c r="L14" s="692"/>
      <c r="M14" s="646"/>
      <c r="N14" s="646"/>
      <c r="O14" s="700"/>
      <c r="P14" s="700"/>
      <c r="Q14" s="700"/>
      <c r="R14" s="623"/>
      <c r="S14" s="658"/>
      <c r="T14" s="658"/>
      <c r="U14" s="658"/>
      <c r="V14" s="702"/>
      <c r="W14" s="702"/>
      <c r="X14" s="702"/>
      <c r="Y14" s="702"/>
      <c r="Z14" s="658"/>
      <c r="AA14" s="658"/>
      <c r="AB14" s="658"/>
      <c r="AC14" s="658"/>
      <c r="AD14" s="544"/>
      <c r="AE14" s="544"/>
      <c r="AF14" s="658"/>
      <c r="AG14" s="658"/>
      <c r="AH14" s="142"/>
      <c r="AI14" s="221" t="s">
        <v>111</v>
      </c>
      <c r="AJ14" s="103" t="s">
        <v>223</v>
      </c>
      <c r="AK14" s="675" t="s">
        <v>101</v>
      </c>
      <c r="AL14" s="676"/>
      <c r="AM14" s="677"/>
      <c r="AN14" s="678" t="s">
        <v>101</v>
      </c>
      <c r="AO14" s="679"/>
      <c r="AP14" s="680"/>
      <c r="AQ14" s="678" t="s">
        <v>101</v>
      </c>
      <c r="AR14" s="679"/>
      <c r="AS14" s="680"/>
      <c r="AT14" s="600">
        <v>-0.18</v>
      </c>
      <c r="AU14" s="601"/>
      <c r="AV14" s="681"/>
      <c r="AW14" s="81"/>
      <c r="AX14" s="81"/>
      <c r="AY14" s="81"/>
      <c r="AZ14" s="81"/>
      <c r="BA14" s="81"/>
      <c r="BB14" s="81"/>
      <c r="BC14" s="81"/>
      <c r="BD14" s="81"/>
    </row>
    <row r="15" spans="2:56" ht="12.75" customHeight="1" x14ac:dyDescent="0.2">
      <c r="B15" s="641"/>
      <c r="C15" s="642"/>
      <c r="D15" s="636"/>
      <c r="E15" s="694"/>
      <c r="F15" s="696"/>
      <c r="G15" s="696"/>
      <c r="H15" s="692"/>
      <c r="I15" s="692"/>
      <c r="J15" s="692"/>
      <c r="K15" s="692"/>
      <c r="L15" s="692"/>
      <c r="M15" s="647"/>
      <c r="N15" s="647"/>
      <c r="O15" s="701"/>
      <c r="P15" s="701"/>
      <c r="Q15" s="701"/>
      <c r="R15" s="623"/>
      <c r="S15" s="658"/>
      <c r="T15" s="658"/>
      <c r="U15" s="658"/>
      <c r="V15" s="703"/>
      <c r="W15" s="703"/>
      <c r="X15" s="703"/>
      <c r="Y15" s="703"/>
      <c r="Z15" s="658"/>
      <c r="AA15" s="658"/>
      <c r="AB15" s="658"/>
      <c r="AC15" s="658"/>
      <c r="AD15" s="545"/>
      <c r="AE15" s="545"/>
      <c r="AF15" s="658"/>
      <c r="AG15" s="658"/>
      <c r="AH15" s="142"/>
      <c r="AI15" s="221" t="s">
        <v>225</v>
      </c>
      <c r="AJ15" s="103" t="s">
        <v>221</v>
      </c>
      <c r="AK15" s="653">
        <v>4.33</v>
      </c>
      <c r="AL15" s="601"/>
      <c r="AM15" s="602"/>
      <c r="AN15" s="600">
        <v>3.29</v>
      </c>
      <c r="AO15" s="601"/>
      <c r="AP15" s="602"/>
      <c r="AQ15" s="600">
        <v>2.09</v>
      </c>
      <c r="AR15" s="601"/>
      <c r="AS15" s="602"/>
      <c r="AT15" s="600">
        <v>0.42</v>
      </c>
      <c r="AU15" s="601"/>
      <c r="AV15" s="681"/>
      <c r="AW15" s="81"/>
      <c r="AX15" s="81"/>
      <c r="AY15" s="81"/>
      <c r="AZ15" s="81"/>
      <c r="BA15" s="81"/>
      <c r="BB15" s="81"/>
      <c r="BC15" s="81"/>
      <c r="BD15" s="81"/>
    </row>
    <row r="16" spans="2:56" ht="12.75" customHeight="1" thickBot="1" x14ac:dyDescent="0.25">
      <c r="B16" s="24" t="s">
        <v>2</v>
      </c>
      <c r="C16" s="25" t="s">
        <v>3</v>
      </c>
      <c r="D16" s="693"/>
      <c r="E16" s="695"/>
      <c r="F16" s="697"/>
      <c r="G16" s="697"/>
      <c r="H16" s="5" t="s">
        <v>5</v>
      </c>
      <c r="I16" s="5" t="s">
        <v>12</v>
      </c>
      <c r="J16" s="5" t="s">
        <v>12</v>
      </c>
      <c r="K16" s="9" t="s">
        <v>12</v>
      </c>
      <c r="L16" s="9" t="s">
        <v>12</v>
      </c>
      <c r="M16" s="5" t="s">
        <v>5</v>
      </c>
      <c r="N16" s="5" t="s">
        <v>5</v>
      </c>
      <c r="O16" s="73" t="s">
        <v>6</v>
      </c>
      <c r="P16" s="73" t="s">
        <v>6</v>
      </c>
      <c r="Q16" s="73" t="s">
        <v>6</v>
      </c>
      <c r="R16" s="119" t="s">
        <v>10</v>
      </c>
      <c r="S16" s="84" t="s">
        <v>10</v>
      </c>
      <c r="T16" s="5" t="s">
        <v>11</v>
      </c>
      <c r="U16" s="5" t="s">
        <v>10</v>
      </c>
      <c r="V16" s="5" t="s">
        <v>10</v>
      </c>
      <c r="W16" s="5" t="s">
        <v>22</v>
      </c>
      <c r="X16" s="5" t="s">
        <v>5</v>
      </c>
      <c r="Y16" s="9" t="s">
        <v>10</v>
      </c>
      <c r="Z16" s="5" t="s">
        <v>12</v>
      </c>
      <c r="AA16" s="5" t="s">
        <v>12</v>
      </c>
      <c r="AB16" s="5" t="s">
        <v>13</v>
      </c>
      <c r="AC16" s="5" t="s">
        <v>13</v>
      </c>
      <c r="AD16" s="5" t="s">
        <v>12</v>
      </c>
      <c r="AE16" s="5" t="s">
        <v>12</v>
      </c>
      <c r="AF16" s="471" t="s">
        <v>12</v>
      </c>
      <c r="AG16" s="5" t="s">
        <v>5</v>
      </c>
      <c r="AH16" s="143"/>
      <c r="AI16" s="223" t="s">
        <v>226</v>
      </c>
      <c r="AJ16" s="158" t="s">
        <v>221</v>
      </c>
      <c r="AK16" s="666">
        <v>3.67</v>
      </c>
      <c r="AL16" s="655"/>
      <c r="AM16" s="656"/>
      <c r="AN16" s="654">
        <v>2.65</v>
      </c>
      <c r="AO16" s="655"/>
      <c r="AP16" s="656"/>
      <c r="AQ16" s="654">
        <v>1.75</v>
      </c>
      <c r="AR16" s="655"/>
      <c r="AS16" s="656"/>
      <c r="AT16" s="654">
        <v>0.32</v>
      </c>
      <c r="AU16" s="655"/>
      <c r="AV16" s="682"/>
      <c r="AW16" s="81"/>
      <c r="AX16" s="81"/>
      <c r="AY16" s="81"/>
      <c r="AZ16" s="81"/>
      <c r="BA16" s="81"/>
      <c r="BB16" s="81"/>
      <c r="BC16" s="81"/>
      <c r="BD16" s="81"/>
    </row>
    <row r="17" spans="1:43" ht="12.75" customHeight="1" x14ac:dyDescent="0.2">
      <c r="A17" s="48"/>
      <c r="B17" s="643" t="s">
        <v>67</v>
      </c>
      <c r="C17" s="644"/>
      <c r="D17" s="100"/>
      <c r="E17" s="100"/>
      <c r="F17" s="100"/>
      <c r="G17" s="100"/>
      <c r="H17" s="192"/>
      <c r="I17" s="193"/>
      <c r="J17" s="193"/>
      <c r="K17" s="193"/>
      <c r="L17" s="194"/>
      <c r="M17" s="101"/>
      <c r="N17" s="101"/>
      <c r="O17" s="118"/>
      <c r="P17" s="118"/>
      <c r="Q17" s="118"/>
      <c r="R17" s="118"/>
      <c r="S17" s="118"/>
      <c r="T17" s="173"/>
      <c r="U17" s="173"/>
      <c r="V17" s="173"/>
      <c r="W17" s="173"/>
      <c r="X17" s="64"/>
      <c r="Y17" s="101"/>
      <c r="Z17" s="195"/>
      <c r="AA17" s="101"/>
      <c r="AB17" s="173"/>
      <c r="AC17" s="173"/>
      <c r="AD17" s="101"/>
      <c r="AE17" s="101"/>
      <c r="AF17" s="101"/>
      <c r="AG17" s="173"/>
      <c r="AH17" s="10"/>
      <c r="AI17" s="81"/>
      <c r="AJ17" s="81"/>
      <c r="AK17" s="81"/>
      <c r="AL17" s="81"/>
      <c r="AM17" s="81"/>
      <c r="AN17" s="81"/>
      <c r="AO17" s="81"/>
      <c r="AP17" s="81"/>
      <c r="AQ17" s="81"/>
    </row>
    <row r="18" spans="1:43" ht="12.75" customHeight="1" x14ac:dyDescent="0.2">
      <c r="B18" s="338">
        <v>73445</v>
      </c>
      <c r="C18" s="339">
        <v>74144.14</v>
      </c>
      <c r="D18" s="340" t="s">
        <v>16</v>
      </c>
      <c r="E18" s="340" t="s">
        <v>111</v>
      </c>
      <c r="F18" s="340" t="s">
        <v>105</v>
      </c>
      <c r="G18" s="47" t="str">
        <f t="shared" ref="G18:G34" si="0">IF(AND($E18=$AI$2,$F18=$AI$2),$AK$2,IF(OR(AND($E18=$AI$2,$F18=$AI$3),AND($E18=$AI$3,$F18=$AI$2)),$AK$3,IF(OR(AND($E18=$AI$2,$F18=$AI$4),AND($E18=$AI$4,$F18=$AI$2)),$AK$4,IF(OR(AND($E18=$AI$3,$F18=$AI$4),AND($E18=$AI$4,$F18=$AI$3)),$AK$5,IF(AND($E18=$AI$3,$F18=$AI$3),$AK$6,IF(AND($E18=$AI$4,$F18=$AI$4),$AK$7,"-"))))))</f>
        <v>E/S - C/B</v>
      </c>
      <c r="H18" s="26">
        <f t="shared" ref="H18:H26" si="1">IF(AND($E18=$AI$2,$F18=$AI$2),2*$AK$12,IF(OR(AND($E18=$AI$2, $F18=$AI$3),AND($E18=$AI$3,$F18=$AI$2)),$AK$12+$AK$13,IF(OR(AND($E18=$AI$2,$F18=$AI$4),AND($E18=$AI$4,$F18=$AI$2)),$AK$12,IF(OR(AND($E18=$AI$3,$F18=$AI$4),AND($E18=$AI$4,$F18=$AI$3)),$AK$13,IF(AND($E18=$AI$3,$F18=$AI$3),2*$AK$13,0)))))</f>
        <v>1.5</v>
      </c>
      <c r="I18" s="27">
        <f t="shared" ref="I18:I26" si="2">IF(AND($E18=$AI$2,$F18=$AI$2),2*$AN$12*$M18/27,IF(OR(AND($E18=$AI$2,$F18=$AI$3),AND($E18=$AI$3,$F18=$AI$2)),$AN$12*$M18/27,IF(OR(AND($E18=$AI$2,$F18=$AI$4),AND($E18=$AI$4,$F18=$AI$2)),$AN$12*$M18/27,0)))</f>
        <v>14.759622222222209</v>
      </c>
      <c r="J18" s="27">
        <f t="shared" ref="J18:J26" si="3">IF(AND($E18=$AI$2,$F18=$AI$2),2*$AQ$12*$M18/27,IF(OR(AND($E18=$AI$2,$F18=$AI$3),AND($E18=$AI$3,$F18=$AI$2)),($AQ$12+$AQ$13)*$M18/27,IF(OR(AND($E18=$AI$2,$F18=$AI$4),AND($E18=$AI$4,$F18=$AI$2)),$AQ$12*$M18/27,IF(OR(AND($E18=$AI$3,$F18=$AI$4),AND($E18=$AI$4,$F18=$AI$3)),$AQ$13*$M18/27,IF(AND($E18=$AI$3,$F18=$AI$3),2*$AQ$13*$M18/27,0)))))</f>
        <v>17.349029629629616</v>
      </c>
      <c r="K18" s="27">
        <f t="shared" ref="K18:K26" si="4">IF(AND($E18=$AI$4,$F18=$AI$4),2*$AT$14*$M18/27,IF(OR($E18=$AI$4,$F18=$AI$4),$AT$14*$M18/27,0))</f>
        <v>-4.6609333333333289</v>
      </c>
      <c r="L18" s="341">
        <v>0</v>
      </c>
      <c r="M18" s="83">
        <f t="shared" ref="M18:M34" si="5">C18-B18</f>
        <v>699.13999999999942</v>
      </c>
      <c r="N18" s="345">
        <v>42.18</v>
      </c>
      <c r="O18" s="76">
        <f t="shared" ref="O18:O54" si="6">IF(N18="-",0,ROUNDUP($M18*N18,0))</f>
        <v>29490</v>
      </c>
      <c r="P18" s="347">
        <v>0</v>
      </c>
      <c r="Q18" s="75">
        <f t="shared" ref="Q18:Q34" si="7">SUM(O18:P18)</f>
        <v>29490</v>
      </c>
      <c r="R18" s="353">
        <v>0</v>
      </c>
      <c r="S18" s="85">
        <f>IF(OR($A18="APP SLAB",Q18=0),0,($Q18+$H18*$M18)/9)</f>
        <v>3393.19</v>
      </c>
      <c r="T18" s="210">
        <f>IF(AND(S18=0,V18=0),0,IF(V18=0,S18/2000,V18/2000))</f>
        <v>1.6965950000000001</v>
      </c>
      <c r="U18" s="135">
        <f t="shared" ref="U18:U34" si="8">IF(OR(A18="APP SLAB",S18&lt;&gt;0),0,V18)</f>
        <v>0</v>
      </c>
      <c r="V18" s="135">
        <f t="shared" ref="V18:V34" si="9">IF(OR(A18="APP SLAB",S18&lt;&gt;0),0,(Q18+H18*M18)/9)</f>
        <v>0</v>
      </c>
      <c r="W18" s="135">
        <f t="shared" ref="W18:W34" si="10">IF(OR(A18="APP SLAB",S18&lt;&gt;0),0,$V$1*V18*110*0.06*0.75/2000)</f>
        <v>0</v>
      </c>
      <c r="X18" s="351">
        <v>0</v>
      </c>
      <c r="Y18" s="345">
        <v>0</v>
      </c>
      <c r="Z18" s="34">
        <f t="shared" ref="Z18:Z34" si="11">IF(A18="APP SLAB",0,(Q18*$Z$1/12)/27+I18)</f>
        <v>1061.4725851851852</v>
      </c>
      <c r="AA18" s="4">
        <f t="shared" ref="AA18:AA34" si="12">(Q18*$AA$1/12)/27+J18</f>
        <v>563.46014074074071</v>
      </c>
      <c r="AB18" s="350">
        <v>0</v>
      </c>
      <c r="AC18" s="6">
        <f t="shared" ref="AC18:AC34" si="13">IF(A18="APP SLAB",0,(Q18/9)*$AC$1)</f>
        <v>131.06666666666666</v>
      </c>
      <c r="AD18" s="4">
        <f t="shared" ref="AD18:AD34" si="14">IF(A18="APP SLAB",0,(Q18*($AD$1/12))/27+K18)</f>
        <v>131.86684444444444</v>
      </c>
      <c r="AE18" s="4">
        <f t="shared" ref="AE18:AE34" si="15">IF(A18="APP SLAB",0,(Q18*$AE$1/12)/27+L18)</f>
        <v>159.28240740740742</v>
      </c>
      <c r="AF18" s="467">
        <f>IF(AND($E18=$F18="Uncurbed"),(2*$M18*2*$AF$1/12)/27,IF(OR($E18="Uncurbed",$F18="Uncurbed"),($M18*2*$AF$1/12)/27,IF(OR(AND($E18="Med. Barr.",$F18="Curbed"),AND($E18="Curbed",$F18="Med. Barr."),$E18=$F18,$E18="Unique",$F18="Unique",$E18="-",$F18="-"),0,"?")))</f>
        <v>14.025956790123447</v>
      </c>
      <c r="AG18" s="85">
        <f t="shared" ref="AG18:AG34" si="16">IF(A18="APP SLAB",0,(M18*2))</f>
        <v>1398.2799999999988</v>
      </c>
      <c r="AH18" s="10"/>
      <c r="AI18" s="81"/>
      <c r="AJ18" s="81"/>
      <c r="AK18" s="81"/>
      <c r="AL18" s="81"/>
      <c r="AM18" s="81"/>
      <c r="AN18" s="81"/>
      <c r="AO18" s="81"/>
      <c r="AP18" s="81"/>
      <c r="AQ18" s="81"/>
    </row>
    <row r="19" spans="1:43" ht="12.75" customHeight="1" x14ac:dyDescent="0.2">
      <c r="B19" s="338">
        <v>74144.14</v>
      </c>
      <c r="C19" s="339">
        <v>74242.990000000005</v>
      </c>
      <c r="D19" s="340" t="s">
        <v>16</v>
      </c>
      <c r="E19" s="340" t="s">
        <v>111</v>
      </c>
      <c r="F19" s="340" t="s">
        <v>105</v>
      </c>
      <c r="G19" s="47" t="str">
        <f t="shared" si="0"/>
        <v>E/S - C/B</v>
      </c>
      <c r="H19" s="26">
        <f t="shared" si="1"/>
        <v>1.5</v>
      </c>
      <c r="I19" s="27">
        <f t="shared" si="2"/>
        <v>2.0868333333334559</v>
      </c>
      <c r="J19" s="27">
        <f t="shared" si="3"/>
        <v>2.4529444444445891</v>
      </c>
      <c r="K19" s="27">
        <f t="shared" si="4"/>
        <v>-0.65900000000003878</v>
      </c>
      <c r="L19" s="341">
        <v>0</v>
      </c>
      <c r="M19" s="83">
        <f t="shared" si="5"/>
        <v>98.850000000005821</v>
      </c>
      <c r="N19" s="345">
        <v>45.15</v>
      </c>
      <c r="O19" s="76">
        <f t="shared" si="6"/>
        <v>4464</v>
      </c>
      <c r="P19" s="347">
        <v>0</v>
      </c>
      <c r="Q19" s="75">
        <f t="shared" si="7"/>
        <v>4464</v>
      </c>
      <c r="R19" s="353">
        <v>0</v>
      </c>
      <c r="S19" s="85">
        <f>IF(OR($A19="APP SLAB",Q19=0),0,($Q19+$H19*$M19)/9)</f>
        <v>512.47500000000093</v>
      </c>
      <c r="T19" s="210">
        <f t="shared" ref="T19:T34" si="17">IF(AND(S19=0,V19=0),0,IF(V19=0,S19/2000,V19/2000))</f>
        <v>0.25623750000000045</v>
      </c>
      <c r="U19" s="135">
        <f t="shared" si="8"/>
        <v>0</v>
      </c>
      <c r="V19" s="135">
        <f t="shared" si="9"/>
        <v>0</v>
      </c>
      <c r="W19" s="135">
        <f t="shared" si="10"/>
        <v>0</v>
      </c>
      <c r="X19" s="351">
        <v>0</v>
      </c>
      <c r="Y19" s="345">
        <v>0</v>
      </c>
      <c r="Z19" s="34">
        <f t="shared" si="11"/>
        <v>160.53127777777792</v>
      </c>
      <c r="AA19" s="4">
        <f t="shared" si="12"/>
        <v>85.119611111111254</v>
      </c>
      <c r="AB19" s="350">
        <v>0</v>
      </c>
      <c r="AC19" s="6">
        <f t="shared" si="13"/>
        <v>19.84</v>
      </c>
      <c r="AD19" s="4">
        <f t="shared" si="14"/>
        <v>20.00766666666663</v>
      </c>
      <c r="AE19" s="4">
        <f t="shared" si="15"/>
        <v>24.111111111111111</v>
      </c>
      <c r="AF19" s="467">
        <f t="shared" ref="AF19:AF34" si="18">IF(AND($E19=$F19="Uncurbed"),(2*$M19*2*$AF$1/12)/27,IF(OR($E19="Uncurbed",$F19="Uncurbed"),($M19*2*$AF$1/12)/27,IF(OR(AND($E19="Med. Barr.",$F19="Curbed"),AND($E19="Curbed",$F19="Med. Barr."),$E19=$F19,$E19="Unique",$F19="Unique",$E19="-",$F19="-"),0,"?")))</f>
        <v>1.9831018518519685</v>
      </c>
      <c r="AG19" s="85">
        <f t="shared" si="16"/>
        <v>197.70000000001164</v>
      </c>
      <c r="AH19" s="10"/>
      <c r="AI19" s="81"/>
      <c r="AJ19" s="81"/>
      <c r="AK19" s="81"/>
      <c r="AL19" s="81"/>
      <c r="AM19" s="81"/>
      <c r="AN19" s="81"/>
      <c r="AO19" s="81"/>
      <c r="AP19" s="81"/>
      <c r="AQ19" s="81"/>
    </row>
    <row r="20" spans="1:43" ht="12.75" customHeight="1" x14ac:dyDescent="0.2">
      <c r="B20" s="338">
        <v>74242.990000000005</v>
      </c>
      <c r="C20" s="339">
        <v>74499.11</v>
      </c>
      <c r="D20" s="340" t="s">
        <v>16</v>
      </c>
      <c r="E20" s="340" t="s">
        <v>111</v>
      </c>
      <c r="F20" s="340" t="s">
        <v>105</v>
      </c>
      <c r="G20" s="47" t="str">
        <f t="shared" si="0"/>
        <v>E/S - C/B</v>
      </c>
      <c r="H20" s="26">
        <f t="shared" si="1"/>
        <v>1.5</v>
      </c>
      <c r="I20" s="27">
        <f t="shared" si="2"/>
        <v>5.4069777777776791</v>
      </c>
      <c r="J20" s="27">
        <f t="shared" si="3"/>
        <v>6.3555703703702546</v>
      </c>
      <c r="K20" s="27">
        <f t="shared" si="4"/>
        <v>-1.7074666666666356</v>
      </c>
      <c r="L20" s="341">
        <v>0</v>
      </c>
      <c r="M20" s="83">
        <f t="shared" si="5"/>
        <v>256.11999999999534</v>
      </c>
      <c r="N20" s="345">
        <v>50.87</v>
      </c>
      <c r="O20" s="76">
        <f t="shared" si="6"/>
        <v>13029</v>
      </c>
      <c r="P20" s="347">
        <v>0</v>
      </c>
      <c r="Q20" s="75">
        <f t="shared" si="7"/>
        <v>13029</v>
      </c>
      <c r="R20" s="353">
        <v>0</v>
      </c>
      <c r="S20" s="85">
        <f>IF(OR($A20="APP SLAB",Q20=0),0,($Q20+$H20*$M20)/9)</f>
        <v>1490.3533333333326</v>
      </c>
      <c r="T20" s="210">
        <f t="shared" si="17"/>
        <v>0.74517666666666627</v>
      </c>
      <c r="U20" s="135">
        <f t="shared" si="8"/>
        <v>0</v>
      </c>
      <c r="V20" s="135">
        <f t="shared" si="9"/>
        <v>0</v>
      </c>
      <c r="W20" s="135">
        <f t="shared" si="10"/>
        <v>0</v>
      </c>
      <c r="X20" s="351">
        <v>0</v>
      </c>
      <c r="Y20" s="345">
        <v>0</v>
      </c>
      <c r="Z20" s="34">
        <f t="shared" si="11"/>
        <v>467.85605185185176</v>
      </c>
      <c r="AA20" s="4">
        <f t="shared" si="12"/>
        <v>247.63334814814803</v>
      </c>
      <c r="AB20" s="350">
        <v>0</v>
      </c>
      <c r="AC20" s="6">
        <f t="shared" si="13"/>
        <v>57.906666666666673</v>
      </c>
      <c r="AD20" s="4">
        <f t="shared" si="14"/>
        <v>58.61197777777781</v>
      </c>
      <c r="AE20" s="4">
        <f t="shared" si="15"/>
        <v>70.37268518518519</v>
      </c>
      <c r="AF20" s="467">
        <f t="shared" si="18"/>
        <v>5.138209876543117</v>
      </c>
      <c r="AG20" s="85">
        <f t="shared" si="16"/>
        <v>512.23999999999069</v>
      </c>
      <c r="AH20" s="10"/>
      <c r="AI20" s="81"/>
      <c r="AJ20" s="81"/>
      <c r="AK20" s="81"/>
      <c r="AL20" s="81"/>
      <c r="AM20" s="81"/>
      <c r="AN20" s="81"/>
      <c r="AO20" s="81"/>
      <c r="AP20" s="81"/>
      <c r="AQ20" s="81"/>
    </row>
    <row r="21" spans="1:43" ht="12.75" customHeight="1" x14ac:dyDescent="0.2">
      <c r="B21" s="338">
        <v>74499.11</v>
      </c>
      <c r="C21" s="339">
        <v>74584.929999999993</v>
      </c>
      <c r="D21" s="340" t="s">
        <v>16</v>
      </c>
      <c r="E21" s="340" t="s">
        <v>111</v>
      </c>
      <c r="F21" s="340" t="s">
        <v>105</v>
      </c>
      <c r="G21" s="103" t="str">
        <f t="shared" si="0"/>
        <v>E/S - C/B</v>
      </c>
      <c r="H21" s="26">
        <f t="shared" si="1"/>
        <v>1.5</v>
      </c>
      <c r="I21" s="27">
        <f t="shared" si="2"/>
        <v>1.8117555555553955</v>
      </c>
      <c r="J21" s="27">
        <f t="shared" si="3"/>
        <v>2.12960740740722</v>
      </c>
      <c r="K21" s="27">
        <f t="shared" si="4"/>
        <v>-0.57213333333328287</v>
      </c>
      <c r="L21" s="341">
        <v>0</v>
      </c>
      <c r="M21" s="83">
        <f t="shared" si="5"/>
        <v>85.819999999992433</v>
      </c>
      <c r="N21" s="345">
        <v>50.42</v>
      </c>
      <c r="O21" s="124">
        <f t="shared" si="6"/>
        <v>4328</v>
      </c>
      <c r="P21" s="347">
        <v>0</v>
      </c>
      <c r="Q21" s="123">
        <f t="shared" si="7"/>
        <v>4328</v>
      </c>
      <c r="R21" s="353">
        <v>0</v>
      </c>
      <c r="S21" s="85">
        <f>IF(OR($A21="APP SLAB",Q21=0),0,($Q21+$H21*$M21)/9)</f>
        <v>495.19222222222095</v>
      </c>
      <c r="T21" s="210">
        <f t="shared" si="17"/>
        <v>0.24759611111111046</v>
      </c>
      <c r="U21" s="135">
        <f t="shared" si="8"/>
        <v>0</v>
      </c>
      <c r="V21" s="135">
        <f t="shared" si="9"/>
        <v>0</v>
      </c>
      <c r="W21" s="135">
        <f t="shared" si="10"/>
        <v>0</v>
      </c>
      <c r="X21" s="351">
        <v>0</v>
      </c>
      <c r="Y21" s="345">
        <v>0</v>
      </c>
      <c r="Z21" s="34">
        <f t="shared" si="11"/>
        <v>155.4290395061727</v>
      </c>
      <c r="AA21" s="83">
        <f t="shared" si="12"/>
        <v>82.277755555555373</v>
      </c>
      <c r="AB21" s="350">
        <v>0</v>
      </c>
      <c r="AC21" s="85">
        <f t="shared" si="13"/>
        <v>19.235555555555557</v>
      </c>
      <c r="AD21" s="83">
        <f t="shared" si="14"/>
        <v>19.464903703703754</v>
      </c>
      <c r="AE21" s="83">
        <f t="shared" si="15"/>
        <v>23.376543209876541</v>
      </c>
      <c r="AF21" s="467">
        <f t="shared" si="18"/>
        <v>1.7216975308640456</v>
      </c>
      <c r="AG21" s="85">
        <f t="shared" si="16"/>
        <v>171.63999999998487</v>
      </c>
      <c r="AH21" s="10"/>
      <c r="AI21" s="81"/>
      <c r="AJ21" s="81"/>
      <c r="AK21" s="81"/>
      <c r="AL21" s="81"/>
      <c r="AM21" s="81"/>
      <c r="AN21" s="81"/>
      <c r="AO21" s="81"/>
      <c r="AP21" s="81"/>
      <c r="AQ21" s="81"/>
    </row>
    <row r="22" spans="1:43" ht="12.75" customHeight="1" x14ac:dyDescent="0.2">
      <c r="B22" s="338">
        <v>74584.929999999993</v>
      </c>
      <c r="C22" s="339">
        <v>74587</v>
      </c>
      <c r="D22" s="340" t="s">
        <v>16</v>
      </c>
      <c r="E22" s="340" t="s">
        <v>111</v>
      </c>
      <c r="F22" s="340" t="s">
        <v>105</v>
      </c>
      <c r="G22" s="103" t="str">
        <f t="shared" si="0"/>
        <v>E/S - C/B</v>
      </c>
      <c r="H22" s="26">
        <f t="shared" si="1"/>
        <v>1.5</v>
      </c>
      <c r="I22" s="27">
        <f t="shared" si="2"/>
        <v>4.3700000000147454E-2</v>
      </c>
      <c r="J22" s="27">
        <f t="shared" si="3"/>
        <v>5.1366666666840005E-2</v>
      </c>
      <c r="K22" s="27">
        <f t="shared" si="4"/>
        <v>-1.3800000000046565E-2</v>
      </c>
      <c r="L22" s="341">
        <v>0</v>
      </c>
      <c r="M22" s="83">
        <f t="shared" si="5"/>
        <v>2.0700000000069849</v>
      </c>
      <c r="N22" s="345" t="s">
        <v>101</v>
      </c>
      <c r="O22" s="124">
        <f t="shared" si="6"/>
        <v>0</v>
      </c>
      <c r="P22" s="347">
        <v>104</v>
      </c>
      <c r="Q22" s="123">
        <f t="shared" si="7"/>
        <v>104</v>
      </c>
      <c r="R22" s="353">
        <v>0</v>
      </c>
      <c r="S22" s="85">
        <f>IF(OR($A22="APP SLAB",Q22=0),0,($Q22+$H22*$M22)/9)</f>
        <v>11.90055555555672</v>
      </c>
      <c r="T22" s="210">
        <f t="shared" si="17"/>
        <v>5.9502777777783594E-3</v>
      </c>
      <c r="U22" s="135">
        <f t="shared" si="8"/>
        <v>0</v>
      </c>
      <c r="V22" s="135">
        <f t="shared" si="9"/>
        <v>0</v>
      </c>
      <c r="W22" s="135">
        <f t="shared" si="10"/>
        <v>0</v>
      </c>
      <c r="X22" s="351">
        <v>0</v>
      </c>
      <c r="Y22" s="345">
        <v>0</v>
      </c>
      <c r="Z22" s="34">
        <f t="shared" si="11"/>
        <v>3.7350580246915053</v>
      </c>
      <c r="AA22" s="83">
        <f t="shared" si="12"/>
        <v>1.9772925925927658</v>
      </c>
      <c r="AB22" s="350">
        <v>0</v>
      </c>
      <c r="AC22" s="85">
        <f t="shared" si="13"/>
        <v>0.4622222222222222</v>
      </c>
      <c r="AD22" s="83">
        <f t="shared" si="14"/>
        <v>0.4676814814814349</v>
      </c>
      <c r="AE22" s="83">
        <f t="shared" si="15"/>
        <v>0.56172839506172834</v>
      </c>
      <c r="AF22" s="467">
        <f t="shared" si="18"/>
        <v>4.1527777777917906E-2</v>
      </c>
      <c r="AG22" s="85">
        <f t="shared" si="16"/>
        <v>4.1400000000139698</v>
      </c>
      <c r="AH22" s="10"/>
      <c r="AI22" s="81"/>
      <c r="AJ22" s="81"/>
      <c r="AK22" s="81"/>
      <c r="AL22" s="81"/>
      <c r="AM22" s="81"/>
      <c r="AN22" s="81"/>
      <c r="AO22" s="81"/>
      <c r="AP22" s="81"/>
      <c r="AQ22" s="81"/>
    </row>
    <row r="23" spans="1:43" s="81" customFormat="1" ht="12.75" customHeight="1" x14ac:dyDescent="0.2">
      <c r="B23" s="356">
        <v>74587</v>
      </c>
      <c r="C23" s="357">
        <v>75039.25</v>
      </c>
      <c r="D23" s="340" t="s">
        <v>16</v>
      </c>
      <c r="E23" s="340" t="s">
        <v>111</v>
      </c>
      <c r="F23" s="340" t="s">
        <v>105</v>
      </c>
      <c r="G23" s="103" t="str">
        <f t="shared" si="0"/>
        <v>E/S - C/B</v>
      </c>
      <c r="H23" s="26">
        <f t="shared" si="1"/>
        <v>1.5</v>
      </c>
      <c r="I23" s="27">
        <f t="shared" si="2"/>
        <v>9.5474999999999994</v>
      </c>
      <c r="J23" s="27">
        <f t="shared" si="3"/>
        <v>11.2225</v>
      </c>
      <c r="K23" s="27">
        <f t="shared" si="4"/>
        <v>-3.0150000000000001</v>
      </c>
      <c r="L23" s="361">
        <v>0</v>
      </c>
      <c r="M23" s="89">
        <f t="shared" si="5"/>
        <v>452.25</v>
      </c>
      <c r="N23" s="345" t="s">
        <v>101</v>
      </c>
      <c r="O23" s="124">
        <f t="shared" si="6"/>
        <v>0</v>
      </c>
      <c r="P23" s="347">
        <v>26866</v>
      </c>
      <c r="Q23" s="124">
        <f t="shared" si="7"/>
        <v>26866</v>
      </c>
      <c r="R23" s="353">
        <v>0</v>
      </c>
      <c r="S23" s="352">
        <v>0</v>
      </c>
      <c r="T23" s="210">
        <f t="shared" si="17"/>
        <v>1.5302430555555557</v>
      </c>
      <c r="U23" s="135">
        <f t="shared" si="8"/>
        <v>3060.4861111111113</v>
      </c>
      <c r="V23" s="135">
        <f t="shared" si="9"/>
        <v>3060.4861111111113</v>
      </c>
      <c r="W23" s="135">
        <f t="shared" si="10"/>
        <v>90.896437500000005</v>
      </c>
      <c r="X23" s="351">
        <v>0</v>
      </c>
      <c r="Y23" s="345">
        <v>0</v>
      </c>
      <c r="Z23" s="139">
        <f t="shared" si="11"/>
        <v>963.12466049382715</v>
      </c>
      <c r="AA23" s="89">
        <f t="shared" si="12"/>
        <v>508.74101851851856</v>
      </c>
      <c r="AB23" s="355">
        <v>0</v>
      </c>
      <c r="AC23" s="135">
        <f t="shared" si="13"/>
        <v>119.40444444444445</v>
      </c>
      <c r="AD23" s="89">
        <f t="shared" si="14"/>
        <v>121.36462962962963</v>
      </c>
      <c r="AE23" s="89">
        <f t="shared" si="15"/>
        <v>145.10956790123458</v>
      </c>
      <c r="AF23" s="467">
        <f t="shared" si="18"/>
        <v>9.0729166666666661</v>
      </c>
      <c r="AG23" s="135">
        <f t="shared" si="16"/>
        <v>904.5</v>
      </c>
      <c r="AH23" s="10"/>
    </row>
    <row r="24" spans="1:43" ht="12.75" customHeight="1" x14ac:dyDescent="0.2">
      <c r="B24" s="356">
        <v>75039.25</v>
      </c>
      <c r="C24" s="357">
        <v>75100</v>
      </c>
      <c r="D24" s="340" t="s">
        <v>16</v>
      </c>
      <c r="E24" s="340" t="s">
        <v>111</v>
      </c>
      <c r="F24" s="340" t="s">
        <v>105</v>
      </c>
      <c r="G24" s="104" t="str">
        <f t="shared" si="0"/>
        <v>E/S - C/B</v>
      </c>
      <c r="H24" s="26">
        <f t="shared" si="1"/>
        <v>1.5</v>
      </c>
      <c r="I24" s="27">
        <f t="shared" si="2"/>
        <v>1.2825</v>
      </c>
      <c r="J24" s="27">
        <f t="shared" si="3"/>
        <v>1.5075000000000001</v>
      </c>
      <c r="K24" s="27">
        <f t="shared" si="4"/>
        <v>-0.40499999999999997</v>
      </c>
      <c r="L24" s="361">
        <v>0</v>
      </c>
      <c r="M24" s="89">
        <f t="shared" si="5"/>
        <v>60.75</v>
      </c>
      <c r="N24" s="345">
        <v>42.42</v>
      </c>
      <c r="O24" s="76">
        <f t="shared" si="6"/>
        <v>2578</v>
      </c>
      <c r="P24" s="347">
        <v>0</v>
      </c>
      <c r="Q24" s="124">
        <f t="shared" si="7"/>
        <v>2578</v>
      </c>
      <c r="R24" s="353">
        <v>0</v>
      </c>
      <c r="S24" s="352">
        <v>0</v>
      </c>
      <c r="T24" s="210">
        <f t="shared" si="17"/>
        <v>0.14828472222222222</v>
      </c>
      <c r="U24" s="135">
        <f t="shared" si="8"/>
        <v>296.56944444444446</v>
      </c>
      <c r="V24" s="135">
        <f t="shared" si="9"/>
        <v>296.56944444444446</v>
      </c>
      <c r="W24" s="135">
        <f t="shared" si="10"/>
        <v>8.8081125</v>
      </c>
      <c r="X24" s="351">
        <v>0</v>
      </c>
      <c r="Y24" s="345">
        <v>0</v>
      </c>
      <c r="Z24" s="139">
        <f t="shared" si="11"/>
        <v>92.785586419753088</v>
      </c>
      <c r="AA24" s="89">
        <f t="shared" si="12"/>
        <v>49.248240740740741</v>
      </c>
      <c r="AB24" s="355">
        <v>0</v>
      </c>
      <c r="AC24" s="135">
        <f t="shared" si="13"/>
        <v>11.457777777777778</v>
      </c>
      <c r="AD24" s="89">
        <f t="shared" si="14"/>
        <v>11.530185185185186</v>
      </c>
      <c r="AE24" s="89">
        <f t="shared" si="15"/>
        <v>13.924382716049381</v>
      </c>
      <c r="AF24" s="467">
        <f t="shared" si="18"/>
        <v>1.21875</v>
      </c>
      <c r="AG24" s="135">
        <f t="shared" si="16"/>
        <v>121.5</v>
      </c>
      <c r="AH24" s="10"/>
      <c r="AI24" s="81"/>
      <c r="AJ24" s="81"/>
      <c r="AK24" s="81"/>
      <c r="AL24" s="81"/>
      <c r="AM24" s="81"/>
      <c r="AN24" s="81"/>
      <c r="AO24" s="81"/>
      <c r="AP24" s="81"/>
      <c r="AQ24" s="81"/>
    </row>
    <row r="25" spans="1:43" s="81" customFormat="1" ht="12.75" customHeight="1" x14ac:dyDescent="0.2">
      <c r="B25" s="356">
        <v>75100</v>
      </c>
      <c r="C25" s="357">
        <v>75140</v>
      </c>
      <c r="D25" s="340" t="s">
        <v>16</v>
      </c>
      <c r="E25" s="340" t="s">
        <v>111</v>
      </c>
      <c r="F25" s="340" t="s">
        <v>105</v>
      </c>
      <c r="G25" s="104" t="str">
        <f t="shared" si="0"/>
        <v>E/S - C/B</v>
      </c>
      <c r="H25" s="26">
        <f t="shared" si="1"/>
        <v>1.5</v>
      </c>
      <c r="I25" s="27">
        <f t="shared" si="2"/>
        <v>0.84444444444444433</v>
      </c>
      <c r="J25" s="27">
        <f t="shared" si="3"/>
        <v>0.99259259259259258</v>
      </c>
      <c r="K25" s="27">
        <f t="shared" si="4"/>
        <v>-0.26666666666666666</v>
      </c>
      <c r="L25" s="361">
        <v>1</v>
      </c>
      <c r="M25" s="495">
        <f t="shared" ref="M25" si="19">C25-B25</f>
        <v>40</v>
      </c>
      <c r="N25" s="345">
        <v>42.42</v>
      </c>
      <c r="O25" s="124">
        <f t="shared" ref="O25" si="20">IF(N25="-",0,ROUNDUP($M25*N25,0))</f>
        <v>1697</v>
      </c>
      <c r="P25" s="347">
        <v>0</v>
      </c>
      <c r="Q25" s="124">
        <f t="shared" ref="Q25" si="21">SUM(O25:P25)</f>
        <v>1697</v>
      </c>
      <c r="R25" s="353">
        <v>0</v>
      </c>
      <c r="S25" s="493">
        <f>IF(OR($A25="APP SLAB",Q25=0),0,($Q25+$H25*$M25)/9)</f>
        <v>195.22222222222223</v>
      </c>
      <c r="T25" s="210">
        <f t="shared" ref="T25" si="22">IF(AND(S25=0,V25=0),0,IF(V25=0,S25/2000,V25/2000))</f>
        <v>9.7611111111111121E-2</v>
      </c>
      <c r="U25" s="135">
        <f t="shared" ref="U25" si="23">IF(OR(A25="APP SLAB",S25&lt;&gt;0),0,V25)</f>
        <v>0</v>
      </c>
      <c r="V25" s="135">
        <f t="shared" ref="V25" si="24">IF(OR(A25="APP SLAB",S25&lt;&gt;0),0,(Q25+H25*M25)/9)</f>
        <v>0</v>
      </c>
      <c r="W25" s="135">
        <f t="shared" ref="W25" si="25">IF(OR(A25="APP SLAB",S25&lt;&gt;0),0,$V$1*V25*110*0.06*0.75/2000)</f>
        <v>0</v>
      </c>
      <c r="X25" s="351">
        <v>0</v>
      </c>
      <c r="Y25" s="345">
        <v>0</v>
      </c>
      <c r="Z25" s="139">
        <f t="shared" ref="Z25" si="26">IF(A25="APP SLAB",0,(Q25*$Z$1/12)/27+I25)</f>
        <v>61.077469135802467</v>
      </c>
      <c r="AA25" s="495">
        <f t="shared" ref="AA25" si="27">(Q25*$AA$1/12)/27+J25</f>
        <v>32.418518518518518</v>
      </c>
      <c r="AB25" s="355">
        <v>0</v>
      </c>
      <c r="AC25" s="135">
        <f t="shared" ref="AC25" si="28">IF(A25="APP SLAB",0,(Q25/9)*$AC$1)</f>
        <v>7.5422222222222217</v>
      </c>
      <c r="AD25" s="495">
        <f t="shared" ref="AD25" si="29">IF(A25="APP SLAB",0,(Q25*($AD$1/12))/27+K25)</f>
        <v>7.5898148148148152</v>
      </c>
      <c r="AE25" s="495">
        <f t="shared" ref="AE25" si="30">IF(A25="APP SLAB",0,(Q25*$AE$1/12)/27+L25)</f>
        <v>10.165895061728394</v>
      </c>
      <c r="AF25" s="511">
        <f t="shared" si="18"/>
        <v>0.80246913580246915</v>
      </c>
      <c r="AG25" s="135">
        <f t="shared" ref="AG25" si="31">IF(A25="APP SLAB",0,(M25*2))</f>
        <v>80</v>
      </c>
      <c r="AH25" s="10"/>
    </row>
    <row r="26" spans="1:43" ht="12.75" customHeight="1" x14ac:dyDescent="0.2">
      <c r="B26" s="338">
        <v>75140</v>
      </c>
      <c r="C26" s="339">
        <v>75778.14</v>
      </c>
      <c r="D26" s="340" t="s">
        <v>16</v>
      </c>
      <c r="E26" s="340" t="s">
        <v>111</v>
      </c>
      <c r="F26" s="340" t="s">
        <v>106</v>
      </c>
      <c r="G26" s="47" t="str">
        <f t="shared" si="0"/>
        <v>F/C - C/B</v>
      </c>
      <c r="H26" s="26">
        <f t="shared" si="1"/>
        <v>2</v>
      </c>
      <c r="I26" s="27">
        <f t="shared" si="2"/>
        <v>0</v>
      </c>
      <c r="J26" s="27">
        <f t="shared" si="3"/>
        <v>23.162118518518497</v>
      </c>
      <c r="K26" s="27">
        <f t="shared" si="4"/>
        <v>-4.2542666666666626</v>
      </c>
      <c r="L26" s="341">
        <v>0</v>
      </c>
      <c r="M26" s="83">
        <f t="shared" si="5"/>
        <v>638.13999999999942</v>
      </c>
      <c r="N26" s="345">
        <v>44.42</v>
      </c>
      <c r="O26" s="76">
        <f t="shared" si="6"/>
        <v>28347</v>
      </c>
      <c r="P26" s="347">
        <v>0</v>
      </c>
      <c r="Q26" s="75">
        <f t="shared" si="7"/>
        <v>28347</v>
      </c>
      <c r="R26" s="353">
        <v>0</v>
      </c>
      <c r="S26" s="493">
        <f t="shared" ref="S26:S32" si="32">IF(OR($A26="APP SLAB",Q26=0),0,($Q26+$H26*$M26)/9)</f>
        <v>3291.4755555555553</v>
      </c>
      <c r="T26" s="210">
        <f t="shared" si="17"/>
        <v>1.6457377777777777</v>
      </c>
      <c r="U26" s="135">
        <f t="shared" si="8"/>
        <v>0</v>
      </c>
      <c r="V26" s="135">
        <f t="shared" si="9"/>
        <v>0</v>
      </c>
      <c r="W26" s="135">
        <f t="shared" si="10"/>
        <v>0</v>
      </c>
      <c r="X26" s="351">
        <v>0</v>
      </c>
      <c r="Y26" s="345">
        <v>0</v>
      </c>
      <c r="Z26" s="34">
        <f t="shared" si="11"/>
        <v>1006.1435185185185</v>
      </c>
      <c r="AA26" s="4">
        <f t="shared" si="12"/>
        <v>548.10656296296293</v>
      </c>
      <c r="AB26" s="350">
        <v>0</v>
      </c>
      <c r="AC26" s="6">
        <f t="shared" si="13"/>
        <v>125.98666666666666</v>
      </c>
      <c r="AD26" s="4">
        <f t="shared" si="14"/>
        <v>126.98184444444445</v>
      </c>
      <c r="AE26" s="4">
        <f t="shared" si="15"/>
        <v>153.1087962962963</v>
      </c>
      <c r="AF26" s="467">
        <f t="shared" si="18"/>
        <v>0</v>
      </c>
      <c r="AG26" s="85">
        <f t="shared" si="16"/>
        <v>1276.2799999999988</v>
      </c>
      <c r="AH26" s="10"/>
      <c r="AI26" s="81"/>
      <c r="AJ26" s="81"/>
      <c r="AK26" s="81"/>
      <c r="AL26" s="81"/>
      <c r="AM26" s="81"/>
      <c r="AN26" s="81"/>
      <c r="AO26" s="81"/>
      <c r="AP26" s="81"/>
      <c r="AQ26" s="81"/>
    </row>
    <row r="27" spans="1:43" ht="12.75" customHeight="1" x14ac:dyDescent="0.2">
      <c r="B27" s="338">
        <v>75778.14</v>
      </c>
      <c r="C27" s="339">
        <v>75788.42</v>
      </c>
      <c r="D27" s="340" t="s">
        <v>16</v>
      </c>
      <c r="E27" s="340" t="s">
        <v>111</v>
      </c>
      <c r="F27" s="340" t="s">
        <v>101</v>
      </c>
      <c r="G27" s="47" t="str">
        <f t="shared" si="0"/>
        <v>-</v>
      </c>
      <c r="H27" s="342">
        <v>0</v>
      </c>
      <c r="I27" s="341">
        <v>0</v>
      </c>
      <c r="J27" s="341">
        <v>0</v>
      </c>
      <c r="K27" s="341">
        <v>-7.0000000000000007E-2</v>
      </c>
      <c r="L27" s="341">
        <v>0</v>
      </c>
      <c r="M27" s="83">
        <f t="shared" si="5"/>
        <v>10.279999999998836</v>
      </c>
      <c r="N27" s="345" t="s">
        <v>101</v>
      </c>
      <c r="O27" s="76">
        <f t="shared" si="6"/>
        <v>0</v>
      </c>
      <c r="P27" s="347">
        <v>229</v>
      </c>
      <c r="Q27" s="75">
        <f t="shared" si="7"/>
        <v>229</v>
      </c>
      <c r="R27" s="353">
        <v>0</v>
      </c>
      <c r="S27" s="493">
        <f t="shared" si="32"/>
        <v>25.444444444444443</v>
      </c>
      <c r="T27" s="210">
        <f t="shared" si="17"/>
        <v>1.2722222222222222E-2</v>
      </c>
      <c r="U27" s="135">
        <f t="shared" si="8"/>
        <v>0</v>
      </c>
      <c r="V27" s="135">
        <f t="shared" si="9"/>
        <v>0</v>
      </c>
      <c r="W27" s="135">
        <f t="shared" si="10"/>
        <v>0</v>
      </c>
      <c r="X27" s="351">
        <v>0</v>
      </c>
      <c r="Y27" s="345">
        <v>0</v>
      </c>
      <c r="Z27" s="34">
        <f t="shared" si="11"/>
        <v>8.1280864197530871</v>
      </c>
      <c r="AA27" s="4">
        <f t="shared" si="12"/>
        <v>4.2407407407407405</v>
      </c>
      <c r="AB27" s="350">
        <v>0</v>
      </c>
      <c r="AC27" s="6">
        <f t="shared" si="13"/>
        <v>1.0177777777777777</v>
      </c>
      <c r="AD27" s="4">
        <f t="shared" si="14"/>
        <v>0.99018518518518506</v>
      </c>
      <c r="AE27" s="4">
        <f t="shared" si="15"/>
        <v>1.2368827160493827</v>
      </c>
      <c r="AF27" s="467">
        <f t="shared" si="18"/>
        <v>0</v>
      </c>
      <c r="AG27" s="85">
        <f t="shared" si="16"/>
        <v>20.559999999997672</v>
      </c>
      <c r="AH27" s="10"/>
      <c r="AI27" s="81"/>
      <c r="AJ27" s="81"/>
      <c r="AK27" s="81"/>
      <c r="AL27" s="81"/>
      <c r="AM27" s="81"/>
      <c r="AN27" s="81"/>
      <c r="AO27" s="81"/>
      <c r="AP27" s="81"/>
      <c r="AQ27" s="81"/>
    </row>
    <row r="28" spans="1:43" ht="12.75" customHeight="1" x14ac:dyDescent="0.2">
      <c r="A28" s="1" t="s">
        <v>28</v>
      </c>
      <c r="B28" s="338">
        <v>75788.42</v>
      </c>
      <c r="C28" s="339">
        <v>75818.42</v>
      </c>
      <c r="D28" s="340" t="s">
        <v>16</v>
      </c>
      <c r="E28" s="340" t="s">
        <v>101</v>
      </c>
      <c r="F28" s="340" t="s">
        <v>101</v>
      </c>
      <c r="G28" s="47" t="str">
        <f t="shared" si="0"/>
        <v>-</v>
      </c>
      <c r="H28" s="26">
        <v>4</v>
      </c>
      <c r="I28" s="27">
        <f>IF(AND($E28=$AI$2,$F28=$AI$2),2*$AN$12*$M28/27,IF(OR(AND($E28=$AI$2,$F28=$AI$3),AND($E28=$AI$3,$F28=$AI$2)),$AN$12*$M28/27,IF(OR(AND($E28=$AI$2,$F28=$AI$4),AND($E28=$AI$4,$F28=$AI$2)),$AN$12*$M28/27,0)))</f>
        <v>0</v>
      </c>
      <c r="J28" s="27">
        <f>IF(AND($E28=$AI$2,$F28=$AI$2),2*$AQ$12*$M28/27,IF(OR(AND($E28=$AI$2,$F28=$AI$3),AND($E28=$AI$3,$F28=$AI$2)),($AQ$12+$AQ$13)*$M28/27,IF(OR(AND($E28=$AI$2,$F28=$AI$4),AND($E28=$AI$4,$F28=$AI$2)),$AQ$12*$M28/27,IF(OR(AND($E28=$AI$3,$F28=$AI$4),AND($E28=$AI$4,$F28=$AI$3)),$AQ$13*$M28/27,IF(AND($E28=$AI$3,$F28=$AI$3),2*$AQ$13*$M28/27,0)))))</f>
        <v>0</v>
      </c>
      <c r="K28" s="27">
        <f>IF(AND($E28=$AI$4,$F28=$AI$4),2*$AT$14*$M28/27,IF(OR($E28=$AI$4,$F28=$AI$4),$AT$14*$M28/27,0))</f>
        <v>0</v>
      </c>
      <c r="L28" s="341">
        <v>0</v>
      </c>
      <c r="M28" s="83">
        <f t="shared" si="5"/>
        <v>30</v>
      </c>
      <c r="N28" s="345" t="s">
        <v>101</v>
      </c>
      <c r="O28" s="76">
        <f t="shared" si="6"/>
        <v>0</v>
      </c>
      <c r="P28" s="347">
        <v>1413</v>
      </c>
      <c r="Q28" s="75">
        <f t="shared" si="7"/>
        <v>1413</v>
      </c>
      <c r="R28" s="353">
        <v>0</v>
      </c>
      <c r="S28" s="493">
        <f>IF(OR(Q28=0),0,($Q28+$H28*$M28)/9)</f>
        <v>170.33333333333334</v>
      </c>
      <c r="T28" s="210">
        <f t="shared" si="17"/>
        <v>8.5166666666666668E-2</v>
      </c>
      <c r="U28" s="135">
        <f t="shared" si="8"/>
        <v>0</v>
      </c>
      <c r="V28" s="135">
        <f t="shared" si="9"/>
        <v>0</v>
      </c>
      <c r="W28" s="135">
        <f t="shared" si="10"/>
        <v>0</v>
      </c>
      <c r="X28" s="351">
        <v>0</v>
      </c>
      <c r="Y28" s="345">
        <v>0</v>
      </c>
      <c r="Z28" s="34">
        <f t="shared" si="11"/>
        <v>0</v>
      </c>
      <c r="AA28" s="4">
        <f t="shared" si="12"/>
        <v>26.166666666666668</v>
      </c>
      <c r="AB28" s="350">
        <v>0</v>
      </c>
      <c r="AC28" s="6">
        <f t="shared" si="13"/>
        <v>0</v>
      </c>
      <c r="AD28" s="4">
        <f t="shared" si="14"/>
        <v>0</v>
      </c>
      <c r="AE28" s="4">
        <f t="shared" si="15"/>
        <v>0</v>
      </c>
      <c r="AF28" s="467">
        <f t="shared" si="18"/>
        <v>0</v>
      </c>
      <c r="AG28" s="85">
        <f t="shared" si="16"/>
        <v>0</v>
      </c>
      <c r="AH28" s="10"/>
      <c r="AI28" s="81"/>
      <c r="AJ28" s="81"/>
      <c r="AK28" s="81"/>
      <c r="AL28" s="81"/>
      <c r="AM28" s="81"/>
      <c r="AN28" s="81"/>
      <c r="AO28" s="81"/>
      <c r="AP28" s="81"/>
      <c r="AQ28" s="81"/>
    </row>
    <row r="29" spans="1:43" ht="12.75" customHeight="1" x14ac:dyDescent="0.2">
      <c r="A29" s="1" t="s">
        <v>28</v>
      </c>
      <c r="B29" s="338">
        <v>75914.84</v>
      </c>
      <c r="C29" s="339">
        <v>75944.84</v>
      </c>
      <c r="D29" s="340" t="s">
        <v>16</v>
      </c>
      <c r="E29" s="340" t="s">
        <v>101</v>
      </c>
      <c r="F29" s="340" t="s">
        <v>101</v>
      </c>
      <c r="G29" s="47" t="str">
        <f t="shared" si="0"/>
        <v>-</v>
      </c>
      <c r="H29" s="26">
        <v>4</v>
      </c>
      <c r="I29" s="27">
        <f>IF(AND($E29=$AI$2,$F29=$AI$2),2*$AN$12*$M29/27,IF(OR(AND($E29=$AI$2,$F29=$AI$3),AND($E29=$AI$3,$F29=$AI$2)),$AN$12*$M29/27,IF(OR(AND($E29=$AI$2,$F29=$AI$4),AND($E29=$AI$4,$F29=$AI$2)),$AN$12*$M29/27,0)))</f>
        <v>0</v>
      </c>
      <c r="J29" s="27">
        <f>IF(AND($E29=$AI$2,$F29=$AI$2),2*$AQ$12*$M29/27,IF(OR(AND($E29=$AI$2,$F29=$AI$3),AND($E29=$AI$3,$F29=$AI$2)),($AQ$12+$AQ$13)*$M29/27,IF(OR(AND($E29=$AI$2,$F29=$AI$4),AND($E29=$AI$4,$F29=$AI$2)),$AQ$12*$M29/27,IF(OR(AND($E29=$AI$3,$F29=$AI$4),AND($E29=$AI$4,$F29=$AI$3)),$AQ$13*$M29/27,IF(AND($E29=$AI$3,$F29=$AI$3),2*$AQ$13*$M29/27,0)))))</f>
        <v>0</v>
      </c>
      <c r="K29" s="27">
        <f>IF(AND($E29=$AI$4,$F29=$AI$4),2*$AT$14*$M29/27,IF(OR($E29=$AI$4,$F29=$AI$4),$AT$14*$M29/27,0))</f>
        <v>0</v>
      </c>
      <c r="L29" s="341">
        <v>0</v>
      </c>
      <c r="M29" s="83">
        <f t="shared" si="5"/>
        <v>30</v>
      </c>
      <c r="N29" s="345" t="s">
        <v>101</v>
      </c>
      <c r="O29" s="76">
        <f t="shared" si="6"/>
        <v>0</v>
      </c>
      <c r="P29" s="347">
        <v>1413</v>
      </c>
      <c r="Q29" s="75">
        <f t="shared" si="7"/>
        <v>1413</v>
      </c>
      <c r="R29" s="353">
        <v>0</v>
      </c>
      <c r="S29" s="493">
        <f>IF(OR(Q29=0),0,($Q29+$H29*$M29)/9)</f>
        <v>170.33333333333334</v>
      </c>
      <c r="T29" s="210">
        <f t="shared" si="17"/>
        <v>8.5166666666666668E-2</v>
      </c>
      <c r="U29" s="135">
        <f t="shared" si="8"/>
        <v>0</v>
      </c>
      <c r="V29" s="135">
        <f t="shared" si="9"/>
        <v>0</v>
      </c>
      <c r="W29" s="135">
        <f t="shared" si="10"/>
        <v>0</v>
      </c>
      <c r="X29" s="351">
        <v>0</v>
      </c>
      <c r="Y29" s="345">
        <v>0</v>
      </c>
      <c r="Z29" s="34">
        <f t="shared" si="11"/>
        <v>0</v>
      </c>
      <c r="AA29" s="4">
        <f t="shared" si="12"/>
        <v>26.166666666666668</v>
      </c>
      <c r="AB29" s="350">
        <v>0</v>
      </c>
      <c r="AC29" s="6">
        <f t="shared" si="13"/>
        <v>0</v>
      </c>
      <c r="AD29" s="4">
        <f t="shared" si="14"/>
        <v>0</v>
      </c>
      <c r="AE29" s="4">
        <f t="shared" si="15"/>
        <v>0</v>
      </c>
      <c r="AF29" s="467">
        <f t="shared" si="18"/>
        <v>0</v>
      </c>
      <c r="AG29" s="85">
        <f t="shared" si="16"/>
        <v>0</v>
      </c>
      <c r="AH29" s="10"/>
      <c r="AI29" s="81"/>
      <c r="AJ29" s="81"/>
      <c r="AK29" s="81"/>
      <c r="AL29" s="81"/>
      <c r="AM29" s="81"/>
      <c r="AN29" s="81"/>
      <c r="AO29" s="81"/>
      <c r="AP29" s="81"/>
      <c r="AQ29" s="81"/>
    </row>
    <row r="30" spans="1:43" ht="12.75" customHeight="1" x14ac:dyDescent="0.2">
      <c r="B30" s="338">
        <v>75934.570000000007</v>
      </c>
      <c r="C30" s="339">
        <v>75944.84</v>
      </c>
      <c r="D30" s="340" t="s">
        <v>16</v>
      </c>
      <c r="E30" s="340" t="s">
        <v>101</v>
      </c>
      <c r="F30" s="340" t="s">
        <v>106</v>
      </c>
      <c r="G30" s="47" t="str">
        <f t="shared" si="0"/>
        <v>-</v>
      </c>
      <c r="H30" s="342">
        <v>2</v>
      </c>
      <c r="I30" s="341">
        <v>0</v>
      </c>
      <c r="J30" s="341">
        <v>0.37</v>
      </c>
      <c r="K30" s="341">
        <v>0</v>
      </c>
      <c r="L30" s="341">
        <v>0</v>
      </c>
      <c r="M30" s="83">
        <f t="shared" si="5"/>
        <v>10.269999999989523</v>
      </c>
      <c r="N30" s="345" t="s">
        <v>101</v>
      </c>
      <c r="O30" s="76">
        <f t="shared" si="6"/>
        <v>0</v>
      </c>
      <c r="P30" s="347">
        <v>229</v>
      </c>
      <c r="Q30" s="75">
        <f t="shared" si="7"/>
        <v>229</v>
      </c>
      <c r="R30" s="353">
        <v>0</v>
      </c>
      <c r="S30" s="493">
        <f t="shared" si="32"/>
        <v>27.72666666666434</v>
      </c>
      <c r="T30" s="210">
        <f t="shared" si="17"/>
        <v>1.3863333333332169E-2</v>
      </c>
      <c r="U30" s="135">
        <f t="shared" si="8"/>
        <v>0</v>
      </c>
      <c r="V30" s="135">
        <f t="shared" si="9"/>
        <v>0</v>
      </c>
      <c r="W30" s="135">
        <f t="shared" si="10"/>
        <v>0</v>
      </c>
      <c r="X30" s="351">
        <v>0</v>
      </c>
      <c r="Y30" s="345">
        <v>0</v>
      </c>
      <c r="Z30" s="34">
        <f t="shared" si="11"/>
        <v>8.1280864197530871</v>
      </c>
      <c r="AA30" s="4">
        <f t="shared" si="12"/>
        <v>4.6107407407407406</v>
      </c>
      <c r="AB30" s="350">
        <v>0</v>
      </c>
      <c r="AC30" s="6">
        <f t="shared" si="13"/>
        <v>1.0177777777777777</v>
      </c>
      <c r="AD30" s="4">
        <f t="shared" si="14"/>
        <v>1.0601851851851851</v>
      </c>
      <c r="AE30" s="4">
        <f t="shared" si="15"/>
        <v>1.2368827160493827</v>
      </c>
      <c r="AF30" s="467">
        <f t="shared" si="18"/>
        <v>0</v>
      </c>
      <c r="AG30" s="85">
        <f t="shared" si="16"/>
        <v>20.539999999979045</v>
      </c>
      <c r="AH30" s="10"/>
      <c r="AI30" s="81"/>
      <c r="AJ30" s="81"/>
      <c r="AK30" s="81"/>
      <c r="AL30" s="81"/>
      <c r="AM30" s="81"/>
      <c r="AN30" s="81"/>
      <c r="AO30" s="81"/>
      <c r="AP30" s="81"/>
      <c r="AQ30" s="81"/>
    </row>
    <row r="31" spans="1:43" ht="12.75" customHeight="1" x14ac:dyDescent="0.2">
      <c r="B31" s="338">
        <v>75944.84</v>
      </c>
      <c r="C31" s="339">
        <v>76085.570000000007</v>
      </c>
      <c r="D31" s="340" t="s">
        <v>16</v>
      </c>
      <c r="E31" s="340" t="s">
        <v>111</v>
      </c>
      <c r="F31" s="340" t="s">
        <v>106</v>
      </c>
      <c r="G31" s="47" t="str">
        <f t="shared" si="0"/>
        <v>F/C - C/B</v>
      </c>
      <c r="H31" s="26">
        <f>IF(AND($E31=$AI$2,$F31=$AI$2),2*$AK$12,IF(OR(AND($E31=$AI$2, $F31=$AI$3),AND($E31=$AI$3,$F31=$AI$2)),$AK$12+$AK$13,IF(OR(AND($E31=$AI$2,$F31=$AI$4),AND($E31=$AI$4,$F31=$AI$2)),$AK$12,IF(OR(AND($E31=$AI$3,$F31=$AI$4),AND($E31=$AI$4,$F31=$AI$3)),$AK$13,IF(AND($E31=$AI$3,$F31=$AI$3),2*$AK$13,0)))))</f>
        <v>2</v>
      </c>
      <c r="I31" s="27">
        <f>IF(AND($E31=$AI$2,$F31=$AI$2),2*$AN$12*$M31/27,IF(OR(AND($E31=$AI$2,$F31=$AI$3),AND($E31=$AI$3,$F31=$AI$2)),$AN$12*$M31/27,IF(OR(AND($E31=$AI$2,$F31=$AI$4),AND($E31=$AI$4,$F31=$AI$2)),$AN$12*$M31/27,0)))</f>
        <v>0</v>
      </c>
      <c r="J31" s="27">
        <f>IF(AND($E31=$AI$2,$F31=$AI$2),2*$AQ$12*$M31/27,IF(OR(AND($E31=$AI$2,$F31=$AI$3),AND($E31=$AI$3,$F31=$AI$2)),($AQ$12+$AQ$13)*$M31/27,IF(OR(AND($E31=$AI$2,$F31=$AI$4),AND($E31=$AI$4,$F31=$AI$2)),$AQ$12*$M31/27,IF(OR(AND($E31=$AI$3,$F31=$AI$4),AND($E31=$AI$4,$F31=$AI$3)),$AQ$13*$M31/27,IF(AND($E31=$AI$3,$F31=$AI$3),2*$AQ$13*$M31/27,0)))))</f>
        <v>5.1079777777781583</v>
      </c>
      <c r="K31" s="27">
        <f>IF(AND($E31=$AI$4,$F31=$AI$4),2*$AT$14*$M31/27,IF(OR($E31=$AI$4,$F31=$AI$4),$AT$14*$M31/27,0))</f>
        <v>-0.93820000000006987</v>
      </c>
      <c r="L31" s="341">
        <v>0</v>
      </c>
      <c r="M31" s="83">
        <f t="shared" si="5"/>
        <v>140.73000000001048</v>
      </c>
      <c r="N31" s="345">
        <v>44.42</v>
      </c>
      <c r="O31" s="76">
        <f t="shared" si="6"/>
        <v>6252</v>
      </c>
      <c r="P31" s="347">
        <v>0</v>
      </c>
      <c r="Q31" s="75">
        <f t="shared" si="7"/>
        <v>6252</v>
      </c>
      <c r="R31" s="353">
        <v>0</v>
      </c>
      <c r="S31" s="493">
        <f t="shared" si="32"/>
        <v>725.94000000000233</v>
      </c>
      <c r="T31" s="210">
        <f t="shared" si="17"/>
        <v>0.36297000000000118</v>
      </c>
      <c r="U31" s="135">
        <f t="shared" si="8"/>
        <v>0</v>
      </c>
      <c r="V31" s="135">
        <f t="shared" si="9"/>
        <v>0</v>
      </c>
      <c r="W31" s="135">
        <f t="shared" si="10"/>
        <v>0</v>
      </c>
      <c r="X31" s="351">
        <v>0</v>
      </c>
      <c r="Y31" s="345">
        <v>0</v>
      </c>
      <c r="Z31" s="34">
        <f t="shared" si="11"/>
        <v>221.90740740740742</v>
      </c>
      <c r="AA31" s="4">
        <f t="shared" si="12"/>
        <v>120.88575555555593</v>
      </c>
      <c r="AB31" s="350">
        <v>0</v>
      </c>
      <c r="AC31" s="6">
        <f t="shared" si="13"/>
        <v>27.786666666666665</v>
      </c>
      <c r="AD31" s="4">
        <f t="shared" si="14"/>
        <v>28.006244444444373</v>
      </c>
      <c r="AE31" s="4">
        <f t="shared" si="15"/>
        <v>33.768518518518519</v>
      </c>
      <c r="AF31" s="467">
        <f t="shared" si="18"/>
        <v>0</v>
      </c>
      <c r="AG31" s="85">
        <f t="shared" si="16"/>
        <v>281.46000000002095</v>
      </c>
      <c r="AH31" s="10"/>
      <c r="AI31" s="81"/>
      <c r="AJ31" s="81"/>
      <c r="AK31" s="81"/>
      <c r="AL31" s="81"/>
      <c r="AM31" s="81"/>
      <c r="AN31" s="81"/>
      <c r="AO31" s="81"/>
      <c r="AP31" s="81"/>
      <c r="AQ31" s="81"/>
    </row>
    <row r="32" spans="1:43" ht="12.75" customHeight="1" x14ac:dyDescent="0.2">
      <c r="B32" s="338">
        <v>76085.570000000007</v>
      </c>
      <c r="C32" s="339">
        <v>76300</v>
      </c>
      <c r="D32" s="340" t="s">
        <v>16</v>
      </c>
      <c r="E32" s="340" t="s">
        <v>111</v>
      </c>
      <c r="F32" s="340" t="s">
        <v>106</v>
      </c>
      <c r="G32" s="47" t="str">
        <f t="shared" si="0"/>
        <v>F/C - C/B</v>
      </c>
      <c r="H32" s="26">
        <f>IF(AND($E32=$AI$2,$F32=$AI$2),2*$AK$12,IF(OR(AND($E32=$AI$2, $F32=$AI$3),AND($E32=$AI$3,$F32=$AI$2)),$AK$12+$AK$13,IF(OR(AND($E32=$AI$2,$F32=$AI$4),AND($E32=$AI$4,$F32=$AI$2)),$AK$12,IF(OR(AND($E32=$AI$3,$F32=$AI$4),AND($E32=$AI$4,$F32=$AI$3)),$AK$13,IF(AND($E32=$AI$3,$F32=$AI$3),2*$AK$13,0)))))</f>
        <v>2</v>
      </c>
      <c r="I32" s="27">
        <f>IF(AND($E32=$AI$2,$F32=$AI$2),2*$AN$12*$M32/27,IF(OR(AND($E32=$AI$2,$F32=$AI$3),AND($E32=$AI$3,$F32=$AI$2)),$AN$12*$M32/27,IF(OR(AND($E32=$AI$2,$F32=$AI$4),AND($E32=$AI$4,$F32=$AI$2)),$AN$12*$M32/27,0)))</f>
        <v>0</v>
      </c>
      <c r="J32" s="27">
        <f>IF(AND($E32=$AI$2,$F32=$AI$2),2*$AQ$12*$M32/27,IF(OR(AND($E32=$AI$2,$F32=$AI$3),AND($E32=$AI$3,$F32=$AI$2)),($AQ$12+$AQ$13)*$M32/27,IF(OR(AND($E32=$AI$2,$F32=$AI$4),AND($E32=$AI$4,$F32=$AI$2)),$AQ$12*$M32/27,IF(OR(AND($E32=$AI$3,$F32=$AI$4),AND($E32=$AI$4,$F32=$AI$3)),$AQ$13*$M32/27,IF(AND($E32=$AI$3,$F32=$AI$3),2*$AQ$13*$M32/27,0)))))</f>
        <v>7.7830148148145613</v>
      </c>
      <c r="K32" s="27">
        <f>IF(AND($E32=$AI$4,$F32=$AI$4),2*$AT$14*$M32/27,IF(OR($E32=$AI$4,$F32=$AI$4),$AT$14*$M32/27,0))</f>
        <v>-1.4295333333332867</v>
      </c>
      <c r="L32" s="341">
        <v>0</v>
      </c>
      <c r="M32" s="83">
        <f t="shared" si="5"/>
        <v>214.42999999999302</v>
      </c>
      <c r="N32" s="345" t="s">
        <v>101</v>
      </c>
      <c r="O32" s="76">
        <f t="shared" si="6"/>
        <v>0</v>
      </c>
      <c r="P32" s="347">
        <v>9812</v>
      </c>
      <c r="Q32" s="75">
        <f t="shared" si="7"/>
        <v>9812</v>
      </c>
      <c r="R32" s="353">
        <v>0</v>
      </c>
      <c r="S32" s="493">
        <f t="shared" si="32"/>
        <v>1137.8733333333319</v>
      </c>
      <c r="T32" s="210">
        <f t="shared" si="17"/>
        <v>0.56893666666666598</v>
      </c>
      <c r="U32" s="135">
        <f t="shared" si="8"/>
        <v>0</v>
      </c>
      <c r="V32" s="135">
        <f t="shared" si="9"/>
        <v>0</v>
      </c>
      <c r="W32" s="135">
        <f t="shared" si="10"/>
        <v>0</v>
      </c>
      <c r="X32" s="351">
        <v>0</v>
      </c>
      <c r="Y32" s="345">
        <v>0</v>
      </c>
      <c r="Z32" s="34">
        <f t="shared" si="11"/>
        <v>348.26543209876542</v>
      </c>
      <c r="AA32" s="4">
        <f t="shared" si="12"/>
        <v>189.48671851851824</v>
      </c>
      <c r="AB32" s="350">
        <v>0</v>
      </c>
      <c r="AC32" s="6">
        <f t="shared" si="13"/>
        <v>43.608888888888885</v>
      </c>
      <c r="AD32" s="4">
        <f t="shared" si="14"/>
        <v>43.996392592592635</v>
      </c>
      <c r="AE32" s="4">
        <f t="shared" si="15"/>
        <v>52.996913580246918</v>
      </c>
      <c r="AF32" s="467">
        <f t="shared" si="18"/>
        <v>0</v>
      </c>
      <c r="AG32" s="85">
        <f t="shared" si="16"/>
        <v>428.85999999998603</v>
      </c>
      <c r="AH32" s="10"/>
      <c r="AI32" s="81"/>
      <c r="AJ32" s="81"/>
      <c r="AK32" s="81"/>
      <c r="AL32" s="81"/>
      <c r="AM32" s="81"/>
      <c r="AN32" s="81"/>
      <c r="AO32" s="81"/>
      <c r="AP32" s="81"/>
      <c r="AQ32" s="81"/>
    </row>
    <row r="33" spans="1:56" s="81" customFormat="1" ht="12.75" customHeight="1" x14ac:dyDescent="0.2">
      <c r="B33" s="338">
        <v>76300</v>
      </c>
      <c r="C33" s="339">
        <v>76681.61</v>
      </c>
      <c r="D33" s="340" t="s">
        <v>16</v>
      </c>
      <c r="E33" s="340" t="s">
        <v>111</v>
      </c>
      <c r="F33" s="340" t="s">
        <v>106</v>
      </c>
      <c r="G33" s="103" t="str">
        <f t="shared" si="0"/>
        <v>F/C - C/B</v>
      </c>
      <c r="H33" s="26">
        <f>IF(AND($E33=$AI$2,$F33=$AI$2),2*$AK$12,IF(OR(AND($E33=$AI$2, $F33=$AI$3),AND($E33=$AI$3,$F33=$AI$2)),$AK$12+$AK$13,IF(OR(AND($E33=$AI$2,$F33=$AI$4),AND($E33=$AI$4,$F33=$AI$2)),$AK$12,IF(OR(AND($E33=$AI$3,$F33=$AI$4),AND($E33=$AI$4,$F33=$AI$3)),$AK$13,IF(AND($E33=$AI$3,$F33=$AI$3),2*$AK$13,0)))))</f>
        <v>2</v>
      </c>
      <c r="I33" s="27">
        <f>IF(AND($E33=$AI$2,$F33=$AI$2),2*$AN$12*$M33/27,IF(OR(AND($E33=$AI$2,$F33=$AI$3),AND($E33=$AI$3,$F33=$AI$2)),$AN$12*$M33/27,IF(OR(AND($E33=$AI$2,$F33=$AI$4),AND($E33=$AI$4,$F33=$AI$2)),$AN$12*$M33/27,0)))</f>
        <v>0</v>
      </c>
      <c r="J33" s="27">
        <f>IF(AND($E33=$AI$2,$F33=$AI$2),2*$AQ$12*$M33/27,IF(OR(AND($E33=$AI$2,$F33=$AI$3),AND($E33=$AI$3,$F33=$AI$2)),($AQ$12+$AQ$13)*$M33/27,IF(OR(AND($E33=$AI$2,$F33=$AI$4),AND($E33=$AI$4,$F33=$AI$2)),$AQ$12*$M33/27,IF(OR(AND($E33=$AI$3,$F33=$AI$4),AND($E33=$AI$4,$F33=$AI$3)),$AQ$13*$M33/27,IF(AND($E33=$AI$3,$F33=$AI$3),2*$AQ$13*$M33/27,0)))))</f>
        <v>13.85102962962965</v>
      </c>
      <c r="K33" s="27">
        <f>IF(AND($E33=$AI$4,$F33=$AI$4),2*$AT$14*$M33/27,IF(OR($E33=$AI$4,$F33=$AI$4),$AT$14*$M33/27,0))</f>
        <v>-2.5440666666666707</v>
      </c>
      <c r="L33" s="341">
        <v>1</v>
      </c>
      <c r="M33" s="492">
        <f t="shared" ref="M33" si="33">C33-B33</f>
        <v>381.61000000000058</v>
      </c>
      <c r="N33" s="345" t="s">
        <v>101</v>
      </c>
      <c r="O33" s="124">
        <f t="shared" ref="O33" si="34">IF(N33="-",0,ROUNDUP($M33*N33,0))</f>
        <v>0</v>
      </c>
      <c r="P33" s="347">
        <v>22175</v>
      </c>
      <c r="Q33" s="123">
        <f t="shared" ref="Q33" si="35">SUM(O33:P33)</f>
        <v>22175</v>
      </c>
      <c r="R33" s="353">
        <v>0</v>
      </c>
      <c r="S33" s="352">
        <v>0</v>
      </c>
      <c r="T33" s="210">
        <f t="shared" ref="T33" si="36">IF(AND(S33=0,V33=0),0,IF(V33=0,S33/2000,V33/2000))</f>
        <v>1.2743455555555556</v>
      </c>
      <c r="U33" s="135">
        <f t="shared" ref="U33" si="37">IF(OR(A33="APP SLAB",S33&lt;&gt;0),0,V33)</f>
        <v>2548.6911111111112</v>
      </c>
      <c r="V33" s="135">
        <f t="shared" ref="V33" si="38">IF(OR(A33="APP SLAB",S33&lt;&gt;0),0,(Q33+H33*M33)/9)</f>
        <v>2548.6911111111112</v>
      </c>
      <c r="W33" s="135">
        <f t="shared" ref="W33" si="39">IF(OR(A33="APP SLAB",S33&lt;&gt;0),0,$V$1*V33*110*0.06*0.75/2000)</f>
        <v>75.696125999999992</v>
      </c>
      <c r="X33" s="351">
        <v>0</v>
      </c>
      <c r="Y33" s="345">
        <v>0</v>
      </c>
      <c r="Z33" s="34">
        <f t="shared" ref="Z33" si="40">IF(A33="APP SLAB",0,(Q33*$Z$1/12)/27+I33)</f>
        <v>787.07561728395069</v>
      </c>
      <c r="AA33" s="492">
        <f t="shared" ref="AA33" si="41">(Q33*$AA$1/12)/27+J33</f>
        <v>424.49917777777779</v>
      </c>
      <c r="AB33" s="350">
        <v>0</v>
      </c>
      <c r="AC33" s="493">
        <f t="shared" ref="AC33" si="42">IF(A33="APP SLAB",0,(Q33/9)*$AC$1)</f>
        <v>98.555555555555543</v>
      </c>
      <c r="AD33" s="492">
        <f t="shared" ref="AD33" si="43">IF(A33="APP SLAB",0,(Q33*($AD$1/12))/27+K33)</f>
        <v>100.11797037037037</v>
      </c>
      <c r="AE33" s="492">
        <f t="shared" ref="AE33" si="44">IF(A33="APP SLAB",0,(Q33*$AE$1/12)/27+L33)</f>
        <v>120.77237654320987</v>
      </c>
      <c r="AF33" s="511">
        <f t="shared" si="18"/>
        <v>0</v>
      </c>
      <c r="AG33" s="493">
        <f t="shared" ref="AG33" si="45">IF(A33="APP SLAB",0,(M33*2))</f>
        <v>763.22000000000116</v>
      </c>
      <c r="AH33" s="10"/>
    </row>
    <row r="34" spans="1:56" ht="12.75" customHeight="1" x14ac:dyDescent="0.2">
      <c r="B34" s="338">
        <v>76681.61</v>
      </c>
      <c r="C34" s="339">
        <v>76998.59</v>
      </c>
      <c r="D34" s="340" t="s">
        <v>16</v>
      </c>
      <c r="E34" s="340" t="s">
        <v>111</v>
      </c>
      <c r="F34" s="340" t="s">
        <v>105</v>
      </c>
      <c r="G34" s="47" t="str">
        <f t="shared" si="0"/>
        <v>E/S - C/B</v>
      </c>
      <c r="H34" s="26">
        <f>IF(AND($E34=$AI$2,$F34=$AI$2),2*$AK$12,IF(OR(AND($E34=$AI$2, $F34=$AI$3),AND($E34=$AI$3,$F34=$AI$2)),$AK$12+$AK$13,IF(OR(AND($E34=$AI$2,$F34=$AI$4),AND($E34=$AI$4,$F34=$AI$2)),$AK$12,IF(OR(AND($E34=$AI$3,$F34=$AI$4),AND($E34=$AI$4,$F34=$AI$3)),$AK$13,IF(AND($E34=$AI$3,$F34=$AI$3),2*$AK$13,0)))))</f>
        <v>1.5</v>
      </c>
      <c r="I34" s="27">
        <f>IF(AND($E34=$AI$2,$F34=$AI$2),2*$AN$12*$M34/27,IF(OR(AND($E34=$AI$2,$F34=$AI$3),AND($E34=$AI$3,$F34=$AI$2)),$AN$12*$M34/27,IF(OR(AND($E34=$AI$2,$F34=$AI$4),AND($E34=$AI$4,$F34=$AI$2)),$AN$12*$M34/27,0)))</f>
        <v>6.6917999999999136</v>
      </c>
      <c r="J34" s="27">
        <f>IF(AND($E34=$AI$2,$F34=$AI$2),2*$AQ$12*$M34/27,IF(OR(AND($E34=$AI$2,$F34=$AI$3),AND($E34=$AI$3,$F34=$AI$2)),($AQ$12+$AQ$13)*$M34/27,IF(OR(AND($E34=$AI$2,$F34=$AI$4),AND($E34=$AI$4,$F34=$AI$2)),$AQ$12*$M34/27,IF(OR(AND($E34=$AI$3,$F34=$AI$4),AND($E34=$AI$4,$F34=$AI$3)),$AQ$13*$M34/27,IF(AND($E34=$AI$3,$F34=$AI$3),2*$AQ$13*$M34/27,0)))))</f>
        <v>7.8657999999998998</v>
      </c>
      <c r="K34" s="27">
        <f>IF(AND($E34=$AI$4,$F34=$AI$4),2*$AT$14*$M34/27,IF(OR($E34=$AI$4,$F34=$AI$4),$AT$14*$M34/27,0))</f>
        <v>-2.1131999999999729</v>
      </c>
      <c r="L34" s="341">
        <v>0</v>
      </c>
      <c r="M34" s="83">
        <f t="shared" si="5"/>
        <v>316.97999999999593</v>
      </c>
      <c r="N34" s="345">
        <v>28.42</v>
      </c>
      <c r="O34" s="76">
        <f t="shared" si="6"/>
        <v>9009</v>
      </c>
      <c r="P34" s="347">
        <v>0</v>
      </c>
      <c r="Q34" s="75">
        <f t="shared" si="7"/>
        <v>9009</v>
      </c>
      <c r="R34" s="353">
        <v>0</v>
      </c>
      <c r="S34" s="352">
        <v>0</v>
      </c>
      <c r="T34" s="210">
        <f t="shared" si="17"/>
        <v>0.52691499999999958</v>
      </c>
      <c r="U34" s="135">
        <f t="shared" si="8"/>
        <v>1053.8299999999992</v>
      </c>
      <c r="V34" s="135">
        <f t="shared" si="9"/>
        <v>1053.8299999999992</v>
      </c>
      <c r="W34" s="135">
        <f t="shared" si="10"/>
        <v>31.298750999999982</v>
      </c>
      <c r="X34" s="351">
        <v>0</v>
      </c>
      <c r="Y34" s="345">
        <v>0</v>
      </c>
      <c r="Z34" s="34">
        <f t="shared" si="11"/>
        <v>326.4556888888888</v>
      </c>
      <c r="AA34" s="4">
        <f t="shared" si="12"/>
        <v>174.69913333333324</v>
      </c>
      <c r="AB34" s="350">
        <v>0</v>
      </c>
      <c r="AC34" s="6">
        <f t="shared" si="13"/>
        <v>40.04</v>
      </c>
      <c r="AD34" s="4">
        <f t="shared" si="14"/>
        <v>39.595133333333365</v>
      </c>
      <c r="AE34" s="4">
        <f t="shared" si="15"/>
        <v>48.659722222222221</v>
      </c>
      <c r="AF34" s="467">
        <f t="shared" si="18"/>
        <v>6.3591666666665851</v>
      </c>
      <c r="AG34" s="85">
        <f t="shared" si="16"/>
        <v>633.95999999999185</v>
      </c>
      <c r="AH34" s="10"/>
      <c r="AI34" s="81"/>
      <c r="AJ34" s="81"/>
      <c r="AK34" s="81"/>
      <c r="AL34" s="81"/>
      <c r="AM34" s="81"/>
      <c r="AN34" s="81"/>
      <c r="AO34" s="81"/>
      <c r="AP34" s="81"/>
      <c r="AQ34" s="81"/>
    </row>
    <row r="35" spans="1:56" ht="12.75" customHeight="1" thickBot="1" x14ac:dyDescent="0.25">
      <c r="B35" s="54"/>
      <c r="C35" s="3"/>
      <c r="D35" s="133"/>
      <c r="E35" s="158"/>
      <c r="F35" s="158"/>
      <c r="G35" s="158"/>
      <c r="H35" s="159"/>
      <c r="I35" s="160"/>
      <c r="J35" s="160"/>
      <c r="K35" s="160"/>
      <c r="L35" s="161"/>
      <c r="M35" s="84"/>
      <c r="N35" s="84"/>
      <c r="O35" s="119"/>
      <c r="P35" s="119"/>
      <c r="Q35" s="119"/>
      <c r="R35" s="119"/>
      <c r="S35" s="119"/>
      <c r="T35" s="19"/>
      <c r="U35" s="19"/>
      <c r="V35" s="19"/>
      <c r="W35" s="19"/>
      <c r="X35" s="128"/>
      <c r="Y35" s="84"/>
      <c r="Z35" s="162"/>
      <c r="AA35" s="84"/>
      <c r="AB35" s="19"/>
      <c r="AC35" s="19"/>
      <c r="AD35" s="84"/>
      <c r="AE35" s="84"/>
      <c r="AF35" s="84"/>
      <c r="AG35" s="19"/>
      <c r="AH35" s="10"/>
      <c r="AI35" s="90"/>
      <c r="AJ35" s="90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</row>
    <row r="36" spans="1:56" ht="12.75" customHeight="1" x14ac:dyDescent="0.2">
      <c r="B36" s="643" t="s">
        <v>68</v>
      </c>
      <c r="C36" s="644"/>
      <c r="D36" s="33"/>
      <c r="E36" s="33"/>
      <c r="F36" s="33"/>
      <c r="G36" s="104"/>
      <c r="H36" s="138"/>
      <c r="I36" s="78"/>
      <c r="J36" s="78"/>
      <c r="K36" s="78"/>
      <c r="L36" s="157"/>
      <c r="M36" s="89"/>
      <c r="N36" s="14"/>
      <c r="O36" s="76"/>
      <c r="P36" s="76"/>
      <c r="Q36" s="124"/>
      <c r="R36" s="124"/>
      <c r="S36" s="124"/>
      <c r="T36" s="135"/>
      <c r="U36" s="135"/>
      <c r="V36" s="135"/>
      <c r="W36" s="135"/>
      <c r="X36" s="71"/>
      <c r="Y36" s="14"/>
      <c r="Z36" s="139"/>
      <c r="AA36" s="89"/>
      <c r="AB36" s="135"/>
      <c r="AC36" s="135"/>
      <c r="AD36" s="89"/>
      <c r="AE36" s="89"/>
      <c r="AF36" s="89"/>
      <c r="AG36" s="135"/>
      <c r="AH36" s="10"/>
      <c r="AI36" s="90"/>
      <c r="AJ36" s="90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</row>
    <row r="37" spans="1:56" ht="12.75" customHeight="1" x14ac:dyDescent="0.2">
      <c r="B37" s="338">
        <v>73445</v>
      </c>
      <c r="C37" s="339">
        <v>74518.080000000002</v>
      </c>
      <c r="D37" s="340" t="s">
        <v>15</v>
      </c>
      <c r="E37" s="340" t="s">
        <v>105</v>
      </c>
      <c r="F37" s="340" t="s">
        <v>111</v>
      </c>
      <c r="G37" s="103" t="str">
        <f t="shared" ref="G37:G54" si="46">IF(AND($E37=$AI$2,$F37=$AI$2),$AK$2,IF(OR(AND($E37=$AI$2,$F37=$AI$3),AND($E37=$AI$3,$F37=$AI$2)),$AK$3,IF(OR(AND($E37=$AI$2,$F37=$AI$4),AND($E37=$AI$4,$F37=$AI$2)),$AK$4,IF(OR(AND($E37=$AI$3,$F37=$AI$4),AND($E37=$AI$4,$F37=$AI$3)),$AK$5,IF(AND($E37=$AI$3,$F37=$AI$3),$AK$6,IF(AND($E37=$AI$4,$F37=$AI$4),$AK$7,"-"))))))</f>
        <v>E/S - C/B</v>
      </c>
      <c r="H37" s="26">
        <f>IF(AND($E37=$AI$2,$F37=$AI$2),2*$AK$12,IF(OR(AND($E37=$AI$2, $F37=$AI$3),AND($E37=$AI$3,$F37=$AI$2)),$AK$12+$AK$13,IF(OR(AND($E37=$AI$2,$F37=$AI$4),AND($E37=$AI$4,$F37=$AI$2)),$AK$12,IF(OR(AND($E37=$AI$3,$F37=$AI$4),AND($E37=$AI$4,$F37=$AI$3)),$AK$13,IF(AND($E37=$AI$3,$F37=$AI$3),2*$AK$13,0)))))</f>
        <v>1.5</v>
      </c>
      <c r="I37" s="27">
        <f>IF(AND($E37=$AI$2,$F37=$AI$2),2*$AN$12*$M37/27,IF(OR(AND($E37=$AI$2,$F37=$AI$3),AND($E37=$AI$3,$F37=$AI$2)),$AN$12*$M37/27,IF(OR(AND($E37=$AI$2,$F37=$AI$4),AND($E37=$AI$4,$F37=$AI$2)),$AN$12*$M37/27,0)))</f>
        <v>22.653911111111146</v>
      </c>
      <c r="J37" s="27">
        <f>IF(AND($E37=$AI$2,$F37=$AI$2),2*$AQ$12*$M37/27,IF(OR(AND($E37=$AI$2,$F37=$AI$3),AND($E37=$AI$3,$F37=$AI$2)),($AQ$12+$AQ$13)*$M37/27,IF(OR(AND($E37=$AI$2,$F37=$AI$4),AND($E37=$AI$4,$F37=$AI$2)),$AQ$12*$M37/27,IF(OR(AND($E37=$AI$3,$F37=$AI$4),AND($E37=$AI$4,$F37=$AI$3)),$AQ$13*$M37/27,IF(AND($E37=$AI$3,$F37=$AI$3),2*$AQ$13*$M37/27,0)))))</f>
        <v>26.628281481481526</v>
      </c>
      <c r="K37" s="27">
        <f>IF(AND($E37=$AI$4,$F37=$AI$4),2*$AT$14*$M37/27,IF(OR($E37=$AI$4,$F37=$AI$4),$AT$14*$M37/27,0))</f>
        <v>-7.1538666666666773</v>
      </c>
      <c r="L37" s="341">
        <v>0</v>
      </c>
      <c r="M37" s="83">
        <f t="shared" ref="M37:M54" si="47">C37-B37</f>
        <v>1073.0800000000017</v>
      </c>
      <c r="N37" s="345">
        <v>54.1</v>
      </c>
      <c r="O37" s="124">
        <f t="shared" si="6"/>
        <v>58054</v>
      </c>
      <c r="P37" s="347">
        <v>0</v>
      </c>
      <c r="Q37" s="123">
        <f t="shared" ref="Q37:Q54" si="48">SUM(O37:P37)</f>
        <v>58054</v>
      </c>
      <c r="R37" s="353">
        <v>0</v>
      </c>
      <c r="S37" s="85">
        <f>IF(OR($A37="APP SLAB",Q37=0),0,($Q37+$H37*$M37)/9)</f>
        <v>6629.2911111111116</v>
      </c>
      <c r="T37" s="210">
        <f t="shared" ref="T37:T54" si="49">IF(AND(S37=0,V37=0),0,IF(V37=0,S37/2000,V37/2000))</f>
        <v>3.3146455555555558</v>
      </c>
      <c r="U37" s="135">
        <f t="shared" ref="U37:U54" si="50">IF(OR(A37="APP SLAB",S37&lt;&gt;0),0,V37)</f>
        <v>0</v>
      </c>
      <c r="V37" s="135">
        <f t="shared" ref="V37:V54" si="51">IF(OR(A37="APP SLAB",S37&lt;&gt;0),0,(Q37+H37*M37)/9)</f>
        <v>0</v>
      </c>
      <c r="W37" s="135">
        <f t="shared" ref="W37:W54" si="52">IF(OR(A37="APP SLAB",S37&lt;&gt;0),0,$V$1*V37*110*0.06*0.75/2000)</f>
        <v>0</v>
      </c>
      <c r="X37" s="351">
        <v>0</v>
      </c>
      <c r="Y37" s="345">
        <v>0</v>
      </c>
      <c r="Z37" s="34">
        <f t="shared" ref="Z37:Z54" si="53">IF(A37="APP SLAB",0,(Q37*$Z$1/12)/27+I37)</f>
        <v>2083.2125530864196</v>
      </c>
      <c r="AA37" s="83">
        <f t="shared" ref="AA37:AA54" si="54">(Q37*$AA$1/12)/27+J37</f>
        <v>1101.7023555555556</v>
      </c>
      <c r="AB37" s="350">
        <v>0</v>
      </c>
      <c r="AC37" s="85">
        <f t="shared" ref="AC37:AC54" si="55">IF(A37="APP SLAB",0,(Q37/9)*$AC$1)</f>
        <v>258.01777777777778</v>
      </c>
      <c r="AD37" s="83">
        <f t="shared" ref="AD37:AD54" si="56">IF(A37="APP SLAB",0,(Q37*($AD$1/12))/27+K37)</f>
        <v>261.61465185185187</v>
      </c>
      <c r="AE37" s="83">
        <f t="shared" ref="AE37:AE54" si="57">IF(A37="APP SLAB",0,(Q37*$AE$1/12)/27+L37)</f>
        <v>313.56327160493828</v>
      </c>
      <c r="AF37" s="467">
        <f t="shared" ref="AF37:AF54" si="58">IF(AND($E37=$F37="Uncurbed"),(2*$M37*2*$AF$1/12)/27,IF(OR($E37="Uncurbed",$F37="Uncurbed"),($M37*2*$AF$1/12)/27,IF(OR(AND($E37="Med. Barr.",$F37="Curbed"),AND($E37="Curbed",$F37="Med. Barr."),$E37=$F37,$E37="Unique",$F37="Unique",$E37="-",$F37="-"),0,"?")))</f>
        <v>21.527839506172874</v>
      </c>
      <c r="AG37" s="85">
        <f t="shared" ref="AG37:AG54" si="59">IF(A37="APP SLAB",0,(M37*2))</f>
        <v>2146.1600000000035</v>
      </c>
      <c r="AH37" s="189"/>
      <c r="AI37" s="90"/>
      <c r="AJ37" s="90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</row>
    <row r="38" spans="1:56" ht="12.75" customHeight="1" x14ac:dyDescent="0.2">
      <c r="B38" s="338">
        <v>74518.080000000002</v>
      </c>
      <c r="C38" s="339">
        <v>74587</v>
      </c>
      <c r="D38" s="340" t="s">
        <v>15</v>
      </c>
      <c r="E38" s="340" t="s">
        <v>105</v>
      </c>
      <c r="F38" s="340" t="s">
        <v>111</v>
      </c>
      <c r="G38" s="103" t="str">
        <f t="shared" si="46"/>
        <v>E/S - C/B</v>
      </c>
      <c r="H38" s="26">
        <f>IF(AND($E38=$AI$2,$F38=$AI$2),2*$AK$12,IF(OR(AND($E38=$AI$2, $F38=$AI$3),AND($E38=$AI$3,$F38=$AI$2)),$AK$12+$AK$13,IF(OR(AND($E38=$AI$2,$F38=$AI$4),AND($E38=$AI$4,$F38=$AI$2)),$AK$12,IF(OR(AND($E38=$AI$3,$F38=$AI$4),AND($E38=$AI$4,$F38=$AI$3)),$AK$13,IF(AND($E38=$AI$3,$F38=$AI$3),2*$AK$13,0)))))</f>
        <v>1.5</v>
      </c>
      <c r="I38" s="27">
        <f>IF(AND($E38=$AI$2,$F38=$AI$2),2*$AN$12*$M38/27,IF(OR(AND($E38=$AI$2,$F38=$AI$3),AND($E38=$AI$3,$F38=$AI$2)),$AN$12*$M38/27,IF(OR(AND($E38=$AI$2,$F38=$AI$4),AND($E38=$AI$4,$F38=$AI$2)),$AN$12*$M38/27,0)))</f>
        <v>1.4549777777777408</v>
      </c>
      <c r="J38" s="27">
        <f>IF(AND($E38=$AI$2,$F38=$AI$2),2*$AQ$12*$M38/27,IF(OR(AND($E38=$AI$2,$F38=$AI$3),AND($E38=$AI$3,$F38=$AI$2)),($AQ$12+$AQ$13)*$M38/27,IF(OR(AND($E38=$AI$2,$F38=$AI$4),AND($E38=$AI$4,$F38=$AI$2)),$AQ$12*$M38/27,IF(OR(AND($E38=$AI$3,$F38=$AI$4),AND($E38=$AI$4,$F38=$AI$3)),$AQ$13*$M38/27,IF(AND($E38=$AI$3,$F38=$AI$3),2*$AQ$13*$M38/27,0)))))</f>
        <v>1.7102370370369939</v>
      </c>
      <c r="K38" s="27">
        <f>IF(AND($E38=$AI$4,$F38=$AI$4),2*$AT$14*$M38/27,IF(OR($E38=$AI$4,$F38=$AI$4),$AT$14*$M38/27,0))</f>
        <v>-0.45946666666665503</v>
      </c>
      <c r="L38" s="341">
        <v>0</v>
      </c>
      <c r="M38" s="83">
        <f t="shared" si="47"/>
        <v>68.919999999998254</v>
      </c>
      <c r="N38" s="345" t="s">
        <v>101</v>
      </c>
      <c r="O38" s="124">
        <f t="shared" si="6"/>
        <v>0</v>
      </c>
      <c r="P38" s="347">
        <v>4518</v>
      </c>
      <c r="Q38" s="123">
        <f t="shared" si="48"/>
        <v>4518</v>
      </c>
      <c r="R38" s="353">
        <v>0</v>
      </c>
      <c r="S38" s="85">
        <f>IF(OR($A38="APP SLAB",Q38=0),0,($Q38+$H38*$M38)/9)</f>
        <v>513.48666666666634</v>
      </c>
      <c r="T38" s="210">
        <f t="shared" si="49"/>
        <v>0.25674333333333316</v>
      </c>
      <c r="U38" s="135">
        <f t="shared" si="50"/>
        <v>0</v>
      </c>
      <c r="V38" s="135">
        <f t="shared" si="51"/>
        <v>0</v>
      </c>
      <c r="W38" s="135">
        <f t="shared" si="52"/>
        <v>0</v>
      </c>
      <c r="X38" s="351">
        <v>0</v>
      </c>
      <c r="Y38" s="345">
        <v>0</v>
      </c>
      <c r="Z38" s="34">
        <f t="shared" si="53"/>
        <v>161.81608888888886</v>
      </c>
      <c r="AA38" s="83">
        <f t="shared" si="54"/>
        <v>85.376903703703661</v>
      </c>
      <c r="AB38" s="350">
        <v>0</v>
      </c>
      <c r="AC38" s="85">
        <f t="shared" si="55"/>
        <v>20.080000000000002</v>
      </c>
      <c r="AD38" s="83">
        <f t="shared" si="56"/>
        <v>20.457200000000014</v>
      </c>
      <c r="AE38" s="83">
        <f t="shared" si="57"/>
        <v>24.402777777777779</v>
      </c>
      <c r="AF38" s="467">
        <f t="shared" si="58"/>
        <v>1.3826543209876192</v>
      </c>
      <c r="AG38" s="85">
        <f t="shared" si="59"/>
        <v>137.83999999999651</v>
      </c>
      <c r="AH38" s="189"/>
      <c r="AI38" s="90"/>
      <c r="AJ38" s="90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</row>
    <row r="39" spans="1:56" s="81" customFormat="1" ht="12.75" customHeight="1" x14ac:dyDescent="0.2">
      <c r="B39" s="356">
        <v>74587</v>
      </c>
      <c r="C39" s="357">
        <v>75050</v>
      </c>
      <c r="D39" s="340" t="s">
        <v>15</v>
      </c>
      <c r="E39" s="340" t="s">
        <v>105</v>
      </c>
      <c r="F39" s="340" t="s">
        <v>111</v>
      </c>
      <c r="G39" s="103" t="str">
        <f t="shared" si="46"/>
        <v>E/S - C/B</v>
      </c>
      <c r="H39" s="26">
        <f>IF(AND($E39=$AI$2,$F39=$AI$2),2*$AK$12,IF(OR(AND($E39=$AI$2, $F39=$AI$3),AND($E39=$AI$3,$F39=$AI$2)),$AK$12+$AK$13,IF(OR(AND($E39=$AI$2,$F39=$AI$4),AND($E39=$AI$4,$F39=$AI$2)),$AK$12,IF(OR(AND($E39=$AI$3,$F39=$AI$4),AND($E39=$AI$4,$F39=$AI$3)),$AK$13,IF(AND($E39=$AI$3,$F39=$AI$3),2*$AK$13,0)))))</f>
        <v>1.5</v>
      </c>
      <c r="I39" s="27">
        <f>IF(AND($E39=$AI$2,$F39=$AI$2),2*$AN$12*$M39/27,IF(OR(AND($E39=$AI$2,$F39=$AI$3),AND($E39=$AI$3,$F39=$AI$2)),$AN$12*$M39/27,IF(OR(AND($E39=$AI$2,$F39=$AI$4),AND($E39=$AI$4,$F39=$AI$2)),$AN$12*$M39/27,0)))</f>
        <v>9.7744444444444429</v>
      </c>
      <c r="J39" s="27">
        <f>IF(AND($E39=$AI$2,$F39=$AI$2),2*$AQ$12*$M39/27,IF(OR(AND($E39=$AI$2,$F39=$AI$3),AND($E39=$AI$3,$F39=$AI$2)),($AQ$12+$AQ$13)*$M39/27,IF(OR(AND($E39=$AI$2,$F39=$AI$4),AND($E39=$AI$4,$F39=$AI$2)),$AQ$12*$M39/27,IF(OR(AND($E39=$AI$3,$F39=$AI$4),AND($E39=$AI$4,$F39=$AI$3)),$AQ$13*$M39/27,IF(AND($E39=$AI$3,$F39=$AI$3),2*$AQ$13*$M39/27,0)))))</f>
        <v>11.48925925925926</v>
      </c>
      <c r="K39" s="27">
        <f>IF(AND($E39=$AI$4,$F39=$AI$4),2*$AT$14*$M39/27,IF(OR($E39=$AI$4,$F39=$AI$4),$AT$14*$M39/27,0))</f>
        <v>-3.0866666666666669</v>
      </c>
      <c r="L39" s="361">
        <v>0</v>
      </c>
      <c r="M39" s="83">
        <f t="shared" si="47"/>
        <v>463</v>
      </c>
      <c r="N39" s="345" t="s">
        <v>101</v>
      </c>
      <c r="O39" s="124">
        <f t="shared" si="6"/>
        <v>0</v>
      </c>
      <c r="P39" s="347">
        <v>32775</v>
      </c>
      <c r="Q39" s="123">
        <f t="shared" si="48"/>
        <v>32775</v>
      </c>
      <c r="R39" s="353">
        <v>0</v>
      </c>
      <c r="S39" s="352">
        <v>0</v>
      </c>
      <c r="T39" s="210">
        <f t="shared" si="49"/>
        <v>1.8594166666666667</v>
      </c>
      <c r="U39" s="135">
        <f t="shared" si="50"/>
        <v>3718.8333333333335</v>
      </c>
      <c r="V39" s="135">
        <f t="shared" si="51"/>
        <v>3718.8333333333335</v>
      </c>
      <c r="W39" s="135">
        <f t="shared" si="52"/>
        <v>110.44935</v>
      </c>
      <c r="X39" s="351">
        <v>0</v>
      </c>
      <c r="Y39" s="345">
        <v>0</v>
      </c>
      <c r="Z39" s="34">
        <f t="shared" si="53"/>
        <v>1173.0846296296297</v>
      </c>
      <c r="AA39" s="83">
        <f t="shared" si="54"/>
        <v>618.43370370370371</v>
      </c>
      <c r="AB39" s="355">
        <v>0</v>
      </c>
      <c r="AC39" s="85">
        <f t="shared" si="55"/>
        <v>145.66666666666666</v>
      </c>
      <c r="AD39" s="83">
        <f t="shared" si="56"/>
        <v>148.64944444444444</v>
      </c>
      <c r="AE39" s="83">
        <f t="shared" si="57"/>
        <v>177.02546296296296</v>
      </c>
      <c r="AF39" s="467">
        <f t="shared" si="58"/>
        <v>9.2885802469135808</v>
      </c>
      <c r="AG39" s="85">
        <f t="shared" si="59"/>
        <v>926</v>
      </c>
      <c r="AH39" s="189"/>
    </row>
    <row r="40" spans="1:56" ht="12.75" customHeight="1" x14ac:dyDescent="0.2">
      <c r="B40" s="356">
        <v>75050</v>
      </c>
      <c r="C40" s="357">
        <v>75100</v>
      </c>
      <c r="D40" s="340" t="s">
        <v>15</v>
      </c>
      <c r="E40" s="340" t="s">
        <v>111</v>
      </c>
      <c r="F40" s="340" t="s">
        <v>111</v>
      </c>
      <c r="G40" s="104" t="str">
        <f t="shared" si="46"/>
        <v>C/B - C/B</v>
      </c>
      <c r="H40" s="26">
        <f>IF(AND($E40=$AI$2,$F40=$AI$2),2*$AK$12,IF(OR(AND($E40=$AI$2, $F40=$AI$3),AND($E40=$AI$3,$F40=$AI$2)),$AK$12+$AK$13,IF(OR(AND($E40=$AI$2,$F40=$AI$4),AND($E40=$AI$4,$F40=$AI$2)),$AK$12,IF(OR(AND($E40=$AI$3,$F40=$AI$4),AND($E40=$AI$4,$F40=$AI$3)),$AK$13,IF(AND($E40=$AI$3,$F40=$AI$3),2*$AK$13,0)))))</f>
        <v>0</v>
      </c>
      <c r="I40" s="27">
        <f>IF(AND($E40=$AI$2,$F40=$AI$2),2*$AN$12*$M40/27,IF(OR(AND($E40=$AI$2,$F40=$AI$3),AND($E40=$AI$3,$F40=$AI$2)),$AN$12*$M40/27,IF(OR(AND($E40=$AI$2,$F40=$AI$4),AND($E40=$AI$4,$F40=$AI$2)),$AN$12*$M40/27,0)))</f>
        <v>0</v>
      </c>
      <c r="J40" s="27">
        <f>IF(AND($E40=$AI$2,$F40=$AI$2),2*$AQ$12*$M40/27,IF(OR(AND($E40=$AI$2,$F40=$AI$3),AND($E40=$AI$3,$F40=$AI$2)),($AQ$12+$AQ$13)*$M40/27,IF(OR(AND($E40=$AI$2,$F40=$AI$4),AND($E40=$AI$4,$F40=$AI$2)),$AQ$12*$M40/27,IF(OR(AND($E40=$AI$3,$F40=$AI$4),AND($E40=$AI$4,$F40=$AI$3)),$AQ$13*$M40/27,IF(AND($E40=$AI$3,$F40=$AI$3),2*$AQ$13*$M40/27,0)))))</f>
        <v>0</v>
      </c>
      <c r="K40" s="27">
        <f>IF(AND($E40=$AI$4,$F40=$AI$4),2*$AT$14*$M40/27,IF(OR($E40=$AI$4,$F40=$AI$4),$AT$14*$M40/27,0))</f>
        <v>-0.66666666666666663</v>
      </c>
      <c r="L40" s="361">
        <v>0</v>
      </c>
      <c r="M40" s="89">
        <f t="shared" si="47"/>
        <v>50</v>
      </c>
      <c r="N40" s="345">
        <v>42.42</v>
      </c>
      <c r="O40" s="76">
        <f t="shared" si="6"/>
        <v>2121</v>
      </c>
      <c r="P40" s="347">
        <v>0</v>
      </c>
      <c r="Q40" s="124">
        <f t="shared" si="48"/>
        <v>2121</v>
      </c>
      <c r="R40" s="353">
        <v>0</v>
      </c>
      <c r="S40" s="352">
        <v>0</v>
      </c>
      <c r="T40" s="210">
        <f t="shared" si="49"/>
        <v>0.11783333333333333</v>
      </c>
      <c r="U40" s="135">
        <f t="shared" si="50"/>
        <v>235.66666666666666</v>
      </c>
      <c r="V40" s="135">
        <f t="shared" si="51"/>
        <v>235.66666666666666</v>
      </c>
      <c r="W40" s="135">
        <f t="shared" si="52"/>
        <v>6.999299999999999</v>
      </c>
      <c r="X40" s="351">
        <v>0</v>
      </c>
      <c r="Y40" s="345">
        <v>0</v>
      </c>
      <c r="Z40" s="34">
        <f t="shared" si="53"/>
        <v>75.282407407407405</v>
      </c>
      <c r="AA40" s="83">
        <f t="shared" si="54"/>
        <v>39.277777777777779</v>
      </c>
      <c r="AB40" s="355">
        <v>0</v>
      </c>
      <c r="AC40" s="85">
        <f t="shared" si="55"/>
        <v>9.4266666666666659</v>
      </c>
      <c r="AD40" s="83">
        <f t="shared" si="56"/>
        <v>9.1527777777777786</v>
      </c>
      <c r="AE40" s="83">
        <f t="shared" si="57"/>
        <v>11.456018518518519</v>
      </c>
      <c r="AF40" s="467">
        <f t="shared" si="58"/>
        <v>0</v>
      </c>
      <c r="AG40" s="85">
        <f t="shared" si="59"/>
        <v>100</v>
      </c>
      <c r="AH40" s="10"/>
      <c r="AI40" s="90"/>
      <c r="AJ40" s="90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</row>
    <row r="41" spans="1:56" s="81" customFormat="1" ht="12.75" customHeight="1" x14ac:dyDescent="0.2">
      <c r="B41" s="356">
        <v>75100</v>
      </c>
      <c r="C41" s="357">
        <v>75150</v>
      </c>
      <c r="D41" s="340" t="s">
        <v>15</v>
      </c>
      <c r="E41" s="340" t="s">
        <v>111</v>
      </c>
      <c r="F41" s="340" t="s">
        <v>111</v>
      </c>
      <c r="G41" s="104" t="str">
        <f t="shared" si="46"/>
        <v>C/B - C/B</v>
      </c>
      <c r="H41" s="26">
        <f>IF(AND($E41=$AI$2,$F41=$AI$2),2*$AK$12,IF(OR(AND($E41=$AI$2, $F41=$AI$3),AND($E41=$AI$3,$F41=$AI$2)),$AK$12+$AK$13,IF(OR(AND($E41=$AI$2,$F41=$AI$4),AND($E41=$AI$4,$F41=$AI$2)),$AK$12,IF(OR(AND($E41=$AI$3,$F41=$AI$4),AND($E41=$AI$4,$F41=$AI$3)),$AK$13,IF(AND($E41=$AI$3,$F41=$AI$3),2*$AK$13,0)))))</f>
        <v>0</v>
      </c>
      <c r="I41" s="27">
        <f>IF(AND($E41=$AI$2,$F41=$AI$2),2*$AN$12*$M41/27,IF(OR(AND($E41=$AI$2,$F41=$AI$3),AND($E41=$AI$3,$F41=$AI$2)),$AN$12*$M41/27,IF(OR(AND($E41=$AI$2,$F41=$AI$4),AND($E41=$AI$4,$F41=$AI$2)),$AN$12*$M41/27,0)))</f>
        <v>0</v>
      </c>
      <c r="J41" s="27">
        <f>IF(AND($E41=$AI$2,$F41=$AI$2),2*$AQ$12*$M41/27,IF(OR(AND($E41=$AI$2,$F41=$AI$3),AND($E41=$AI$3,$F41=$AI$2)),($AQ$12+$AQ$13)*$M41/27,IF(OR(AND($E41=$AI$2,$F41=$AI$4),AND($E41=$AI$4,$F41=$AI$2)),$AQ$12*$M41/27,IF(OR(AND($E41=$AI$3,$F41=$AI$4),AND($E41=$AI$4,$F41=$AI$3)),$AQ$13*$M41/27,IF(AND($E41=$AI$3,$F41=$AI$3),2*$AQ$13*$M41/27,0)))))</f>
        <v>0</v>
      </c>
      <c r="K41" s="27">
        <f>IF(AND($E41=$AI$4,$F41=$AI$4),2*$AT$14*$M41/27,IF(OR($E41=$AI$4,$F41=$AI$4),$AT$14*$M41/27,0))</f>
        <v>-0.66666666666666663</v>
      </c>
      <c r="L41" s="361">
        <v>1</v>
      </c>
      <c r="M41" s="495">
        <f t="shared" ref="M41" si="60">C41-B41</f>
        <v>50</v>
      </c>
      <c r="N41" s="345">
        <v>42.42</v>
      </c>
      <c r="O41" s="124">
        <f t="shared" ref="O41" si="61">IF(N41="-",0,ROUNDUP($M41*N41,0))</f>
        <v>2121</v>
      </c>
      <c r="P41" s="347">
        <v>0</v>
      </c>
      <c r="Q41" s="124">
        <f t="shared" ref="Q41" si="62">SUM(O41:P41)</f>
        <v>2121</v>
      </c>
      <c r="R41" s="353">
        <v>0</v>
      </c>
      <c r="S41" s="493">
        <f>IF(OR($A41="APP SLAB",Q41=0),0,($Q41+$H41*$M41)/9)</f>
        <v>235.66666666666666</v>
      </c>
      <c r="T41" s="210">
        <f t="shared" ref="T41" si="63">IF(AND(S41=0,V41=0),0,IF(V41=0,S41/2000,V41/2000))</f>
        <v>0.11783333333333333</v>
      </c>
      <c r="U41" s="135">
        <f t="shared" ref="U41" si="64">IF(OR(A41="APP SLAB",S41&lt;&gt;0),0,V41)</f>
        <v>0</v>
      </c>
      <c r="V41" s="135">
        <f t="shared" ref="V41" si="65">IF(OR(A41="APP SLAB",S41&lt;&gt;0),0,(Q41+H41*M41)/9)</f>
        <v>0</v>
      </c>
      <c r="W41" s="135">
        <f t="shared" ref="W41" si="66">IF(OR(A41="APP SLAB",S41&lt;&gt;0),0,$V$1*V41*110*0.06*0.75/2000)</f>
        <v>0</v>
      </c>
      <c r="X41" s="351">
        <v>0</v>
      </c>
      <c r="Y41" s="345">
        <v>0</v>
      </c>
      <c r="Z41" s="34">
        <f t="shared" ref="Z41" si="67">IF(A41="APP SLAB",0,(Q41*$Z$1/12)/27+I41)</f>
        <v>75.282407407407405</v>
      </c>
      <c r="AA41" s="492">
        <f t="shared" ref="AA41" si="68">(Q41*$AA$1/12)/27+J41</f>
        <v>39.277777777777779</v>
      </c>
      <c r="AB41" s="355">
        <v>0</v>
      </c>
      <c r="AC41" s="493">
        <f t="shared" ref="AC41" si="69">IF(A41="APP SLAB",0,(Q41/9)*$AC$1)</f>
        <v>9.4266666666666659</v>
      </c>
      <c r="AD41" s="492">
        <f t="shared" ref="AD41" si="70">IF(A41="APP SLAB",0,(Q41*($AD$1/12))/27+K41)</f>
        <v>9.1527777777777786</v>
      </c>
      <c r="AE41" s="492">
        <f t="shared" ref="AE41" si="71">IF(A41="APP SLAB",0,(Q41*$AE$1/12)/27+L41)</f>
        <v>12.456018518518519</v>
      </c>
      <c r="AF41" s="511">
        <f t="shared" si="58"/>
        <v>0</v>
      </c>
      <c r="AG41" s="493">
        <f t="shared" ref="AG41" si="72">IF(A41="APP SLAB",0,(M41*2))</f>
        <v>100</v>
      </c>
      <c r="AH41" s="10"/>
      <c r="AI41" s="90"/>
      <c r="AJ41" s="90"/>
    </row>
    <row r="42" spans="1:56" ht="12.75" customHeight="1" x14ac:dyDescent="0.2">
      <c r="B42" s="338">
        <v>75150</v>
      </c>
      <c r="C42" s="339">
        <v>75500</v>
      </c>
      <c r="D42" s="340" t="s">
        <v>15</v>
      </c>
      <c r="E42" s="340" t="s">
        <v>112</v>
      </c>
      <c r="F42" s="340" t="s">
        <v>111</v>
      </c>
      <c r="G42" s="47" t="str">
        <f t="shared" si="46"/>
        <v>-</v>
      </c>
      <c r="H42" s="342">
        <v>0</v>
      </c>
      <c r="I42" s="341">
        <v>0</v>
      </c>
      <c r="J42" s="341">
        <v>0</v>
      </c>
      <c r="K42" s="341">
        <v>-2.33</v>
      </c>
      <c r="L42" s="341">
        <v>0</v>
      </c>
      <c r="M42" s="83">
        <f t="shared" si="47"/>
        <v>350</v>
      </c>
      <c r="N42" s="345">
        <v>42.42</v>
      </c>
      <c r="O42" s="76">
        <f t="shared" si="6"/>
        <v>14847</v>
      </c>
      <c r="P42" s="347">
        <v>0</v>
      </c>
      <c r="Q42" s="75">
        <f t="shared" si="48"/>
        <v>14847</v>
      </c>
      <c r="R42" s="353">
        <v>0</v>
      </c>
      <c r="S42" s="493">
        <f t="shared" ref="S42:S51" si="73">IF(OR($A42="APP SLAB",Q42=0),0,($Q42+$H42*$M42)/9)</f>
        <v>1649.6666666666667</v>
      </c>
      <c r="T42" s="210">
        <f t="shared" si="49"/>
        <v>0.82483333333333342</v>
      </c>
      <c r="U42" s="135">
        <f t="shared" si="50"/>
        <v>0</v>
      </c>
      <c r="V42" s="135">
        <f t="shared" si="51"/>
        <v>0</v>
      </c>
      <c r="W42" s="135">
        <f t="shared" si="52"/>
        <v>0</v>
      </c>
      <c r="X42" s="351">
        <v>0</v>
      </c>
      <c r="Y42" s="345">
        <v>0</v>
      </c>
      <c r="Z42" s="34">
        <f t="shared" si="53"/>
        <v>526.97685185185185</v>
      </c>
      <c r="AA42" s="83">
        <f t="shared" si="54"/>
        <v>274.94444444444446</v>
      </c>
      <c r="AB42" s="350">
        <v>0</v>
      </c>
      <c r="AC42" s="85">
        <f t="shared" si="55"/>
        <v>65.986666666666665</v>
      </c>
      <c r="AD42" s="83">
        <f t="shared" si="56"/>
        <v>66.406111111111116</v>
      </c>
      <c r="AE42" s="83">
        <f t="shared" si="57"/>
        <v>80.192129629629633</v>
      </c>
      <c r="AF42" s="467">
        <f t="shared" si="58"/>
        <v>0</v>
      </c>
      <c r="AG42" s="85">
        <f t="shared" si="59"/>
        <v>700</v>
      </c>
      <c r="AH42" s="10"/>
      <c r="AI42" s="90"/>
      <c r="AJ42" s="90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</row>
    <row r="43" spans="1:56" ht="12.75" customHeight="1" x14ac:dyDescent="0.2">
      <c r="B43" s="338">
        <v>75500</v>
      </c>
      <c r="C43" s="339">
        <v>75725</v>
      </c>
      <c r="D43" s="340" t="s">
        <v>15</v>
      </c>
      <c r="E43" s="340" t="s">
        <v>112</v>
      </c>
      <c r="F43" s="340" t="s">
        <v>111</v>
      </c>
      <c r="G43" s="47" t="str">
        <f t="shared" si="46"/>
        <v>-</v>
      </c>
      <c r="H43" s="342">
        <v>3.67</v>
      </c>
      <c r="I43" s="341">
        <v>22.08</v>
      </c>
      <c r="J43" s="341">
        <v>14.58</v>
      </c>
      <c r="K43" s="341">
        <v>-1.5</v>
      </c>
      <c r="L43" s="341">
        <v>2.67</v>
      </c>
      <c r="M43" s="83">
        <f t="shared" si="47"/>
        <v>225</v>
      </c>
      <c r="N43" s="345">
        <v>42.42</v>
      </c>
      <c r="O43" s="76">
        <f t="shared" si="6"/>
        <v>9545</v>
      </c>
      <c r="P43" s="347">
        <v>0</v>
      </c>
      <c r="Q43" s="75">
        <f t="shared" si="48"/>
        <v>9545</v>
      </c>
      <c r="R43" s="353">
        <v>0</v>
      </c>
      <c r="S43" s="493">
        <f t="shared" si="73"/>
        <v>1152.3055555555557</v>
      </c>
      <c r="T43" s="210">
        <f t="shared" si="49"/>
        <v>0.57615277777777785</v>
      </c>
      <c r="U43" s="135">
        <f t="shared" si="50"/>
        <v>0</v>
      </c>
      <c r="V43" s="135">
        <f t="shared" si="51"/>
        <v>0</v>
      </c>
      <c r="W43" s="135">
        <f t="shared" si="52"/>
        <v>0</v>
      </c>
      <c r="X43" s="351">
        <v>0</v>
      </c>
      <c r="Y43" s="345">
        <v>0</v>
      </c>
      <c r="Z43" s="34">
        <f t="shared" si="53"/>
        <v>360.86858024691355</v>
      </c>
      <c r="AA43" s="83">
        <f t="shared" si="54"/>
        <v>191.33925925925928</v>
      </c>
      <c r="AB43" s="350">
        <v>0</v>
      </c>
      <c r="AC43" s="85">
        <f t="shared" si="55"/>
        <v>42.422222222222224</v>
      </c>
      <c r="AD43" s="83">
        <f t="shared" si="56"/>
        <v>42.689814814814817</v>
      </c>
      <c r="AE43" s="83">
        <f t="shared" si="57"/>
        <v>54.224783950617287</v>
      </c>
      <c r="AF43" s="467">
        <f t="shared" si="58"/>
        <v>0</v>
      </c>
      <c r="AG43" s="85">
        <f t="shared" si="59"/>
        <v>450</v>
      </c>
      <c r="AH43" s="10"/>
      <c r="AI43" s="90"/>
      <c r="AJ43" s="90"/>
    </row>
    <row r="44" spans="1:56" ht="12.75" customHeight="1" x14ac:dyDescent="0.2">
      <c r="B44" s="338">
        <v>75725</v>
      </c>
      <c r="C44" s="339">
        <v>75775</v>
      </c>
      <c r="D44" s="340" t="s">
        <v>15</v>
      </c>
      <c r="E44" s="340" t="s">
        <v>112</v>
      </c>
      <c r="F44" s="340" t="s">
        <v>111</v>
      </c>
      <c r="G44" s="47" t="str">
        <f t="shared" si="46"/>
        <v>-</v>
      </c>
      <c r="H44" s="342">
        <v>3.67</v>
      </c>
      <c r="I44" s="341">
        <v>4.91</v>
      </c>
      <c r="J44" s="341">
        <v>3.24</v>
      </c>
      <c r="K44" s="341">
        <v>-0.33</v>
      </c>
      <c r="L44" s="341">
        <v>0.59</v>
      </c>
      <c r="M44" s="83">
        <f t="shared" si="47"/>
        <v>50</v>
      </c>
      <c r="N44" s="345">
        <v>43.42</v>
      </c>
      <c r="O44" s="76">
        <f t="shared" si="6"/>
        <v>2171</v>
      </c>
      <c r="P44" s="347">
        <v>0</v>
      </c>
      <c r="Q44" s="75">
        <f t="shared" si="48"/>
        <v>2171</v>
      </c>
      <c r="R44" s="353">
        <v>0</v>
      </c>
      <c r="S44" s="493">
        <f t="shared" si="73"/>
        <v>261.61111111111109</v>
      </c>
      <c r="T44" s="210">
        <f t="shared" si="49"/>
        <v>0.13080555555555554</v>
      </c>
      <c r="U44" s="135">
        <f t="shared" si="50"/>
        <v>0</v>
      </c>
      <c r="V44" s="135">
        <f t="shared" si="51"/>
        <v>0</v>
      </c>
      <c r="W44" s="135">
        <f t="shared" si="52"/>
        <v>0</v>
      </c>
      <c r="X44" s="351">
        <v>0</v>
      </c>
      <c r="Y44" s="345">
        <v>0</v>
      </c>
      <c r="Z44" s="34">
        <f t="shared" si="53"/>
        <v>81.967098765432084</v>
      </c>
      <c r="AA44" s="83">
        <f t="shared" si="54"/>
        <v>43.443703703703704</v>
      </c>
      <c r="AB44" s="350">
        <v>0</v>
      </c>
      <c r="AC44" s="85">
        <f t="shared" si="55"/>
        <v>9.6488888888888891</v>
      </c>
      <c r="AD44" s="83">
        <f t="shared" si="56"/>
        <v>9.7209259259259255</v>
      </c>
      <c r="AE44" s="83">
        <f t="shared" si="57"/>
        <v>12.316080246913581</v>
      </c>
      <c r="AF44" s="467">
        <f t="shared" si="58"/>
        <v>0</v>
      </c>
      <c r="AG44" s="85">
        <f t="shared" si="59"/>
        <v>100</v>
      </c>
      <c r="AH44" s="10"/>
      <c r="AI44" s="90"/>
      <c r="AJ44" s="90"/>
    </row>
    <row r="45" spans="1:56" ht="12.75" customHeight="1" x14ac:dyDescent="0.2">
      <c r="B45" s="338">
        <v>75775</v>
      </c>
      <c r="C45" s="339">
        <v>75788.42</v>
      </c>
      <c r="D45" s="340" t="s">
        <v>15</v>
      </c>
      <c r="E45" s="340" t="s">
        <v>112</v>
      </c>
      <c r="F45" s="340" t="s">
        <v>111</v>
      </c>
      <c r="G45" s="47" t="str">
        <f t="shared" si="46"/>
        <v>-</v>
      </c>
      <c r="H45" s="342">
        <v>3.67</v>
      </c>
      <c r="I45" s="341">
        <v>1.32</v>
      </c>
      <c r="J45" s="341">
        <v>0.87</v>
      </c>
      <c r="K45" s="341">
        <v>-0.09</v>
      </c>
      <c r="L45" s="341">
        <v>0.16</v>
      </c>
      <c r="M45" s="83">
        <f t="shared" si="47"/>
        <v>13.419999999998254</v>
      </c>
      <c r="N45" s="345">
        <v>44.42</v>
      </c>
      <c r="O45" s="76">
        <f t="shared" si="6"/>
        <v>597</v>
      </c>
      <c r="P45" s="347">
        <v>0</v>
      </c>
      <c r="Q45" s="75">
        <f t="shared" si="48"/>
        <v>597</v>
      </c>
      <c r="R45" s="353">
        <v>0</v>
      </c>
      <c r="S45" s="493">
        <f t="shared" si="73"/>
        <v>71.805711111110398</v>
      </c>
      <c r="T45" s="210">
        <f t="shared" si="49"/>
        <v>3.5902855555555196E-2</v>
      </c>
      <c r="U45" s="135">
        <f t="shared" si="50"/>
        <v>0</v>
      </c>
      <c r="V45" s="135">
        <f t="shared" si="51"/>
        <v>0</v>
      </c>
      <c r="W45" s="135">
        <f t="shared" si="52"/>
        <v>0</v>
      </c>
      <c r="X45" s="351">
        <v>0</v>
      </c>
      <c r="Y45" s="345">
        <v>0</v>
      </c>
      <c r="Z45" s="34">
        <f t="shared" si="53"/>
        <v>22.509814814814813</v>
      </c>
      <c r="AA45" s="83">
        <f t="shared" si="54"/>
        <v>11.925555555555555</v>
      </c>
      <c r="AB45" s="350">
        <v>0</v>
      </c>
      <c r="AC45" s="85">
        <f t="shared" si="55"/>
        <v>2.6533333333333333</v>
      </c>
      <c r="AD45" s="83">
        <f t="shared" si="56"/>
        <v>2.673888888888889</v>
      </c>
      <c r="AE45" s="83">
        <f t="shared" si="57"/>
        <v>3.3845370370370373</v>
      </c>
      <c r="AF45" s="467">
        <f t="shared" si="58"/>
        <v>0</v>
      </c>
      <c r="AG45" s="85">
        <f t="shared" si="59"/>
        <v>26.839999999996508</v>
      </c>
      <c r="AH45" s="10"/>
      <c r="AI45" s="90"/>
      <c r="AJ45" s="90"/>
    </row>
    <row r="46" spans="1:56" ht="12.75" customHeight="1" x14ac:dyDescent="0.2">
      <c r="B46" s="338">
        <v>75788.42</v>
      </c>
      <c r="C46" s="339">
        <v>75798.7</v>
      </c>
      <c r="D46" s="340" t="s">
        <v>15</v>
      </c>
      <c r="E46" s="340" t="s">
        <v>112</v>
      </c>
      <c r="F46" s="340" t="s">
        <v>101</v>
      </c>
      <c r="G46" s="47" t="str">
        <f t="shared" si="46"/>
        <v>-</v>
      </c>
      <c r="H46" s="342">
        <v>3.67</v>
      </c>
      <c r="I46" s="341">
        <v>1.01</v>
      </c>
      <c r="J46" s="341">
        <v>0.67</v>
      </c>
      <c r="K46" s="341">
        <v>0</v>
      </c>
      <c r="L46" s="341">
        <v>0.12</v>
      </c>
      <c r="M46" s="83">
        <f t="shared" si="47"/>
        <v>10.279999999998836</v>
      </c>
      <c r="N46" s="345" t="s">
        <v>101</v>
      </c>
      <c r="O46" s="76">
        <f t="shared" si="6"/>
        <v>0</v>
      </c>
      <c r="P46" s="347">
        <v>229</v>
      </c>
      <c r="Q46" s="75">
        <f t="shared" si="48"/>
        <v>229</v>
      </c>
      <c r="R46" s="353">
        <v>0</v>
      </c>
      <c r="S46" s="493">
        <f t="shared" si="73"/>
        <v>29.636399999999526</v>
      </c>
      <c r="T46" s="210">
        <f t="shared" si="49"/>
        <v>1.4818199999999762E-2</v>
      </c>
      <c r="U46" s="135">
        <f t="shared" si="50"/>
        <v>0</v>
      </c>
      <c r="V46" s="135">
        <f t="shared" si="51"/>
        <v>0</v>
      </c>
      <c r="W46" s="135">
        <f t="shared" si="52"/>
        <v>0</v>
      </c>
      <c r="X46" s="351">
        <v>0</v>
      </c>
      <c r="Y46" s="345">
        <v>0</v>
      </c>
      <c r="Z46" s="34">
        <f t="shared" si="53"/>
        <v>9.1380864197530869</v>
      </c>
      <c r="AA46" s="83">
        <f t="shared" si="54"/>
        <v>4.9107407407407404</v>
      </c>
      <c r="AB46" s="350">
        <v>0</v>
      </c>
      <c r="AC46" s="85">
        <f t="shared" si="55"/>
        <v>1.0177777777777777</v>
      </c>
      <c r="AD46" s="83">
        <f t="shared" si="56"/>
        <v>1.0601851851851851</v>
      </c>
      <c r="AE46" s="83">
        <f t="shared" si="57"/>
        <v>1.3568827160493826</v>
      </c>
      <c r="AF46" s="467">
        <f t="shared" si="58"/>
        <v>0</v>
      </c>
      <c r="AG46" s="85">
        <f t="shared" si="59"/>
        <v>20.559999999997672</v>
      </c>
      <c r="AH46" s="10"/>
      <c r="AI46" s="90"/>
      <c r="AJ46" s="90"/>
    </row>
    <row r="47" spans="1:56" ht="12.75" customHeight="1" x14ac:dyDescent="0.2">
      <c r="A47" s="198" t="s">
        <v>28</v>
      </c>
      <c r="B47" s="338">
        <v>75788.42</v>
      </c>
      <c r="C47" s="339">
        <v>75818.42</v>
      </c>
      <c r="D47" s="340" t="s">
        <v>15</v>
      </c>
      <c r="E47" s="340" t="s">
        <v>101</v>
      </c>
      <c r="F47" s="340" t="s">
        <v>101</v>
      </c>
      <c r="G47" s="47" t="str">
        <f t="shared" si="46"/>
        <v>-</v>
      </c>
      <c r="H47" s="26">
        <v>4</v>
      </c>
      <c r="I47" s="27">
        <f>IF(AND($E47=$AI$2,$F47=$AI$2),2*$AN$12*$M47/27,IF(OR(AND($E47=$AI$2,$F47=$AI$3),AND($E47=$AI$3,$F47=$AI$2)),$AN$12*$M47/27,IF(OR(AND($E47=$AI$2,$F47=$AI$4),AND($E47=$AI$4,$F47=$AI$2)),$AN$12*$M47/27,0)))</f>
        <v>0</v>
      </c>
      <c r="J47" s="27">
        <f>IF(AND($E47=$AI$2,$F47=$AI$2),2*$AQ$12*$M47/27,IF(OR(AND($E47=$AI$2,$F47=$AI$3),AND($E47=$AI$3,$F47=$AI$2)),($AQ$12+$AQ$13)*$M47/27,IF(OR(AND($E47=$AI$2,$F47=$AI$4),AND($E47=$AI$4,$F47=$AI$2)),$AQ$12*$M47/27,IF(OR(AND($E47=$AI$3,$F47=$AI$4),AND($E47=$AI$4,$F47=$AI$3)),$AQ$13*$M47/27,IF(AND($E47=$AI$3,$F47=$AI$3),2*$AQ$13*$M47/27,0)))))</f>
        <v>0</v>
      </c>
      <c r="K47" s="27">
        <f>IF(AND($E47=$AI$4,$F47=$AI$4),2*$AT$14*$M47/27,IF(OR($E47=$AI$4,$F47=$AI$4),$AT$14*$M47/27,0))</f>
        <v>0</v>
      </c>
      <c r="L47" s="341">
        <v>0</v>
      </c>
      <c r="M47" s="83">
        <f t="shared" si="47"/>
        <v>30</v>
      </c>
      <c r="N47" s="345" t="s">
        <v>101</v>
      </c>
      <c r="O47" s="76">
        <f t="shared" si="6"/>
        <v>0</v>
      </c>
      <c r="P47" s="347">
        <v>1413</v>
      </c>
      <c r="Q47" s="75">
        <f t="shared" si="48"/>
        <v>1413</v>
      </c>
      <c r="R47" s="353">
        <v>0</v>
      </c>
      <c r="S47" s="493">
        <f>IF(OR(Q47=0),0,($Q47+$H47*$M47)/9)</f>
        <v>170.33333333333334</v>
      </c>
      <c r="T47" s="210">
        <f t="shared" si="49"/>
        <v>8.5166666666666668E-2</v>
      </c>
      <c r="U47" s="135">
        <f t="shared" si="50"/>
        <v>0</v>
      </c>
      <c r="V47" s="135">
        <f t="shared" si="51"/>
        <v>0</v>
      </c>
      <c r="W47" s="135">
        <f t="shared" si="52"/>
        <v>0</v>
      </c>
      <c r="X47" s="351">
        <v>0</v>
      </c>
      <c r="Y47" s="345">
        <v>0</v>
      </c>
      <c r="Z47" s="34">
        <f t="shared" si="53"/>
        <v>0</v>
      </c>
      <c r="AA47" s="83">
        <f t="shared" si="54"/>
        <v>26.166666666666668</v>
      </c>
      <c r="AB47" s="350">
        <v>0</v>
      </c>
      <c r="AC47" s="85">
        <f t="shared" si="55"/>
        <v>0</v>
      </c>
      <c r="AD47" s="83">
        <f t="shared" si="56"/>
        <v>0</v>
      </c>
      <c r="AE47" s="83">
        <f t="shared" si="57"/>
        <v>0</v>
      </c>
      <c r="AF47" s="467">
        <f t="shared" si="58"/>
        <v>0</v>
      </c>
      <c r="AG47" s="85">
        <f t="shared" si="59"/>
        <v>0</v>
      </c>
      <c r="AH47" s="10"/>
      <c r="AI47" s="90"/>
      <c r="AJ47" s="90"/>
    </row>
    <row r="48" spans="1:56" ht="12.75" customHeight="1" x14ac:dyDescent="0.2">
      <c r="A48" s="198" t="s">
        <v>28</v>
      </c>
      <c r="B48" s="338">
        <v>75914.84</v>
      </c>
      <c r="C48" s="339">
        <v>75944.84</v>
      </c>
      <c r="D48" s="340" t="s">
        <v>15</v>
      </c>
      <c r="E48" s="340" t="s">
        <v>101</v>
      </c>
      <c r="F48" s="340" t="s">
        <v>101</v>
      </c>
      <c r="G48" s="47" t="str">
        <f t="shared" si="46"/>
        <v>-</v>
      </c>
      <c r="H48" s="26">
        <v>4</v>
      </c>
      <c r="I48" s="27">
        <f>IF(AND($E48=$AI$2,$F48=$AI$2),2*$AN$12*$M48/27,IF(OR(AND($E48=$AI$2,$F48=$AI$3),AND($E48=$AI$3,$F48=$AI$2)),$AN$12*$M48/27,IF(OR(AND($E48=$AI$2,$F48=$AI$4),AND($E48=$AI$4,$F48=$AI$2)),$AN$12*$M48/27,0)))</f>
        <v>0</v>
      </c>
      <c r="J48" s="27">
        <f>IF(AND($E48=$AI$2,$F48=$AI$2),2*$AQ$12*$M48/27,IF(OR(AND($E48=$AI$2,$F48=$AI$3),AND($E48=$AI$3,$F48=$AI$2)),($AQ$12+$AQ$13)*$M48/27,IF(OR(AND($E48=$AI$2,$F48=$AI$4),AND($E48=$AI$4,$F48=$AI$2)),$AQ$12*$M48/27,IF(OR(AND($E48=$AI$3,$F48=$AI$4),AND($E48=$AI$4,$F48=$AI$3)),$AQ$13*$M48/27,IF(AND($E48=$AI$3,$F48=$AI$3),2*$AQ$13*$M48/27,0)))))</f>
        <v>0</v>
      </c>
      <c r="K48" s="27">
        <f>IF(AND($E48=$AI$4,$F48=$AI$4),2*$AT$14*$M48/27,IF(OR($E48=$AI$4,$F48=$AI$4),$AT$14*$M48/27,0))</f>
        <v>0</v>
      </c>
      <c r="L48" s="341">
        <v>0</v>
      </c>
      <c r="M48" s="83">
        <f t="shared" si="47"/>
        <v>30</v>
      </c>
      <c r="N48" s="345" t="s">
        <v>101</v>
      </c>
      <c r="O48" s="76">
        <f t="shared" si="6"/>
        <v>0</v>
      </c>
      <c r="P48" s="347">
        <v>1413</v>
      </c>
      <c r="Q48" s="75">
        <f t="shared" si="48"/>
        <v>1413</v>
      </c>
      <c r="R48" s="353">
        <v>0</v>
      </c>
      <c r="S48" s="493">
        <f>IF(OR(Q48=0),0,($Q48+$H48*$M48)/9)</f>
        <v>170.33333333333334</v>
      </c>
      <c r="T48" s="210">
        <f t="shared" si="49"/>
        <v>8.5166666666666668E-2</v>
      </c>
      <c r="U48" s="135">
        <f t="shared" si="50"/>
        <v>0</v>
      </c>
      <c r="V48" s="135">
        <f t="shared" si="51"/>
        <v>0</v>
      </c>
      <c r="W48" s="135">
        <f t="shared" si="52"/>
        <v>0</v>
      </c>
      <c r="X48" s="351">
        <v>0</v>
      </c>
      <c r="Y48" s="345">
        <v>0</v>
      </c>
      <c r="Z48" s="34">
        <f t="shared" si="53"/>
        <v>0</v>
      </c>
      <c r="AA48" s="83">
        <f t="shared" si="54"/>
        <v>26.166666666666668</v>
      </c>
      <c r="AB48" s="350">
        <v>0</v>
      </c>
      <c r="AC48" s="85">
        <f t="shared" si="55"/>
        <v>0</v>
      </c>
      <c r="AD48" s="83">
        <f t="shared" si="56"/>
        <v>0</v>
      </c>
      <c r="AE48" s="83">
        <f t="shared" si="57"/>
        <v>0</v>
      </c>
      <c r="AF48" s="467">
        <f t="shared" si="58"/>
        <v>0</v>
      </c>
      <c r="AG48" s="85">
        <f t="shared" si="59"/>
        <v>0</v>
      </c>
      <c r="AH48" s="10"/>
      <c r="AI48" s="90"/>
      <c r="AJ48" s="90"/>
    </row>
    <row r="49" spans="2:43" ht="12.75" customHeight="1" x14ac:dyDescent="0.2">
      <c r="B49" s="338">
        <v>75944.84</v>
      </c>
      <c r="C49" s="339">
        <v>75955.12</v>
      </c>
      <c r="D49" s="340" t="s">
        <v>15</v>
      </c>
      <c r="E49" s="340" t="s">
        <v>101</v>
      </c>
      <c r="F49" s="340" t="s">
        <v>111</v>
      </c>
      <c r="G49" s="47" t="str">
        <f t="shared" si="46"/>
        <v>-</v>
      </c>
      <c r="H49" s="342">
        <v>0</v>
      </c>
      <c r="I49" s="341">
        <v>0</v>
      </c>
      <c r="J49" s="341">
        <v>0</v>
      </c>
      <c r="K49" s="341">
        <v>-7.0000000000000007E-2</v>
      </c>
      <c r="L49" s="341">
        <v>0</v>
      </c>
      <c r="M49" s="83">
        <f t="shared" si="47"/>
        <v>10.279999999998836</v>
      </c>
      <c r="N49" s="345" t="s">
        <v>101</v>
      </c>
      <c r="O49" s="76">
        <f t="shared" si="6"/>
        <v>0</v>
      </c>
      <c r="P49" s="347">
        <v>229</v>
      </c>
      <c r="Q49" s="75">
        <f t="shared" si="48"/>
        <v>229</v>
      </c>
      <c r="R49" s="353">
        <v>0</v>
      </c>
      <c r="S49" s="493">
        <f t="shared" si="73"/>
        <v>25.444444444444443</v>
      </c>
      <c r="T49" s="210">
        <f t="shared" si="49"/>
        <v>1.2722222222222222E-2</v>
      </c>
      <c r="U49" s="135">
        <f t="shared" si="50"/>
        <v>0</v>
      </c>
      <c r="V49" s="135">
        <f t="shared" si="51"/>
        <v>0</v>
      </c>
      <c r="W49" s="135">
        <f t="shared" si="52"/>
        <v>0</v>
      </c>
      <c r="X49" s="351">
        <v>0</v>
      </c>
      <c r="Y49" s="345">
        <v>0</v>
      </c>
      <c r="Z49" s="34">
        <f t="shared" si="53"/>
        <v>8.1280864197530871</v>
      </c>
      <c r="AA49" s="83">
        <f t="shared" si="54"/>
        <v>4.2407407407407405</v>
      </c>
      <c r="AB49" s="350">
        <v>0</v>
      </c>
      <c r="AC49" s="85">
        <f t="shared" si="55"/>
        <v>1.0177777777777777</v>
      </c>
      <c r="AD49" s="83">
        <f t="shared" si="56"/>
        <v>0.99018518518518506</v>
      </c>
      <c r="AE49" s="83">
        <f t="shared" si="57"/>
        <v>1.2368827160493827</v>
      </c>
      <c r="AF49" s="467">
        <f t="shared" si="58"/>
        <v>0</v>
      </c>
      <c r="AG49" s="85">
        <f t="shared" si="59"/>
        <v>20.559999999997672</v>
      </c>
      <c r="AH49" s="10"/>
      <c r="AI49" s="90"/>
      <c r="AJ49" s="90"/>
    </row>
    <row r="50" spans="2:43" ht="12.75" customHeight="1" x14ac:dyDescent="0.2">
      <c r="B50" s="338">
        <v>75955.12</v>
      </c>
      <c r="C50" s="339">
        <v>76176.61</v>
      </c>
      <c r="D50" s="340" t="s">
        <v>15</v>
      </c>
      <c r="E50" s="340" t="s">
        <v>106</v>
      </c>
      <c r="F50" s="340" t="s">
        <v>111</v>
      </c>
      <c r="G50" s="47" t="str">
        <f t="shared" si="46"/>
        <v>F/C - C/B</v>
      </c>
      <c r="H50" s="26">
        <f>IF(AND($E50=$AI$2,$F50=$AI$2),2*$AK$12,IF(OR(AND($E50=$AI$2, $F50=$AI$3),AND($E50=$AI$3,$F50=$AI$2)),$AK$12+$AK$13,IF(OR(AND($E50=$AI$2,$F50=$AI$4),AND($E50=$AI$4,$F50=$AI$2)),$AK$12,IF(OR(AND($E50=$AI$3,$F50=$AI$4),AND($E50=$AI$4,$F50=$AI$3)),$AK$13,IF(AND($E50=$AI$3,$F50=$AI$3),2*$AK$13,0)))))</f>
        <v>2</v>
      </c>
      <c r="I50" s="27">
        <f>IF(AND($E50=$AI$2,$F50=$AI$2),2*$AN$12*$M50/27,IF(OR(AND($E50=$AI$2,$F50=$AI$3),AND($E50=$AI$3,$F50=$AI$2)),$AN$12*$M50/27,IF(OR(AND($E50=$AI$2,$F50=$AI$4),AND($E50=$AI$4,$F50=$AI$2)),$AN$12*$M50/27,0)))</f>
        <v>0</v>
      </c>
      <c r="J50" s="27">
        <f>IF(AND($E50=$AI$2,$F50=$AI$2),2*$AQ$12*$M50/27,IF(OR(AND($E50=$AI$2,$F50=$AI$3),AND($E50=$AI$3,$F50=$AI$2)),($AQ$12+$AQ$13)*$M50/27,IF(OR(AND($E50=$AI$2,$F50=$AI$4),AND($E50=$AI$4,$F50=$AI$2)),$AQ$12*$M50/27,IF(OR(AND($E50=$AI$3,$F50=$AI$4),AND($E50=$AI$4,$F50=$AI$3)),$AQ$13*$M50/27,IF(AND($E50=$AI$3,$F50=$AI$3),2*$AQ$13*$M50/27,0)))))</f>
        <v>8.0392666666668564</v>
      </c>
      <c r="K50" s="27">
        <f>IF(AND($E50=$AI$4,$F50=$AI$4),2*$AT$14*$M50/27,IF(OR($E50=$AI$4,$F50=$AI$4),$AT$14*$M50/27,0))</f>
        <v>-1.4766000000000348</v>
      </c>
      <c r="L50" s="341">
        <v>0</v>
      </c>
      <c r="M50" s="83">
        <f t="shared" si="47"/>
        <v>221.49000000000524</v>
      </c>
      <c r="N50" s="345">
        <v>44.42</v>
      </c>
      <c r="O50" s="76">
        <f t="shared" si="6"/>
        <v>9839</v>
      </c>
      <c r="P50" s="347">
        <v>0</v>
      </c>
      <c r="Q50" s="75">
        <f t="shared" si="48"/>
        <v>9839</v>
      </c>
      <c r="R50" s="353">
        <v>0</v>
      </c>
      <c r="S50" s="493">
        <f t="shared" si="73"/>
        <v>1142.4422222222233</v>
      </c>
      <c r="T50" s="210">
        <f t="shared" si="49"/>
        <v>0.57122111111111162</v>
      </c>
      <c r="U50" s="135">
        <f t="shared" si="50"/>
        <v>0</v>
      </c>
      <c r="V50" s="135">
        <f t="shared" si="51"/>
        <v>0</v>
      </c>
      <c r="W50" s="135">
        <f t="shared" si="52"/>
        <v>0</v>
      </c>
      <c r="X50" s="351">
        <v>0</v>
      </c>
      <c r="Y50" s="345">
        <v>0</v>
      </c>
      <c r="Z50" s="34">
        <f t="shared" si="53"/>
        <v>349.22376543209873</v>
      </c>
      <c r="AA50" s="83">
        <f t="shared" si="54"/>
        <v>190.24297037037056</v>
      </c>
      <c r="AB50" s="350">
        <v>0</v>
      </c>
      <c r="AC50" s="85">
        <f t="shared" si="55"/>
        <v>43.728888888888889</v>
      </c>
      <c r="AD50" s="83">
        <f t="shared" si="56"/>
        <v>44.074325925925891</v>
      </c>
      <c r="AE50" s="83">
        <f t="shared" si="57"/>
        <v>53.142746913580247</v>
      </c>
      <c r="AF50" s="467">
        <f t="shared" si="58"/>
        <v>0</v>
      </c>
      <c r="AG50" s="85">
        <f t="shared" si="59"/>
        <v>442.98000000001048</v>
      </c>
      <c r="AH50" s="10"/>
      <c r="AI50" s="90"/>
      <c r="AJ50" s="90"/>
    </row>
    <row r="51" spans="2:43" ht="12.75" customHeight="1" x14ac:dyDescent="0.2">
      <c r="B51" s="338">
        <v>76176.61</v>
      </c>
      <c r="C51" s="339">
        <v>76300</v>
      </c>
      <c r="D51" s="340" t="s">
        <v>15</v>
      </c>
      <c r="E51" s="340" t="s">
        <v>106</v>
      </c>
      <c r="F51" s="340" t="s">
        <v>111</v>
      </c>
      <c r="G51" s="47" t="str">
        <f t="shared" si="46"/>
        <v>F/C - C/B</v>
      </c>
      <c r="H51" s="26">
        <f>IF(AND($E51=$AI$2,$F51=$AI$2),2*$AK$12,IF(OR(AND($E51=$AI$2, $F51=$AI$3),AND($E51=$AI$3,$F51=$AI$2)),$AK$12+$AK$13,IF(OR(AND($E51=$AI$2,$F51=$AI$4),AND($E51=$AI$4,$F51=$AI$2)),$AK$12,IF(OR(AND($E51=$AI$3,$F51=$AI$4),AND($E51=$AI$4,$F51=$AI$3)),$AK$13,IF(AND($E51=$AI$3,$F51=$AI$3),2*$AK$13,0)))))</f>
        <v>2</v>
      </c>
      <c r="I51" s="27">
        <f>IF(AND($E51=$AI$2,$F51=$AI$2),2*$AN$12*$M51/27,IF(OR(AND($E51=$AI$2,$F51=$AI$3),AND($E51=$AI$3,$F51=$AI$2)),$AN$12*$M51/27,IF(OR(AND($E51=$AI$2,$F51=$AI$4),AND($E51=$AI$4,$F51=$AI$2)),$AN$12*$M51/27,0)))</f>
        <v>0</v>
      </c>
      <c r="J51" s="27">
        <f>IF(AND($E51=$AI$2,$F51=$AI$2),2*$AQ$12*$M51/27,IF(OR(AND($E51=$AI$2,$F51=$AI$3),AND($E51=$AI$3,$F51=$AI$2)),($AQ$12+$AQ$13)*$M51/27,IF(OR(AND($E51=$AI$2,$F51=$AI$4),AND($E51=$AI$4,$F51=$AI$2)),$AQ$12*$M51/27,IF(OR(AND($E51=$AI$3,$F51=$AI$4),AND($E51=$AI$4,$F51=$AI$3)),$AQ$13*$M51/27,IF(AND($E51=$AI$3,$F51=$AI$3),2*$AQ$13*$M51/27,0)))))</f>
        <v>4.4785999999999788</v>
      </c>
      <c r="K51" s="27">
        <f>IF(AND($E51=$AI$4,$F51=$AI$4),2*$AT$14*$M51/27,IF(OR($E51=$AI$4,$F51=$AI$4),$AT$14*$M51/27,0))</f>
        <v>-0.82259999999999611</v>
      </c>
      <c r="L51" s="341">
        <v>0</v>
      </c>
      <c r="M51" s="83">
        <f t="shared" si="47"/>
        <v>123.38999999999942</v>
      </c>
      <c r="N51" s="345">
        <v>45.3</v>
      </c>
      <c r="O51" s="76">
        <f t="shared" si="6"/>
        <v>5590</v>
      </c>
      <c r="P51" s="347">
        <v>0</v>
      </c>
      <c r="Q51" s="75">
        <f t="shared" si="48"/>
        <v>5590</v>
      </c>
      <c r="R51" s="353">
        <v>0</v>
      </c>
      <c r="S51" s="493">
        <f t="shared" si="73"/>
        <v>648.53111111111093</v>
      </c>
      <c r="T51" s="210">
        <f t="shared" si="49"/>
        <v>0.32426555555555547</v>
      </c>
      <c r="U51" s="135">
        <f t="shared" si="50"/>
        <v>0</v>
      </c>
      <c r="V51" s="135">
        <f t="shared" si="51"/>
        <v>0</v>
      </c>
      <c r="W51" s="135">
        <f t="shared" si="52"/>
        <v>0</v>
      </c>
      <c r="X51" s="351">
        <v>0</v>
      </c>
      <c r="Y51" s="345">
        <v>0</v>
      </c>
      <c r="Z51" s="34">
        <f t="shared" si="53"/>
        <v>198.41049382716048</v>
      </c>
      <c r="AA51" s="83">
        <f t="shared" si="54"/>
        <v>107.9971185185185</v>
      </c>
      <c r="AB51" s="350">
        <v>0</v>
      </c>
      <c r="AC51" s="85">
        <f t="shared" si="55"/>
        <v>24.844444444444445</v>
      </c>
      <c r="AD51" s="83">
        <f t="shared" si="56"/>
        <v>25.057029629629632</v>
      </c>
      <c r="AE51" s="83">
        <f t="shared" si="57"/>
        <v>30.192901234567902</v>
      </c>
      <c r="AF51" s="467">
        <f t="shared" si="58"/>
        <v>0</v>
      </c>
      <c r="AG51" s="85">
        <f t="shared" si="59"/>
        <v>246.77999999999884</v>
      </c>
      <c r="AH51" s="10"/>
      <c r="AI51" s="10"/>
      <c r="AJ51" s="10"/>
    </row>
    <row r="52" spans="2:43" s="81" customFormat="1" ht="12.75" customHeight="1" x14ac:dyDescent="0.2">
      <c r="B52" s="338">
        <v>76300</v>
      </c>
      <c r="C52" s="339">
        <v>76736.5</v>
      </c>
      <c r="D52" s="340" t="s">
        <v>15</v>
      </c>
      <c r="E52" s="340" t="s">
        <v>106</v>
      </c>
      <c r="F52" s="340" t="s">
        <v>111</v>
      </c>
      <c r="G52" s="103" t="str">
        <f t="shared" si="46"/>
        <v>F/C - C/B</v>
      </c>
      <c r="H52" s="26">
        <f>IF(AND($E52=$AI$2,$F52=$AI$2),2*$AK$12,IF(OR(AND($E52=$AI$2, $F52=$AI$3),AND($E52=$AI$3,$F52=$AI$2)),$AK$12+$AK$13,IF(OR(AND($E52=$AI$2,$F52=$AI$4),AND($E52=$AI$4,$F52=$AI$2)),$AK$12,IF(OR(AND($E52=$AI$3,$F52=$AI$4),AND($E52=$AI$4,$F52=$AI$3)),$AK$13,IF(AND($E52=$AI$3,$F52=$AI$3),2*$AK$13,0)))))</f>
        <v>2</v>
      </c>
      <c r="I52" s="27">
        <f>IF(AND($E52=$AI$2,$F52=$AI$2),2*$AN$12*$M52/27,IF(OR(AND($E52=$AI$2,$F52=$AI$3),AND($E52=$AI$3,$F52=$AI$2)),$AN$12*$M52/27,IF(OR(AND($E52=$AI$2,$F52=$AI$4),AND($E52=$AI$4,$F52=$AI$2)),$AN$12*$M52/27,0)))</f>
        <v>0</v>
      </c>
      <c r="J52" s="27">
        <f>IF(AND($E52=$AI$2,$F52=$AI$2),2*$AQ$12*$M52/27,IF(OR(AND($E52=$AI$2,$F52=$AI$3),AND($E52=$AI$3,$F52=$AI$2)),($AQ$12+$AQ$13)*$M52/27,IF(OR(AND($E52=$AI$2,$F52=$AI$4),AND($E52=$AI$4,$F52=$AI$2)),$AQ$12*$M52/27,IF(OR(AND($E52=$AI$3,$F52=$AI$4),AND($E52=$AI$4,$F52=$AI$3)),$AQ$13*$M52/27,IF(AND($E52=$AI$3,$F52=$AI$3),2*$AQ$13*$M52/27,0)))))</f>
        <v>15.843333333333332</v>
      </c>
      <c r="K52" s="27">
        <f>IF(AND($E52=$AI$4,$F52=$AI$4),2*$AT$14*$M52/27,IF(OR($E52=$AI$4,$F52=$AI$4),$AT$14*$M52/27,0))</f>
        <v>-2.9099999999999997</v>
      </c>
      <c r="L52" s="341">
        <v>1</v>
      </c>
      <c r="M52" s="492">
        <f t="shared" ref="M52" si="74">C52-B52</f>
        <v>436.5</v>
      </c>
      <c r="N52" s="345">
        <v>49.3</v>
      </c>
      <c r="O52" s="124">
        <f t="shared" ref="O52" si="75">IF(N52="-",0,ROUNDUP($M52*N52,0))</f>
        <v>21520</v>
      </c>
      <c r="P52" s="347">
        <v>0</v>
      </c>
      <c r="Q52" s="123">
        <f t="shared" ref="Q52" si="76">SUM(O52:P52)</f>
        <v>21520</v>
      </c>
      <c r="R52" s="353">
        <v>0</v>
      </c>
      <c r="S52" s="352">
        <v>0</v>
      </c>
      <c r="T52" s="210">
        <f t="shared" ref="T52" si="77">IF(AND(S52=0,V52=0),0,IF(V52=0,S52/2000,V52/2000))</f>
        <v>1.2440555555555557</v>
      </c>
      <c r="U52" s="135">
        <f t="shared" ref="U52" si="78">IF(OR(A52="APP SLAB",S52&lt;&gt;0),0,V52)</f>
        <v>2488.1111111111113</v>
      </c>
      <c r="V52" s="135">
        <f t="shared" ref="V52" si="79">IF(OR(A52="APP SLAB",S52&lt;&gt;0),0,(Q52+H52*M52)/9)</f>
        <v>2488.1111111111113</v>
      </c>
      <c r="W52" s="135">
        <f t="shared" ref="W52" si="80">IF(OR(A52="APP SLAB",S52&lt;&gt;0),0,$V$1*V52*110*0.06*0.75/2000)</f>
        <v>73.896900000000002</v>
      </c>
      <c r="X52" s="351">
        <v>0</v>
      </c>
      <c r="Y52" s="345">
        <v>0</v>
      </c>
      <c r="Z52" s="34">
        <f t="shared" ref="Z52" si="81">IF(A52="APP SLAB",0,(Q52*$Z$1/12)/27+I52)</f>
        <v>763.82716049382714</v>
      </c>
      <c r="AA52" s="492">
        <f t="shared" ref="AA52" si="82">(Q52*$AA$1/12)/27+J52</f>
        <v>414.36185185185184</v>
      </c>
      <c r="AB52" s="350">
        <v>0</v>
      </c>
      <c r="AC52" s="493">
        <f t="shared" ref="AC52" si="83">IF(A52="APP SLAB",0,(Q52/9)*$AC$1)</f>
        <v>95.64444444444446</v>
      </c>
      <c r="AD52" s="492">
        <f t="shared" ref="AD52" si="84">IF(A52="APP SLAB",0,(Q52*($AD$1/12))/27+K52)</f>
        <v>96.719629629629637</v>
      </c>
      <c r="AE52" s="492">
        <f t="shared" ref="AE52" si="85">IF(A52="APP SLAB",0,(Q52*$AE$1/12)/27+L52)</f>
        <v>117.23456790123457</v>
      </c>
      <c r="AF52" s="511">
        <f t="shared" si="58"/>
        <v>0</v>
      </c>
      <c r="AG52" s="493">
        <f t="shared" ref="AG52" si="86">IF(A52="APP SLAB",0,(M52*2))</f>
        <v>873</v>
      </c>
      <c r="AH52" s="10"/>
      <c r="AI52" s="10"/>
      <c r="AJ52" s="10"/>
    </row>
    <row r="53" spans="2:43" ht="12.75" customHeight="1" x14ac:dyDescent="0.2">
      <c r="B53" s="338">
        <v>76736.5</v>
      </c>
      <c r="C53" s="339">
        <v>77000</v>
      </c>
      <c r="D53" s="340" t="s">
        <v>15</v>
      </c>
      <c r="E53" s="340" t="s">
        <v>106</v>
      </c>
      <c r="F53" s="340" t="s">
        <v>111</v>
      </c>
      <c r="G53" s="47" t="str">
        <f t="shared" si="46"/>
        <v>F/C - C/B</v>
      </c>
      <c r="H53" s="26">
        <f>IF(AND($E53=$AI$2,$F53=$AI$2),2*$AK$12,IF(OR(AND($E53=$AI$2, $F53=$AI$3),AND($E53=$AI$3,$F53=$AI$2)),$AK$12+$AK$13,IF(OR(AND($E53=$AI$2,$F53=$AI$4),AND($E53=$AI$4,$F53=$AI$2)),$AK$12,IF(OR(AND($E53=$AI$3,$F53=$AI$4),AND($E53=$AI$4,$F53=$AI$3)),$AK$13,IF(AND($E53=$AI$3,$F53=$AI$3),2*$AK$13,0)))))</f>
        <v>2</v>
      </c>
      <c r="I53" s="27">
        <f>IF(AND($E53=$AI$2,$F53=$AI$2),2*$AN$12*$M53/27,IF(OR(AND($E53=$AI$2,$F53=$AI$3),AND($E53=$AI$3,$F53=$AI$2)),$AN$12*$M53/27,IF(OR(AND($E53=$AI$2,$F53=$AI$4),AND($E53=$AI$4,$F53=$AI$2)),$AN$12*$M53/27,0)))</f>
        <v>0</v>
      </c>
      <c r="J53" s="27">
        <f>IF(AND($E53=$AI$2,$F53=$AI$2),2*$AQ$12*$M53/27,IF(OR(AND($E53=$AI$2,$F53=$AI$3),AND($E53=$AI$3,$F53=$AI$2)),($AQ$12+$AQ$13)*$M53/27,IF(OR(AND($E53=$AI$2,$F53=$AI$4),AND($E53=$AI$4,$F53=$AI$2)),$AQ$12*$M53/27,IF(OR(AND($E53=$AI$3,$F53=$AI$4),AND($E53=$AI$4,$F53=$AI$3)),$AQ$13*$M53/27,IF(AND($E53=$AI$3,$F53=$AI$3),2*$AQ$13*$M53/27,0)))))</f>
        <v>9.5640740740740746</v>
      </c>
      <c r="K53" s="27">
        <f>IF(AND($E53=$AI$4,$F53=$AI$4),2*$AT$14*$M53/27,IF(OR($E53=$AI$4,$F53=$AI$4),$AT$14*$M53/27,0))</f>
        <v>-1.7566666666666666</v>
      </c>
      <c r="L53" s="341">
        <v>0</v>
      </c>
      <c r="M53" s="83">
        <f t="shared" si="47"/>
        <v>263.5</v>
      </c>
      <c r="N53" s="345" t="s">
        <v>101</v>
      </c>
      <c r="O53" s="76">
        <f t="shared" si="6"/>
        <v>0</v>
      </c>
      <c r="P53" s="347">
        <v>15141</v>
      </c>
      <c r="Q53" s="75">
        <f t="shared" si="48"/>
        <v>15141</v>
      </c>
      <c r="R53" s="353">
        <v>0</v>
      </c>
      <c r="S53" s="352">
        <v>0</v>
      </c>
      <c r="T53" s="210">
        <f t="shared" si="49"/>
        <v>0.87044444444444447</v>
      </c>
      <c r="U53" s="135">
        <f t="shared" si="50"/>
        <v>1740.8888888888889</v>
      </c>
      <c r="V53" s="135">
        <f t="shared" si="51"/>
        <v>1740.8888888888889</v>
      </c>
      <c r="W53" s="135">
        <f t="shared" si="52"/>
        <v>51.704399999999993</v>
      </c>
      <c r="X53" s="351">
        <v>0</v>
      </c>
      <c r="Y53" s="345">
        <v>0</v>
      </c>
      <c r="Z53" s="34">
        <f t="shared" si="53"/>
        <v>537.41203703703707</v>
      </c>
      <c r="AA53" s="83">
        <f t="shared" si="54"/>
        <v>289.952962962963</v>
      </c>
      <c r="AB53" s="350">
        <v>0</v>
      </c>
      <c r="AC53" s="85">
        <f t="shared" si="55"/>
        <v>67.293333333333337</v>
      </c>
      <c r="AD53" s="83">
        <f t="shared" si="56"/>
        <v>68.340555555555568</v>
      </c>
      <c r="AE53" s="83">
        <f t="shared" si="57"/>
        <v>81.780092592592595</v>
      </c>
      <c r="AF53" s="467">
        <f t="shared" si="58"/>
        <v>0</v>
      </c>
      <c r="AG53" s="85">
        <f t="shared" si="59"/>
        <v>527</v>
      </c>
      <c r="AH53" s="10"/>
      <c r="AI53" s="10"/>
      <c r="AJ53" s="10"/>
    </row>
    <row r="54" spans="2:43" ht="12.75" customHeight="1" x14ac:dyDescent="0.2">
      <c r="B54" s="338">
        <v>77000</v>
      </c>
      <c r="C54" s="339">
        <v>77021.960000000006</v>
      </c>
      <c r="D54" s="340" t="s">
        <v>15</v>
      </c>
      <c r="E54" s="340" t="s">
        <v>106</v>
      </c>
      <c r="F54" s="340" t="s">
        <v>105</v>
      </c>
      <c r="G54" s="47" t="str">
        <f t="shared" si="46"/>
        <v>E/S - F/C</v>
      </c>
      <c r="H54" s="26">
        <f>IF(AND($E54=$AI$2,$F54=$AI$2),2*$AK$12,IF(OR(AND($E54=$AI$2, $F54=$AI$3),AND($E54=$AI$3,$F54=$AI$2)),$AK$12+$AK$13,IF(OR(AND($E54=$AI$2,$F54=$AI$4),AND($E54=$AI$4,$F54=$AI$2)),$AK$12,IF(OR(AND($E54=$AI$3,$F54=$AI$4),AND($E54=$AI$4,$F54=$AI$3)),$AK$13,IF(AND($E54=$AI$3,$F54=$AI$3),2*$AK$13,0)))))</f>
        <v>3.5</v>
      </c>
      <c r="I54" s="27">
        <f>IF(AND($E54=$AI$2,$F54=$AI$2),2*$AN$12*$M54/27,IF(OR(AND($E54=$AI$2,$F54=$AI$3),AND($E54=$AI$3,$F54=$AI$2)),$AN$12*$M54/27,IF(OR(AND($E54=$AI$2,$F54=$AI$4),AND($E54=$AI$4,$F54=$AI$2)),$AN$12*$M54/27,0)))</f>
        <v>0.46360000000013518</v>
      </c>
      <c r="J54" s="27">
        <f>IF(AND($E54=$AI$2,$F54=$AI$2),2*$AQ$12*$M54/27,IF(OR(AND($E54=$AI$2,$F54=$AI$3),AND($E54=$AI$3,$F54=$AI$2)),($AQ$12+$AQ$13)*$M54/27,IF(OR(AND($E54=$AI$2,$F54=$AI$4),AND($E54=$AI$4,$F54=$AI$2)),$AQ$12*$M54/27,IF(OR(AND($E54=$AI$3,$F54=$AI$4),AND($E54=$AI$4,$F54=$AI$3)),$AQ$13*$M54/27,IF(AND($E54=$AI$3,$F54=$AI$3),2*$AQ$13*$M54/27,0)))))</f>
        <v>1.3420000000003911</v>
      </c>
      <c r="K54" s="27">
        <f>IF(AND($E54=$AI$4,$F54=$AI$4),2*$AT$14*$M54/27,IF(OR($E54=$AI$4,$F54=$AI$4),$AT$14*$M54/27,0))</f>
        <v>0</v>
      </c>
      <c r="L54" s="341">
        <v>0</v>
      </c>
      <c r="M54" s="83">
        <f t="shared" si="47"/>
        <v>21.960000000006403</v>
      </c>
      <c r="N54" s="345" t="s">
        <v>101</v>
      </c>
      <c r="O54" s="76">
        <f t="shared" si="6"/>
        <v>0</v>
      </c>
      <c r="P54" s="347">
        <v>1342</v>
      </c>
      <c r="Q54" s="75">
        <f t="shared" si="48"/>
        <v>1342</v>
      </c>
      <c r="R54" s="353">
        <v>0</v>
      </c>
      <c r="S54" s="352">
        <v>0</v>
      </c>
      <c r="T54" s="210">
        <f t="shared" si="49"/>
        <v>7.88255555555568E-2</v>
      </c>
      <c r="U54" s="135">
        <f t="shared" si="50"/>
        <v>157.65111111111361</v>
      </c>
      <c r="V54" s="135">
        <f t="shared" si="51"/>
        <v>157.65111111111361</v>
      </c>
      <c r="W54" s="135">
        <f t="shared" si="52"/>
        <v>4.6822380000000736</v>
      </c>
      <c r="X54" s="351">
        <v>0</v>
      </c>
      <c r="Y54" s="345">
        <v>0</v>
      </c>
      <c r="Z54" s="34">
        <f t="shared" si="53"/>
        <v>48.09631604938285</v>
      </c>
      <c r="AA54" s="83">
        <f t="shared" si="54"/>
        <v>26.193851851852241</v>
      </c>
      <c r="AB54" s="350">
        <v>0</v>
      </c>
      <c r="AC54" s="85">
        <f t="shared" si="55"/>
        <v>5.9644444444444451</v>
      </c>
      <c r="AD54" s="83">
        <f t="shared" si="56"/>
        <v>6.2129629629629628</v>
      </c>
      <c r="AE54" s="83">
        <f t="shared" si="57"/>
        <v>7.2484567901234573</v>
      </c>
      <c r="AF54" s="467">
        <f t="shared" si="58"/>
        <v>0.44055555555568404</v>
      </c>
      <c r="AG54" s="85">
        <f t="shared" si="59"/>
        <v>43.920000000012806</v>
      </c>
      <c r="AH54" s="10"/>
      <c r="AI54" s="10"/>
      <c r="AJ54" s="10"/>
    </row>
    <row r="55" spans="2:43" s="81" customFormat="1" ht="12.75" customHeight="1" thickBot="1" x14ac:dyDescent="0.25">
      <c r="B55" s="358"/>
      <c r="C55" s="359"/>
      <c r="D55" s="360"/>
      <c r="E55" s="360"/>
      <c r="F55" s="360"/>
      <c r="G55" s="196"/>
      <c r="H55" s="474"/>
      <c r="I55" s="258"/>
      <c r="J55" s="258"/>
      <c r="K55" s="258"/>
      <c r="L55" s="363"/>
      <c r="M55" s="471"/>
      <c r="N55" s="364"/>
      <c r="O55" s="165"/>
      <c r="P55" s="365"/>
      <c r="Q55" s="136"/>
      <c r="R55" s="475"/>
      <c r="S55" s="476"/>
      <c r="T55" s="477"/>
      <c r="U55" s="478"/>
      <c r="V55" s="478"/>
      <c r="W55" s="478"/>
      <c r="X55" s="479"/>
      <c r="Y55" s="364"/>
      <c r="Z55" s="480"/>
      <c r="AA55" s="471"/>
      <c r="AB55" s="481"/>
      <c r="AC55" s="482"/>
      <c r="AD55" s="471"/>
      <c r="AE55" s="471"/>
      <c r="AF55" s="471"/>
      <c r="AG55" s="482"/>
      <c r="AH55" s="10"/>
      <c r="AI55" s="10"/>
      <c r="AJ55" s="10"/>
    </row>
    <row r="56" spans="2:43" s="81" customFormat="1" ht="12.75" customHeight="1" x14ac:dyDescent="0.2">
      <c r="B56" s="585" t="s">
        <v>190</v>
      </c>
      <c r="C56" s="586"/>
      <c r="D56" s="586"/>
      <c r="E56" s="586"/>
      <c r="F56" s="586"/>
      <c r="G56" s="586"/>
      <c r="H56" s="586"/>
      <c r="I56" s="586"/>
      <c r="J56" s="586"/>
      <c r="K56" s="586"/>
      <c r="L56" s="586"/>
      <c r="M56" s="586"/>
      <c r="N56" s="586"/>
      <c r="O56" s="586"/>
      <c r="P56" s="586"/>
      <c r="Q56" s="587"/>
      <c r="R56" s="592">
        <f t="shared" ref="R56:AG56" si="87">ROUNDUP(SUM(R18:R54),0)</f>
        <v>0</v>
      </c>
      <c r="S56" s="592">
        <f t="shared" si="87"/>
        <v>24349</v>
      </c>
      <c r="T56" s="592">
        <f t="shared" si="87"/>
        <v>20</v>
      </c>
      <c r="U56" s="592">
        <f t="shared" si="87"/>
        <v>15301</v>
      </c>
      <c r="V56" s="592">
        <f t="shared" si="87"/>
        <v>15301</v>
      </c>
      <c r="W56" s="592">
        <f t="shared" si="87"/>
        <v>455</v>
      </c>
      <c r="X56" s="592">
        <f t="shared" si="87"/>
        <v>0</v>
      </c>
      <c r="Y56" s="592">
        <f t="shared" si="87"/>
        <v>0</v>
      </c>
      <c r="Z56" s="592">
        <f t="shared" si="87"/>
        <v>12148</v>
      </c>
      <c r="AA56" s="592">
        <f t="shared" si="87"/>
        <v>6586</v>
      </c>
      <c r="AB56" s="592">
        <f t="shared" si="87"/>
        <v>0</v>
      </c>
      <c r="AC56" s="592">
        <f t="shared" si="87"/>
        <v>1508</v>
      </c>
      <c r="AD56" s="592">
        <f t="shared" si="87"/>
        <v>1525</v>
      </c>
      <c r="AE56" s="592">
        <f t="shared" si="87"/>
        <v>1840</v>
      </c>
      <c r="AF56" s="592">
        <f t="shared" si="87"/>
        <v>74</v>
      </c>
      <c r="AG56" s="592">
        <f t="shared" si="87"/>
        <v>13677</v>
      </c>
      <c r="AH56" s="10"/>
      <c r="AI56" s="10"/>
      <c r="AJ56" s="10"/>
    </row>
    <row r="57" spans="2:43" s="81" customFormat="1" ht="12.75" customHeight="1" thickBot="1" x14ac:dyDescent="0.25">
      <c r="B57" s="588"/>
      <c r="C57" s="589"/>
      <c r="D57" s="589"/>
      <c r="E57" s="589"/>
      <c r="F57" s="589"/>
      <c r="G57" s="589"/>
      <c r="H57" s="589"/>
      <c r="I57" s="589"/>
      <c r="J57" s="589"/>
      <c r="K57" s="589"/>
      <c r="L57" s="589"/>
      <c r="M57" s="589"/>
      <c r="N57" s="589"/>
      <c r="O57" s="589"/>
      <c r="P57" s="589"/>
      <c r="Q57" s="590"/>
      <c r="R57" s="690"/>
      <c r="S57" s="690"/>
      <c r="T57" s="690"/>
      <c r="U57" s="690"/>
      <c r="V57" s="690"/>
      <c r="W57" s="690"/>
      <c r="X57" s="690"/>
      <c r="Y57" s="690"/>
      <c r="Z57" s="690"/>
      <c r="AA57" s="690"/>
      <c r="AB57" s="690"/>
      <c r="AC57" s="690"/>
      <c r="AD57" s="690"/>
      <c r="AE57" s="690"/>
      <c r="AF57" s="690"/>
      <c r="AG57" s="690"/>
      <c r="AH57" s="10"/>
      <c r="AI57" s="10"/>
      <c r="AJ57" s="10"/>
    </row>
    <row r="58" spans="2:43" s="81" customFormat="1" ht="12.75" customHeight="1" x14ac:dyDescent="0.2">
      <c r="B58" s="643" t="s">
        <v>167</v>
      </c>
      <c r="C58" s="698"/>
      <c r="D58" s="151"/>
      <c r="E58" s="152"/>
      <c r="F58" s="121"/>
      <c r="G58" s="121"/>
      <c r="H58" s="153"/>
      <c r="I58" s="153"/>
      <c r="J58" s="153"/>
      <c r="K58" s="154"/>
      <c r="L58" s="154"/>
      <c r="M58" s="155"/>
      <c r="N58" s="155"/>
      <c r="O58" s="147"/>
      <c r="P58" s="147"/>
      <c r="Q58" s="147"/>
      <c r="R58" s="205"/>
      <c r="S58" s="156"/>
      <c r="T58" s="155"/>
      <c r="U58" s="155"/>
      <c r="V58" s="155"/>
      <c r="W58" s="155"/>
      <c r="X58" s="250"/>
      <c r="Y58" s="156"/>
      <c r="Z58" s="155"/>
      <c r="AA58" s="155"/>
      <c r="AB58" s="155"/>
      <c r="AC58" s="155"/>
      <c r="AD58" s="155"/>
      <c r="AE58" s="155"/>
      <c r="AF58" s="469"/>
      <c r="AG58" s="55"/>
      <c r="AH58" s="143"/>
    </row>
    <row r="59" spans="2:43" s="81" customFormat="1" ht="12.75" customHeight="1" x14ac:dyDescent="0.2">
      <c r="B59" s="338">
        <v>72100</v>
      </c>
      <c r="C59" s="339">
        <v>72500</v>
      </c>
      <c r="D59" s="344" t="s">
        <v>16</v>
      </c>
      <c r="E59" s="344" t="s">
        <v>101</v>
      </c>
      <c r="F59" s="344" t="s">
        <v>101</v>
      </c>
      <c r="G59" s="103" t="str">
        <f>IF(AND($E59=$AI$2,$F59=$AI$2),$AK$2,IF(OR(AND($E59=$AI$2,$F59=$AI$3),AND($E59=$AI$3,$F59=$AI$2)),$AK$3,IF(OR(AND($E59=$AI$2,$F59=$AI$4),AND($E59=$AI$4,$F59=$AI$2)),$AK$4,IF(OR(AND($E59=$AI$3,$F59=$AI$4),AND($E59=$AI$4,$F59=$AI$3)),$AK$5,IF(AND($E59=$AI$3,$F59=$AI$3),$AK$6,IF(AND($E59=$AI$4,$F59=$AI$4),$AK$7,"-"))))))</f>
        <v>-</v>
      </c>
      <c r="H59" s="26">
        <f>IF(AND($E59=$AI$2,$F59=$AI$2),2*$AK$12,IF(OR(AND($E59=$AI$2, $F59=$AI$3),AND($E59=$AI$3,$F59=$AI$2)),$AK$12+$AK$13,IF(OR(AND($E59=$AI$2,$F59=$AI$4),AND($E59=$AI$4,$F59=$AI$2)),$AK$12,IF(OR(AND($E59=$AI$3,$F59=$AI$4),AND($E59=$AI$4,$F59=$AI$3)),$AK$13,IF(AND($E59=$AI$3,$F59=$AI$3),2*$AK$13,0)))))</f>
        <v>0</v>
      </c>
      <c r="I59" s="27">
        <f>IF(AND($E59=$AI$2,$F59=$AI$2),2*$AN$12*$M59/27,IF(OR(AND($E59=$AI$2,$F59=$AI$3),AND($E59=$AI$3,$F59=$AI$2)),$AN$12*$M59/27,IF(OR(AND($E59=$AI$2,$F59=$AI$4),AND($E59=$AI$4,$F59=$AI$2)),$AN$12*$M59/27,0)))</f>
        <v>0</v>
      </c>
      <c r="J59" s="27">
        <f>IF(AND($E59=$AI$2,$F59=$AI$2),2*$AQ$12*$M59/27,IF(OR(AND($E59=$AI$2,$F59=$AI$3),AND($E59=$AI$3,$F59=$AI$2)),($AQ$12+$AQ$13)*$M59/27,IF(OR(AND($E59=$AI$2,$F59=$AI$4),AND($E59=$AI$4,$F59=$AI$2)),$AQ$12*$M59/27,IF(OR(AND($E59=$AI$3,$F59=$AI$4),AND($E59=$AI$4,$F59=$AI$3)),$AQ$13*$M59/27,IF(AND($E59=$AI$3,$F59=$AI$3),2*$AQ$13*$M59/27,0)))))</f>
        <v>0</v>
      </c>
      <c r="K59" s="27">
        <f>IF(AND($E59=$AI$4,$F59=$AI$4),2*$AT$14*$M59/27,IF(OR($E59=$AI$4,$F59=$AI$4),$AT$14*$M59/27,0))</f>
        <v>0</v>
      </c>
      <c r="L59" s="341">
        <v>0</v>
      </c>
      <c r="M59" s="83">
        <f>C59-B59</f>
        <v>400</v>
      </c>
      <c r="N59" s="346" t="s">
        <v>101</v>
      </c>
      <c r="O59" s="123">
        <f>IF(N59="-",0,ROUNDUP($M59*N59,0))</f>
        <v>0</v>
      </c>
      <c r="P59" s="348">
        <v>14229</v>
      </c>
      <c r="Q59" s="123">
        <f>SUM(O59:P59)</f>
        <v>14229</v>
      </c>
      <c r="R59" s="353">
        <v>0</v>
      </c>
      <c r="S59" s="352">
        <v>0</v>
      </c>
      <c r="T59" s="210">
        <f>IF(AND(S59=0,V59=0),0,IF(V59=0,S59/2000,V59/2000))</f>
        <v>0</v>
      </c>
      <c r="U59" s="350">
        <v>0</v>
      </c>
      <c r="V59" s="350">
        <v>0</v>
      </c>
      <c r="W59" s="350">
        <v>0</v>
      </c>
      <c r="X59" s="353">
        <v>0</v>
      </c>
      <c r="Y59" s="346">
        <v>0</v>
      </c>
      <c r="Z59" s="354">
        <v>0</v>
      </c>
      <c r="AA59" s="346">
        <v>0</v>
      </c>
      <c r="AB59" s="350">
        <v>0</v>
      </c>
      <c r="AC59" s="85">
        <f>IF(A59="APP SLAB",0,(Q59/9)*$AC$1)</f>
        <v>63.24</v>
      </c>
      <c r="AD59" s="83">
        <f>IF(A59="APP SLAB",0,(Q59*($AD$1/12))/27+K59)</f>
        <v>65.875</v>
      </c>
      <c r="AE59" s="346">
        <v>0</v>
      </c>
      <c r="AF59" s="467">
        <f t="shared" ref="AF59:AF60" si="88">IF(AND($E59=$F59="Uncurbed"),(2*$M59*2*$AF$1/12)/27,IF(OR($E59="Uncurbed",$F59="Uncurbed"),($M59*2*$AF$1/12)/27,IF(OR(AND($E59="Med. Barr.",$F59="Curbed"),AND($E59="Curbed",$F59="Med. Barr."),$E59=$F59,$E59="Unique",$F59="Unique",$E59="-",$F59="-"),0,"?")))</f>
        <v>0</v>
      </c>
      <c r="AG59" s="350">
        <v>0</v>
      </c>
      <c r="AH59" s="143"/>
    </row>
    <row r="60" spans="2:43" s="81" customFormat="1" ht="12.75" customHeight="1" x14ac:dyDescent="0.2">
      <c r="B60" s="338">
        <v>72100</v>
      </c>
      <c r="C60" s="339">
        <v>72500</v>
      </c>
      <c r="D60" s="340" t="s">
        <v>15</v>
      </c>
      <c r="E60" s="340" t="s">
        <v>101</v>
      </c>
      <c r="F60" s="340" t="s">
        <v>101</v>
      </c>
      <c r="G60" s="103" t="str">
        <f>IF(AND($E60=$AI$2,$F60=$AI$2),$AK$2,IF(OR(AND($E60=$AI$2,$F60=$AI$3),AND($E60=$AI$3,$F60=$AI$2)),$AK$3,IF(OR(AND($E60=$AI$2,$F60=$AI$4),AND($E60=$AI$4,$F60=$AI$2)),$AK$4,IF(OR(AND($E60=$AI$3,$F60=$AI$4),AND($E60=$AI$4,$F60=$AI$3)),$AK$5,IF(AND($E60=$AI$3,$F60=$AI$3),$AK$6,IF(AND($E60=$AI$4,$F60=$AI$4),$AK$7,"-"))))))</f>
        <v>-</v>
      </c>
      <c r="H60" s="26">
        <f>IF(AND($E60=$AI$2,$F60=$AI$2),2*$AK$12,IF(OR(AND($E60=$AI$2, $F60=$AI$3),AND($E60=$AI$3,$F60=$AI$2)),$AK$12+$AK$13,IF(OR(AND($E60=$AI$2,$F60=$AI$4),AND($E60=$AI$4,$F60=$AI$2)),$AK$12,IF(OR(AND($E60=$AI$3,$F60=$AI$4),AND($E60=$AI$4,$F60=$AI$3)),$AK$13,IF(AND($E60=$AI$3,$F60=$AI$3),2*$AK$13,0)))))</f>
        <v>0</v>
      </c>
      <c r="I60" s="27">
        <f>IF(AND($E60=$AI$2,$F60=$AI$2),2*$AN$12*$M60/27,IF(OR(AND($E60=$AI$2,$F60=$AI$3),AND($E60=$AI$3,$F60=$AI$2)),$AN$12*$M60/27,IF(OR(AND($E60=$AI$2,$F60=$AI$4),AND($E60=$AI$4,$F60=$AI$2)),$AN$12*$M60/27,0)))</f>
        <v>0</v>
      </c>
      <c r="J60" s="27">
        <f>IF(AND($E60=$AI$2,$F60=$AI$2),2*$AQ$12*$M60/27,IF(OR(AND($E60=$AI$2,$F60=$AI$3),AND($E60=$AI$3,$F60=$AI$2)),($AQ$12+$AQ$13)*$M60/27,IF(OR(AND($E60=$AI$2,$F60=$AI$4),AND($E60=$AI$4,$F60=$AI$2)),$AQ$12*$M60/27,IF(OR(AND($E60=$AI$3,$F60=$AI$4),AND($E60=$AI$4,$F60=$AI$3)),$AQ$13*$M60/27,IF(AND($E60=$AI$3,$F60=$AI$3),2*$AQ$13*$M60/27,0)))))</f>
        <v>0</v>
      </c>
      <c r="K60" s="27">
        <f>IF(AND($E60=$AI$4,$F60=$AI$4),2*$AT$14*$M60/27,IF(OR($E60=$AI$4,$F60=$AI$4),$AT$14*$M60/27,0))</f>
        <v>0</v>
      </c>
      <c r="L60" s="341">
        <v>0</v>
      </c>
      <c r="M60" s="83">
        <f>C60-B60</f>
        <v>400</v>
      </c>
      <c r="N60" s="345" t="s">
        <v>101</v>
      </c>
      <c r="O60" s="124">
        <f>IF(N60="-",0,ROUNDUP($M60*N60,0))</f>
        <v>0</v>
      </c>
      <c r="P60" s="347">
        <v>14423</v>
      </c>
      <c r="Q60" s="123">
        <f>SUM(O60:P60)</f>
        <v>14423</v>
      </c>
      <c r="R60" s="353">
        <v>0</v>
      </c>
      <c r="S60" s="352">
        <v>0</v>
      </c>
      <c r="T60" s="210">
        <f>IF(AND(S60=0,V60=0),0,IF(V60=0,S60/2000,V60/2000))</f>
        <v>0</v>
      </c>
      <c r="U60" s="350">
        <v>0</v>
      </c>
      <c r="V60" s="350">
        <v>0</v>
      </c>
      <c r="W60" s="350">
        <v>0</v>
      </c>
      <c r="X60" s="351">
        <v>0</v>
      </c>
      <c r="Y60" s="345">
        <v>0</v>
      </c>
      <c r="Z60" s="354">
        <v>0</v>
      </c>
      <c r="AA60" s="346">
        <v>0</v>
      </c>
      <c r="AB60" s="350">
        <v>0</v>
      </c>
      <c r="AC60" s="85">
        <f>IF(A60="APP SLAB",0,(Q60/9)*$AC$1)</f>
        <v>64.102222222222224</v>
      </c>
      <c r="AD60" s="83">
        <f>IF(A60="APP SLAB",0,(Q60*($AD$1/12))/27+K60)</f>
        <v>66.773148148148152</v>
      </c>
      <c r="AE60" s="346">
        <v>0</v>
      </c>
      <c r="AF60" s="467">
        <f t="shared" si="88"/>
        <v>0</v>
      </c>
      <c r="AG60" s="350">
        <v>0</v>
      </c>
      <c r="AH60" s="143"/>
    </row>
    <row r="61" spans="2:43" s="81" customFormat="1" ht="12.75" customHeight="1" thickBot="1" x14ac:dyDescent="0.25">
      <c r="B61" s="149"/>
      <c r="C61" s="150"/>
      <c r="D61" s="151"/>
      <c r="E61" s="152"/>
      <c r="F61" s="121"/>
      <c r="G61" s="121"/>
      <c r="H61" s="153"/>
      <c r="I61" s="153"/>
      <c r="J61" s="153"/>
      <c r="K61" s="154"/>
      <c r="L61" s="154"/>
      <c r="M61" s="155"/>
      <c r="N61" s="155"/>
      <c r="O61" s="147"/>
      <c r="P61" s="147"/>
      <c r="Q61" s="147"/>
      <c r="R61" s="205"/>
      <c r="S61" s="156"/>
      <c r="T61" s="155"/>
      <c r="U61" s="155"/>
      <c r="V61" s="155"/>
      <c r="W61" s="155"/>
      <c r="X61" s="250"/>
      <c r="Y61" s="156"/>
      <c r="Z61" s="155"/>
      <c r="AA61" s="155"/>
      <c r="AB61" s="155"/>
      <c r="AC61" s="155"/>
      <c r="AD61" s="155"/>
      <c r="AE61" s="155"/>
      <c r="AF61" s="469"/>
      <c r="AG61" s="5"/>
      <c r="AH61" s="143"/>
    </row>
    <row r="62" spans="2:43" ht="12.75" customHeight="1" x14ac:dyDescent="0.2">
      <c r="B62" s="643" t="s">
        <v>191</v>
      </c>
      <c r="C62" s="644"/>
      <c r="D62" s="28"/>
      <c r="E62" s="28"/>
      <c r="F62" s="28"/>
      <c r="G62" s="28"/>
      <c r="H62" s="28"/>
      <c r="I62" s="28"/>
      <c r="J62" s="28"/>
      <c r="K62" s="28"/>
      <c r="L62" s="28"/>
      <c r="M62" s="29"/>
      <c r="N62" s="29"/>
      <c r="O62" s="74"/>
      <c r="P62" s="74"/>
      <c r="Q62" s="74"/>
      <c r="R62" s="118"/>
      <c r="S62" s="118"/>
      <c r="T62" s="29"/>
      <c r="U62" s="29"/>
      <c r="V62" s="29"/>
      <c r="W62" s="30"/>
      <c r="X62" s="49"/>
      <c r="Y62" s="30"/>
      <c r="Z62" s="29"/>
      <c r="AA62" s="29"/>
      <c r="AB62" s="29"/>
      <c r="AC62" s="29"/>
      <c r="AD62" s="29"/>
      <c r="AE62" s="29"/>
      <c r="AF62" s="101"/>
      <c r="AG62" s="148"/>
      <c r="AH62" s="120"/>
      <c r="AI62" s="81"/>
      <c r="AJ62" s="81"/>
      <c r="AK62" s="81"/>
      <c r="AL62" s="81"/>
      <c r="AM62" s="81"/>
      <c r="AN62" s="81"/>
      <c r="AO62" s="81"/>
      <c r="AP62" s="81"/>
      <c r="AQ62" s="81"/>
    </row>
    <row r="63" spans="2:43" ht="12.75" customHeight="1" x14ac:dyDescent="0.2">
      <c r="B63" s="338">
        <v>72500</v>
      </c>
      <c r="C63" s="339">
        <v>73445</v>
      </c>
      <c r="D63" s="340" t="s">
        <v>16</v>
      </c>
      <c r="E63" s="340" t="s">
        <v>101</v>
      </c>
      <c r="F63" s="340" t="s">
        <v>101</v>
      </c>
      <c r="G63" s="47" t="str">
        <f>IF(AND($E63=$AI$2,$F63=$AI$2),$AK$2,IF(OR(AND($E63=$AI$2,$F63=$AI$3),AND($E63=$AI$3,$F63=$AI$2)),$AK$3,IF(OR(AND($E63=$AI$2,$F63=$AI$4),AND($E63=$AI$4,$F63=$AI$2)),$AK$4,IF(OR(AND($E63=$AI$3,$F63=$AI$4),AND($E63=$AI$4,$F63=$AI$3)),$AK$5,IF(AND($E63=$AI$3,$F63=$AI$3),$AK$6,IF(AND($E63=$AI$4,$F63=$AI$4),$AK$7,"-"))))))</f>
        <v>-</v>
      </c>
      <c r="H63" s="26">
        <f>IF(AND($E63=$AI$2,$F63=$AI$2),2*$AK$12,IF(OR(AND($E63=$AI$2, $F63=$AI$3),AND($E63=$AI$3,$F63=$AI$2)),$AK$12+$AK$13,IF(OR(AND($E63=$AI$2,$F63=$AI$4),AND($E63=$AI$4,$F63=$AI$2)),$AK$12,IF(OR(AND($E63=$AI$3,$F63=$AI$4),AND($E63=$AI$4,$F63=$AI$3)),$AK$13,IF(AND($E63=$AI$3,$F63=$AI$3),2*$AK$13,0)))))</f>
        <v>0</v>
      </c>
      <c r="I63" s="27">
        <f>IF(AND($E63=$AI$2,$F63=$AI$2),2*$AN$12*$M63/27,IF(OR(AND($E63=$AI$2,$F63=$AI$3),AND($E63=$AI$3,$F63=$AI$2)),$AN$12*$M63/27,IF(OR(AND($E63=$AI$2,$F63=$AI$4),AND($E63=$AI$4,$F63=$AI$2)),$AN$12*$M63/27,0)))</f>
        <v>0</v>
      </c>
      <c r="J63" s="27">
        <f>IF(AND($E63=$AI$2,$F63=$AI$2),2*$AQ$12*$M63/27,IF(OR(AND($E63=$AI$2,$F63=$AI$3),AND($E63=$AI$3,$F63=$AI$2)),($AQ$12+$AQ$13)*$M63/27,IF(OR(AND($E63=$AI$2,$F63=$AI$4),AND($E63=$AI$4,$F63=$AI$2)),$AQ$12*$M63/27,IF(OR(AND($E63=$AI$3,$F63=$AI$4),AND($E63=$AI$4,$F63=$AI$3)),$AQ$13*$M63/27,IF(AND($E63=$AI$3,$F63=$AI$3),2*$AQ$13*$M63/27,0)))))</f>
        <v>0</v>
      </c>
      <c r="K63" s="27">
        <f>IF(AND($E63=$AI$4,$F63=$AI$4),2*$AT$14*$M63/27,IF(OR($E63=$AI$4,$F63=$AI$4),$AT$14*$M63/27,0))</f>
        <v>0</v>
      </c>
      <c r="L63" s="341">
        <v>0</v>
      </c>
      <c r="M63" s="4">
        <f>C63-B63</f>
        <v>945</v>
      </c>
      <c r="N63" s="345" t="s">
        <v>101</v>
      </c>
      <c r="O63" s="76">
        <f>IF(N63="-",0,ROUNDUP($M63*N63,0))</f>
        <v>0</v>
      </c>
      <c r="P63" s="347">
        <v>33680</v>
      </c>
      <c r="Q63" s="75">
        <f>SUM(O63:P63)</f>
        <v>33680</v>
      </c>
      <c r="R63" s="353">
        <v>0</v>
      </c>
      <c r="S63" s="352">
        <v>0</v>
      </c>
      <c r="T63" s="210">
        <f>IF(AND(S63=0,V63=0),0,IF(V63=0,S63/2000,V63/2000))</f>
        <v>0</v>
      </c>
      <c r="U63" s="350">
        <v>0</v>
      </c>
      <c r="V63" s="350">
        <v>0</v>
      </c>
      <c r="W63" s="350">
        <v>0</v>
      </c>
      <c r="X63" s="351">
        <v>46</v>
      </c>
      <c r="Y63" s="12">
        <f>Q63/9</f>
        <v>3742.2222222222222</v>
      </c>
      <c r="Z63" s="354">
        <v>0</v>
      </c>
      <c r="AA63" s="346">
        <v>0</v>
      </c>
      <c r="AB63" s="6">
        <f>(Q63/9)*$AB$1</f>
        <v>280.66666666666663</v>
      </c>
      <c r="AC63" s="6">
        <f>IF(A63="APP SLAB",0,(Q63/9)*$AC$1)</f>
        <v>149.6888888888889</v>
      </c>
      <c r="AD63" s="4">
        <f>IF(A63="APP SLAB",0,(Q63*($AD$1/12))/27+K63)</f>
        <v>155.92592592592592</v>
      </c>
      <c r="AE63" s="4">
        <f>IF(A63="APP SLAB",0,(Q63*$AE$1/12)/27+L63)</f>
        <v>181.9135802469136</v>
      </c>
      <c r="AF63" s="371">
        <v>37.92</v>
      </c>
      <c r="AG63" s="6">
        <f>IF($A$63="APP SLAB",0,($M$63*2))</f>
        <v>1890</v>
      </c>
      <c r="AH63" s="10"/>
      <c r="AI63" s="81"/>
      <c r="AJ63" s="81"/>
      <c r="AK63" s="81"/>
      <c r="AL63" s="81"/>
      <c r="AM63" s="81"/>
      <c r="AN63" s="81"/>
      <c r="AO63" s="81"/>
      <c r="AP63" s="81"/>
      <c r="AQ63" s="81"/>
    </row>
    <row r="64" spans="2:43" ht="12.75" customHeight="1" x14ac:dyDescent="0.2">
      <c r="B64" s="338">
        <v>72500</v>
      </c>
      <c r="C64" s="339">
        <v>73445</v>
      </c>
      <c r="D64" s="340" t="s">
        <v>15</v>
      </c>
      <c r="E64" s="340" t="s">
        <v>101</v>
      </c>
      <c r="F64" s="340" t="s">
        <v>101</v>
      </c>
      <c r="G64" s="47" t="str">
        <f>IF(AND($E64=$AI$2,$F64=$AI$2),$AK$2,IF(OR(AND($E64=$AI$2,$F64=$AI$3),AND($E64=$AI$3,$F64=$AI$2)),$AK$3,IF(OR(AND($E64=$AI$2,$F64=$AI$4),AND($E64=$AI$4,$F64=$AI$2)),$AK$4,IF(OR(AND($E64=$AI$3,$F64=$AI$4),AND($E64=$AI$4,$F64=$AI$3)),$AK$5,IF(AND($E64=$AI$3,$F64=$AI$3),$AK$6,IF(AND($E64=$AI$4,$F64=$AI$4),$AK$7,"-"))))))</f>
        <v>-</v>
      </c>
      <c r="H64" s="26">
        <f>IF(AND($E64=$AI$2,$F64=$AI$2),2*$AK$12,IF(OR(AND($E64=$AI$2, $F64=$AI$3),AND($E64=$AI$3,$F64=$AI$2)),$AK$12+$AK$13,IF(OR(AND($E64=$AI$2,$F64=$AI$4),AND($E64=$AI$4,$F64=$AI$2)),$AK$12,IF(OR(AND($E64=$AI$3,$F64=$AI$4),AND($E64=$AI$4,$F64=$AI$3)),$AK$13,IF(AND($E64=$AI$3,$F64=$AI$3),2*$AK$13,0)))))</f>
        <v>0</v>
      </c>
      <c r="I64" s="27">
        <f>IF(AND($E64=$AI$2,$F64=$AI$2),2*$AN$12*$M64/27,IF(OR(AND($E64=$AI$2,$F64=$AI$3),AND($E64=$AI$3,$F64=$AI$2)),$AN$12*$M64/27,IF(OR(AND($E64=$AI$2,$F64=$AI$4),AND($E64=$AI$4,$F64=$AI$2)),$AN$12*$M64/27,0)))</f>
        <v>0</v>
      </c>
      <c r="J64" s="27">
        <f>IF(AND($E64=$AI$2,$F64=$AI$2),2*$AQ$12*$M64/27,IF(OR(AND($E64=$AI$2,$F64=$AI$3),AND($E64=$AI$3,$F64=$AI$2)),($AQ$12+$AQ$13)*$M64/27,IF(OR(AND($E64=$AI$2,$F64=$AI$4),AND($E64=$AI$4,$F64=$AI$2)),$AQ$12*$M64/27,IF(OR(AND($E64=$AI$3,$F64=$AI$4),AND($E64=$AI$4,$F64=$AI$3)),$AQ$13*$M64/27,IF(AND($E64=$AI$3,$F64=$AI$3),2*$AQ$13*$M64/27,0)))))</f>
        <v>0</v>
      </c>
      <c r="K64" s="27">
        <f>IF(AND($E64=$AI$4,$F64=$AI$4),2*$AT$14*$M64/27,IF(OR($E64=$AI$4,$F64=$AI$4),$AT$14*$M64/27,0))</f>
        <v>0</v>
      </c>
      <c r="L64" s="341">
        <v>0</v>
      </c>
      <c r="M64" s="83">
        <f>C64-B64</f>
        <v>945</v>
      </c>
      <c r="N64" s="345" t="s">
        <v>101</v>
      </c>
      <c r="O64" s="76">
        <f>IF(N64="-",0,ROUNDUP($M64*N64,0))</f>
        <v>0</v>
      </c>
      <c r="P64" s="347">
        <v>29515</v>
      </c>
      <c r="Q64" s="75">
        <f>SUM(O64:P64)</f>
        <v>29515</v>
      </c>
      <c r="R64" s="353">
        <v>0</v>
      </c>
      <c r="S64" s="352">
        <v>0</v>
      </c>
      <c r="T64" s="210">
        <f>IF(AND(S64=0,V64=0),0,IF(V64=0,S64/2000,V64/2000))</f>
        <v>0</v>
      </c>
      <c r="U64" s="350">
        <v>0</v>
      </c>
      <c r="V64" s="350">
        <v>0</v>
      </c>
      <c r="W64" s="350">
        <v>0</v>
      </c>
      <c r="X64" s="351">
        <v>31</v>
      </c>
      <c r="Y64" s="12">
        <f>Q64/9</f>
        <v>3279.4444444444443</v>
      </c>
      <c r="Z64" s="354">
        <v>0</v>
      </c>
      <c r="AA64" s="346">
        <v>0</v>
      </c>
      <c r="AB64" s="6">
        <f>(Q64/9)*$AB$1</f>
        <v>245.95833333333331</v>
      </c>
      <c r="AC64" s="6">
        <f>IF(A64="APP SLAB",0,(Q64/9)*$AC$1)</f>
        <v>131.17777777777778</v>
      </c>
      <c r="AD64" s="4">
        <f>IF(A64="APP SLAB",0,(Q64*($AD$1/12))/27+K64)</f>
        <v>136.6435185185185</v>
      </c>
      <c r="AE64" s="4">
        <f>IF(A64="APP SLAB",0,(Q64*$AE$1/12)/27+L64)</f>
        <v>159.41743827160494</v>
      </c>
      <c r="AF64" s="371">
        <v>24.07</v>
      </c>
      <c r="AG64" s="85">
        <f>IF(A64="APP SLAB",0,(M64*2))</f>
        <v>1890</v>
      </c>
      <c r="AH64" s="10"/>
      <c r="AI64" s="81"/>
      <c r="AJ64" s="81"/>
      <c r="AK64" s="81"/>
      <c r="AL64" s="81"/>
      <c r="AM64" s="81"/>
      <c r="AN64" s="81"/>
      <c r="AO64" s="81"/>
      <c r="AP64" s="81"/>
      <c r="AQ64" s="81"/>
    </row>
    <row r="65" spans="1:49" s="81" customFormat="1" ht="12.75" customHeight="1" thickBot="1" x14ac:dyDescent="0.25">
      <c r="A65" s="106"/>
      <c r="B65" s="107"/>
      <c r="C65" s="82"/>
      <c r="D65" s="133"/>
      <c r="E65" s="158"/>
      <c r="F65" s="158"/>
      <c r="G65" s="158"/>
      <c r="H65" s="159"/>
      <c r="I65" s="160"/>
      <c r="J65" s="160"/>
      <c r="K65" s="160"/>
      <c r="L65" s="161"/>
      <c r="M65" s="84"/>
      <c r="N65" s="84"/>
      <c r="O65" s="119"/>
      <c r="P65" s="119"/>
      <c r="Q65" s="119"/>
      <c r="R65" s="119"/>
      <c r="S65" s="119"/>
      <c r="T65" s="19"/>
      <c r="U65" s="19"/>
      <c r="V65" s="19"/>
      <c r="W65" s="19"/>
      <c r="X65" s="128"/>
      <c r="Y65" s="84"/>
      <c r="Z65" s="162"/>
      <c r="AA65" s="84"/>
      <c r="AB65" s="19"/>
      <c r="AC65" s="19"/>
      <c r="AD65" s="84"/>
      <c r="AE65" s="84"/>
      <c r="AF65" s="84"/>
      <c r="AG65" s="19"/>
      <c r="AH65" s="10"/>
    </row>
    <row r="66" spans="1:49" s="81" customFormat="1" ht="12.75" customHeight="1" x14ac:dyDescent="0.2">
      <c r="B66" s="643" t="s">
        <v>68</v>
      </c>
      <c r="C66" s="644"/>
      <c r="D66" s="104"/>
      <c r="E66" s="104"/>
      <c r="F66" s="104"/>
      <c r="G66" s="104"/>
      <c r="H66" s="138"/>
      <c r="I66" s="78"/>
      <c r="J66" s="78"/>
      <c r="K66" s="78"/>
      <c r="L66" s="157"/>
      <c r="M66" s="89"/>
      <c r="N66" s="89"/>
      <c r="O66" s="124"/>
      <c r="P66" s="124"/>
      <c r="Q66" s="124"/>
      <c r="R66" s="124"/>
      <c r="S66" s="124"/>
      <c r="T66" s="135"/>
      <c r="U66" s="135"/>
      <c r="V66" s="135"/>
      <c r="W66" s="135"/>
      <c r="X66" s="71"/>
      <c r="Y66" s="89"/>
      <c r="Z66" s="139"/>
      <c r="AA66" s="89"/>
      <c r="AB66" s="135"/>
      <c r="AC66" s="135"/>
      <c r="AD66" s="89"/>
      <c r="AE66" s="89"/>
      <c r="AF66" s="89"/>
      <c r="AG66" s="135"/>
      <c r="AH66" s="10"/>
      <c r="AI66" s="207"/>
      <c r="AJ66" s="207"/>
      <c r="AK66" s="93"/>
      <c r="AL66" s="207"/>
      <c r="AM66" s="207"/>
      <c r="AN66" s="207"/>
      <c r="AO66" s="207"/>
      <c r="AP66" s="207"/>
      <c r="AQ66" s="207"/>
      <c r="AR66" s="704"/>
      <c r="AS66" s="704"/>
      <c r="AT66" s="704"/>
      <c r="AU66" s="704"/>
      <c r="AV66" s="704"/>
      <c r="AW66" s="704"/>
    </row>
    <row r="67" spans="1:49" s="81" customFormat="1" ht="12.75" customHeight="1" x14ac:dyDescent="0.2">
      <c r="B67" s="338">
        <v>72744.350000000006</v>
      </c>
      <c r="C67" s="339">
        <v>73445</v>
      </c>
      <c r="D67" s="340" t="s">
        <v>15</v>
      </c>
      <c r="E67" s="340" t="s">
        <v>112</v>
      </c>
      <c r="F67" s="340" t="s">
        <v>112</v>
      </c>
      <c r="G67" s="103" t="str">
        <f>IF(AND($E67=$AI$2,$F67=$AI$2),$AK$2,IF(OR(AND($E67=$AI$2,$F67=$AI$3),AND($E67=$AI$3,$F67=$AI$2)),$AK$3,IF(OR(AND($E67=$AI$2,$F67=$AI$4),AND($E67=$AI$4,$F67=$AI$2)),$AK$4,IF(OR(AND($E67=$AI$3,$F67=$AI$4),AND($E67=$AI$4,$F67=$AI$3)),$AK$5,IF(AND($E67=$AI$3,$F67=$AI$3),$AK$6,IF(AND($E67=$AI$4,$F67=$AI$4),$AK$7,"-"))))))</f>
        <v>-</v>
      </c>
      <c r="H67" s="342">
        <v>0</v>
      </c>
      <c r="I67" s="341">
        <v>0</v>
      </c>
      <c r="J67" s="341">
        <v>0</v>
      </c>
      <c r="K67" s="341">
        <v>0</v>
      </c>
      <c r="L67" s="341">
        <v>0</v>
      </c>
      <c r="M67" s="83">
        <f t="shared" ref="M67:M68" si="89">C67-B67</f>
        <v>700.64999999999418</v>
      </c>
      <c r="N67" s="345">
        <v>5.01</v>
      </c>
      <c r="O67" s="124">
        <f>IF(N67="-",0,ROUNDUP($M67*N67,0))</f>
        <v>3511</v>
      </c>
      <c r="P67" s="347">
        <v>0</v>
      </c>
      <c r="Q67" s="123">
        <f t="shared" ref="Q67:Q68" si="90">SUM(O67:P67)</f>
        <v>3511</v>
      </c>
      <c r="R67" s="353">
        <v>0</v>
      </c>
      <c r="S67" s="85">
        <f>IF(OR($A67="APP SLAB",Q67=0),0,($Q67+$H67*$M67)/9)</f>
        <v>390.11111111111109</v>
      </c>
      <c r="T67" s="210">
        <f>IF(AND(S67=0,V67=0),0,IF(V67=0,S67/2000,V67/2000))</f>
        <v>0.19505555555555554</v>
      </c>
      <c r="U67" s="350">
        <v>0</v>
      </c>
      <c r="V67" s="350">
        <v>0</v>
      </c>
      <c r="W67" s="350">
        <v>0</v>
      </c>
      <c r="X67" s="351">
        <v>701</v>
      </c>
      <c r="Y67" s="345">
        <v>0</v>
      </c>
      <c r="Z67" s="34">
        <f>IF(A67="APP SLAB",0,(Q67*$Z$1/12)/27+I67)</f>
        <v>124.61882716049384</v>
      </c>
      <c r="AA67" s="83">
        <f>(Q67*$AA$1/12)/27+J67</f>
        <v>65.018518518518519</v>
      </c>
      <c r="AB67" s="350">
        <v>0</v>
      </c>
      <c r="AC67" s="85">
        <f>IF(A67="APP SLAB",0,(Q67/9)*$AC$1)</f>
        <v>15.604444444444443</v>
      </c>
      <c r="AD67" s="83">
        <f>IF(A67="APP SLAB",0,(Q67*($AD$1/12))/27+K67)</f>
        <v>16.25462962962963</v>
      </c>
      <c r="AE67" s="83">
        <f>IF(A67="APP SLAB",0,(Q67*$AE$1/12)/27+L67)</f>
        <v>18.963734567901238</v>
      </c>
      <c r="AF67" s="371">
        <v>0</v>
      </c>
      <c r="AG67" s="85">
        <f>IF(A67="APP SLAB",0,(M67*2))</f>
        <v>1401.2999999999884</v>
      </c>
      <c r="AH67" s="189"/>
      <c r="AI67" s="208"/>
      <c r="AJ67" s="208"/>
      <c r="AK67" s="93"/>
      <c r="AL67" s="208"/>
      <c r="AM67" s="208"/>
      <c r="AN67" s="208"/>
      <c r="AO67" s="208"/>
      <c r="AP67" s="208"/>
      <c r="AQ67" s="208"/>
      <c r="AR67" s="705"/>
      <c r="AS67" s="705"/>
      <c r="AT67" s="705"/>
      <c r="AU67" s="705"/>
      <c r="AV67" s="705"/>
      <c r="AW67" s="705"/>
    </row>
    <row r="68" spans="1:49" s="81" customFormat="1" ht="12.75" customHeight="1" x14ac:dyDescent="0.2">
      <c r="B68" s="358">
        <v>73193.600000000006</v>
      </c>
      <c r="C68" s="359">
        <v>73445</v>
      </c>
      <c r="D68" s="360" t="s">
        <v>15</v>
      </c>
      <c r="E68" s="360" t="s">
        <v>105</v>
      </c>
      <c r="F68" s="360" t="s">
        <v>112</v>
      </c>
      <c r="G68" s="196" t="str">
        <f>IF(AND($E68=$AI$2,$F68=$AI$2),$AK$2,IF(OR(AND($E68=$AI$2,$F68=$AI$3),AND($E68=$AI$3,$F68=$AI$2)),$AK$3,IF(OR(AND($E68=$AI$2,$F68=$AI$4),AND($E68=$AI$4,$F68=$AI$2)),$AK$4,IF(OR(AND($E68=$AI$3,$F68=$AI$4),AND($E68=$AI$4,$F68=$AI$3)),$AK$5,IF(AND($E68=$AI$3,$F68=$AI$3),$AK$6,IF(AND($E68=$AI$4,$F68=$AI$4),$AK$7,"-"))))))</f>
        <v>-</v>
      </c>
      <c r="H68" s="362">
        <v>1.5</v>
      </c>
      <c r="I68" s="363">
        <v>5.31</v>
      </c>
      <c r="J68" s="363">
        <v>6.24</v>
      </c>
      <c r="K68" s="363">
        <v>0</v>
      </c>
      <c r="L68" s="363">
        <v>0</v>
      </c>
      <c r="M68" s="108">
        <f t="shared" si="89"/>
        <v>251.39999999999418</v>
      </c>
      <c r="N68" s="364" t="s">
        <v>101</v>
      </c>
      <c r="O68" s="165">
        <f>IF(N68="-",0,ROUNDUP($M68*N68,0))</f>
        <v>0</v>
      </c>
      <c r="P68" s="365">
        <v>2577</v>
      </c>
      <c r="Q68" s="136">
        <f t="shared" si="90"/>
        <v>2577</v>
      </c>
      <c r="R68" s="353">
        <v>0</v>
      </c>
      <c r="S68" s="85">
        <f>IF(OR($A68="APP SLAB",Q68=0),0,($Q68+$H68*$M68)/9)</f>
        <v>328.23333333333238</v>
      </c>
      <c r="T68" s="210">
        <f>IF(AND(S68=0,V68=0),0,IF(V68=0,S68/2000,V68/2000))</f>
        <v>0.16411666666666619</v>
      </c>
      <c r="U68" s="350">
        <v>0</v>
      </c>
      <c r="V68" s="350">
        <v>0</v>
      </c>
      <c r="W68" s="350">
        <v>0</v>
      </c>
      <c r="X68" s="351">
        <v>251</v>
      </c>
      <c r="Y68" s="345">
        <v>0</v>
      </c>
      <c r="Z68" s="34">
        <f>IF(A68="APP SLAB",0,(Q68*$Z$1/12)/27+I68)</f>
        <v>96.777592592592597</v>
      </c>
      <c r="AA68" s="83">
        <f>(Q68*$AA$1/12)/27+J68</f>
        <v>53.962222222222223</v>
      </c>
      <c r="AB68" s="350">
        <v>0</v>
      </c>
      <c r="AC68" s="85">
        <f>IF(A68="APP SLAB",0,(Q68/9)*$AC$1)</f>
        <v>11.453333333333333</v>
      </c>
      <c r="AD68" s="83">
        <f>IF(A68="APP SLAB",0,(Q68*($AD$1/12))/27+K68)</f>
        <v>11.930555555555555</v>
      </c>
      <c r="AE68" s="83">
        <f>IF(A68="APP SLAB",0,(Q68*$AE$1/12)/27+L68)</f>
        <v>13.918981481481481</v>
      </c>
      <c r="AF68" s="371">
        <v>0</v>
      </c>
      <c r="AG68" s="85">
        <f>IF(A68="APP SLAB",0,(M68*2))</f>
        <v>502.79999999998836</v>
      </c>
      <c r="AH68" s="189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</row>
    <row r="69" spans="1:49" s="81" customFormat="1" ht="12.75" customHeight="1" thickBot="1" x14ac:dyDescent="0.25">
      <c r="B69" s="107"/>
      <c r="C69" s="82"/>
      <c r="D69" s="133"/>
      <c r="E69" s="158"/>
      <c r="F69" s="158"/>
      <c r="G69" s="158"/>
      <c r="H69" s="159"/>
      <c r="I69" s="160"/>
      <c r="J69" s="160"/>
      <c r="K69" s="160"/>
      <c r="L69" s="161"/>
      <c r="M69" s="84"/>
      <c r="N69" s="84"/>
      <c r="O69" s="119"/>
      <c r="P69" s="119"/>
      <c r="Q69" s="119"/>
      <c r="R69" s="119"/>
      <c r="S69" s="119"/>
      <c r="T69" s="19"/>
      <c r="U69" s="19"/>
      <c r="V69" s="19"/>
      <c r="W69" s="19"/>
      <c r="X69" s="128"/>
      <c r="Y69" s="84"/>
      <c r="Z69" s="162"/>
      <c r="AA69" s="84"/>
      <c r="AB69" s="19"/>
      <c r="AC69" s="19"/>
      <c r="AD69" s="84"/>
      <c r="AE69" s="84"/>
      <c r="AF69" s="84"/>
      <c r="AG69" s="19"/>
      <c r="AH69" s="189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</row>
    <row r="70" spans="1:49" s="117" customFormat="1" x14ac:dyDescent="0.2">
      <c r="B70" s="643" t="s">
        <v>243</v>
      </c>
      <c r="C70" s="644"/>
      <c r="D70" s="104"/>
      <c r="E70" s="104"/>
      <c r="F70" s="104"/>
      <c r="G70" s="104"/>
      <c r="H70" s="138"/>
      <c r="I70" s="78"/>
      <c r="J70" s="78"/>
      <c r="K70" s="78"/>
      <c r="L70" s="157"/>
      <c r="M70" s="89"/>
      <c r="N70" s="89"/>
      <c r="O70" s="124"/>
      <c r="P70" s="124"/>
      <c r="Q70" s="124"/>
      <c r="R70" s="124"/>
      <c r="S70" s="124"/>
      <c r="T70" s="135"/>
      <c r="U70" s="135"/>
      <c r="V70" s="135"/>
      <c r="W70" s="135"/>
      <c r="X70" s="71"/>
      <c r="Y70" s="89"/>
      <c r="Z70" s="139"/>
      <c r="AA70" s="89"/>
      <c r="AB70" s="135"/>
      <c r="AC70" s="135"/>
      <c r="AD70" s="89"/>
      <c r="AE70" s="89"/>
      <c r="AF70" s="89"/>
      <c r="AG70" s="135"/>
    </row>
    <row r="71" spans="1:49" s="117" customFormat="1" x14ac:dyDescent="0.2">
      <c r="B71" s="338" t="s">
        <v>96</v>
      </c>
      <c r="C71" s="339" t="s">
        <v>97</v>
      </c>
      <c r="D71" s="340" t="s">
        <v>30</v>
      </c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347">
        <v>14445</v>
      </c>
      <c r="Q71" s="123">
        <f t="shared" ref="Q71:Q73" si="91">SUM(O71:P71)</f>
        <v>14445</v>
      </c>
      <c r="R71" s="348">
        <v>1605</v>
      </c>
      <c r="S71" s="104"/>
      <c r="T71" s="104"/>
      <c r="U71" s="104"/>
      <c r="V71" s="104"/>
      <c r="W71" s="104"/>
      <c r="X71" s="251"/>
      <c r="Y71" s="104"/>
      <c r="Z71" s="104"/>
      <c r="AA71" s="104"/>
      <c r="AB71" s="104"/>
      <c r="AC71" s="104"/>
      <c r="AD71" s="104"/>
      <c r="AE71" s="104"/>
      <c r="AF71" s="104"/>
      <c r="AG71" s="104"/>
    </row>
    <row r="72" spans="1:49" s="117" customFormat="1" x14ac:dyDescent="0.2">
      <c r="B72" s="338" t="s">
        <v>96</v>
      </c>
      <c r="C72" s="339" t="s">
        <v>97</v>
      </c>
      <c r="D72" s="340" t="s">
        <v>16</v>
      </c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347">
        <v>3897</v>
      </c>
      <c r="Q72" s="123">
        <f t="shared" si="91"/>
        <v>3897</v>
      </c>
      <c r="R72" s="348">
        <v>433</v>
      </c>
      <c r="S72" s="104"/>
      <c r="T72" s="104"/>
      <c r="U72" s="104"/>
      <c r="V72" s="104"/>
      <c r="W72" s="104"/>
      <c r="X72" s="251"/>
      <c r="Y72" s="104"/>
      <c r="Z72" s="104"/>
      <c r="AA72" s="104"/>
      <c r="AB72" s="104"/>
      <c r="AC72" s="104"/>
      <c r="AD72" s="104"/>
      <c r="AE72" s="104"/>
      <c r="AF72" s="104"/>
      <c r="AG72" s="104"/>
    </row>
    <row r="73" spans="1:49" s="117" customFormat="1" x14ac:dyDescent="0.2">
      <c r="B73" s="338" t="s">
        <v>96</v>
      </c>
      <c r="C73" s="339" t="s">
        <v>97</v>
      </c>
      <c r="D73" s="344" t="s">
        <v>15</v>
      </c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347">
        <v>4014</v>
      </c>
      <c r="Q73" s="123">
        <f t="shared" si="91"/>
        <v>4014</v>
      </c>
      <c r="R73" s="348">
        <v>446</v>
      </c>
      <c r="S73" s="104"/>
      <c r="T73" s="104"/>
      <c r="U73" s="104"/>
      <c r="V73" s="104"/>
      <c r="W73" s="104"/>
      <c r="X73" s="251"/>
      <c r="Y73" s="104"/>
      <c r="Z73" s="104"/>
      <c r="AA73" s="104"/>
      <c r="AB73" s="104"/>
      <c r="AC73" s="104"/>
      <c r="AD73" s="104"/>
      <c r="AE73" s="104"/>
      <c r="AF73" s="104"/>
      <c r="AG73" s="104"/>
    </row>
    <row r="74" spans="1:49" ht="12.75" customHeight="1" thickBot="1" x14ac:dyDescent="0.25">
      <c r="B74" s="249"/>
      <c r="C74" s="132"/>
      <c r="D74" s="237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32"/>
      <c r="T74" s="32"/>
      <c r="U74" s="32"/>
      <c r="V74" s="32"/>
      <c r="W74" s="32"/>
      <c r="X74" s="252"/>
      <c r="Y74" s="32"/>
      <c r="Z74" s="32"/>
      <c r="AA74" s="32"/>
      <c r="AB74" s="32"/>
      <c r="AC74" s="32"/>
      <c r="AD74" s="32"/>
      <c r="AE74" s="4"/>
      <c r="AF74" s="83"/>
      <c r="AG74" s="6"/>
      <c r="AH74" s="10"/>
      <c r="AI74" s="90"/>
      <c r="AJ74" s="90"/>
    </row>
    <row r="75" spans="1:49" s="81" customFormat="1" ht="12.75" customHeight="1" x14ac:dyDescent="0.2">
      <c r="B75" s="573" t="s">
        <v>267</v>
      </c>
      <c r="C75" s="574"/>
      <c r="D75" s="585" t="s">
        <v>262</v>
      </c>
      <c r="E75" s="586"/>
      <c r="F75" s="586"/>
      <c r="G75" s="586"/>
      <c r="H75" s="586"/>
      <c r="I75" s="586"/>
      <c r="J75" s="586"/>
      <c r="K75" s="586"/>
      <c r="L75" s="586"/>
      <c r="M75" s="586"/>
      <c r="N75" s="586"/>
      <c r="O75" s="586"/>
      <c r="P75" s="586"/>
      <c r="Q75" s="587"/>
      <c r="R75" s="592">
        <f>ROUNDUP(SUM(R59:R73),0)</f>
        <v>2484</v>
      </c>
      <c r="S75" s="592">
        <f t="shared" ref="S75:AG75" si="92">ROUNDUP(SUM(S59:S73),0)</f>
        <v>719</v>
      </c>
      <c r="T75" s="592">
        <f t="shared" si="92"/>
        <v>1</v>
      </c>
      <c r="U75" s="592">
        <f t="shared" si="92"/>
        <v>0</v>
      </c>
      <c r="V75" s="592">
        <f t="shared" si="92"/>
        <v>0</v>
      </c>
      <c r="W75" s="592">
        <f t="shared" si="92"/>
        <v>0</v>
      </c>
      <c r="X75" s="592">
        <f t="shared" si="92"/>
        <v>1029</v>
      </c>
      <c r="Y75" s="592">
        <f t="shared" si="92"/>
        <v>7022</v>
      </c>
      <c r="Z75" s="592">
        <f t="shared" si="92"/>
        <v>222</v>
      </c>
      <c r="AA75" s="592">
        <f t="shared" si="92"/>
        <v>119</v>
      </c>
      <c r="AB75" s="592">
        <f t="shared" si="92"/>
        <v>527</v>
      </c>
      <c r="AC75" s="592">
        <f>ROUNDUP(SUM(AC59:AC73),0)</f>
        <v>436</v>
      </c>
      <c r="AD75" s="592">
        <f t="shared" si="92"/>
        <v>454</v>
      </c>
      <c r="AE75" s="592">
        <f t="shared" si="92"/>
        <v>375</v>
      </c>
      <c r="AF75" s="592">
        <f t="shared" ref="AF75" si="93">ROUNDUP(SUM(AF59:AF73),0)</f>
        <v>62</v>
      </c>
      <c r="AG75" s="592">
        <f t="shared" si="92"/>
        <v>5685</v>
      </c>
      <c r="AH75" s="10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</row>
    <row r="76" spans="1:49" s="81" customFormat="1" ht="12.75" customHeight="1" thickBot="1" x14ac:dyDescent="0.25">
      <c r="B76" s="575"/>
      <c r="C76" s="576"/>
      <c r="D76" s="588"/>
      <c r="E76" s="589"/>
      <c r="F76" s="589"/>
      <c r="G76" s="589"/>
      <c r="H76" s="589"/>
      <c r="I76" s="589"/>
      <c r="J76" s="589"/>
      <c r="K76" s="589"/>
      <c r="L76" s="589"/>
      <c r="M76" s="589"/>
      <c r="N76" s="589"/>
      <c r="O76" s="589"/>
      <c r="P76" s="589"/>
      <c r="Q76" s="590"/>
      <c r="R76" s="593"/>
      <c r="S76" s="593"/>
      <c r="T76" s="593"/>
      <c r="U76" s="593"/>
      <c r="V76" s="593"/>
      <c r="W76" s="593"/>
      <c r="X76" s="593"/>
      <c r="Y76" s="593"/>
      <c r="Z76" s="593"/>
      <c r="AA76" s="593"/>
      <c r="AB76" s="593"/>
      <c r="AC76" s="593"/>
      <c r="AD76" s="593"/>
      <c r="AE76" s="593"/>
      <c r="AF76" s="593"/>
      <c r="AG76" s="593"/>
      <c r="AH76" s="10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</row>
    <row r="77" spans="1:49" ht="12.75" customHeight="1" x14ac:dyDescent="0.2">
      <c r="A77" s="20"/>
      <c r="B77" s="575"/>
      <c r="C77" s="576"/>
      <c r="D77" s="585" t="s">
        <v>173</v>
      </c>
      <c r="E77" s="586"/>
      <c r="F77" s="586"/>
      <c r="G77" s="586"/>
      <c r="H77" s="586"/>
      <c r="I77" s="586"/>
      <c r="J77" s="586"/>
      <c r="K77" s="586"/>
      <c r="L77" s="586"/>
      <c r="M77" s="586"/>
      <c r="N77" s="586"/>
      <c r="O77" s="586"/>
      <c r="P77" s="586"/>
      <c r="Q77" s="587"/>
      <c r="R77" s="592">
        <f t="shared" ref="R77:AG77" si="94">R75+R56</f>
        <v>2484</v>
      </c>
      <c r="S77" s="592">
        <f t="shared" si="94"/>
        <v>25068</v>
      </c>
      <c r="T77" s="592">
        <f t="shared" si="94"/>
        <v>21</v>
      </c>
      <c r="U77" s="592">
        <f t="shared" si="94"/>
        <v>15301</v>
      </c>
      <c r="V77" s="592">
        <f t="shared" si="94"/>
        <v>15301</v>
      </c>
      <c r="W77" s="592">
        <f t="shared" si="94"/>
        <v>455</v>
      </c>
      <c r="X77" s="592">
        <f t="shared" si="94"/>
        <v>1029</v>
      </c>
      <c r="Y77" s="592">
        <f t="shared" si="94"/>
        <v>7022</v>
      </c>
      <c r="Z77" s="592">
        <f t="shared" si="94"/>
        <v>12370</v>
      </c>
      <c r="AA77" s="592">
        <f t="shared" si="94"/>
        <v>6705</v>
      </c>
      <c r="AB77" s="592">
        <f t="shared" si="94"/>
        <v>527</v>
      </c>
      <c r="AC77" s="592">
        <f t="shared" si="94"/>
        <v>1944</v>
      </c>
      <c r="AD77" s="592">
        <f t="shared" si="94"/>
        <v>1979</v>
      </c>
      <c r="AE77" s="592">
        <f t="shared" si="94"/>
        <v>2215</v>
      </c>
      <c r="AF77" s="592">
        <f t="shared" si="94"/>
        <v>136</v>
      </c>
      <c r="AG77" s="592">
        <f t="shared" si="94"/>
        <v>19362</v>
      </c>
      <c r="AI77" s="90"/>
      <c r="AJ77" s="90"/>
    </row>
    <row r="78" spans="1:49" ht="12.75" customHeight="1" thickBot="1" x14ac:dyDescent="0.25">
      <c r="A78" s="20"/>
      <c r="B78" s="577"/>
      <c r="C78" s="578"/>
      <c r="D78" s="588"/>
      <c r="E78" s="589"/>
      <c r="F78" s="589"/>
      <c r="G78" s="589"/>
      <c r="H78" s="589"/>
      <c r="I78" s="589"/>
      <c r="J78" s="589"/>
      <c r="K78" s="589"/>
      <c r="L78" s="589"/>
      <c r="M78" s="589"/>
      <c r="N78" s="589"/>
      <c r="O78" s="589"/>
      <c r="P78" s="589"/>
      <c r="Q78" s="590"/>
      <c r="R78" s="690"/>
      <c r="S78" s="690"/>
      <c r="T78" s="690"/>
      <c r="U78" s="690"/>
      <c r="V78" s="690"/>
      <c r="W78" s="690"/>
      <c r="X78" s="690"/>
      <c r="Y78" s="690"/>
      <c r="Z78" s="690"/>
      <c r="AA78" s="690"/>
      <c r="AB78" s="690"/>
      <c r="AC78" s="690"/>
      <c r="AD78" s="690"/>
      <c r="AE78" s="690"/>
      <c r="AF78" s="690"/>
      <c r="AG78" s="690"/>
      <c r="AI78" s="90"/>
      <c r="AJ78" s="90"/>
    </row>
    <row r="79" spans="1:49" ht="12.75" customHeight="1" x14ac:dyDescent="0.2">
      <c r="C79" s="22"/>
    </row>
    <row r="80" spans="1:49" ht="12.75" customHeight="1" x14ac:dyDescent="0.2">
      <c r="C80" s="22"/>
      <c r="K80" s="179"/>
    </row>
    <row r="81" spans="1:29" ht="12.75" customHeight="1" x14ac:dyDescent="0.2">
      <c r="A81" s="20"/>
      <c r="C81" s="22"/>
      <c r="S81" s="88"/>
      <c r="T81" s="88"/>
      <c r="U81" s="88"/>
      <c r="X81" s="87"/>
      <c r="Y81" s="87"/>
      <c r="Z81" s="87"/>
    </row>
    <row r="82" spans="1:29" ht="12.75" customHeight="1" x14ac:dyDescent="0.2">
      <c r="A82" s="20"/>
      <c r="C82" s="22"/>
      <c r="S82" s="88"/>
      <c r="T82" s="88"/>
      <c r="U82" s="88"/>
      <c r="X82" s="87"/>
      <c r="Y82" s="87"/>
      <c r="Z82" s="87"/>
    </row>
    <row r="83" spans="1:29" ht="12.75" customHeight="1" x14ac:dyDescent="0.2">
      <c r="C83" s="22"/>
    </row>
    <row r="84" spans="1:29" ht="12.75" customHeight="1" x14ac:dyDescent="0.2">
      <c r="C84" s="22"/>
      <c r="AB84" s="163"/>
      <c r="AC84" s="163"/>
    </row>
    <row r="85" spans="1:29" ht="12.75" customHeight="1" x14ac:dyDescent="0.25">
      <c r="C85" s="22"/>
      <c r="Q85" s="184">
        <f>SUM(Q18:Q54)</f>
        <v>344900</v>
      </c>
      <c r="R85" s="179" t="s">
        <v>181</v>
      </c>
      <c r="AB85" s="163"/>
      <c r="AC85" s="163"/>
    </row>
    <row r="86" spans="1:29" ht="12.75" customHeight="1" x14ac:dyDescent="0.2">
      <c r="C86" s="22"/>
    </row>
    <row r="87" spans="1:29" ht="12.75" customHeight="1" x14ac:dyDescent="0.2"/>
    <row r="88" spans="1:29" ht="12.75" customHeight="1" x14ac:dyDescent="0.2"/>
    <row r="89" spans="1:29" ht="12.75" customHeight="1" x14ac:dyDescent="0.2"/>
    <row r="90" spans="1:29" ht="12.75" customHeight="1" x14ac:dyDescent="0.2"/>
    <row r="91" spans="1:29" ht="12.75" customHeight="1" x14ac:dyDescent="0.2"/>
    <row r="92" spans="1:29" ht="12.75" customHeight="1" x14ac:dyDescent="0.2"/>
    <row r="93" spans="1:29" ht="12.75" customHeight="1" x14ac:dyDescent="0.2"/>
    <row r="94" spans="1:29" ht="12.75" customHeight="1" x14ac:dyDescent="0.2"/>
    <row r="95" spans="1:29" ht="12.75" customHeight="1" x14ac:dyDescent="0.2"/>
    <row r="96" spans="1:29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spans="1:34" ht="12.75" customHeight="1" x14ac:dyDescent="0.2"/>
    <row r="146" spans="1:34" ht="12.75" customHeight="1" x14ac:dyDescent="0.2"/>
    <row r="147" spans="1:34" ht="12.75" customHeight="1" x14ac:dyDescent="0.2"/>
    <row r="148" spans="1:34" ht="12.75" customHeight="1" x14ac:dyDescent="0.2"/>
    <row r="149" spans="1:34" ht="12.75" customHeight="1" x14ac:dyDescent="0.2"/>
    <row r="150" spans="1:34" ht="12.75" customHeight="1" x14ac:dyDescent="0.2"/>
    <row r="151" spans="1:34" ht="12.75" customHeight="1" x14ac:dyDescent="0.2"/>
    <row r="152" spans="1:34" ht="12.75" customHeight="1" x14ac:dyDescent="0.2"/>
    <row r="153" spans="1:34" s="20" customFormat="1" ht="12.75" customHeight="1" x14ac:dyDescent="0.2">
      <c r="A153" s="1"/>
      <c r="B153" s="21"/>
      <c r="C153" s="21"/>
      <c r="D153" s="1"/>
      <c r="E153" s="1"/>
      <c r="F153" s="1"/>
      <c r="G153" s="1"/>
      <c r="H153" s="1"/>
      <c r="I153" s="1"/>
      <c r="J153" s="1"/>
      <c r="K153" s="1"/>
      <c r="L153" s="1"/>
      <c r="M153" s="8"/>
      <c r="N153" s="8"/>
      <c r="R153" s="94"/>
      <c r="S153" s="11"/>
      <c r="T153" s="11"/>
      <c r="U153" s="11"/>
      <c r="V153" s="13"/>
      <c r="W153" s="13"/>
      <c r="X153" s="8"/>
      <c r="Y153" s="8"/>
      <c r="Z153" s="8"/>
      <c r="AA153" s="8"/>
      <c r="AB153" s="8"/>
      <c r="AC153" s="8"/>
      <c r="AD153" s="15"/>
      <c r="AE153" s="90"/>
      <c r="AF153" s="90"/>
      <c r="AG153" s="90"/>
      <c r="AH153" s="90"/>
    </row>
    <row r="154" spans="1:34" s="20" customFormat="1" ht="12.75" customHeight="1" x14ac:dyDescent="0.2">
      <c r="A154" s="1"/>
      <c r="B154" s="21"/>
      <c r="C154" s="21"/>
      <c r="D154" s="1"/>
      <c r="E154" s="1"/>
      <c r="F154" s="1"/>
      <c r="G154" s="1"/>
      <c r="H154" s="1"/>
      <c r="I154" s="1"/>
      <c r="J154" s="1"/>
      <c r="K154" s="1"/>
      <c r="L154" s="1"/>
      <c r="M154" s="8"/>
      <c r="N154" s="8"/>
      <c r="R154" s="94"/>
      <c r="S154" s="11"/>
      <c r="T154" s="11"/>
      <c r="U154" s="11"/>
      <c r="V154" s="13"/>
      <c r="W154" s="13"/>
      <c r="X154" s="8"/>
      <c r="Y154" s="8"/>
      <c r="Z154" s="8"/>
      <c r="AA154" s="8"/>
      <c r="AB154" s="8"/>
      <c r="AC154" s="8"/>
      <c r="AD154" s="15"/>
      <c r="AE154" s="90"/>
      <c r="AF154" s="90"/>
      <c r="AG154" s="90"/>
      <c r="AH154" s="90"/>
    </row>
  </sheetData>
  <customSheetViews>
    <customSheetView guid="{221143F3-72E3-4C4A-9811-2F859DD19779}" scale="80" showPageBreaks="1" fitToPage="1" printArea="1" hiddenColumns="1" view="pageBreakPreview">
      <pane ySplit="13" topLeftCell="A17" activePane="bottomLeft" state="frozen"/>
      <selection pane="bottomLeft" activeCell="F32" sqref="F32"/>
      <pageMargins left="0.73" right="0.75" top="0.66" bottom="0.4" header="0.65" footer="0.25"/>
      <printOptions horizontalCentered="1" verticalCentered="1"/>
      <pageSetup paperSize="17" scale="68" orientation="landscape" r:id="rId1"/>
      <headerFooter alignWithMargins="0">
        <oddFooter>&amp;L&amp;D&amp;R&amp;F, &amp;A</oddFooter>
      </headerFooter>
    </customSheetView>
  </customSheetViews>
  <mergeCells count="128">
    <mergeCell ref="B70:C70"/>
    <mergeCell ref="R6:R15"/>
    <mergeCell ref="R56:R57"/>
    <mergeCell ref="R77:R78"/>
    <mergeCell ref="AQ13:AS13"/>
    <mergeCell ref="AT13:AV13"/>
    <mergeCell ref="AK14:AM14"/>
    <mergeCell ref="AN14:AP14"/>
    <mergeCell ref="AQ14:AS14"/>
    <mergeCell ref="AT14:AV14"/>
    <mergeCell ref="AK15:AM15"/>
    <mergeCell ref="AN15:AP15"/>
    <mergeCell ref="AQ15:AS15"/>
    <mergeCell ref="AT15:AV15"/>
    <mergeCell ref="AA77:AA78"/>
    <mergeCell ref="AC77:AC78"/>
    <mergeCell ref="AB77:AB78"/>
    <mergeCell ref="AD77:AD78"/>
    <mergeCell ref="AE77:AE78"/>
    <mergeCell ref="AG77:AG78"/>
    <mergeCell ref="AQ12:AS12"/>
    <mergeCell ref="AT12:AV12"/>
    <mergeCell ref="AK13:AM13"/>
    <mergeCell ref="AN13:AP13"/>
    <mergeCell ref="AE75:AE76"/>
    <mergeCell ref="AG75:AG76"/>
    <mergeCell ref="S5:T5"/>
    <mergeCell ref="AI9:AV9"/>
    <mergeCell ref="AI10:AI11"/>
    <mergeCell ref="AJ10:AJ11"/>
    <mergeCell ref="AK10:AM10"/>
    <mergeCell ref="AN10:AP10"/>
    <mergeCell ref="AQ10:AS10"/>
    <mergeCell ref="AT10:AV10"/>
    <mergeCell ref="AK11:AM11"/>
    <mergeCell ref="AN11:AP11"/>
    <mergeCell ref="AQ11:AS11"/>
    <mergeCell ref="AT11:AV11"/>
    <mergeCell ref="AA75:AA76"/>
    <mergeCell ref="AC75:AC76"/>
    <mergeCell ref="AB75:AB76"/>
    <mergeCell ref="AD6:AD15"/>
    <mergeCell ref="AU67:AW67"/>
    <mergeCell ref="U5:W5"/>
    <mergeCell ref="AD5:AE5"/>
    <mergeCell ref="AE6:AE15"/>
    <mergeCell ref="AG6:AG15"/>
    <mergeCell ref="Y6:Y15"/>
    <mergeCell ref="S77:S78"/>
    <mergeCell ref="T77:T78"/>
    <mergeCell ref="U77:U78"/>
    <mergeCell ref="V77:V78"/>
    <mergeCell ref="W77:W78"/>
    <mergeCell ref="X77:X78"/>
    <mergeCell ref="Y77:Y78"/>
    <mergeCell ref="Z77:Z78"/>
    <mergeCell ref="Z56:Z57"/>
    <mergeCell ref="Y56:Y57"/>
    <mergeCell ref="X56:X57"/>
    <mergeCell ref="T56:T57"/>
    <mergeCell ref="S56:S57"/>
    <mergeCell ref="X75:X76"/>
    <mergeCell ref="Y75:Y76"/>
    <mergeCell ref="Z75:Z76"/>
    <mergeCell ref="V75:V76"/>
    <mergeCell ref="W75:W76"/>
    <mergeCell ref="W56:W57"/>
    <mergeCell ref="V56:V57"/>
    <mergeCell ref="U56:U57"/>
    <mergeCell ref="AK12:AM12"/>
    <mergeCell ref="AN12:AP12"/>
    <mergeCell ref="AG56:AG57"/>
    <mergeCell ref="AE56:AE57"/>
    <mergeCell ref="AQ16:AS16"/>
    <mergeCell ref="AT16:AV16"/>
    <mergeCell ref="AR66:AT66"/>
    <mergeCell ref="AU66:AW66"/>
    <mergeCell ref="AR67:AT67"/>
    <mergeCell ref="AK16:AM16"/>
    <mergeCell ref="AN16:AP16"/>
    <mergeCell ref="H5:H15"/>
    <mergeCell ref="B58:C58"/>
    <mergeCell ref="B17:C17"/>
    <mergeCell ref="D77:Q78"/>
    <mergeCell ref="Q5:Q15"/>
    <mergeCell ref="S6:S15"/>
    <mergeCell ref="S75:S76"/>
    <mergeCell ref="AD75:AD76"/>
    <mergeCell ref="AB6:AB15"/>
    <mergeCell ref="O5:O15"/>
    <mergeCell ref="P5:P15"/>
    <mergeCell ref="U75:U76"/>
    <mergeCell ref="AD56:AD57"/>
    <mergeCell ref="AB56:AB57"/>
    <mergeCell ref="AC56:AC57"/>
    <mergeCell ref="AA56:AA57"/>
    <mergeCell ref="T6:T15"/>
    <mergeCell ref="U6:U15"/>
    <mergeCell ref="V6:V15"/>
    <mergeCell ref="W6:W15"/>
    <mergeCell ref="X6:X15"/>
    <mergeCell ref="Z6:Z15"/>
    <mergeCell ref="AA6:AA15"/>
    <mergeCell ref="AC6:AC15"/>
    <mergeCell ref="B75:C78"/>
    <mergeCell ref="B56:Q57"/>
    <mergeCell ref="AF6:AF15"/>
    <mergeCell ref="AF56:AF57"/>
    <mergeCell ref="AF75:AF76"/>
    <mergeCell ref="AF77:AF78"/>
    <mergeCell ref="D75:Q76"/>
    <mergeCell ref="AB5:AC5"/>
    <mergeCell ref="T75:T76"/>
    <mergeCell ref="B62:C62"/>
    <mergeCell ref="I5:I15"/>
    <mergeCell ref="J5:J15"/>
    <mergeCell ref="K5:K15"/>
    <mergeCell ref="L5:L15"/>
    <mergeCell ref="M5:M15"/>
    <mergeCell ref="N5:N15"/>
    <mergeCell ref="R75:R76"/>
    <mergeCell ref="B66:C66"/>
    <mergeCell ref="B36:C36"/>
    <mergeCell ref="B5:C15"/>
    <mergeCell ref="D5:D16"/>
    <mergeCell ref="E5:E16"/>
    <mergeCell ref="F5:F16"/>
    <mergeCell ref="G5:G16"/>
  </mergeCells>
  <dataValidations count="1">
    <dataValidation type="list" allowBlank="1" showInputMessage="1" showErrorMessage="1" sqref="E59:F60 E63:F69 E17:F55">
      <formula1>$AI$2:$AI$6</formula1>
    </dataValidation>
  </dataValidations>
  <printOptions horizontalCentered="1" verticalCentered="1"/>
  <pageMargins left="0.73" right="0.75" top="0.66" bottom="0.4" header="0.65" footer="0.25"/>
  <pageSetup paperSize="17" scale="75" orientation="landscape" r:id="rId2"/>
  <headerFooter scaleWithDoc="0" alignWithMargins="0">
    <oddHeader>&amp;LHAN-75-14.39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36"/>
  <sheetViews>
    <sheetView view="pageBreakPreview" zoomScaleNormal="80" zoomScaleSheetLayoutView="100" workbookViewId="0">
      <pane xSplit="4" ySplit="16" topLeftCell="E29" activePane="bottomRight" state="frozen"/>
      <selection pane="topRight" activeCell="E1" sqref="E1"/>
      <selection pane="bottomLeft" activeCell="A14" sqref="A14"/>
      <selection pane="bottomRight" activeCell="E1" sqref="E1:L1048576"/>
    </sheetView>
  </sheetViews>
  <sheetFormatPr defaultRowHeight="12.75" x14ac:dyDescent="0.2"/>
  <cols>
    <col min="1" max="1" width="10.42578125" style="1" bestFit="1" customWidth="1"/>
    <col min="2" max="3" width="17.7109375" style="21" customWidth="1"/>
    <col min="4" max="4" width="8.5703125" style="1" customWidth="1"/>
    <col min="5" max="7" width="9.7109375" style="1" hidden="1" customWidth="1"/>
    <col min="8" max="12" width="8.5703125" style="1" hidden="1" customWidth="1"/>
    <col min="13" max="14" width="9.28515625" style="8" customWidth="1"/>
    <col min="15" max="15" width="10.7109375" style="20" customWidth="1"/>
    <col min="16" max="16" width="10" style="20" customWidth="1"/>
    <col min="17" max="17" width="10.7109375" style="20" customWidth="1"/>
    <col min="18" max="18" width="10.7109375" style="94" customWidth="1"/>
    <col min="19" max="19" width="9.7109375" style="94" customWidth="1"/>
    <col min="20" max="22" width="9.7109375" style="11" customWidth="1"/>
    <col min="23" max="27" width="9.7109375" style="8" customWidth="1"/>
    <col min="28" max="28" width="9.7109375" style="87" customWidth="1"/>
    <col min="29" max="29" width="9.7109375" style="15" customWidth="1"/>
    <col min="30" max="30" width="9.140625" style="90" customWidth="1"/>
    <col min="31" max="31" width="11.85546875" style="81" bestFit="1" customWidth="1"/>
    <col min="32" max="32" width="9.85546875" style="1" bestFit="1" customWidth="1"/>
    <col min="33" max="37" width="9.140625" style="1"/>
    <col min="38" max="38" width="9.140625" style="1" customWidth="1"/>
    <col min="39" max="16384" width="9.140625" style="1"/>
  </cols>
  <sheetData>
    <row r="1" spans="2:44" s="15" customFormat="1" ht="13.5" thickBot="1" x14ac:dyDescent="0.25">
      <c r="B1" s="23"/>
      <c r="C1" s="23"/>
      <c r="M1" s="11"/>
      <c r="N1" s="11"/>
      <c r="O1" s="43"/>
      <c r="P1" s="43"/>
      <c r="Q1" s="43"/>
      <c r="R1" s="105"/>
      <c r="S1" s="105"/>
      <c r="T1" s="11"/>
      <c r="U1" s="11">
        <v>12</v>
      </c>
      <c r="V1" s="11"/>
      <c r="W1" s="11">
        <v>11.5</v>
      </c>
      <c r="X1" s="11">
        <v>6</v>
      </c>
      <c r="Y1" s="11">
        <v>0.04</v>
      </c>
      <c r="Z1" s="11">
        <v>1.5</v>
      </c>
      <c r="AA1" s="11">
        <v>1.75</v>
      </c>
      <c r="AB1" s="88">
        <v>3.25</v>
      </c>
      <c r="AD1" s="90"/>
      <c r="AE1" s="90"/>
    </row>
    <row r="2" spans="2:44" s="90" customFormat="1" x14ac:dyDescent="0.2">
      <c r="B2" s="97"/>
      <c r="C2" s="97"/>
      <c r="M2" s="88"/>
      <c r="N2" s="88"/>
      <c r="O2" s="105"/>
      <c r="P2" s="105"/>
      <c r="Q2" s="105"/>
      <c r="R2" s="105"/>
      <c r="S2" s="105"/>
      <c r="W2" s="146"/>
      <c r="X2" s="145" t="s">
        <v>36</v>
      </c>
      <c r="Y2" s="168" t="s">
        <v>149</v>
      </c>
      <c r="Z2" s="168"/>
      <c r="AA2" s="170"/>
      <c r="AB2" s="170" t="s">
        <v>35</v>
      </c>
      <c r="AC2" s="211">
        <v>41920</v>
      </c>
      <c r="AE2" s="224" t="s">
        <v>105</v>
      </c>
      <c r="AF2" s="61"/>
      <c r="AG2" s="224" t="s">
        <v>107</v>
      </c>
      <c r="AH2" s="219" t="s">
        <v>212</v>
      </c>
    </row>
    <row r="3" spans="2:44" s="90" customFormat="1" ht="13.5" thickBot="1" x14ac:dyDescent="0.25">
      <c r="B3" s="97"/>
      <c r="C3" s="97"/>
      <c r="M3" s="88"/>
      <c r="N3" s="88"/>
      <c r="O3" s="105"/>
      <c r="P3" s="105"/>
      <c r="Q3" s="105"/>
      <c r="R3" s="105"/>
      <c r="S3" s="105"/>
      <c r="W3" s="45"/>
      <c r="X3" s="46" t="s">
        <v>37</v>
      </c>
      <c r="Y3" s="169" t="s">
        <v>278</v>
      </c>
      <c r="Z3" s="216"/>
      <c r="AA3" s="217"/>
      <c r="AB3" s="217" t="s">
        <v>35</v>
      </c>
      <c r="AC3" s="472">
        <v>41926</v>
      </c>
      <c r="AE3" s="225" t="s">
        <v>106</v>
      </c>
      <c r="AF3" s="61"/>
      <c r="AG3" s="225" t="s">
        <v>108</v>
      </c>
      <c r="AH3" s="106" t="s">
        <v>213</v>
      </c>
    </row>
    <row r="4" spans="2:44" s="90" customFormat="1" ht="13.5" thickBot="1" x14ac:dyDescent="0.25">
      <c r="B4" s="97"/>
      <c r="C4" s="97"/>
      <c r="M4" s="88"/>
      <c r="N4" s="88"/>
      <c r="O4" s="105"/>
      <c r="P4" s="105"/>
      <c r="Q4" s="105"/>
      <c r="R4" s="105"/>
      <c r="S4" s="105"/>
      <c r="T4" s="88"/>
      <c r="U4" s="88"/>
      <c r="V4" s="88"/>
      <c r="W4" s="88"/>
      <c r="X4" s="88"/>
      <c r="Y4" s="88"/>
      <c r="Z4" s="88"/>
      <c r="AA4" s="88"/>
      <c r="AB4" s="88"/>
      <c r="AE4" s="225" t="s">
        <v>111</v>
      </c>
      <c r="AF4" s="61"/>
      <c r="AG4" s="225" t="s">
        <v>113</v>
      </c>
      <c r="AH4" s="106" t="s">
        <v>214</v>
      </c>
    </row>
    <row r="5" spans="2:44" s="16" customFormat="1" ht="12.75" customHeight="1" x14ac:dyDescent="0.2">
      <c r="B5" s="639" t="s">
        <v>1</v>
      </c>
      <c r="C5" s="640"/>
      <c r="D5" s="635" t="s">
        <v>0</v>
      </c>
      <c r="E5" s="649" t="s">
        <v>103</v>
      </c>
      <c r="F5" s="649" t="s">
        <v>104</v>
      </c>
      <c r="G5" s="649" t="s">
        <v>110</v>
      </c>
      <c r="H5" s="649" t="s">
        <v>200</v>
      </c>
      <c r="I5" s="691" t="s">
        <v>31</v>
      </c>
      <c r="J5" s="649" t="s">
        <v>50</v>
      </c>
      <c r="K5" s="649" t="s">
        <v>115</v>
      </c>
      <c r="L5" s="649" t="s">
        <v>51</v>
      </c>
      <c r="M5" s="645" t="s">
        <v>4</v>
      </c>
      <c r="N5" s="645" t="s">
        <v>21</v>
      </c>
      <c r="O5" s="699" t="s">
        <v>17</v>
      </c>
      <c r="P5" s="699" t="s">
        <v>20</v>
      </c>
      <c r="Q5" s="699" t="s">
        <v>14</v>
      </c>
      <c r="R5" s="513">
        <v>204</v>
      </c>
      <c r="S5" s="203">
        <v>204</v>
      </c>
      <c r="T5" s="526">
        <v>206</v>
      </c>
      <c r="U5" s="527"/>
      <c r="V5" s="527"/>
      <c r="W5" s="2">
        <v>302</v>
      </c>
      <c r="X5" s="57">
        <v>304</v>
      </c>
      <c r="Y5" s="2">
        <v>407</v>
      </c>
      <c r="Z5" s="526">
        <v>442</v>
      </c>
      <c r="AA5" s="528"/>
      <c r="AB5" s="49">
        <v>617</v>
      </c>
      <c r="AC5" s="49">
        <v>618</v>
      </c>
      <c r="AD5" s="141"/>
      <c r="AE5" s="225" t="s">
        <v>112</v>
      </c>
      <c r="AF5" s="61"/>
      <c r="AG5" s="225" t="s">
        <v>114</v>
      </c>
      <c r="AH5" s="106" t="s">
        <v>215</v>
      </c>
    </row>
    <row r="6" spans="2:44" ht="12.75" customHeight="1" thickBot="1" x14ac:dyDescent="0.25">
      <c r="B6" s="641"/>
      <c r="C6" s="642"/>
      <c r="D6" s="636"/>
      <c r="E6" s="694"/>
      <c r="F6" s="696"/>
      <c r="G6" s="696"/>
      <c r="H6" s="692"/>
      <c r="I6" s="692"/>
      <c r="J6" s="692"/>
      <c r="K6" s="692"/>
      <c r="L6" s="692"/>
      <c r="M6" s="646"/>
      <c r="N6" s="646"/>
      <c r="O6" s="700"/>
      <c r="P6" s="700"/>
      <c r="Q6" s="700"/>
      <c r="R6" s="657" t="s">
        <v>194</v>
      </c>
      <c r="S6" s="658" t="s">
        <v>7</v>
      </c>
      <c r="T6" s="658" t="s">
        <v>18</v>
      </c>
      <c r="U6" s="529" t="s">
        <v>19</v>
      </c>
      <c r="V6" s="537" t="s">
        <v>23</v>
      </c>
      <c r="W6" s="657" t="s">
        <v>195</v>
      </c>
      <c r="X6" s="658" t="s">
        <v>9</v>
      </c>
      <c r="Y6" s="657" t="s">
        <v>45</v>
      </c>
      <c r="Z6" s="706" t="s">
        <v>25</v>
      </c>
      <c r="AA6" s="706" t="s">
        <v>26</v>
      </c>
      <c r="AB6" s="657" t="s">
        <v>279</v>
      </c>
      <c r="AC6" s="657" t="s">
        <v>137</v>
      </c>
      <c r="AD6" s="166"/>
      <c r="AE6" s="226" t="s">
        <v>101</v>
      </c>
      <c r="AF6" s="61"/>
      <c r="AG6" s="225" t="s">
        <v>109</v>
      </c>
      <c r="AH6" s="220" t="s">
        <v>216</v>
      </c>
    </row>
    <row r="7" spans="2:44" ht="12.75" customHeight="1" thickBot="1" x14ac:dyDescent="0.25">
      <c r="B7" s="641"/>
      <c r="C7" s="642"/>
      <c r="D7" s="636"/>
      <c r="E7" s="694"/>
      <c r="F7" s="696"/>
      <c r="G7" s="696"/>
      <c r="H7" s="692"/>
      <c r="I7" s="692"/>
      <c r="J7" s="692"/>
      <c r="K7" s="692"/>
      <c r="L7" s="692"/>
      <c r="M7" s="646"/>
      <c r="N7" s="646"/>
      <c r="O7" s="700"/>
      <c r="P7" s="700"/>
      <c r="Q7" s="700"/>
      <c r="R7" s="658"/>
      <c r="S7" s="658"/>
      <c r="T7" s="658"/>
      <c r="U7" s="702"/>
      <c r="V7" s="702"/>
      <c r="W7" s="658"/>
      <c r="X7" s="658"/>
      <c r="Y7" s="658"/>
      <c r="Z7" s="544"/>
      <c r="AA7" s="544"/>
      <c r="AB7" s="658"/>
      <c r="AC7" s="658"/>
      <c r="AD7" s="142"/>
      <c r="AE7" s="142"/>
      <c r="AF7" s="61"/>
      <c r="AG7" s="226" t="s">
        <v>116</v>
      </c>
      <c r="AH7" s="220" t="s">
        <v>217</v>
      </c>
    </row>
    <row r="8" spans="2:44" ht="12.75" customHeight="1" thickBot="1" x14ac:dyDescent="0.25">
      <c r="B8" s="641"/>
      <c r="C8" s="642"/>
      <c r="D8" s="636"/>
      <c r="E8" s="694"/>
      <c r="F8" s="696"/>
      <c r="G8" s="696"/>
      <c r="H8" s="692"/>
      <c r="I8" s="692"/>
      <c r="J8" s="692"/>
      <c r="K8" s="692"/>
      <c r="L8" s="692"/>
      <c r="M8" s="646"/>
      <c r="N8" s="646"/>
      <c r="O8" s="700"/>
      <c r="P8" s="700"/>
      <c r="Q8" s="700"/>
      <c r="R8" s="658"/>
      <c r="S8" s="658"/>
      <c r="T8" s="658"/>
      <c r="U8" s="702"/>
      <c r="V8" s="702"/>
      <c r="W8" s="658"/>
      <c r="X8" s="658"/>
      <c r="Y8" s="658"/>
      <c r="Z8" s="544"/>
      <c r="AA8" s="544"/>
      <c r="AB8" s="658"/>
      <c r="AC8" s="658"/>
      <c r="AD8" s="142"/>
    </row>
    <row r="9" spans="2:44" ht="12.75" customHeight="1" thickBot="1" x14ac:dyDescent="0.25">
      <c r="B9" s="641"/>
      <c r="C9" s="642"/>
      <c r="D9" s="636"/>
      <c r="E9" s="694"/>
      <c r="F9" s="696"/>
      <c r="G9" s="696"/>
      <c r="H9" s="692"/>
      <c r="I9" s="692"/>
      <c r="J9" s="692"/>
      <c r="K9" s="692"/>
      <c r="L9" s="692"/>
      <c r="M9" s="646"/>
      <c r="N9" s="646"/>
      <c r="O9" s="700"/>
      <c r="P9" s="700"/>
      <c r="Q9" s="700"/>
      <c r="R9" s="658"/>
      <c r="S9" s="658"/>
      <c r="T9" s="658"/>
      <c r="U9" s="702"/>
      <c r="V9" s="702"/>
      <c r="W9" s="658"/>
      <c r="X9" s="658"/>
      <c r="Y9" s="658"/>
      <c r="Z9" s="544"/>
      <c r="AA9" s="544"/>
      <c r="AB9" s="658"/>
      <c r="AC9" s="658"/>
      <c r="AD9" s="142"/>
      <c r="AE9" s="659" t="s">
        <v>211</v>
      </c>
      <c r="AF9" s="660"/>
      <c r="AG9" s="660"/>
      <c r="AH9" s="660"/>
      <c r="AI9" s="660"/>
      <c r="AJ9" s="660"/>
      <c r="AK9" s="660"/>
      <c r="AL9" s="660"/>
      <c r="AM9" s="660"/>
      <c r="AN9" s="660"/>
      <c r="AO9" s="660"/>
      <c r="AP9" s="660"/>
      <c r="AQ9" s="660"/>
      <c r="AR9" s="661"/>
    </row>
    <row r="10" spans="2:44" ht="12.75" customHeight="1" x14ac:dyDescent="0.2">
      <c r="B10" s="641"/>
      <c r="C10" s="642"/>
      <c r="D10" s="636"/>
      <c r="E10" s="694"/>
      <c r="F10" s="696"/>
      <c r="G10" s="696"/>
      <c r="H10" s="692"/>
      <c r="I10" s="692"/>
      <c r="J10" s="692"/>
      <c r="K10" s="692"/>
      <c r="L10" s="692"/>
      <c r="M10" s="646"/>
      <c r="N10" s="646"/>
      <c r="O10" s="700"/>
      <c r="P10" s="700"/>
      <c r="Q10" s="700"/>
      <c r="R10" s="658"/>
      <c r="S10" s="658"/>
      <c r="T10" s="658"/>
      <c r="U10" s="702"/>
      <c r="V10" s="702"/>
      <c r="W10" s="658"/>
      <c r="X10" s="658"/>
      <c r="Y10" s="658"/>
      <c r="Z10" s="544"/>
      <c r="AA10" s="544"/>
      <c r="AB10" s="658"/>
      <c r="AC10" s="658"/>
      <c r="AD10" s="142"/>
      <c r="AE10" s="662" t="s">
        <v>218</v>
      </c>
      <c r="AF10" s="664" t="s">
        <v>224</v>
      </c>
      <c r="AG10" s="686" t="s">
        <v>199</v>
      </c>
      <c r="AH10" s="668"/>
      <c r="AI10" s="687"/>
      <c r="AJ10" s="667" t="s">
        <v>48</v>
      </c>
      <c r="AK10" s="668"/>
      <c r="AL10" s="687"/>
      <c r="AM10" s="667" t="s">
        <v>49</v>
      </c>
      <c r="AN10" s="668"/>
      <c r="AO10" s="687"/>
      <c r="AP10" s="667" t="s">
        <v>52</v>
      </c>
      <c r="AQ10" s="668"/>
      <c r="AR10" s="669"/>
    </row>
    <row r="11" spans="2:44" ht="12.75" customHeight="1" thickBot="1" x14ac:dyDescent="0.25">
      <c r="B11" s="641"/>
      <c r="C11" s="642"/>
      <c r="D11" s="636"/>
      <c r="E11" s="694"/>
      <c r="F11" s="696"/>
      <c r="G11" s="696"/>
      <c r="H11" s="692"/>
      <c r="I11" s="692"/>
      <c r="J11" s="692"/>
      <c r="K11" s="692"/>
      <c r="L11" s="692"/>
      <c r="M11" s="646"/>
      <c r="N11" s="646"/>
      <c r="O11" s="700"/>
      <c r="P11" s="700"/>
      <c r="Q11" s="700"/>
      <c r="R11" s="658"/>
      <c r="S11" s="658"/>
      <c r="T11" s="658"/>
      <c r="U11" s="702"/>
      <c r="V11" s="702"/>
      <c r="W11" s="658"/>
      <c r="X11" s="658"/>
      <c r="Y11" s="658"/>
      <c r="Z11" s="544"/>
      <c r="AA11" s="544"/>
      <c r="AB11" s="658"/>
      <c r="AC11" s="658"/>
      <c r="AD11" s="142"/>
      <c r="AE11" s="663"/>
      <c r="AF11" s="665"/>
      <c r="AG11" s="670" t="s">
        <v>219</v>
      </c>
      <c r="AH11" s="671"/>
      <c r="AI11" s="672"/>
      <c r="AJ11" s="673" t="s">
        <v>220</v>
      </c>
      <c r="AK11" s="671"/>
      <c r="AL11" s="672"/>
      <c r="AM11" s="673" t="s">
        <v>220</v>
      </c>
      <c r="AN11" s="671"/>
      <c r="AO11" s="672"/>
      <c r="AP11" s="673" t="s">
        <v>220</v>
      </c>
      <c r="AQ11" s="671"/>
      <c r="AR11" s="674"/>
    </row>
    <row r="12" spans="2:44" ht="12.75" customHeight="1" x14ac:dyDescent="0.2">
      <c r="B12" s="641"/>
      <c r="C12" s="642"/>
      <c r="D12" s="636"/>
      <c r="E12" s="694"/>
      <c r="F12" s="696"/>
      <c r="G12" s="696"/>
      <c r="H12" s="692"/>
      <c r="I12" s="692"/>
      <c r="J12" s="692"/>
      <c r="K12" s="692"/>
      <c r="L12" s="692"/>
      <c r="M12" s="646"/>
      <c r="N12" s="646"/>
      <c r="O12" s="700"/>
      <c r="P12" s="700"/>
      <c r="Q12" s="700"/>
      <c r="R12" s="658"/>
      <c r="S12" s="658"/>
      <c r="T12" s="658"/>
      <c r="U12" s="702"/>
      <c r="V12" s="702"/>
      <c r="W12" s="658"/>
      <c r="X12" s="658"/>
      <c r="Y12" s="658"/>
      <c r="Z12" s="544"/>
      <c r="AA12" s="544"/>
      <c r="AB12" s="658"/>
      <c r="AC12" s="658"/>
      <c r="AD12" s="142"/>
      <c r="AE12" s="222" t="s">
        <v>105</v>
      </c>
      <c r="AF12" s="104" t="s">
        <v>221</v>
      </c>
      <c r="AG12" s="653">
        <v>1.5</v>
      </c>
      <c r="AH12" s="601"/>
      <c r="AI12" s="602"/>
      <c r="AJ12" s="600">
        <v>0.56999999999999995</v>
      </c>
      <c r="AK12" s="601"/>
      <c r="AL12" s="602"/>
      <c r="AM12" s="600">
        <v>0.67</v>
      </c>
      <c r="AN12" s="601"/>
      <c r="AO12" s="602"/>
      <c r="AP12" s="600" t="s">
        <v>101</v>
      </c>
      <c r="AQ12" s="601"/>
      <c r="AR12" s="681"/>
    </row>
    <row r="13" spans="2:44" ht="12.75" customHeight="1" x14ac:dyDescent="0.2">
      <c r="B13" s="641"/>
      <c r="C13" s="642"/>
      <c r="D13" s="636"/>
      <c r="E13" s="694"/>
      <c r="F13" s="696"/>
      <c r="G13" s="696"/>
      <c r="H13" s="692"/>
      <c r="I13" s="692"/>
      <c r="J13" s="692"/>
      <c r="K13" s="692"/>
      <c r="L13" s="692"/>
      <c r="M13" s="646"/>
      <c r="N13" s="646"/>
      <c r="O13" s="700"/>
      <c r="P13" s="700"/>
      <c r="Q13" s="700"/>
      <c r="R13" s="658"/>
      <c r="S13" s="658"/>
      <c r="T13" s="658"/>
      <c r="U13" s="702"/>
      <c r="V13" s="702"/>
      <c r="W13" s="658"/>
      <c r="X13" s="658"/>
      <c r="Y13" s="658"/>
      <c r="Z13" s="544"/>
      <c r="AA13" s="544"/>
      <c r="AB13" s="658"/>
      <c r="AC13" s="658"/>
      <c r="AD13" s="142"/>
      <c r="AE13" s="221" t="s">
        <v>106</v>
      </c>
      <c r="AF13" s="103" t="s">
        <v>222</v>
      </c>
      <c r="AG13" s="675">
        <v>2</v>
      </c>
      <c r="AH13" s="676"/>
      <c r="AI13" s="677"/>
      <c r="AJ13" s="678"/>
      <c r="AK13" s="679"/>
      <c r="AL13" s="680"/>
      <c r="AM13" s="678">
        <v>0.98</v>
      </c>
      <c r="AN13" s="679"/>
      <c r="AO13" s="680"/>
      <c r="AP13" s="600" t="s">
        <v>101</v>
      </c>
      <c r="AQ13" s="601"/>
      <c r="AR13" s="681"/>
    </row>
    <row r="14" spans="2:44" ht="12.75" customHeight="1" x14ac:dyDescent="0.2">
      <c r="B14" s="641"/>
      <c r="C14" s="642"/>
      <c r="D14" s="636"/>
      <c r="E14" s="694"/>
      <c r="F14" s="696"/>
      <c r="G14" s="696"/>
      <c r="H14" s="692"/>
      <c r="I14" s="692"/>
      <c r="J14" s="692"/>
      <c r="K14" s="692"/>
      <c r="L14" s="692"/>
      <c r="M14" s="646"/>
      <c r="N14" s="646"/>
      <c r="O14" s="700"/>
      <c r="P14" s="700"/>
      <c r="Q14" s="700"/>
      <c r="R14" s="658"/>
      <c r="S14" s="658"/>
      <c r="T14" s="658"/>
      <c r="U14" s="702"/>
      <c r="V14" s="702"/>
      <c r="W14" s="658"/>
      <c r="X14" s="658"/>
      <c r="Y14" s="658"/>
      <c r="Z14" s="544"/>
      <c r="AA14" s="544"/>
      <c r="AB14" s="658"/>
      <c r="AC14" s="658"/>
      <c r="AD14" s="142"/>
      <c r="AE14" s="221" t="s">
        <v>111</v>
      </c>
      <c r="AF14" s="103" t="s">
        <v>223</v>
      </c>
      <c r="AG14" s="675" t="s">
        <v>101</v>
      </c>
      <c r="AH14" s="676"/>
      <c r="AI14" s="677"/>
      <c r="AJ14" s="678" t="s">
        <v>101</v>
      </c>
      <c r="AK14" s="679"/>
      <c r="AL14" s="680"/>
      <c r="AM14" s="678" t="s">
        <v>101</v>
      </c>
      <c r="AN14" s="679"/>
      <c r="AO14" s="680"/>
      <c r="AP14" s="600">
        <v>-0.18</v>
      </c>
      <c r="AQ14" s="601"/>
      <c r="AR14" s="681"/>
    </row>
    <row r="15" spans="2:44" ht="12.75" customHeight="1" x14ac:dyDescent="0.2">
      <c r="B15" s="641"/>
      <c r="C15" s="642"/>
      <c r="D15" s="636"/>
      <c r="E15" s="694"/>
      <c r="F15" s="696"/>
      <c r="G15" s="696"/>
      <c r="H15" s="692"/>
      <c r="I15" s="692"/>
      <c r="J15" s="692"/>
      <c r="K15" s="692"/>
      <c r="L15" s="692"/>
      <c r="M15" s="647"/>
      <c r="N15" s="647"/>
      <c r="O15" s="701"/>
      <c r="P15" s="701"/>
      <c r="Q15" s="701"/>
      <c r="R15" s="658"/>
      <c r="S15" s="658"/>
      <c r="T15" s="658"/>
      <c r="U15" s="703"/>
      <c r="V15" s="703"/>
      <c r="W15" s="658"/>
      <c r="X15" s="658"/>
      <c r="Y15" s="658"/>
      <c r="Z15" s="545"/>
      <c r="AA15" s="545"/>
      <c r="AB15" s="658"/>
      <c r="AC15" s="658"/>
      <c r="AD15" s="142"/>
      <c r="AE15" s="221" t="s">
        <v>225</v>
      </c>
      <c r="AF15" s="103" t="s">
        <v>221</v>
      </c>
      <c r="AG15" s="653">
        <v>4.33</v>
      </c>
      <c r="AH15" s="601"/>
      <c r="AI15" s="602"/>
      <c r="AJ15" s="600">
        <v>3.29</v>
      </c>
      <c r="AK15" s="601"/>
      <c r="AL15" s="602"/>
      <c r="AM15" s="600">
        <v>2.09</v>
      </c>
      <c r="AN15" s="601"/>
      <c r="AO15" s="602"/>
      <c r="AP15" s="600">
        <v>0.42</v>
      </c>
      <c r="AQ15" s="601"/>
      <c r="AR15" s="681"/>
    </row>
    <row r="16" spans="2:44" ht="12.75" customHeight="1" thickBot="1" x14ac:dyDescent="0.25">
      <c r="B16" s="24" t="s">
        <v>2</v>
      </c>
      <c r="C16" s="25" t="s">
        <v>3</v>
      </c>
      <c r="D16" s="693"/>
      <c r="E16" s="695"/>
      <c r="F16" s="697"/>
      <c r="G16" s="697"/>
      <c r="H16" s="5" t="s">
        <v>5</v>
      </c>
      <c r="I16" s="5" t="s">
        <v>12</v>
      </c>
      <c r="J16" s="5" t="s">
        <v>12</v>
      </c>
      <c r="K16" s="9" t="s">
        <v>12</v>
      </c>
      <c r="L16" s="9" t="s">
        <v>12</v>
      </c>
      <c r="M16" s="5" t="s">
        <v>5</v>
      </c>
      <c r="N16" s="5" t="s">
        <v>5</v>
      </c>
      <c r="O16" s="73" t="s">
        <v>6</v>
      </c>
      <c r="P16" s="73" t="s">
        <v>6</v>
      </c>
      <c r="Q16" s="73" t="s">
        <v>6</v>
      </c>
      <c r="R16" s="84" t="s">
        <v>10</v>
      </c>
      <c r="S16" s="5" t="s">
        <v>11</v>
      </c>
      <c r="T16" s="5" t="s">
        <v>10</v>
      </c>
      <c r="U16" s="5" t="s">
        <v>10</v>
      </c>
      <c r="V16" s="5" t="s">
        <v>22</v>
      </c>
      <c r="W16" s="5" t="s">
        <v>12</v>
      </c>
      <c r="X16" s="5" t="s">
        <v>12</v>
      </c>
      <c r="Y16" s="5" t="s">
        <v>13</v>
      </c>
      <c r="Z16" s="5" t="s">
        <v>12</v>
      </c>
      <c r="AA16" s="5" t="s">
        <v>12</v>
      </c>
      <c r="AB16" s="471" t="s">
        <v>12</v>
      </c>
      <c r="AC16" s="5" t="s">
        <v>5</v>
      </c>
      <c r="AD16" s="143"/>
      <c r="AE16" s="223" t="s">
        <v>226</v>
      </c>
      <c r="AF16" s="158" t="s">
        <v>221</v>
      </c>
      <c r="AG16" s="666">
        <v>3.67</v>
      </c>
      <c r="AH16" s="655"/>
      <c r="AI16" s="656"/>
      <c r="AJ16" s="654">
        <v>2.65</v>
      </c>
      <c r="AK16" s="655"/>
      <c r="AL16" s="656"/>
      <c r="AM16" s="654">
        <v>1.75</v>
      </c>
      <c r="AN16" s="655"/>
      <c r="AO16" s="656"/>
      <c r="AP16" s="654">
        <v>0.32</v>
      </c>
      <c r="AQ16" s="655"/>
      <c r="AR16" s="682"/>
    </row>
    <row r="17" spans="1:31" ht="12.75" customHeight="1" x14ac:dyDescent="0.2">
      <c r="B17" s="643" t="s">
        <v>69</v>
      </c>
      <c r="C17" s="644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29"/>
      <c r="O17" s="74"/>
      <c r="P17" s="74"/>
      <c r="Q17" s="74"/>
      <c r="R17" s="118"/>
      <c r="S17" s="118"/>
      <c r="T17" s="29"/>
      <c r="U17" s="29"/>
      <c r="V17" s="30"/>
      <c r="W17" s="29"/>
      <c r="X17" s="29"/>
      <c r="Y17" s="29"/>
      <c r="Z17" s="29"/>
      <c r="AA17" s="29"/>
      <c r="AB17" s="101"/>
      <c r="AC17" s="50"/>
      <c r="AD17" s="120"/>
      <c r="AE17" s="1"/>
    </row>
    <row r="18" spans="1:31" ht="12.75" customHeight="1" x14ac:dyDescent="0.2">
      <c r="B18" s="338">
        <v>76998.59</v>
      </c>
      <c r="C18" s="339">
        <v>77149.119999999995</v>
      </c>
      <c r="D18" s="340" t="s">
        <v>30</v>
      </c>
      <c r="E18" s="340" t="s">
        <v>112</v>
      </c>
      <c r="F18" s="340" t="s">
        <v>105</v>
      </c>
      <c r="G18" s="47" t="str">
        <f t="shared" ref="G18:G23" si="0">IF(AND($E18=$AE$2,$F18=$AE$2),$AG$2,IF(OR(AND($E18=$AE$2,$F18=$AE$3),AND($E18=$AE$3,$F18=$AE$2)),$AG$3,IF(OR(AND($E18=$AE$2,$F18=$AE$4),AND($E18=$AE$4,$F18=$AE$2)),$AG$4,IF(OR(AND($E18=$AE$3,$F18=$AE$4),AND($E18=$AE$4,$F18=$AE$3)),$AG$5,IF(AND($E18=$AE$3,$F18=$AE$3),$AG$6,IF(AND($E18=$AE$4,$F18=$AE$4),$AG$7,"-"))))))</f>
        <v>-</v>
      </c>
      <c r="H18" s="342">
        <v>5.83</v>
      </c>
      <c r="I18" s="341">
        <v>21.52</v>
      </c>
      <c r="J18" s="341">
        <v>15.39</v>
      </c>
      <c r="K18" s="341">
        <v>0</v>
      </c>
      <c r="L18" s="341">
        <v>2.34</v>
      </c>
      <c r="M18" s="4">
        <f>C18-B18</f>
        <v>150.52999999999884</v>
      </c>
      <c r="N18" s="345">
        <v>27</v>
      </c>
      <c r="O18" s="76">
        <f>IF(N18="-",0,ROUNDUP($M18*N18,0))</f>
        <v>4065</v>
      </c>
      <c r="P18" s="347">
        <v>0</v>
      </c>
      <c r="Q18" s="75">
        <f t="shared" ref="Q18:Q63" si="1">SUM(O18:P18)</f>
        <v>4065</v>
      </c>
      <c r="R18" s="493">
        <f>IF(OR($A18="APP SLAB",Q18=0),0,($Q18+$H18*$M18)/9)</f>
        <v>549.17665555555482</v>
      </c>
      <c r="S18" s="210">
        <f>IF(AND(R18=0,U18=0),0,IF(U18=0,R18/2000,U18/2000))</f>
        <v>0.27458832777777742</v>
      </c>
      <c r="T18" s="85">
        <f t="shared" ref="T18:T23" si="2">IF(A18="APP SLAB",0,U18)</f>
        <v>0</v>
      </c>
      <c r="U18" s="135">
        <f>IF(OR(A18="APP SLAB",R18&lt;&gt;0),0,(Q18+H18*M18)/9)</f>
        <v>0</v>
      </c>
      <c r="V18" s="85">
        <f t="shared" ref="V18:V23" si="3">IF(A18="APP SLAB",0,$U$1*U18*110*0.06*0.75/2000)</f>
        <v>0</v>
      </c>
      <c r="W18" s="34">
        <f t="shared" ref="W18:W23" si="4">IF(A18="APP SLAB",0,(Q18*$W$1/12)/27+I18)</f>
        <v>165.80240740740743</v>
      </c>
      <c r="X18" s="83">
        <f t="shared" ref="X18:X23" si="5">(Q18*$X$1/12)/27+J18</f>
        <v>90.667777777777772</v>
      </c>
      <c r="Y18" s="6">
        <f t="shared" ref="Y18:Y23" si="6">IF(A18="APP SLAB",0,(Q18/9)*$Y$1)</f>
        <v>18.066666666666666</v>
      </c>
      <c r="Z18" s="4">
        <f t="shared" ref="Z18:Z23" si="7">IF(A18="APP SLAB",0,(Q18*($Z$1/12))/27+K18)</f>
        <v>18.819444444444443</v>
      </c>
      <c r="AA18" s="4">
        <f t="shared" ref="AA18:AA23" si="8">IF(A18="APP SLAB",0,(Q18*$AA$1/12)/27+L18)</f>
        <v>24.296018518518519</v>
      </c>
      <c r="AB18" s="467">
        <f>IF(AND($E18=$F18="Uncurbed"),(2*$M18*2*$AB$1/12)/27,IF(OR($E18="Uncurbed",$F18="Uncurbed"),($M18*2*$AB$1/12)/27,IF(OR(AND($E18="Med. Barr.",$F18="Curbed"),AND($E18="Curbed",$F18="Med. Barr."),$E18=$F18,$E18="Unique",$F18="Unique",$E18="-",$F18="-"),0,"?")))</f>
        <v>3.0198919753086186</v>
      </c>
      <c r="AC18" s="6">
        <f>IF($A18="APP SLAB",0,($M18*2))</f>
        <v>301.05999999999767</v>
      </c>
      <c r="AD18" s="10"/>
      <c r="AE18" s="1"/>
    </row>
    <row r="19" spans="1:31" ht="12.75" customHeight="1" x14ac:dyDescent="0.2">
      <c r="B19" s="338">
        <v>77149.119999999995</v>
      </c>
      <c r="C19" s="339">
        <v>77700</v>
      </c>
      <c r="D19" s="340" t="s">
        <v>30</v>
      </c>
      <c r="E19" s="340" t="s">
        <v>105</v>
      </c>
      <c r="F19" s="340" t="s">
        <v>105</v>
      </c>
      <c r="G19" s="103" t="str">
        <f t="shared" si="0"/>
        <v>E/S - E/S</v>
      </c>
      <c r="H19" s="26">
        <f>IF(AND($E19=$AE$2,$F19=$AE$2),2*$AG$12,IF(OR(AND($E19=$AE$2, $F19=$AE$3),AND($E19=$AE$3,$F19=$AE$2)),$AG$12+$AG$13,IF(OR(AND($E19=$AE$2,$F19=$AE$4),AND($E19=$AE$4,$F19=$AE$2)),$AG$12,IF(OR(AND($E19=$AE$3,$F19=$AE$4),AND($E19=$AE$4,$F19=$AE$3)),$AG$13,IF(AND($E19=$AE$3,$F19=$AE$3),2*$AG$13,0)))))</f>
        <v>3</v>
      </c>
      <c r="I19" s="27">
        <f>IF(AND($E19=$AE$2,$F19=$AE$2),2*$AJ$12*$M19/27,IF(OR(AND($E19=$AE$2,$F19=$AE$3),AND($E19=$AE$3,$F19=$AE$2)),$AJ$12*$M19/27,IF(OR(AND($E19=$AE$2,$F19=$AE$4),AND($E19=$AE$4,$F19=$AE$2)),$AJ$12*$M19/27,0)))</f>
        <v>23.259377777777971</v>
      </c>
      <c r="J19" s="27">
        <f>IF(AND($E19=$AE$2,$F19=$AE$2),2*$AM$12*$M19/27,IF(OR(AND($E19=$AE$2,$F19=$AE$3),AND($E19=$AE$3,$F19=$AE$2)),($AM$12+$AM$13)*$M19/27,IF(OR(AND($E19=$AE$2,$F19=$AE$4),AND($E19=$AE$4,$F19=$AE$2)),$AM$12*$M19/27,IF(OR(AND($E19=$AE$3,$F19=$AE$4),AND($E19=$AE$4,$F19=$AE$3)),$AM$13*$M19/27,IF(AND($E19=$AE$3,$F19=$AE$3),2*$AM$13*$M19/27,0)))))</f>
        <v>27.339970370370605</v>
      </c>
      <c r="K19" s="27">
        <f>IF(AND($E19=$AE$4,$F19=$AE$4),2*$AP$14*$M19/27,IF(OR($E19=$AE$4,$F19=$AE$4),$AP$14*$M19/27,0))</f>
        <v>0</v>
      </c>
      <c r="L19" s="341">
        <v>0</v>
      </c>
      <c r="M19" s="83">
        <f t="shared" ref="M19:M23" si="9">C19-B19</f>
        <v>550.88000000000466</v>
      </c>
      <c r="N19" s="345">
        <v>26</v>
      </c>
      <c r="O19" s="124">
        <f t="shared" ref="O19:O23" si="10">IF(N19="-",0,ROUNDUP($M19*N19,0))</f>
        <v>14323</v>
      </c>
      <c r="P19" s="347">
        <v>0</v>
      </c>
      <c r="Q19" s="123">
        <f t="shared" si="1"/>
        <v>14323</v>
      </c>
      <c r="R19" s="493">
        <f>IF(OR($A19="APP SLAB",Q19=0),0,($Q19+$H19*$M19)/9)</f>
        <v>1775.0711111111127</v>
      </c>
      <c r="S19" s="210">
        <f t="shared" ref="S19:S23" si="11">IF(AND(R19=0,U19=0),0,IF(U19=0,R19/2000,U19/2000))</f>
        <v>0.88753555555555641</v>
      </c>
      <c r="T19" s="85">
        <f t="shared" si="2"/>
        <v>0</v>
      </c>
      <c r="U19" s="135">
        <f>IF(OR(A19="APP SLAB",R19&lt;&gt;0),0,(Q19+H19*M19)/9)</f>
        <v>0</v>
      </c>
      <c r="V19" s="85">
        <f t="shared" si="3"/>
        <v>0</v>
      </c>
      <c r="W19" s="34">
        <f t="shared" si="4"/>
        <v>531.63746419753113</v>
      </c>
      <c r="X19" s="83">
        <f t="shared" si="5"/>
        <v>292.58071111111138</v>
      </c>
      <c r="Y19" s="85">
        <f t="shared" si="6"/>
        <v>63.657777777777774</v>
      </c>
      <c r="Z19" s="83">
        <f t="shared" si="7"/>
        <v>66.31018518518519</v>
      </c>
      <c r="AA19" s="83">
        <f t="shared" si="8"/>
        <v>77.361882716049394</v>
      </c>
      <c r="AB19" s="467">
        <f t="shared" ref="AB19:AB23" si="12">IF(AND($E19=$F19="Uncurbed"),(2*$M19*2*$AB$1/12)/27,IF(OR($E19="Uncurbed",$F19="Uncurbed"),($M19*2*$AB$1/12)/27,IF(OR(AND($E19="Med. Barr.",$F19="Curbed"),AND($E19="Curbed",$F19="Med. Barr."),$E19=$F19,$E19="Unique",$F19="Unique",$E19="-",$F19="-"),0,"?")))</f>
        <v>11.0516049382717</v>
      </c>
      <c r="AC19" s="85">
        <f>IF(A19="APP SLAB",0,(M19*2))</f>
        <v>1101.7600000000093</v>
      </c>
      <c r="AD19" s="10"/>
      <c r="AE19" s="1"/>
    </row>
    <row r="20" spans="1:31" s="81" customFormat="1" ht="12.75" customHeight="1" x14ac:dyDescent="0.2">
      <c r="B20" s="338">
        <v>77700</v>
      </c>
      <c r="C20" s="339">
        <v>77882.509999999995</v>
      </c>
      <c r="D20" s="340" t="s">
        <v>30</v>
      </c>
      <c r="E20" s="340" t="s">
        <v>105</v>
      </c>
      <c r="F20" s="340" t="s">
        <v>105</v>
      </c>
      <c r="G20" s="103" t="str">
        <f t="shared" si="0"/>
        <v>E/S - E/S</v>
      </c>
      <c r="H20" s="26">
        <f>IF(AND($E20=$AE$2,$F20=$AE$2),2*$AG$12,IF(OR(AND($E20=$AE$2, $F20=$AE$3),AND($E20=$AE$3,$F20=$AE$2)),$AG$12+$AG$13,IF(OR(AND($E20=$AE$2,$F20=$AE$4),AND($E20=$AE$4,$F20=$AE$2)),$AG$12,IF(OR(AND($E20=$AE$3,$F20=$AE$4),AND($E20=$AE$4,$F20=$AE$3)),$AG$13,IF(AND($E20=$AE$3,$F20=$AE$3),2*$AG$13,0)))))</f>
        <v>3</v>
      </c>
      <c r="I20" s="27">
        <f>IF(AND($E20=$AE$2,$F20=$AE$2),2*$AJ$12*$M20/27,IF(OR(AND($E20=$AE$2,$F20=$AE$3),AND($E20=$AE$3,$F20=$AE$2)),$AJ$12*$M20/27,IF(OR(AND($E20=$AE$2,$F20=$AE$4),AND($E20=$AE$4,$F20=$AE$2)),$AJ$12*$M20/27,0)))</f>
        <v>7.705977777777556</v>
      </c>
      <c r="J20" s="27">
        <f>IF(AND($E20=$AE$2,$F20=$AE$2),2*$AM$12*$M20/27,IF(OR(AND($E20=$AE$2,$F20=$AE$3),AND($E20=$AE$3,$F20=$AE$2)),($AM$12+$AM$13)*$M20/27,IF(OR(AND($E20=$AE$2,$F20=$AE$4),AND($E20=$AE$4,$F20=$AE$2)),$AM$12*$M20/27,IF(OR(AND($E20=$AE$3,$F20=$AE$4),AND($E20=$AE$4,$F20=$AE$3)),$AM$13*$M20/27,IF(AND($E20=$AE$3,$F20=$AE$3),2*$AM$13*$M20/27,0)))))</f>
        <v>9.0579037037034436</v>
      </c>
      <c r="K20" s="27">
        <f>IF(AND($E20=$AE$4,$F20=$AE$4),2*$AP$14*$M20/27,IF(OR($E20=$AE$4,$F20=$AE$4),$AP$14*$M20/27,0))</f>
        <v>0</v>
      </c>
      <c r="L20" s="341">
        <v>1</v>
      </c>
      <c r="M20" s="492">
        <f t="shared" ref="M20" si="13">C20-B20</f>
        <v>182.50999999999476</v>
      </c>
      <c r="N20" s="345">
        <v>26</v>
      </c>
      <c r="O20" s="124">
        <f t="shared" ref="O20" si="14">IF(N20="-",0,ROUNDUP($M20*N20,0))</f>
        <v>4746</v>
      </c>
      <c r="P20" s="347">
        <v>0</v>
      </c>
      <c r="Q20" s="123">
        <f t="shared" ref="Q20" si="15">SUM(O20:P20)</f>
        <v>4746</v>
      </c>
      <c r="R20" s="347">
        <v>0</v>
      </c>
      <c r="S20" s="210">
        <f t="shared" si="11"/>
        <v>0.29408499999999915</v>
      </c>
      <c r="T20" s="493">
        <f t="shared" si="2"/>
        <v>588.16999999999825</v>
      </c>
      <c r="U20" s="135">
        <f t="shared" ref="U20:U23" si="16">IF(OR(A20="APP SLAB",R20&lt;&gt;0),0,(Q20+H20*M20)/9)</f>
        <v>588.16999999999825</v>
      </c>
      <c r="V20" s="493">
        <f t="shared" si="3"/>
        <v>17.468648999999946</v>
      </c>
      <c r="W20" s="34">
        <f t="shared" si="4"/>
        <v>176.15968148148124</v>
      </c>
      <c r="X20" s="492">
        <f t="shared" si="5"/>
        <v>96.946792592592331</v>
      </c>
      <c r="Y20" s="493">
        <f t="shared" si="6"/>
        <v>21.093333333333334</v>
      </c>
      <c r="Z20" s="492">
        <f t="shared" si="7"/>
        <v>21.972222222222221</v>
      </c>
      <c r="AA20" s="492">
        <f t="shared" si="8"/>
        <v>26.63425925925926</v>
      </c>
      <c r="AB20" s="511">
        <f t="shared" si="12"/>
        <v>3.6614660493826108</v>
      </c>
      <c r="AC20" s="493">
        <f>IF(A20="APP SLAB",0,(M20*2))</f>
        <v>365.01999999998952</v>
      </c>
      <c r="AD20" s="10"/>
    </row>
    <row r="21" spans="1:31" ht="12.75" customHeight="1" x14ac:dyDescent="0.2">
      <c r="A21" s="48"/>
      <c r="B21" s="338">
        <v>77882.509999999995</v>
      </c>
      <c r="C21" s="339">
        <v>79287.81</v>
      </c>
      <c r="D21" s="340" t="s">
        <v>15</v>
      </c>
      <c r="E21" s="340" t="s">
        <v>105</v>
      </c>
      <c r="F21" s="340" t="s">
        <v>112</v>
      </c>
      <c r="G21" s="103" t="str">
        <f t="shared" si="0"/>
        <v>-</v>
      </c>
      <c r="H21" s="342">
        <v>1.5</v>
      </c>
      <c r="I21" s="341">
        <v>29.67</v>
      </c>
      <c r="J21" s="341">
        <v>34.869999999999997</v>
      </c>
      <c r="K21" s="341">
        <v>0</v>
      </c>
      <c r="L21" s="341">
        <v>0</v>
      </c>
      <c r="M21" s="83">
        <f t="shared" si="9"/>
        <v>1405.3000000000029</v>
      </c>
      <c r="N21" s="345">
        <v>20</v>
      </c>
      <c r="O21" s="124">
        <f t="shared" si="10"/>
        <v>28107</v>
      </c>
      <c r="P21" s="347">
        <v>0</v>
      </c>
      <c r="Q21" s="123">
        <f t="shared" si="1"/>
        <v>28107</v>
      </c>
      <c r="R21" s="347">
        <v>0</v>
      </c>
      <c r="S21" s="210">
        <f t="shared" si="11"/>
        <v>1.6786083333333335</v>
      </c>
      <c r="T21" s="85">
        <f t="shared" si="2"/>
        <v>3357.2166666666672</v>
      </c>
      <c r="U21" s="135">
        <f t="shared" si="16"/>
        <v>3357.2166666666672</v>
      </c>
      <c r="V21" s="85">
        <f t="shared" si="3"/>
        <v>99.709335000000024</v>
      </c>
      <c r="W21" s="34">
        <f t="shared" si="4"/>
        <v>1027.2950000000001</v>
      </c>
      <c r="X21" s="83">
        <f t="shared" si="5"/>
        <v>555.37</v>
      </c>
      <c r="Y21" s="85">
        <f t="shared" si="6"/>
        <v>124.92</v>
      </c>
      <c r="Z21" s="83">
        <f t="shared" si="7"/>
        <v>130.125</v>
      </c>
      <c r="AA21" s="83">
        <f t="shared" si="8"/>
        <v>151.8125</v>
      </c>
      <c r="AB21" s="467">
        <f t="shared" si="12"/>
        <v>28.192746913580304</v>
      </c>
      <c r="AC21" s="85">
        <f>IF(A21="APP SLAB",0,(M21))</f>
        <v>1405.3000000000029</v>
      </c>
      <c r="AD21" s="10"/>
      <c r="AE21" s="1"/>
    </row>
    <row r="22" spans="1:31" ht="12.75" customHeight="1" x14ac:dyDescent="0.2">
      <c r="A22" s="48"/>
      <c r="B22" s="338">
        <v>77882.509999999995</v>
      </c>
      <c r="C22" s="339">
        <v>79287.81</v>
      </c>
      <c r="D22" s="340" t="s">
        <v>16</v>
      </c>
      <c r="E22" s="340" t="s">
        <v>112</v>
      </c>
      <c r="F22" s="340" t="s">
        <v>105</v>
      </c>
      <c r="G22" s="47" t="str">
        <f t="shared" si="0"/>
        <v>-</v>
      </c>
      <c r="H22" s="342">
        <v>1.5</v>
      </c>
      <c r="I22" s="341">
        <v>29.67</v>
      </c>
      <c r="J22" s="341">
        <v>34.869999999999997</v>
      </c>
      <c r="K22" s="341">
        <v>0</v>
      </c>
      <c r="L22" s="341">
        <v>0</v>
      </c>
      <c r="M22" s="83">
        <f t="shared" si="9"/>
        <v>1405.3000000000029</v>
      </c>
      <c r="N22" s="345" t="s">
        <v>101</v>
      </c>
      <c r="O22" s="124">
        <f t="shared" si="10"/>
        <v>0</v>
      </c>
      <c r="P22" s="347">
        <v>29014</v>
      </c>
      <c r="Q22" s="123">
        <f t="shared" si="1"/>
        <v>29014</v>
      </c>
      <c r="R22" s="347">
        <v>0</v>
      </c>
      <c r="S22" s="210">
        <f t="shared" si="11"/>
        <v>1.7289972222222225</v>
      </c>
      <c r="T22" s="6">
        <f t="shared" si="2"/>
        <v>3457.994444444445</v>
      </c>
      <c r="U22" s="135">
        <f t="shared" si="16"/>
        <v>3457.994444444445</v>
      </c>
      <c r="V22" s="6">
        <f t="shared" si="3"/>
        <v>102.70243500000002</v>
      </c>
      <c r="W22" s="34">
        <f t="shared" si="4"/>
        <v>1059.487901234568</v>
      </c>
      <c r="X22" s="4">
        <f t="shared" si="5"/>
        <v>572.16629629629631</v>
      </c>
      <c r="Y22" s="6">
        <f t="shared" si="6"/>
        <v>128.95111111111112</v>
      </c>
      <c r="Z22" s="4">
        <f t="shared" si="7"/>
        <v>134.32407407407408</v>
      </c>
      <c r="AA22" s="4">
        <f t="shared" si="8"/>
        <v>156.7114197530864</v>
      </c>
      <c r="AB22" s="467">
        <f t="shared" si="12"/>
        <v>28.192746913580304</v>
      </c>
      <c r="AC22" s="85">
        <f>IF(A22="APP SLAB",0,(M22))</f>
        <v>1405.3000000000029</v>
      </c>
      <c r="AD22" s="10"/>
      <c r="AE22" s="1"/>
    </row>
    <row r="23" spans="1:31" ht="12.75" customHeight="1" x14ac:dyDescent="0.2">
      <c r="B23" s="338">
        <v>79287.81</v>
      </c>
      <c r="C23" s="339">
        <v>79829.320000000007</v>
      </c>
      <c r="D23" s="340" t="s">
        <v>30</v>
      </c>
      <c r="E23" s="340" t="s">
        <v>105</v>
      </c>
      <c r="F23" s="340" t="s">
        <v>105</v>
      </c>
      <c r="G23" s="47" t="str">
        <f t="shared" si="0"/>
        <v>E/S - E/S</v>
      </c>
      <c r="H23" s="26">
        <f>IF(AND($E23=$AE$2,$F23=$AE$2),2*$AG$12,IF(OR(AND($E23=$AE$2, $F23=$AE$3),AND($E23=$AE$3,$F23=$AE$2)),$AG$12+$AG$13,IF(OR(AND($E23=$AE$2,$F23=$AE$4),AND($E23=$AE$4,$F23=$AE$2)),$AG$12,IF(OR(AND($E23=$AE$3,$F23=$AE$4),AND($E23=$AE$4,$F23=$AE$3)),$AG$13,IF(AND($E23=$AE$3,$F23=$AE$3),2*$AG$13,0)))))</f>
        <v>3</v>
      </c>
      <c r="I23" s="27">
        <f>IF(AND($E23=$AE$2,$F23=$AE$2),2*$AJ$12*$M23/27,IF(OR(AND($E23=$AE$2,$F23=$AE$3),AND($E23=$AE$3,$F23=$AE$2)),$AJ$12*$M23/27,IF(OR(AND($E23=$AE$2,$F23=$AE$4),AND($E23=$AE$4,$F23=$AE$2)),$AJ$12*$M23/27,0)))</f>
        <v>22.863755555555947</v>
      </c>
      <c r="J23" s="27">
        <f>IF(AND($E23=$AE$2,$F23=$AE$2),2*$AM$12*$M23/27,IF(OR(AND($E23=$AE$2,$F23=$AE$3),AND($E23=$AE$3,$F23=$AE$2)),($AM$12+$AM$13)*$M23/27,IF(OR(AND($E23=$AE$2,$F23=$AE$4),AND($E23=$AE$4,$F23=$AE$2)),$AM$12*$M23/27,IF(OR(AND($E23=$AE$3,$F23=$AE$4),AND($E23=$AE$4,$F23=$AE$3)),$AM$13*$M23/27,IF(AND($E23=$AE$3,$F23=$AE$3),2*$AM$13*$M23/27,0)))))</f>
        <v>26.874940740741206</v>
      </c>
      <c r="K23" s="27">
        <f>IF(AND($E23=$AE$4,$F23=$AE$4),2*$AP$14*$M23/27,IF(OR($E23=$AE$4,$F23=$AE$4),$AP$14*$M23/27,0))</f>
        <v>0</v>
      </c>
      <c r="L23" s="341">
        <v>0</v>
      </c>
      <c r="M23" s="83">
        <f t="shared" si="9"/>
        <v>541.51000000000931</v>
      </c>
      <c r="N23" s="345">
        <v>26</v>
      </c>
      <c r="O23" s="124">
        <f t="shared" si="10"/>
        <v>14080</v>
      </c>
      <c r="P23" s="347">
        <v>0</v>
      </c>
      <c r="Q23" s="123">
        <f t="shared" si="1"/>
        <v>14080</v>
      </c>
      <c r="R23" s="347">
        <v>0</v>
      </c>
      <c r="S23" s="210">
        <f t="shared" si="11"/>
        <v>0.87247388888889044</v>
      </c>
      <c r="T23" s="6">
        <f t="shared" si="2"/>
        <v>1744.9477777777809</v>
      </c>
      <c r="U23" s="135">
        <f t="shared" si="16"/>
        <v>1744.9477777777809</v>
      </c>
      <c r="V23" s="6">
        <f t="shared" si="3"/>
        <v>51.824949000000089</v>
      </c>
      <c r="W23" s="34">
        <f t="shared" si="4"/>
        <v>522.61684197530906</v>
      </c>
      <c r="X23" s="4">
        <f t="shared" si="5"/>
        <v>287.61568148148194</v>
      </c>
      <c r="Y23" s="6">
        <f t="shared" si="6"/>
        <v>62.577777777777776</v>
      </c>
      <c r="Z23" s="4">
        <f t="shared" si="7"/>
        <v>65.18518518518519</v>
      </c>
      <c r="AA23" s="4">
        <f t="shared" si="8"/>
        <v>76.049382716049394</v>
      </c>
      <c r="AB23" s="467">
        <f t="shared" si="12"/>
        <v>10.863626543210062</v>
      </c>
      <c r="AC23" s="85">
        <f>IF(A23="APP SLAB",0,(M23*2))</f>
        <v>1083.0200000000186</v>
      </c>
      <c r="AD23" s="10"/>
      <c r="AE23" s="1"/>
    </row>
    <row r="24" spans="1:31" ht="12.75" customHeight="1" thickBot="1" x14ac:dyDescent="0.25">
      <c r="B24" s="54"/>
      <c r="C24" s="3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E24" s="1"/>
    </row>
    <row r="25" spans="1:31" ht="12.75" customHeight="1" x14ac:dyDescent="0.2">
      <c r="B25" s="643" t="s">
        <v>70</v>
      </c>
      <c r="C25" s="644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E25" s="1"/>
    </row>
    <row r="26" spans="1:31" ht="12.75" customHeight="1" x14ac:dyDescent="0.2">
      <c r="B26" s="338">
        <v>78801.78</v>
      </c>
      <c r="C26" s="339">
        <v>79957</v>
      </c>
      <c r="D26" s="340" t="s">
        <v>30</v>
      </c>
      <c r="E26" s="340" t="s">
        <v>111</v>
      </c>
      <c r="F26" s="340" t="s">
        <v>105</v>
      </c>
      <c r="G26" s="47" t="str">
        <f>IF(AND($E26=$AE$2,$F26=$AE$2),$AG$2,IF(OR(AND($E26=$AE$2,$F26=$AE$3),AND($E26=$AE$3,$F26=$AE$2)),$AG$3,IF(OR(AND($E26=$AE$2,$F26=$AE$4),AND($E26=$AE$4,$F26=$AE$2)),$AG$4,IF(OR(AND($E26=$AE$3,$F26=$AE$4),AND($E26=$AE$4,$F26=$AE$3)),$AG$5,IF(AND($E26=$AE$3,$F26=$AE$3),$AG$6,IF(AND($E26=$AE$4,$F26=$AE$4),$AG$7,"-"))))))</f>
        <v>E/S - C/B</v>
      </c>
      <c r="H26" s="26">
        <f>IF(AND($E26=$AE$2,$F26=$AE$2),2*$AG$12,IF(OR(AND($E26=$AE$2, $F26=$AE$3),AND($E26=$AE$3,$F26=$AE$2)),$AG$12+$AG$13,IF(OR(AND($E26=$AE$2,$F26=$AE$4),AND($E26=$AE$4,$F26=$AE$2)),$AG$12,IF(OR(AND($E26=$AE$3,$F26=$AE$4),AND($E26=$AE$4,$F26=$AE$3)),$AG$13,IF(AND($E26=$AE$3,$F26=$AE$3),2*$AG$13,0)))))</f>
        <v>1.5</v>
      </c>
      <c r="I26" s="27">
        <f>IF(AND($E26=$AE$2,$F26=$AE$2),2*$AJ$12*$M26/27,IF(OR(AND($E26=$AE$2,$F26=$AE$3),AND($E26=$AE$3,$F26=$AE$2)),$AJ$12*$M26/27,IF(OR(AND($E26=$AE$2,$F26=$AE$4),AND($E26=$AE$4,$F26=$AE$2)),$AJ$12*$M26/27,0)))</f>
        <v>24.387977777777799</v>
      </c>
      <c r="J26" s="27">
        <f>IF(AND($E26=$AE$2,$F26=$AE$2),2*$AM$12*$M26/27,IF(OR(AND($E26=$AE$2,$F26=$AE$3),AND($E26=$AE$3,$F26=$AE$2)),($AM$12+$AM$13)*$M26/27,IF(OR(AND($E26=$AE$2,$F26=$AE$4),AND($E26=$AE$4,$F26=$AE$2)),$AM$12*$M26/27,IF(OR(AND($E26=$AE$3,$F26=$AE$4),AND($E26=$AE$4,$F26=$AE$3)),$AM$13*$M26/27,IF(AND($E26=$AE$3,$F26=$AE$3),2*$AM$13*$M26/27,0)))))</f>
        <v>28.666570370370405</v>
      </c>
      <c r="K26" s="27">
        <f>IF(AND($E26=$AE$4,$F26=$AE$4),2*$AP$14*$M26/27,IF(OR($E26=$AE$4,$F26=$AE$4),$AP$14*$M26/27,0))</f>
        <v>-7.7014666666666747</v>
      </c>
      <c r="L26" s="341">
        <v>0</v>
      </c>
      <c r="M26" s="83">
        <f t="shared" ref="M26:M28" si="17">C26-B26</f>
        <v>1155.2200000000012</v>
      </c>
      <c r="N26" s="345" t="s">
        <v>101</v>
      </c>
      <c r="O26" s="76">
        <f t="shared" ref="O26:O63" si="18">IF(N26="-",0,ROUNDUP($M26*N26,0))</f>
        <v>0</v>
      </c>
      <c r="P26" s="347">
        <v>50909</v>
      </c>
      <c r="Q26" s="75">
        <f t="shared" si="1"/>
        <v>50909</v>
      </c>
      <c r="R26" s="347">
        <v>0</v>
      </c>
      <c r="S26" s="210">
        <f>IF(AND(R26=0,U26=0),0,IF(U26=0,R26/2000,U26/2000))</f>
        <v>2.9245461111111113</v>
      </c>
      <c r="T26" s="6">
        <f>IF(A26="APP SLAB",0,U26)</f>
        <v>5849.0922222222225</v>
      </c>
      <c r="U26" s="135">
        <f>IF(OR(A26="APP SLAB",R26&lt;&gt;0),0,(Q26+H26*M26)/9)</f>
        <v>5849.0922222222225</v>
      </c>
      <c r="V26" s="6">
        <f>IF(A26="APP SLAB",0,$U$1*U26*110*0.06*0.75/2000)</f>
        <v>173.71803900000003</v>
      </c>
      <c r="W26" s="34">
        <f>IF(A26="APP SLAB",0,(Q26*$W$1/12)/27+I26)</f>
        <v>1831.343224691358</v>
      </c>
      <c r="X26" s="4">
        <f>(Q26*$X$1/12)/27+J26</f>
        <v>971.42582962962967</v>
      </c>
      <c r="Y26" s="6">
        <f>IF(A26="APP SLAB",0,(Q26/9)*$Y$1)</f>
        <v>226.26222222222222</v>
      </c>
      <c r="Z26" s="4">
        <f>IF(A26="APP SLAB",0,(Q26*($Z$1/12))/27+K26)</f>
        <v>227.98834814814813</v>
      </c>
      <c r="AA26" s="4">
        <f>IF(A26="APP SLAB",0,(Q26*$AA$1/12)/27+L26)</f>
        <v>274.97145061728395</v>
      </c>
      <c r="AB26" s="467">
        <f t="shared" ref="AB26:AB28" si="19">IF(AND($E26=$F26="Uncurbed"),(2*$M26*2*$AB$1/12)/27,IF(OR($E26="Uncurbed",$F26="Uncurbed"),($M26*2*$AB$1/12)/27,IF(OR(AND($E26="Med. Barr.",$F26="Curbed"),AND($E26="Curbed",$F26="Med. Barr."),$E26=$F26,$E26="Unique",$F26="Unique",$E26="-",$F26="-"),0,"?")))</f>
        <v>23.175709876543234</v>
      </c>
      <c r="AC26" s="85">
        <f>IF(A26="APP SLAB",0,(M26*2))</f>
        <v>2310.4400000000023</v>
      </c>
      <c r="AE26" s="1"/>
    </row>
    <row r="27" spans="1:31" s="81" customFormat="1" ht="12.75" customHeight="1" x14ac:dyDescent="0.2">
      <c r="B27" s="338">
        <v>79957</v>
      </c>
      <c r="C27" s="339">
        <v>80300</v>
      </c>
      <c r="D27" s="340" t="s">
        <v>30</v>
      </c>
      <c r="E27" s="340" t="s">
        <v>105</v>
      </c>
      <c r="F27" s="340" t="s">
        <v>105</v>
      </c>
      <c r="G27" s="103" t="str">
        <f>IF(AND($E27=$AE$2,$F27=$AE$2),$AG$2,IF(OR(AND($E27=$AE$2,$F27=$AE$3),AND($E27=$AE$3,$F27=$AE$2)),$AG$3,IF(OR(AND($E27=$AE$2,$F27=$AE$4),AND($E27=$AE$4,$F27=$AE$2)),$AG$4,IF(OR(AND($E27=$AE$3,$F27=$AE$4),AND($E27=$AE$4,$F27=$AE$3)),$AG$5,IF(AND($E27=$AE$3,$F27=$AE$3),$AG$6,IF(AND($E27=$AE$4,$F27=$AE$4),$AG$7,"-"))))))</f>
        <v>E/S - E/S</v>
      </c>
      <c r="H27" s="26">
        <f>IF(AND($E27=$AE$2,$F27=$AE$2),2*$AG$12,IF(OR(AND($E27=$AE$2, $F27=$AE$3),AND($E27=$AE$3,$F27=$AE$2)),$AG$12+$AG$13,IF(OR(AND($E27=$AE$2,$F27=$AE$4),AND($E27=$AE$4,$F27=$AE$2)),$AG$12,IF(OR(AND($E27=$AE$3,$F27=$AE$4),AND($E27=$AE$4,$F27=$AE$3)),$AG$13,IF(AND($E27=$AE$3,$F27=$AE$3),2*$AG$13,0)))))</f>
        <v>3</v>
      </c>
      <c r="I27" s="27">
        <f>IF(AND($E27=$AE$2,$F27=$AE$2),2*$AJ$12*$M27/27,IF(OR(AND($E27=$AE$2,$F27=$AE$3),AND($E27=$AE$3,$F27=$AE$2)),$AJ$12*$M27/27,IF(OR(AND($E27=$AE$2,$F27=$AE$4),AND($E27=$AE$4,$F27=$AE$2)),$AJ$12*$M27/27,0)))</f>
        <v>14.482222222222221</v>
      </c>
      <c r="J27" s="27">
        <f>IF(AND($E27=$AE$2,$F27=$AE$2),2*$AM$12*$M27/27,IF(OR(AND($E27=$AE$2,$F27=$AE$3),AND($E27=$AE$3,$F27=$AE$2)),($AM$12+$AM$13)*$M27/27,IF(OR(AND($E27=$AE$2,$F27=$AE$4),AND($E27=$AE$4,$F27=$AE$2)),$AM$12*$M27/27,IF(OR(AND($E27=$AE$3,$F27=$AE$4),AND($E27=$AE$4,$F27=$AE$3)),$AM$13*$M27/27,IF(AND($E27=$AE$3,$F27=$AE$3),2*$AM$13*$M27/27,0)))))</f>
        <v>17.022962962962964</v>
      </c>
      <c r="K27" s="27">
        <f>IF(AND($E27=$AE$4,$F27=$AE$4),2*$AP$14*$M27/27,IF(OR($E27=$AE$4,$F27=$AE$4),$AP$14*$M27/27,0))</f>
        <v>0</v>
      </c>
      <c r="L27" s="341">
        <v>-1</v>
      </c>
      <c r="M27" s="492">
        <f t="shared" ref="M27" si="20">C27-B27</f>
        <v>343</v>
      </c>
      <c r="N27" s="345">
        <v>26</v>
      </c>
      <c r="O27" s="124">
        <f t="shared" ref="O27" si="21">IF(N27="-",0,ROUNDUP($M27*N27,0))</f>
        <v>8918</v>
      </c>
      <c r="P27" s="347">
        <v>0</v>
      </c>
      <c r="Q27" s="123">
        <f t="shared" ref="Q27" si="22">SUM(O27:P27)</f>
        <v>8918</v>
      </c>
      <c r="R27" s="347">
        <v>0</v>
      </c>
      <c r="S27" s="210">
        <f t="shared" ref="S27:S28" si="23">IF(AND(R27=0,U27=0),0,IF(U27=0,R27/2000,U27/2000))</f>
        <v>0.55261111111111105</v>
      </c>
      <c r="T27" s="493">
        <f>IF(A27="APP SLAB",0,U27)</f>
        <v>1105.2222222222222</v>
      </c>
      <c r="U27" s="135">
        <f t="shared" ref="U27:U28" si="24">IF(OR(A27="APP SLAB",R27&lt;&gt;0),0,(Q27+H27*M27)/9)</f>
        <v>1105.2222222222222</v>
      </c>
      <c r="V27" s="493">
        <f>IF(A27="APP SLAB",0,$U$1*U27*110*0.06*0.75/2000)</f>
        <v>32.825099999999999</v>
      </c>
      <c r="W27" s="34">
        <f>IF(A27="APP SLAB",0,(Q27*$W$1/12)/27+I27)</f>
        <v>331.01617283950617</v>
      </c>
      <c r="X27" s="492">
        <f>(Q27*$X$1/12)/27+J27</f>
        <v>182.17111111111112</v>
      </c>
      <c r="Y27" s="493">
        <f>IF(A27="APP SLAB",0,(Q27/9)*$Y$1)</f>
        <v>39.635555555555555</v>
      </c>
      <c r="Z27" s="492">
        <f>IF(A27="APP SLAB",0,(Q27*($Z$1/12))/27+K27)</f>
        <v>41.287037037037038</v>
      </c>
      <c r="AA27" s="492">
        <f>IF(A27="APP SLAB",0,(Q27*$AA$1/12)/27+L27)</f>
        <v>47.168209876543216</v>
      </c>
      <c r="AB27" s="511">
        <f t="shared" si="19"/>
        <v>6.8811728395061724</v>
      </c>
      <c r="AC27" s="493">
        <f>IF(A27="APP SLAB",0,(M27*2))</f>
        <v>686</v>
      </c>
      <c r="AD27" s="90"/>
    </row>
    <row r="28" spans="1:31" ht="12.75" customHeight="1" x14ac:dyDescent="0.2">
      <c r="B28" s="338">
        <v>80300</v>
      </c>
      <c r="C28" s="339">
        <v>81216.600000000006</v>
      </c>
      <c r="D28" s="340" t="s">
        <v>30</v>
      </c>
      <c r="E28" s="340" t="s">
        <v>105</v>
      </c>
      <c r="F28" s="340" t="s">
        <v>105</v>
      </c>
      <c r="G28" s="47" t="str">
        <f>IF(AND($E28=$AE$2,$F28=$AE$2),$AG$2,IF(OR(AND($E28=$AE$2,$F28=$AE$3),AND($E28=$AE$3,$F28=$AE$2)),$AG$3,IF(OR(AND($E28=$AE$2,$F28=$AE$4),AND($E28=$AE$4,$F28=$AE$2)),$AG$4,IF(OR(AND($E28=$AE$3,$F28=$AE$4),AND($E28=$AE$4,$F28=$AE$3)),$AG$5,IF(AND($E28=$AE$3,$F28=$AE$3),$AG$6,IF(AND($E28=$AE$4,$F28=$AE$4),$AG$7,"-"))))))</f>
        <v>E/S - E/S</v>
      </c>
      <c r="H28" s="26">
        <f>IF(AND($E28=$AE$2,$F28=$AE$2),2*$AG$12,IF(OR(AND($E28=$AE$2, $F28=$AE$3),AND($E28=$AE$3,$F28=$AE$2)),$AG$12+$AG$13,IF(OR(AND($E28=$AE$2,$F28=$AE$4),AND($E28=$AE$4,$F28=$AE$2)),$AG$12,IF(OR(AND($E28=$AE$3,$F28=$AE$4),AND($E28=$AE$4,$F28=$AE$3)),$AG$13,IF(AND($E28=$AE$3,$F28=$AE$3),2*$AG$13,0)))))</f>
        <v>3</v>
      </c>
      <c r="I28" s="27">
        <f>IF(AND($E28=$AE$2,$F28=$AE$2),2*$AJ$12*$M28/27,IF(OR(AND($E28=$AE$2,$F28=$AE$3),AND($E28=$AE$3,$F28=$AE$2)),$AJ$12*$M28/27,IF(OR(AND($E28=$AE$2,$F28=$AE$4),AND($E28=$AE$4,$F28=$AE$2)),$AJ$12*$M28/27,0)))</f>
        <v>38.700888888889132</v>
      </c>
      <c r="J28" s="27">
        <f>IF(AND($E28=$AE$2,$F28=$AE$2),2*$AM$12*$M28/27,IF(OR(AND($E28=$AE$2,$F28=$AE$3),AND($E28=$AE$3,$F28=$AE$2)),($AM$12+$AM$13)*$M28/27,IF(OR(AND($E28=$AE$2,$F28=$AE$4),AND($E28=$AE$4,$F28=$AE$2)),$AM$12*$M28/27,IF(OR(AND($E28=$AE$3,$F28=$AE$4),AND($E28=$AE$4,$F28=$AE$3)),$AM$13*$M28/27,IF(AND($E28=$AE$3,$F28=$AE$3),2*$AM$13*$M28/27,0)))))</f>
        <v>45.490518518518812</v>
      </c>
      <c r="K28" s="27">
        <f>IF(AND($E28=$AE$4,$F28=$AE$4),2*$AP$14*$M28/27,IF(OR($E28=$AE$4,$F28=$AE$4),$AP$14*$M28/27,0))</f>
        <v>0</v>
      </c>
      <c r="L28" s="341">
        <v>0</v>
      </c>
      <c r="M28" s="83">
        <f t="shared" si="17"/>
        <v>916.60000000000582</v>
      </c>
      <c r="N28" s="345">
        <v>26</v>
      </c>
      <c r="O28" s="76">
        <f t="shared" si="18"/>
        <v>23832</v>
      </c>
      <c r="P28" s="347">
        <v>0</v>
      </c>
      <c r="Q28" s="75">
        <f t="shared" si="1"/>
        <v>23832</v>
      </c>
      <c r="R28" s="493">
        <f t="shared" ref="R28" si="25">IF(OR($A28="APP SLAB",Q28=0),0,($Q28+$H28*$M28)/9)</f>
        <v>2953.5333333333351</v>
      </c>
      <c r="S28" s="210">
        <f t="shared" si="23"/>
        <v>1.4767666666666677</v>
      </c>
      <c r="T28" s="6">
        <f>IF(A28="APP SLAB",0,U28)</f>
        <v>0</v>
      </c>
      <c r="U28" s="135">
        <f t="shared" si="24"/>
        <v>0</v>
      </c>
      <c r="V28" s="6">
        <f>IF(A28="APP SLAB",0,$U$1*U28*110*0.06*0.75/2000)</f>
        <v>0</v>
      </c>
      <c r="W28" s="34">
        <f>IF(A28="APP SLAB",0,(Q28*$W$1/12)/27+I28)</f>
        <v>884.58977777777807</v>
      </c>
      <c r="X28" s="4">
        <f>(Q28*$X$1/12)/27+J28</f>
        <v>486.82385185185211</v>
      </c>
      <c r="Y28" s="6">
        <f>IF(A28="APP SLAB",0,(Q28/9)*$Y$1)</f>
        <v>105.92</v>
      </c>
      <c r="Z28" s="4">
        <f>IF(A28="APP SLAB",0,(Q28*($Z$1/12))/27+K28)</f>
        <v>110.33333333333333</v>
      </c>
      <c r="AA28" s="4">
        <f>IF(A28="APP SLAB",0,(Q28*$AA$1/12)/27+L28)</f>
        <v>128.72222222222223</v>
      </c>
      <c r="AB28" s="467">
        <f t="shared" si="19"/>
        <v>18.388580246913698</v>
      </c>
      <c r="AC28" s="85">
        <f>IF(A28="APP SLAB",0,(M28*2))</f>
        <v>1833.2000000000116</v>
      </c>
      <c r="AE28" s="1"/>
    </row>
    <row r="29" spans="1:31" ht="12.75" customHeight="1" thickBot="1" x14ac:dyDescent="0.25">
      <c r="B29" s="54"/>
      <c r="C29" s="3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E29" s="1"/>
    </row>
    <row r="30" spans="1:31" ht="12.75" customHeight="1" x14ac:dyDescent="0.2">
      <c r="B30" s="643" t="s">
        <v>71</v>
      </c>
      <c r="C30" s="644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E30" s="1"/>
    </row>
    <row r="31" spans="1:31" ht="12.75" customHeight="1" x14ac:dyDescent="0.2">
      <c r="B31" s="338">
        <v>78776.070000000007</v>
      </c>
      <c r="C31" s="339">
        <v>78810.09</v>
      </c>
      <c r="D31" s="340" t="s">
        <v>30</v>
      </c>
      <c r="E31" s="340" t="s">
        <v>106</v>
      </c>
      <c r="F31" s="340" t="s">
        <v>105</v>
      </c>
      <c r="G31" s="47" t="str">
        <f t="shared" ref="G31:G48" si="26">IF(AND($E31=$AE$2,$F31=$AE$2),$AG$2,IF(OR(AND($E31=$AE$2,$F31=$AE$3),AND($E31=$AE$3,$F31=$AE$2)),$AG$3,IF(OR(AND($E31=$AE$2,$F31=$AE$4),AND($E31=$AE$4,$F31=$AE$2)),$AG$4,IF(OR(AND($E31=$AE$3,$F31=$AE$4),AND($E31=$AE$4,$F31=$AE$3)),$AG$5,IF(AND($E31=$AE$3,$F31=$AE$3),$AG$6,IF(AND($E31=$AE$4,$F31=$AE$4),$AG$7,"-"))))))</f>
        <v>E/S - F/C</v>
      </c>
      <c r="H31" s="26">
        <f>IF(AND($E31=$AE$2,$F31=$AE$2),2*$AG$12,IF(OR(AND($E31=$AE$2, $F31=$AE$3),AND($E31=$AE$3,$F31=$AE$2)),$AG$12+$AG$13,IF(OR(AND($E31=$AE$2,$F31=$AE$4),AND($E31=$AE$4,$F31=$AE$2)),$AG$12,IF(OR(AND($E31=$AE$3,$F31=$AE$4),AND($E31=$AE$4,$F31=$AE$3)),$AG$13,IF(AND($E31=$AE$3,$F31=$AE$3),2*$AG$13,0)))))</f>
        <v>3.5</v>
      </c>
      <c r="I31" s="27">
        <f>IF(AND($E31=$AE$2,$F31=$AE$2),2*$AJ$12*$M31/27,IF(OR(AND($E31=$AE$2,$F31=$AE$3),AND($E31=$AE$3,$F31=$AE$2)),$AJ$12*$M31/27,IF(OR(AND($E31=$AE$2,$F31=$AE$4),AND($E31=$AE$4,$F31=$AE$2)),$AJ$12*$M31/27,0)))</f>
        <v>0.71819999999977868</v>
      </c>
      <c r="J31" s="27">
        <f>IF(AND($E31=$AE$2,$F31=$AE$2),2*$AM$12*$M31/27,IF(OR(AND($E31=$AE$2,$F31=$AE$3),AND($E31=$AE$3,$F31=$AE$2)),($AM$12+$AM$13)*$M31/27,IF(OR(AND($E31=$AE$2,$F31=$AE$4),AND($E31=$AE$4,$F31=$AE$2)),$AM$12*$M31/27,IF(OR(AND($E31=$AE$3,$F31=$AE$4),AND($E31=$AE$4,$F31=$AE$3)),$AM$13*$M31/27,IF(AND($E31=$AE$3,$F31=$AE$3),2*$AM$13*$M31/27,0)))))</f>
        <v>2.0789999999993594</v>
      </c>
      <c r="K31" s="27">
        <f>IF(AND($E31=$AE$4,$F31=$AE$4),2*$AP$14*$M31/27,IF(OR($E31=$AE$4,$F31=$AE$4),$AP$14*$M31/27,0))</f>
        <v>0</v>
      </c>
      <c r="L31" s="341">
        <v>0</v>
      </c>
      <c r="M31" s="83">
        <f t="shared" ref="M31:M48" si="27">C31-B31</f>
        <v>34.019999999989523</v>
      </c>
      <c r="N31" s="345">
        <v>28</v>
      </c>
      <c r="O31" s="76">
        <f t="shared" si="18"/>
        <v>953</v>
      </c>
      <c r="P31" s="347">
        <v>0</v>
      </c>
      <c r="Q31" s="75">
        <f t="shared" si="1"/>
        <v>953</v>
      </c>
      <c r="R31" s="493">
        <f t="shared" ref="R31:R48" si="28">IF(OR($A31="APP SLAB",Q31=0),0,($Q31+$H31*$M31)/9)</f>
        <v>119.11888888888481</v>
      </c>
      <c r="S31" s="210">
        <f t="shared" ref="S31:S48" si="29">IF(AND(R31=0,U31=0),0,IF(U31=0,R31/2000,U31/2000))</f>
        <v>5.9559444444442403E-2</v>
      </c>
      <c r="T31" s="6">
        <f t="shared" ref="T31:T48" si="30">IF(A31="APP SLAB",0,U31)</f>
        <v>0</v>
      </c>
      <c r="U31" s="135">
        <f t="shared" ref="U31:U48" si="31">IF(OR(A31="APP SLAB",R31&lt;&gt;0),0,(Q31+H31*M31)/9)</f>
        <v>0</v>
      </c>
      <c r="V31" s="6">
        <f t="shared" ref="V31:V48" si="32">IF(A31="APP SLAB",0,$U$1*U31*110*0.06*0.75/2000)</f>
        <v>0</v>
      </c>
      <c r="W31" s="34">
        <f t="shared" ref="W31:W48" si="33">IF(A31="APP SLAB",0,(Q31*$W$1/12)/27+I31)</f>
        <v>34.543817283950389</v>
      </c>
      <c r="X31" s="4">
        <f t="shared" ref="X31:X48" si="34">(Q31*$X$1/12)/27+J31</f>
        <v>19.727148148147506</v>
      </c>
      <c r="Y31" s="6">
        <f t="shared" ref="Y31:Y48" si="35">IF(A31="APP SLAB",0,(Q31/9)*$Y$1)</f>
        <v>4.2355555555555551</v>
      </c>
      <c r="Z31" s="4">
        <f t="shared" ref="Z31:Z48" si="36">IF(A31="APP SLAB",0,(Q31*($Z$1/12))/27+K31)</f>
        <v>4.4120370370370372</v>
      </c>
      <c r="AA31" s="4">
        <f t="shared" ref="AA31:AA48" si="37">IF(A31="APP SLAB",0,(Q31*$AA$1/12)/27+L31)</f>
        <v>5.1473765432098766</v>
      </c>
      <c r="AB31" s="467">
        <f t="shared" ref="AB31:AB48" si="38">IF(AND($E31=$F31="Uncurbed"),(2*$M31*2*$AB$1/12)/27,IF(OR($E31="Uncurbed",$F31="Uncurbed"),($M31*2*$AB$1/12)/27,IF(OR(AND($E31="Med. Barr.",$F31="Curbed"),AND($E31="Curbed",$F31="Med. Barr."),$E31=$F31,$E31="Unique",$F31="Unique",$E31="-",$F31="-"),0,"?")))</f>
        <v>0.68249999999978983</v>
      </c>
      <c r="AC31" s="85">
        <f t="shared" ref="AC31:AC48" si="39">IF(A31="APP SLAB",0,(M31*2))</f>
        <v>68.039999999979045</v>
      </c>
      <c r="AE31" s="1"/>
    </row>
    <row r="32" spans="1:31" ht="12.75" customHeight="1" x14ac:dyDescent="0.2">
      <c r="B32" s="338">
        <v>78810.09</v>
      </c>
      <c r="C32" s="339">
        <v>79087.05</v>
      </c>
      <c r="D32" s="340" t="s">
        <v>30</v>
      </c>
      <c r="E32" s="340" t="s">
        <v>105</v>
      </c>
      <c r="F32" s="340" t="s">
        <v>105</v>
      </c>
      <c r="G32" s="47" t="str">
        <f t="shared" si="26"/>
        <v>E/S - E/S</v>
      </c>
      <c r="H32" s="26">
        <f t="shared" ref="H32:H33" si="40">IF(AND($E32=$AE$2,$F32=$AE$2),2*$AG$12,IF(OR(AND($E32=$AE$2, $F32=$AE$3),AND($E32=$AE$3,$F32=$AE$2)),$AG$12+$AG$13,IF(OR(AND($E32=$AE$2,$F32=$AE$4),AND($E32=$AE$4,$F32=$AE$2)),$AG$12,IF(OR(AND($E32=$AE$3,$F32=$AE$4),AND($E32=$AE$4,$F32=$AE$3)),$AG$13,IF(AND($E32=$AE$3,$F32=$AE$3),2*$AG$13,0)))))</f>
        <v>3</v>
      </c>
      <c r="I32" s="27">
        <f t="shared" ref="I32:I33" si="41">IF(AND($E32=$AE$2,$F32=$AE$2),2*$AJ$12*$M32/27,IF(OR(AND($E32=$AE$2,$F32=$AE$3),AND($E32=$AE$3,$F32=$AE$2)),$AJ$12*$M32/27,IF(OR(AND($E32=$AE$2,$F32=$AE$4),AND($E32=$AE$4,$F32=$AE$2)),$AJ$12*$M32/27,0)))</f>
        <v>11.693866666666937</v>
      </c>
      <c r="J32" s="27">
        <f t="shared" ref="J32:J33" si="42">IF(AND($E32=$AE$2,$F32=$AE$2),2*$AM$12*$M32/27,IF(OR(AND($E32=$AE$2,$F32=$AE$3),AND($E32=$AE$3,$F32=$AE$2)),($AM$12+$AM$13)*$M32/27,IF(OR(AND($E32=$AE$2,$F32=$AE$4),AND($E32=$AE$4,$F32=$AE$2)),$AM$12*$M32/27,IF(OR(AND($E32=$AE$3,$F32=$AE$4),AND($E32=$AE$4,$F32=$AE$3)),$AM$13*$M32/27,IF(AND($E32=$AE$3,$F32=$AE$3),2*$AM$13*$M32/27,0)))))</f>
        <v>13.745422222222542</v>
      </c>
      <c r="K32" s="27">
        <f t="shared" ref="K32:K33" si="43">IF(AND($E32=$AE$4,$F32=$AE$4),2*$AP$14*$M32/27,IF(OR($E32=$AE$4,$F32=$AE$4),$AP$14*$M32/27,0))</f>
        <v>0</v>
      </c>
      <c r="L32" s="341">
        <v>0</v>
      </c>
      <c r="M32" s="83">
        <f t="shared" si="27"/>
        <v>276.9600000000064</v>
      </c>
      <c r="N32" s="345">
        <v>26</v>
      </c>
      <c r="O32" s="76">
        <f t="shared" si="18"/>
        <v>7201</v>
      </c>
      <c r="P32" s="347">
        <v>0</v>
      </c>
      <c r="Q32" s="75">
        <f t="shared" si="1"/>
        <v>7201</v>
      </c>
      <c r="R32" s="493">
        <f t="shared" si="28"/>
        <v>892.4311111111133</v>
      </c>
      <c r="S32" s="210">
        <f t="shared" si="29"/>
        <v>0.44621555555555664</v>
      </c>
      <c r="T32" s="6">
        <f t="shared" si="30"/>
        <v>0</v>
      </c>
      <c r="U32" s="135">
        <f t="shared" si="31"/>
        <v>0</v>
      </c>
      <c r="V32" s="6">
        <f t="shared" si="32"/>
        <v>0</v>
      </c>
      <c r="W32" s="34">
        <f t="shared" si="33"/>
        <v>267.28491604938301</v>
      </c>
      <c r="X32" s="4">
        <f t="shared" si="34"/>
        <v>147.09727407407439</v>
      </c>
      <c r="Y32" s="6">
        <f t="shared" si="35"/>
        <v>32.004444444444445</v>
      </c>
      <c r="Z32" s="4">
        <f t="shared" si="36"/>
        <v>33.337962962962962</v>
      </c>
      <c r="AA32" s="4">
        <f t="shared" si="37"/>
        <v>38.894290123456784</v>
      </c>
      <c r="AB32" s="467">
        <f t="shared" si="38"/>
        <v>5.5562962962964253</v>
      </c>
      <c r="AC32" s="85">
        <f t="shared" si="39"/>
        <v>553.92000000001281</v>
      </c>
      <c r="AE32" s="1"/>
    </row>
    <row r="33" spans="1:31" ht="12.75" customHeight="1" x14ac:dyDescent="0.2">
      <c r="B33" s="338">
        <v>79087.05</v>
      </c>
      <c r="C33" s="339">
        <v>79173.48</v>
      </c>
      <c r="D33" s="340" t="s">
        <v>30</v>
      </c>
      <c r="E33" s="340" t="s">
        <v>105</v>
      </c>
      <c r="F33" s="340" t="s">
        <v>106</v>
      </c>
      <c r="G33" s="47" t="str">
        <f t="shared" si="26"/>
        <v>E/S - F/C</v>
      </c>
      <c r="H33" s="26">
        <f t="shared" si="40"/>
        <v>3.5</v>
      </c>
      <c r="I33" s="27">
        <f t="shared" si="41"/>
        <v>1.8246333333331859</v>
      </c>
      <c r="J33" s="27">
        <f t="shared" si="42"/>
        <v>5.2818333333329059</v>
      </c>
      <c r="K33" s="27">
        <f t="shared" si="43"/>
        <v>0</v>
      </c>
      <c r="L33" s="341">
        <v>0</v>
      </c>
      <c r="M33" s="83">
        <f t="shared" si="27"/>
        <v>86.429999999993015</v>
      </c>
      <c r="N33" s="345">
        <v>28</v>
      </c>
      <c r="O33" s="76">
        <f t="shared" si="18"/>
        <v>2421</v>
      </c>
      <c r="P33" s="347">
        <v>0</v>
      </c>
      <c r="Q33" s="75">
        <f t="shared" si="1"/>
        <v>2421</v>
      </c>
      <c r="R33" s="493">
        <f t="shared" si="28"/>
        <v>302.61166666666395</v>
      </c>
      <c r="S33" s="210">
        <f t="shared" si="29"/>
        <v>0.15130583333333197</v>
      </c>
      <c r="T33" s="6">
        <f t="shared" si="30"/>
        <v>0</v>
      </c>
      <c r="U33" s="135">
        <f t="shared" si="31"/>
        <v>0</v>
      </c>
      <c r="V33" s="6">
        <f t="shared" si="32"/>
        <v>0</v>
      </c>
      <c r="W33" s="34">
        <f t="shared" si="33"/>
        <v>87.755188888888739</v>
      </c>
      <c r="X33" s="4">
        <f t="shared" si="34"/>
        <v>50.115166666666241</v>
      </c>
      <c r="Y33" s="6">
        <f t="shared" si="35"/>
        <v>10.76</v>
      </c>
      <c r="Z33" s="4">
        <f t="shared" si="36"/>
        <v>11.208333333333334</v>
      </c>
      <c r="AA33" s="4">
        <f t="shared" si="37"/>
        <v>13.076388888888889</v>
      </c>
      <c r="AB33" s="467">
        <f t="shared" si="38"/>
        <v>1.7339351851850451</v>
      </c>
      <c r="AC33" s="85">
        <f t="shared" si="39"/>
        <v>172.85999999998603</v>
      </c>
      <c r="AE33" s="1"/>
    </row>
    <row r="34" spans="1:31" ht="12.75" customHeight="1" x14ac:dyDescent="0.2">
      <c r="A34" s="58"/>
      <c r="B34" s="338">
        <v>79173.48</v>
      </c>
      <c r="C34" s="339">
        <v>79321.27</v>
      </c>
      <c r="D34" s="340" t="s">
        <v>16</v>
      </c>
      <c r="E34" s="340" t="s">
        <v>112</v>
      </c>
      <c r="F34" s="340" t="s">
        <v>106</v>
      </c>
      <c r="G34" s="47" t="str">
        <f t="shared" si="26"/>
        <v>-</v>
      </c>
      <c r="H34" s="342">
        <v>2</v>
      </c>
      <c r="I34" s="341">
        <v>0</v>
      </c>
      <c r="J34" s="341">
        <v>3.67</v>
      </c>
      <c r="K34" s="341">
        <v>0</v>
      </c>
      <c r="L34" s="341">
        <v>0</v>
      </c>
      <c r="M34" s="83">
        <f t="shared" si="27"/>
        <v>147.79000000000815</v>
      </c>
      <c r="N34" s="345">
        <v>22</v>
      </c>
      <c r="O34" s="76">
        <f t="shared" si="18"/>
        <v>3252</v>
      </c>
      <c r="P34" s="347">
        <v>0</v>
      </c>
      <c r="Q34" s="75">
        <f t="shared" si="1"/>
        <v>3252</v>
      </c>
      <c r="R34" s="493">
        <f t="shared" si="28"/>
        <v>394.17555555555737</v>
      </c>
      <c r="S34" s="210">
        <f t="shared" si="29"/>
        <v>0.19708777777777869</v>
      </c>
      <c r="T34" s="6">
        <f t="shared" si="30"/>
        <v>0</v>
      </c>
      <c r="U34" s="135">
        <f t="shared" si="31"/>
        <v>0</v>
      </c>
      <c r="V34" s="6">
        <f t="shared" si="32"/>
        <v>0</v>
      </c>
      <c r="W34" s="34">
        <f t="shared" si="33"/>
        <v>115.42592592592592</v>
      </c>
      <c r="X34" s="4">
        <f t="shared" si="34"/>
        <v>63.892222222222223</v>
      </c>
      <c r="Y34" s="6">
        <f t="shared" si="35"/>
        <v>14.453333333333333</v>
      </c>
      <c r="Z34" s="4">
        <f t="shared" si="36"/>
        <v>15.055555555555555</v>
      </c>
      <c r="AA34" s="4">
        <f t="shared" si="37"/>
        <v>17.564814814814813</v>
      </c>
      <c r="AB34" s="467">
        <f t="shared" si="38"/>
        <v>0</v>
      </c>
      <c r="AC34" s="85">
        <f t="shared" si="39"/>
        <v>295.5800000000163</v>
      </c>
      <c r="AE34" s="1"/>
    </row>
    <row r="35" spans="1:31" ht="12.75" customHeight="1" x14ac:dyDescent="0.2">
      <c r="A35" s="113"/>
      <c r="B35" s="338">
        <v>79321.27</v>
      </c>
      <c r="C35" s="339">
        <v>79420.97</v>
      </c>
      <c r="D35" s="340" t="s">
        <v>16</v>
      </c>
      <c r="E35" s="340" t="s">
        <v>112</v>
      </c>
      <c r="F35" s="340" t="s">
        <v>106</v>
      </c>
      <c r="G35" s="103" t="str">
        <f t="shared" si="26"/>
        <v>-</v>
      </c>
      <c r="H35" s="342">
        <v>2</v>
      </c>
      <c r="I35" s="341">
        <v>0</v>
      </c>
      <c r="J35" s="341">
        <v>2.4700000000000002</v>
      </c>
      <c r="K35" s="341">
        <v>0</v>
      </c>
      <c r="L35" s="341">
        <v>0</v>
      </c>
      <c r="M35" s="83">
        <f t="shared" si="27"/>
        <v>99.69999999999709</v>
      </c>
      <c r="N35" s="345">
        <v>23</v>
      </c>
      <c r="O35" s="124">
        <f t="shared" si="18"/>
        <v>2294</v>
      </c>
      <c r="P35" s="347">
        <v>0</v>
      </c>
      <c r="Q35" s="123">
        <f t="shared" si="1"/>
        <v>2294</v>
      </c>
      <c r="R35" s="493">
        <f t="shared" si="28"/>
        <v>277.0444444444438</v>
      </c>
      <c r="S35" s="210">
        <f t="shared" si="29"/>
        <v>0.13852222222222191</v>
      </c>
      <c r="T35" s="85">
        <f t="shared" si="30"/>
        <v>0</v>
      </c>
      <c r="U35" s="135">
        <f t="shared" si="31"/>
        <v>0</v>
      </c>
      <c r="V35" s="85">
        <f t="shared" si="32"/>
        <v>0</v>
      </c>
      <c r="W35" s="34">
        <f t="shared" si="33"/>
        <v>81.422839506172835</v>
      </c>
      <c r="X35" s="83">
        <f t="shared" si="34"/>
        <v>44.95148148148148</v>
      </c>
      <c r="Y35" s="85">
        <f t="shared" si="35"/>
        <v>10.195555555555556</v>
      </c>
      <c r="Z35" s="83">
        <f t="shared" si="36"/>
        <v>10.62037037037037</v>
      </c>
      <c r="AA35" s="83">
        <f t="shared" si="37"/>
        <v>12.390432098765432</v>
      </c>
      <c r="AB35" s="467">
        <f t="shared" si="38"/>
        <v>0</v>
      </c>
      <c r="AC35" s="85">
        <f t="shared" si="39"/>
        <v>199.39999999999418</v>
      </c>
      <c r="AE35" s="1"/>
    </row>
    <row r="36" spans="1:31" ht="12.75" customHeight="1" x14ac:dyDescent="0.2">
      <c r="A36" s="113"/>
      <c r="B36" s="338">
        <v>79420.97</v>
      </c>
      <c r="C36" s="339">
        <v>79436.990000000005</v>
      </c>
      <c r="D36" s="340" t="s">
        <v>16</v>
      </c>
      <c r="E36" s="340" t="s">
        <v>112</v>
      </c>
      <c r="F36" s="340" t="s">
        <v>101</v>
      </c>
      <c r="G36" s="103" t="str">
        <f t="shared" si="26"/>
        <v>-</v>
      </c>
      <c r="H36" s="342">
        <v>0</v>
      </c>
      <c r="I36" s="341">
        <v>0</v>
      </c>
      <c r="J36" s="341">
        <v>0</v>
      </c>
      <c r="K36" s="341">
        <v>0</v>
      </c>
      <c r="L36" s="341">
        <v>0</v>
      </c>
      <c r="M36" s="83">
        <f t="shared" si="27"/>
        <v>16.020000000004075</v>
      </c>
      <c r="N36" s="345" t="s">
        <v>101</v>
      </c>
      <c r="O36" s="124">
        <f t="shared" si="18"/>
        <v>0</v>
      </c>
      <c r="P36" s="347">
        <v>193</v>
      </c>
      <c r="Q36" s="123">
        <f t="shared" si="1"/>
        <v>193</v>
      </c>
      <c r="R36" s="493">
        <f t="shared" si="28"/>
        <v>21.444444444444443</v>
      </c>
      <c r="S36" s="210">
        <f t="shared" si="29"/>
        <v>1.0722222222222222E-2</v>
      </c>
      <c r="T36" s="85">
        <f t="shared" si="30"/>
        <v>0</v>
      </c>
      <c r="U36" s="135">
        <f t="shared" si="31"/>
        <v>0</v>
      </c>
      <c r="V36" s="85">
        <f t="shared" si="32"/>
        <v>0</v>
      </c>
      <c r="W36" s="34">
        <f t="shared" si="33"/>
        <v>6.8503086419753094</v>
      </c>
      <c r="X36" s="83">
        <f t="shared" si="34"/>
        <v>3.574074074074074</v>
      </c>
      <c r="Y36" s="85">
        <f t="shared" si="35"/>
        <v>0.85777777777777775</v>
      </c>
      <c r="Z36" s="83">
        <f t="shared" si="36"/>
        <v>0.89351851851851849</v>
      </c>
      <c r="AA36" s="83">
        <f t="shared" si="37"/>
        <v>1.0424382716049383</v>
      </c>
      <c r="AB36" s="467">
        <f t="shared" si="38"/>
        <v>0</v>
      </c>
      <c r="AC36" s="85">
        <f t="shared" si="39"/>
        <v>32.040000000008149</v>
      </c>
      <c r="AE36" s="1"/>
    </row>
    <row r="37" spans="1:31" ht="12.75" customHeight="1" x14ac:dyDescent="0.2">
      <c r="A37" s="106" t="s">
        <v>28</v>
      </c>
      <c r="B37" s="338">
        <v>79436.990000000005</v>
      </c>
      <c r="C37" s="339">
        <v>79466.990000000005</v>
      </c>
      <c r="D37" s="340" t="s">
        <v>16</v>
      </c>
      <c r="E37" s="340" t="s">
        <v>101</v>
      </c>
      <c r="F37" s="340" t="s">
        <v>101</v>
      </c>
      <c r="G37" s="47" t="str">
        <f t="shared" si="26"/>
        <v>-</v>
      </c>
      <c r="H37" s="26">
        <v>4</v>
      </c>
      <c r="I37" s="27">
        <f t="shared" ref="I37:I48" si="44">IF(AND($E37=$AE$2,$F37=$AE$2),2*$AJ$12*$M37/27,IF(OR(AND($E37=$AE$2,$F37=$AE$3),AND($E37=$AE$3,$F37=$AE$2)),$AJ$12*$M37/27,IF(OR(AND($E37=$AE$2,$F37=$AE$4),AND($E37=$AE$4,$F37=$AE$2)),$AJ$12*$M37/27,0)))</f>
        <v>0</v>
      </c>
      <c r="J37" s="27">
        <f t="shared" ref="J37:J48" si="45">IF(AND($E37=$AE$2,$F37=$AE$2),2*$AM$12*$M37/27,IF(OR(AND($E37=$AE$2,$F37=$AE$3),AND($E37=$AE$3,$F37=$AE$2)),($AM$12+$AM$13)*$M37/27,IF(OR(AND($E37=$AE$2,$F37=$AE$4),AND($E37=$AE$4,$F37=$AE$2)),$AM$12*$M37/27,IF(OR(AND($E37=$AE$3,$F37=$AE$4),AND($E37=$AE$4,$F37=$AE$3)),$AM$13*$M37/27,IF(AND($E37=$AE$3,$F37=$AE$3),2*$AM$13*$M37/27,0)))))</f>
        <v>0</v>
      </c>
      <c r="K37" s="27">
        <f t="shared" ref="K37:K48" si="46">IF(AND($E37=$AE$4,$F37=$AE$4),2*$AP$14*$M37/27,IF(OR($E37=$AE$4,$F37=$AE$4),$AP$14*$M37/27,0))</f>
        <v>0</v>
      </c>
      <c r="L37" s="341">
        <v>0</v>
      </c>
      <c r="M37" s="83">
        <f t="shared" si="27"/>
        <v>30</v>
      </c>
      <c r="N37" s="345" t="s">
        <v>101</v>
      </c>
      <c r="O37" s="76">
        <f t="shared" si="18"/>
        <v>0</v>
      </c>
      <c r="P37" s="347">
        <v>1348</v>
      </c>
      <c r="Q37" s="75">
        <f t="shared" si="1"/>
        <v>1348</v>
      </c>
      <c r="R37" s="493">
        <f>IF(OR(Q37=0),0,($Q37+$H37*$M37)/9)</f>
        <v>163.11111111111111</v>
      </c>
      <c r="S37" s="210">
        <f t="shared" si="29"/>
        <v>8.1555555555555562E-2</v>
      </c>
      <c r="T37" s="6">
        <f t="shared" si="30"/>
        <v>0</v>
      </c>
      <c r="U37" s="135">
        <f t="shared" si="31"/>
        <v>0</v>
      </c>
      <c r="V37" s="6">
        <f t="shared" si="32"/>
        <v>0</v>
      </c>
      <c r="W37" s="34">
        <f t="shared" si="33"/>
        <v>0</v>
      </c>
      <c r="X37" s="4">
        <f t="shared" si="34"/>
        <v>24.962962962962962</v>
      </c>
      <c r="Y37" s="6">
        <f t="shared" si="35"/>
        <v>0</v>
      </c>
      <c r="Z37" s="4">
        <f t="shared" si="36"/>
        <v>0</v>
      </c>
      <c r="AA37" s="4">
        <f t="shared" si="37"/>
        <v>0</v>
      </c>
      <c r="AB37" s="467">
        <f t="shared" si="38"/>
        <v>0</v>
      </c>
      <c r="AC37" s="85">
        <f t="shared" si="39"/>
        <v>0</v>
      </c>
      <c r="AE37" s="1"/>
    </row>
    <row r="38" spans="1:31" ht="12.75" customHeight="1" x14ac:dyDescent="0.2">
      <c r="A38" s="106" t="s">
        <v>28</v>
      </c>
      <c r="B38" s="338">
        <v>79978.03</v>
      </c>
      <c r="C38" s="339">
        <v>80008.03</v>
      </c>
      <c r="D38" s="340" t="s">
        <v>30</v>
      </c>
      <c r="E38" s="340" t="s">
        <v>101</v>
      </c>
      <c r="F38" s="340" t="s">
        <v>101</v>
      </c>
      <c r="G38" s="47" t="str">
        <f t="shared" si="26"/>
        <v>-</v>
      </c>
      <c r="H38" s="26">
        <v>4</v>
      </c>
      <c r="I38" s="27">
        <f t="shared" si="44"/>
        <v>0</v>
      </c>
      <c r="J38" s="27">
        <f t="shared" si="45"/>
        <v>0</v>
      </c>
      <c r="K38" s="27">
        <f t="shared" si="46"/>
        <v>0</v>
      </c>
      <c r="L38" s="341">
        <v>0</v>
      </c>
      <c r="M38" s="83">
        <f t="shared" si="27"/>
        <v>30</v>
      </c>
      <c r="N38" s="345" t="s">
        <v>101</v>
      </c>
      <c r="O38" s="76">
        <f t="shared" si="18"/>
        <v>0</v>
      </c>
      <c r="P38" s="347">
        <v>1330</v>
      </c>
      <c r="Q38" s="75">
        <f t="shared" si="1"/>
        <v>1330</v>
      </c>
      <c r="R38" s="493">
        <f>IF(OR(Q38=0),0,($Q38+$H38*$M38)/9)</f>
        <v>161.11111111111111</v>
      </c>
      <c r="S38" s="210">
        <f t="shared" si="29"/>
        <v>8.0555555555555561E-2</v>
      </c>
      <c r="T38" s="6">
        <f t="shared" si="30"/>
        <v>0</v>
      </c>
      <c r="U38" s="135">
        <f t="shared" si="31"/>
        <v>0</v>
      </c>
      <c r="V38" s="6">
        <f t="shared" si="32"/>
        <v>0</v>
      </c>
      <c r="W38" s="34">
        <f t="shared" si="33"/>
        <v>0</v>
      </c>
      <c r="X38" s="4">
        <f t="shared" si="34"/>
        <v>24.62962962962963</v>
      </c>
      <c r="Y38" s="6">
        <f t="shared" si="35"/>
        <v>0</v>
      </c>
      <c r="Z38" s="4">
        <f t="shared" si="36"/>
        <v>0</v>
      </c>
      <c r="AA38" s="4">
        <f t="shared" si="37"/>
        <v>0</v>
      </c>
      <c r="AB38" s="467">
        <f t="shared" si="38"/>
        <v>0</v>
      </c>
      <c r="AC38" s="85">
        <f t="shared" si="39"/>
        <v>0</v>
      </c>
      <c r="AE38" s="1"/>
    </row>
    <row r="39" spans="1:31" ht="12.75" customHeight="1" x14ac:dyDescent="0.2">
      <c r="A39" s="106"/>
      <c r="B39" s="338">
        <v>80008.03</v>
      </c>
      <c r="C39" s="339">
        <v>80033.55</v>
      </c>
      <c r="D39" s="340" t="s">
        <v>30</v>
      </c>
      <c r="E39" s="340" t="s">
        <v>106</v>
      </c>
      <c r="F39" s="340" t="s">
        <v>106</v>
      </c>
      <c r="G39" s="103" t="str">
        <f t="shared" si="26"/>
        <v>F/C - F/C</v>
      </c>
      <c r="H39" s="26">
        <f t="shared" ref="H39:H48" si="47">IF(AND($E39=$AE$2,$F39=$AE$2),2*$AG$12,IF(OR(AND($E39=$AE$2, $F39=$AE$3),AND($E39=$AE$3,$F39=$AE$2)),$AG$12+$AG$13,IF(OR(AND($E39=$AE$2,$F39=$AE$4),AND($E39=$AE$4,$F39=$AE$2)),$AG$12,IF(OR(AND($E39=$AE$3,$F39=$AE$4),AND($E39=$AE$4,$F39=$AE$3)),$AG$13,IF(AND($E39=$AE$3,$F39=$AE$3),2*$AG$13,0)))))</f>
        <v>4</v>
      </c>
      <c r="I39" s="27">
        <f t="shared" si="44"/>
        <v>0</v>
      </c>
      <c r="J39" s="27">
        <f t="shared" si="45"/>
        <v>1.8525629629632587</v>
      </c>
      <c r="K39" s="27">
        <f t="shared" si="46"/>
        <v>0</v>
      </c>
      <c r="L39" s="341">
        <v>0</v>
      </c>
      <c r="M39" s="83">
        <f t="shared" si="27"/>
        <v>25.520000000004075</v>
      </c>
      <c r="N39" s="345">
        <v>42.03</v>
      </c>
      <c r="O39" s="124">
        <f t="shared" si="18"/>
        <v>1073</v>
      </c>
      <c r="P39" s="347">
        <v>0</v>
      </c>
      <c r="Q39" s="123">
        <f t="shared" si="1"/>
        <v>1073</v>
      </c>
      <c r="R39" s="493">
        <f t="shared" si="28"/>
        <v>130.56444444444625</v>
      </c>
      <c r="S39" s="210">
        <f t="shared" si="29"/>
        <v>6.528222222222313E-2</v>
      </c>
      <c r="T39" s="85">
        <f t="shared" si="30"/>
        <v>0</v>
      </c>
      <c r="U39" s="135">
        <f t="shared" si="31"/>
        <v>0</v>
      </c>
      <c r="V39" s="85">
        <f t="shared" si="32"/>
        <v>0</v>
      </c>
      <c r="W39" s="34">
        <f t="shared" si="33"/>
        <v>38.08487654320988</v>
      </c>
      <c r="X39" s="83">
        <f t="shared" si="34"/>
        <v>21.722933333333629</v>
      </c>
      <c r="Y39" s="85">
        <f t="shared" si="35"/>
        <v>4.7688888888888892</v>
      </c>
      <c r="Z39" s="83">
        <f t="shared" si="36"/>
        <v>4.9675925925925926</v>
      </c>
      <c r="AA39" s="83">
        <f t="shared" si="37"/>
        <v>5.7955246913580245</v>
      </c>
      <c r="AB39" s="467">
        <f t="shared" si="38"/>
        <v>0</v>
      </c>
      <c r="AC39" s="85">
        <f t="shared" si="39"/>
        <v>51.040000000008149</v>
      </c>
      <c r="AE39" s="1"/>
    </row>
    <row r="40" spans="1:31" ht="12.75" customHeight="1" x14ac:dyDescent="0.2">
      <c r="A40" s="106"/>
      <c r="B40" s="338">
        <v>80033.55</v>
      </c>
      <c r="C40" s="339">
        <v>80132.899999999994</v>
      </c>
      <c r="D40" s="340" t="s">
        <v>30</v>
      </c>
      <c r="E40" s="340" t="s">
        <v>106</v>
      </c>
      <c r="F40" s="340" t="s">
        <v>106</v>
      </c>
      <c r="G40" s="103" t="str">
        <f t="shared" si="26"/>
        <v>F/C - F/C</v>
      </c>
      <c r="H40" s="26">
        <f t="shared" si="47"/>
        <v>4</v>
      </c>
      <c r="I40" s="27">
        <f t="shared" si="44"/>
        <v>0</v>
      </c>
      <c r="J40" s="27">
        <f t="shared" si="45"/>
        <v>7.2120740740734401</v>
      </c>
      <c r="K40" s="27">
        <f t="shared" si="46"/>
        <v>0</v>
      </c>
      <c r="L40" s="341">
        <v>0</v>
      </c>
      <c r="M40" s="83">
        <f t="shared" si="27"/>
        <v>99.349999999991269</v>
      </c>
      <c r="N40" s="345">
        <v>36</v>
      </c>
      <c r="O40" s="124">
        <f t="shared" si="18"/>
        <v>3577</v>
      </c>
      <c r="P40" s="347">
        <v>0</v>
      </c>
      <c r="Q40" s="123">
        <f t="shared" si="1"/>
        <v>3577</v>
      </c>
      <c r="R40" s="493">
        <f t="shared" si="28"/>
        <v>441.5999999999961</v>
      </c>
      <c r="S40" s="210">
        <f t="shared" si="29"/>
        <v>0.22079999999999805</v>
      </c>
      <c r="T40" s="85">
        <f t="shared" si="30"/>
        <v>0</v>
      </c>
      <c r="U40" s="135">
        <f t="shared" si="31"/>
        <v>0</v>
      </c>
      <c r="V40" s="85">
        <f t="shared" si="32"/>
        <v>0</v>
      </c>
      <c r="W40" s="34">
        <f t="shared" si="33"/>
        <v>126.96141975308643</v>
      </c>
      <c r="X40" s="83">
        <f t="shared" si="34"/>
        <v>73.45281481481419</v>
      </c>
      <c r="Y40" s="85">
        <f t="shared" si="35"/>
        <v>15.897777777777778</v>
      </c>
      <c r="Z40" s="83">
        <f t="shared" si="36"/>
        <v>16.560185185185187</v>
      </c>
      <c r="AA40" s="83">
        <f t="shared" si="37"/>
        <v>19.320216049382719</v>
      </c>
      <c r="AB40" s="467">
        <f t="shared" si="38"/>
        <v>0</v>
      </c>
      <c r="AC40" s="85">
        <f t="shared" si="39"/>
        <v>198.69999999998254</v>
      </c>
      <c r="AE40" s="1"/>
    </row>
    <row r="41" spans="1:31" ht="12.75" customHeight="1" x14ac:dyDescent="0.2">
      <c r="A41" s="106"/>
      <c r="B41" s="338">
        <v>80132.899999999994</v>
      </c>
      <c r="C41" s="339">
        <v>80188.87</v>
      </c>
      <c r="D41" s="340" t="s">
        <v>30</v>
      </c>
      <c r="E41" s="340" t="s">
        <v>106</v>
      </c>
      <c r="F41" s="340" t="s">
        <v>106</v>
      </c>
      <c r="G41" s="103" t="str">
        <f t="shared" si="26"/>
        <v>F/C - F/C</v>
      </c>
      <c r="H41" s="26">
        <f t="shared" si="47"/>
        <v>4</v>
      </c>
      <c r="I41" s="27">
        <f t="shared" si="44"/>
        <v>0</v>
      </c>
      <c r="J41" s="27">
        <f t="shared" si="45"/>
        <v>4.0630074074074916</v>
      </c>
      <c r="K41" s="27">
        <f t="shared" si="46"/>
        <v>0</v>
      </c>
      <c r="L41" s="341">
        <v>0</v>
      </c>
      <c r="M41" s="83">
        <f t="shared" si="27"/>
        <v>55.970000000001164</v>
      </c>
      <c r="N41" s="345">
        <v>30</v>
      </c>
      <c r="O41" s="124">
        <f t="shared" si="18"/>
        <v>1680</v>
      </c>
      <c r="P41" s="347">
        <v>0</v>
      </c>
      <c r="Q41" s="123">
        <f t="shared" si="1"/>
        <v>1680</v>
      </c>
      <c r="R41" s="493">
        <f t="shared" si="28"/>
        <v>211.54222222222273</v>
      </c>
      <c r="S41" s="210">
        <f t="shared" si="29"/>
        <v>0.10577111111111137</v>
      </c>
      <c r="T41" s="85">
        <f t="shared" si="30"/>
        <v>0</v>
      </c>
      <c r="U41" s="135">
        <f t="shared" si="31"/>
        <v>0</v>
      </c>
      <c r="V41" s="85">
        <f t="shared" si="32"/>
        <v>0</v>
      </c>
      <c r="W41" s="34">
        <f t="shared" si="33"/>
        <v>59.629629629629626</v>
      </c>
      <c r="X41" s="83">
        <f t="shared" si="34"/>
        <v>35.174118518518604</v>
      </c>
      <c r="Y41" s="85">
        <f t="shared" si="35"/>
        <v>7.4666666666666668</v>
      </c>
      <c r="Z41" s="83">
        <f t="shared" si="36"/>
        <v>7.7777777777777777</v>
      </c>
      <c r="AA41" s="83">
        <f t="shared" si="37"/>
        <v>9.0740740740740744</v>
      </c>
      <c r="AB41" s="467">
        <f t="shared" si="38"/>
        <v>0</v>
      </c>
      <c r="AC41" s="85">
        <f t="shared" si="39"/>
        <v>111.94000000000233</v>
      </c>
      <c r="AE41" s="1"/>
    </row>
    <row r="42" spans="1:31" ht="12.75" customHeight="1" x14ac:dyDescent="0.2">
      <c r="A42" s="106" t="s">
        <v>28</v>
      </c>
      <c r="B42" s="338">
        <v>80188.87</v>
      </c>
      <c r="C42" s="339">
        <v>80218.87</v>
      </c>
      <c r="D42" s="340" t="s">
        <v>30</v>
      </c>
      <c r="E42" s="340" t="s">
        <v>101</v>
      </c>
      <c r="F42" s="340" t="s">
        <v>101</v>
      </c>
      <c r="G42" s="103" t="str">
        <f t="shared" si="26"/>
        <v>-</v>
      </c>
      <c r="H42" s="26">
        <f t="shared" si="47"/>
        <v>0</v>
      </c>
      <c r="I42" s="27">
        <f t="shared" si="44"/>
        <v>0</v>
      </c>
      <c r="J42" s="27">
        <f t="shared" si="45"/>
        <v>0</v>
      </c>
      <c r="K42" s="27">
        <f t="shared" si="46"/>
        <v>0</v>
      </c>
      <c r="L42" s="341">
        <v>0</v>
      </c>
      <c r="M42" s="83">
        <f t="shared" si="27"/>
        <v>30</v>
      </c>
      <c r="N42" s="345" t="s">
        <v>101</v>
      </c>
      <c r="O42" s="124">
        <f t="shared" si="18"/>
        <v>0</v>
      </c>
      <c r="P42" s="347">
        <v>951</v>
      </c>
      <c r="Q42" s="123">
        <f t="shared" si="1"/>
        <v>951</v>
      </c>
      <c r="R42" s="493">
        <f t="shared" si="28"/>
        <v>0</v>
      </c>
      <c r="S42" s="210">
        <f t="shared" si="29"/>
        <v>0</v>
      </c>
      <c r="T42" s="85">
        <f t="shared" si="30"/>
        <v>0</v>
      </c>
      <c r="U42" s="135">
        <f t="shared" si="31"/>
        <v>0</v>
      </c>
      <c r="V42" s="85">
        <f t="shared" si="32"/>
        <v>0</v>
      </c>
      <c r="W42" s="34">
        <f t="shared" si="33"/>
        <v>0</v>
      </c>
      <c r="X42" s="83">
        <f t="shared" si="34"/>
        <v>17.611111111111111</v>
      </c>
      <c r="Y42" s="85">
        <f t="shared" si="35"/>
        <v>0</v>
      </c>
      <c r="Z42" s="83">
        <f t="shared" si="36"/>
        <v>0</v>
      </c>
      <c r="AA42" s="83">
        <f t="shared" si="37"/>
        <v>0</v>
      </c>
      <c r="AB42" s="467">
        <f t="shared" si="38"/>
        <v>0</v>
      </c>
      <c r="AC42" s="85">
        <f t="shared" si="39"/>
        <v>0</v>
      </c>
      <c r="AE42" s="1"/>
    </row>
    <row r="43" spans="1:31" ht="12.75" customHeight="1" x14ac:dyDescent="0.2">
      <c r="A43" s="106" t="s">
        <v>28</v>
      </c>
      <c r="B43" s="338">
        <v>80503.63</v>
      </c>
      <c r="C43" s="339">
        <v>80533.63</v>
      </c>
      <c r="D43" s="340" t="s">
        <v>30</v>
      </c>
      <c r="E43" s="340" t="s">
        <v>101</v>
      </c>
      <c r="F43" s="340" t="s">
        <v>101</v>
      </c>
      <c r="G43" s="103" t="str">
        <f t="shared" si="26"/>
        <v>-</v>
      </c>
      <c r="H43" s="26">
        <f t="shared" si="47"/>
        <v>0</v>
      </c>
      <c r="I43" s="27">
        <f t="shared" si="44"/>
        <v>0</v>
      </c>
      <c r="J43" s="27">
        <f t="shared" si="45"/>
        <v>0</v>
      </c>
      <c r="K43" s="27">
        <f t="shared" si="46"/>
        <v>0</v>
      </c>
      <c r="L43" s="341">
        <v>0</v>
      </c>
      <c r="M43" s="83">
        <f t="shared" si="27"/>
        <v>30</v>
      </c>
      <c r="N43" s="345" t="s">
        <v>101</v>
      </c>
      <c r="O43" s="124">
        <f t="shared" si="18"/>
        <v>0</v>
      </c>
      <c r="P43" s="347">
        <v>951</v>
      </c>
      <c r="Q43" s="123">
        <f t="shared" si="1"/>
        <v>951</v>
      </c>
      <c r="R43" s="493">
        <f t="shared" si="28"/>
        <v>0</v>
      </c>
      <c r="S43" s="210">
        <f t="shared" si="29"/>
        <v>0</v>
      </c>
      <c r="T43" s="85">
        <f t="shared" si="30"/>
        <v>0</v>
      </c>
      <c r="U43" s="135">
        <f t="shared" si="31"/>
        <v>0</v>
      </c>
      <c r="V43" s="85">
        <f t="shared" si="32"/>
        <v>0</v>
      </c>
      <c r="W43" s="34">
        <f t="shared" si="33"/>
        <v>0</v>
      </c>
      <c r="X43" s="83">
        <f t="shared" si="34"/>
        <v>17.611111111111111</v>
      </c>
      <c r="Y43" s="85">
        <f t="shared" si="35"/>
        <v>0</v>
      </c>
      <c r="Z43" s="83">
        <f t="shared" si="36"/>
        <v>0</v>
      </c>
      <c r="AA43" s="83">
        <f t="shared" si="37"/>
        <v>0</v>
      </c>
      <c r="AB43" s="467">
        <f t="shared" si="38"/>
        <v>0</v>
      </c>
      <c r="AC43" s="85">
        <f t="shared" si="39"/>
        <v>0</v>
      </c>
      <c r="AE43" s="1"/>
    </row>
    <row r="44" spans="1:31" ht="12.75" customHeight="1" x14ac:dyDescent="0.2">
      <c r="B44" s="338">
        <v>80533.63</v>
      </c>
      <c r="C44" s="339">
        <v>80810.559999999998</v>
      </c>
      <c r="D44" s="340" t="s">
        <v>30</v>
      </c>
      <c r="E44" s="340" t="s">
        <v>106</v>
      </c>
      <c r="F44" s="340" t="s">
        <v>106</v>
      </c>
      <c r="G44" s="47" t="str">
        <f t="shared" si="26"/>
        <v>F/C - F/C</v>
      </c>
      <c r="H44" s="26">
        <f t="shared" si="47"/>
        <v>4</v>
      </c>
      <c r="I44" s="27">
        <f t="shared" si="44"/>
        <v>0</v>
      </c>
      <c r="J44" s="27">
        <f t="shared" si="45"/>
        <v>20.103066666666159</v>
      </c>
      <c r="K44" s="27">
        <f t="shared" si="46"/>
        <v>0</v>
      </c>
      <c r="L44" s="341">
        <v>0</v>
      </c>
      <c r="M44" s="83">
        <f t="shared" si="27"/>
        <v>276.92999999999302</v>
      </c>
      <c r="N44" s="345">
        <v>30</v>
      </c>
      <c r="O44" s="76">
        <f t="shared" si="18"/>
        <v>8308</v>
      </c>
      <c r="P44" s="347">
        <v>0</v>
      </c>
      <c r="Q44" s="75">
        <f t="shared" si="1"/>
        <v>8308</v>
      </c>
      <c r="R44" s="493">
        <f t="shared" si="28"/>
        <v>1046.1911111111081</v>
      </c>
      <c r="S44" s="210">
        <f t="shared" si="29"/>
        <v>0.52309555555555398</v>
      </c>
      <c r="T44" s="6">
        <f t="shared" si="30"/>
        <v>0</v>
      </c>
      <c r="U44" s="135">
        <f t="shared" si="31"/>
        <v>0</v>
      </c>
      <c r="V44" s="6">
        <f t="shared" si="32"/>
        <v>0</v>
      </c>
      <c r="W44" s="34">
        <f t="shared" si="33"/>
        <v>294.88271604938268</v>
      </c>
      <c r="X44" s="4">
        <f t="shared" si="34"/>
        <v>173.95491851851801</v>
      </c>
      <c r="Y44" s="6">
        <f t="shared" si="35"/>
        <v>36.924444444444447</v>
      </c>
      <c r="Z44" s="4">
        <f t="shared" si="36"/>
        <v>38.462962962962962</v>
      </c>
      <c r="AA44" s="4">
        <f t="shared" si="37"/>
        <v>44.873456790123456</v>
      </c>
      <c r="AB44" s="467">
        <f t="shared" si="38"/>
        <v>0</v>
      </c>
      <c r="AC44" s="85">
        <f t="shared" si="39"/>
        <v>553.85999999998603</v>
      </c>
      <c r="AE44" s="1"/>
    </row>
    <row r="45" spans="1:31" ht="12.75" customHeight="1" x14ac:dyDescent="0.2">
      <c r="B45" s="338">
        <v>80810.559999999998</v>
      </c>
      <c r="C45" s="339">
        <v>80813.539999999994</v>
      </c>
      <c r="D45" s="340" t="s">
        <v>30</v>
      </c>
      <c r="E45" s="340" t="s">
        <v>105</v>
      </c>
      <c r="F45" s="340" t="s">
        <v>106</v>
      </c>
      <c r="G45" s="103" t="str">
        <f t="shared" si="26"/>
        <v>E/S - F/C</v>
      </c>
      <c r="H45" s="26">
        <f t="shared" si="47"/>
        <v>3.5</v>
      </c>
      <c r="I45" s="27">
        <f t="shared" si="44"/>
        <v>6.2911111111025084E-2</v>
      </c>
      <c r="J45" s="27">
        <f t="shared" si="45"/>
        <v>0.18211111111086212</v>
      </c>
      <c r="K45" s="27">
        <f t="shared" si="46"/>
        <v>0</v>
      </c>
      <c r="L45" s="341">
        <v>0</v>
      </c>
      <c r="M45" s="83">
        <f t="shared" si="27"/>
        <v>2.9799999999959255</v>
      </c>
      <c r="N45" s="345">
        <v>28</v>
      </c>
      <c r="O45" s="124">
        <f t="shared" si="18"/>
        <v>84</v>
      </c>
      <c r="P45" s="347">
        <v>0</v>
      </c>
      <c r="Q45" s="123">
        <f t="shared" ref="Q45:Q46" si="48">SUM(O45:P45)</f>
        <v>84</v>
      </c>
      <c r="R45" s="493">
        <f t="shared" si="28"/>
        <v>10.492222222220638</v>
      </c>
      <c r="S45" s="210">
        <f t="shared" si="29"/>
        <v>5.2461111111103192E-3</v>
      </c>
      <c r="T45" s="85">
        <f t="shared" si="30"/>
        <v>0</v>
      </c>
      <c r="U45" s="135">
        <f t="shared" si="31"/>
        <v>0</v>
      </c>
      <c r="V45" s="85">
        <f t="shared" si="32"/>
        <v>0</v>
      </c>
      <c r="W45" s="34">
        <f t="shared" si="33"/>
        <v>3.0443925925925064</v>
      </c>
      <c r="X45" s="83">
        <f t="shared" si="34"/>
        <v>1.7376666666664178</v>
      </c>
      <c r="Y45" s="85">
        <f t="shared" si="35"/>
        <v>0.37333333333333335</v>
      </c>
      <c r="Z45" s="83">
        <f t="shared" si="36"/>
        <v>0.3888888888888889</v>
      </c>
      <c r="AA45" s="83">
        <f t="shared" si="37"/>
        <v>0.45370370370370372</v>
      </c>
      <c r="AB45" s="467">
        <f t="shared" si="38"/>
        <v>5.9783950617202208E-2</v>
      </c>
      <c r="AC45" s="85">
        <f t="shared" si="39"/>
        <v>5.9599999999918509</v>
      </c>
      <c r="AE45" s="1"/>
    </row>
    <row r="46" spans="1:31" ht="12.75" customHeight="1" x14ac:dyDescent="0.2">
      <c r="B46" s="338">
        <v>80813.539999999994</v>
      </c>
      <c r="C46" s="339">
        <v>82090.16</v>
      </c>
      <c r="D46" s="340" t="s">
        <v>30</v>
      </c>
      <c r="E46" s="340" t="s">
        <v>105</v>
      </c>
      <c r="F46" s="340" t="s">
        <v>105</v>
      </c>
      <c r="G46" s="103" t="str">
        <f t="shared" si="26"/>
        <v>E/S - E/S</v>
      </c>
      <c r="H46" s="26">
        <f t="shared" si="47"/>
        <v>3</v>
      </c>
      <c r="I46" s="27">
        <f t="shared" si="44"/>
        <v>53.901733333333745</v>
      </c>
      <c r="J46" s="27">
        <f t="shared" si="45"/>
        <v>63.358177777778273</v>
      </c>
      <c r="K46" s="27">
        <f t="shared" si="46"/>
        <v>0</v>
      </c>
      <c r="L46" s="341">
        <v>0</v>
      </c>
      <c r="M46" s="83">
        <f t="shared" si="27"/>
        <v>1276.6200000000099</v>
      </c>
      <c r="N46" s="345">
        <v>26</v>
      </c>
      <c r="O46" s="124">
        <f t="shared" si="18"/>
        <v>33193</v>
      </c>
      <c r="P46" s="347">
        <v>0</v>
      </c>
      <c r="Q46" s="123">
        <f t="shared" si="48"/>
        <v>33193</v>
      </c>
      <c r="R46" s="493">
        <f t="shared" si="28"/>
        <v>4113.651111111114</v>
      </c>
      <c r="S46" s="210">
        <f t="shared" si="29"/>
        <v>2.056825555555557</v>
      </c>
      <c r="T46" s="85">
        <f t="shared" si="30"/>
        <v>0</v>
      </c>
      <c r="U46" s="135">
        <f t="shared" si="31"/>
        <v>0</v>
      </c>
      <c r="V46" s="85">
        <f t="shared" si="32"/>
        <v>0</v>
      </c>
      <c r="W46" s="34">
        <f t="shared" si="33"/>
        <v>1232.0483382716054</v>
      </c>
      <c r="X46" s="83">
        <f t="shared" si="34"/>
        <v>678.04336296296344</v>
      </c>
      <c r="Y46" s="85">
        <f t="shared" si="35"/>
        <v>147.52444444444447</v>
      </c>
      <c r="Z46" s="83">
        <f t="shared" si="36"/>
        <v>153.6712962962963</v>
      </c>
      <c r="AA46" s="83">
        <f t="shared" si="37"/>
        <v>179.28317901234567</v>
      </c>
      <c r="AB46" s="467">
        <f t="shared" si="38"/>
        <v>25.611203703703904</v>
      </c>
      <c r="AC46" s="85">
        <f t="shared" si="39"/>
        <v>2553.2400000000198</v>
      </c>
      <c r="AE46" s="1"/>
    </row>
    <row r="47" spans="1:31" ht="12.75" customHeight="1" x14ac:dyDescent="0.2">
      <c r="B47" s="338">
        <v>82090.16</v>
      </c>
      <c r="C47" s="339">
        <v>82138.67</v>
      </c>
      <c r="D47" s="340" t="s">
        <v>30</v>
      </c>
      <c r="E47" s="340" t="s">
        <v>105</v>
      </c>
      <c r="F47" s="340" t="s">
        <v>106</v>
      </c>
      <c r="G47" s="47" t="str">
        <f t="shared" si="26"/>
        <v>E/S - F/C</v>
      </c>
      <c r="H47" s="26">
        <f t="shared" si="47"/>
        <v>3.5</v>
      </c>
      <c r="I47" s="27">
        <f t="shared" si="44"/>
        <v>1.0240999999998894</v>
      </c>
      <c r="J47" s="27">
        <f t="shared" si="45"/>
        <v>2.9644999999996795</v>
      </c>
      <c r="K47" s="27">
        <f t="shared" si="46"/>
        <v>0</v>
      </c>
      <c r="L47" s="341">
        <v>0</v>
      </c>
      <c r="M47" s="83">
        <f t="shared" si="27"/>
        <v>48.509999999994761</v>
      </c>
      <c r="N47" s="345">
        <v>26</v>
      </c>
      <c r="O47" s="76">
        <f t="shared" si="18"/>
        <v>1262</v>
      </c>
      <c r="P47" s="347">
        <v>0</v>
      </c>
      <c r="Q47" s="75">
        <f t="shared" si="1"/>
        <v>1262</v>
      </c>
      <c r="R47" s="493">
        <f t="shared" si="28"/>
        <v>159.08722222222019</v>
      </c>
      <c r="S47" s="210">
        <f t="shared" si="29"/>
        <v>7.9543611111110094E-2</v>
      </c>
      <c r="T47" s="6">
        <f t="shared" si="30"/>
        <v>0</v>
      </c>
      <c r="U47" s="135">
        <f t="shared" si="31"/>
        <v>0</v>
      </c>
      <c r="V47" s="6">
        <f t="shared" si="32"/>
        <v>0</v>
      </c>
      <c r="W47" s="34">
        <f t="shared" si="33"/>
        <v>45.817309876543106</v>
      </c>
      <c r="X47" s="4">
        <f t="shared" si="34"/>
        <v>26.334870370370048</v>
      </c>
      <c r="Y47" s="6">
        <f t="shared" si="35"/>
        <v>5.608888888888889</v>
      </c>
      <c r="Z47" s="4">
        <f t="shared" si="36"/>
        <v>5.8425925925925926</v>
      </c>
      <c r="AA47" s="4">
        <f t="shared" si="37"/>
        <v>6.8163580246913575</v>
      </c>
      <c r="AB47" s="467">
        <f t="shared" si="38"/>
        <v>0.97319444444433933</v>
      </c>
      <c r="AC47" s="85">
        <f t="shared" si="39"/>
        <v>97.019999999989523</v>
      </c>
      <c r="AE47" s="1"/>
    </row>
    <row r="48" spans="1:31" ht="12.75" customHeight="1" x14ac:dyDescent="0.2">
      <c r="B48" s="338">
        <v>82138.67</v>
      </c>
      <c r="C48" s="339">
        <v>82188.67</v>
      </c>
      <c r="D48" s="340" t="s">
        <v>30</v>
      </c>
      <c r="E48" s="340" t="s">
        <v>105</v>
      </c>
      <c r="F48" s="340" t="s">
        <v>106</v>
      </c>
      <c r="G48" s="47" t="str">
        <f t="shared" si="26"/>
        <v>E/S - F/C</v>
      </c>
      <c r="H48" s="26">
        <f t="shared" si="47"/>
        <v>3.5</v>
      </c>
      <c r="I48" s="27">
        <f t="shared" si="44"/>
        <v>1.0555555555555554</v>
      </c>
      <c r="J48" s="27">
        <f t="shared" si="45"/>
        <v>3.0555555555555554</v>
      </c>
      <c r="K48" s="27">
        <f t="shared" si="46"/>
        <v>0</v>
      </c>
      <c r="L48" s="341">
        <v>0</v>
      </c>
      <c r="M48" s="83">
        <f t="shared" si="27"/>
        <v>50</v>
      </c>
      <c r="N48" s="345">
        <v>27</v>
      </c>
      <c r="O48" s="76">
        <f t="shared" si="18"/>
        <v>1350</v>
      </c>
      <c r="P48" s="347">
        <v>0</v>
      </c>
      <c r="Q48" s="75">
        <f t="shared" si="1"/>
        <v>1350</v>
      </c>
      <c r="R48" s="493">
        <f t="shared" si="28"/>
        <v>169.44444444444446</v>
      </c>
      <c r="S48" s="210">
        <f t="shared" si="29"/>
        <v>8.4722222222222227E-2</v>
      </c>
      <c r="T48" s="6">
        <f t="shared" si="30"/>
        <v>0</v>
      </c>
      <c r="U48" s="135">
        <f t="shared" si="31"/>
        <v>0</v>
      </c>
      <c r="V48" s="6">
        <f t="shared" si="32"/>
        <v>0</v>
      </c>
      <c r="W48" s="34">
        <f t="shared" si="33"/>
        <v>48.972222222222221</v>
      </c>
      <c r="X48" s="4">
        <f t="shared" si="34"/>
        <v>28.055555555555557</v>
      </c>
      <c r="Y48" s="6">
        <f t="shared" si="35"/>
        <v>6</v>
      </c>
      <c r="Z48" s="4">
        <f t="shared" si="36"/>
        <v>6.25</v>
      </c>
      <c r="AA48" s="4">
        <f t="shared" si="37"/>
        <v>7.291666666666667</v>
      </c>
      <c r="AB48" s="467">
        <f t="shared" si="38"/>
        <v>1.0030864197530864</v>
      </c>
      <c r="AC48" s="85">
        <f t="shared" si="39"/>
        <v>100</v>
      </c>
    </row>
    <row r="49" spans="1:43" ht="12.75" customHeight="1" thickBot="1" x14ac:dyDescent="0.25">
      <c r="B49" s="54"/>
      <c r="C49" s="3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43" ht="12.75" customHeight="1" x14ac:dyDescent="0.2">
      <c r="B50" s="643" t="s">
        <v>72</v>
      </c>
      <c r="C50" s="644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</row>
    <row r="51" spans="1:43" ht="12.75" customHeight="1" x14ac:dyDescent="0.2">
      <c r="B51" s="338">
        <v>79735.179999999993</v>
      </c>
      <c r="C51" s="339">
        <v>79968.09</v>
      </c>
      <c r="D51" s="340" t="s">
        <v>30</v>
      </c>
      <c r="E51" s="340" t="s">
        <v>105</v>
      </c>
      <c r="F51" s="340" t="s">
        <v>106</v>
      </c>
      <c r="G51" s="47" t="str">
        <f t="shared" ref="G51:G63" si="49">IF(AND($E51=$AE$2,$F51=$AE$2),$AG$2,IF(OR(AND($E51=$AE$2,$F51=$AE$3),AND($E51=$AE$3,$F51=$AE$2)),$AG$3,IF(OR(AND($E51=$AE$2,$F51=$AE$4),AND($E51=$AE$4,$F51=$AE$2)),$AG$4,IF(OR(AND($E51=$AE$3,$F51=$AE$4),AND($E51=$AE$4,$F51=$AE$3)),$AG$5,IF(AND($E51=$AE$3,$F51=$AE$3),$AG$6,IF(AND($E51=$AE$4,$F51=$AE$4),$AG$7,"-"))))))</f>
        <v>E/S - F/C</v>
      </c>
      <c r="H51" s="26">
        <f t="shared" ref="H51:H53" si="50">IF(AND($E51=$AE$2,$F51=$AE$2),2*$AG$12,IF(OR(AND($E51=$AE$2, $F51=$AE$3),AND($E51=$AE$3,$F51=$AE$2)),$AG$12+$AG$13,IF(OR(AND($E51=$AE$2,$F51=$AE$4),AND($E51=$AE$4,$F51=$AE$2)),$AG$12,IF(OR(AND($E51=$AE$3,$F51=$AE$4),AND($E51=$AE$4,$F51=$AE$3)),$AG$13,IF(AND($E51=$AE$3,$F51=$AE$3),2*$AG$13,0)))))</f>
        <v>3.5</v>
      </c>
      <c r="I51" s="27">
        <f t="shared" ref="I51:I53" si="51">IF(AND($E51=$AE$2,$F51=$AE$2),2*$AJ$12*$M51/27,IF(OR(AND($E51=$AE$2,$F51=$AE$3),AND($E51=$AE$3,$F51=$AE$2)),$AJ$12*$M51/27,IF(OR(AND($E51=$AE$2,$F51=$AE$4),AND($E51=$AE$4,$F51=$AE$2)),$AJ$12*$M51/27,0)))</f>
        <v>4.9169888888889615</v>
      </c>
      <c r="J51" s="27">
        <f t="shared" ref="J51:J53" si="52">IF(AND($E51=$AE$2,$F51=$AE$2),2*$AM$12*$M51/27,IF(OR(AND($E51=$AE$2,$F51=$AE$3),AND($E51=$AE$3,$F51=$AE$2)),($AM$12+$AM$13)*$M51/27,IF(OR(AND($E51=$AE$2,$F51=$AE$4),AND($E51=$AE$4,$F51=$AE$2)),$AM$12*$M51/27,IF(OR(AND($E51=$AE$3,$F51=$AE$4),AND($E51=$AE$4,$F51=$AE$3)),$AM$13*$M51/27,IF(AND($E51=$AE$3,$F51=$AE$3),2*$AM$13*$M51/27,0)))))</f>
        <v>14.233388888889101</v>
      </c>
      <c r="K51" s="27">
        <f t="shared" ref="K51:K53" si="53">IF(AND($E51=$AE$4,$F51=$AE$4),2*$AP$14*$M51/27,IF(OR($E51=$AE$4,$F51=$AE$4),$AP$14*$M51/27,0))</f>
        <v>0</v>
      </c>
      <c r="L51" s="341">
        <v>0</v>
      </c>
      <c r="M51" s="83">
        <f t="shared" ref="M51:M63" si="54">C51-B51</f>
        <v>232.91000000000349</v>
      </c>
      <c r="N51" s="345">
        <v>28</v>
      </c>
      <c r="O51" s="76">
        <f t="shared" si="18"/>
        <v>6522</v>
      </c>
      <c r="P51" s="347">
        <v>0</v>
      </c>
      <c r="Q51" s="75">
        <f t="shared" si="1"/>
        <v>6522</v>
      </c>
      <c r="R51" s="493">
        <f t="shared" ref="R51:R63" si="55">IF(OR($A51="APP SLAB",Q51=0),0,($Q51+$H51*$M51)/9)</f>
        <v>815.24277777777911</v>
      </c>
      <c r="S51" s="210">
        <f t="shared" ref="S51:S63" si="56">IF(AND(R51=0,U51=0),0,IF(U51=0,R51/2000,U51/2000))</f>
        <v>0.40762138888888955</v>
      </c>
      <c r="T51" s="6">
        <f t="shared" ref="T51:T63" si="57">IF(A51="APP SLAB",0,U51)</f>
        <v>0</v>
      </c>
      <c r="U51" s="135">
        <f t="shared" ref="U51:U63" si="58">IF(OR(A51="APP SLAB",R51&lt;&gt;0),0,(Q51+H51*M51)/9)</f>
        <v>0</v>
      </c>
      <c r="V51" s="6">
        <f t="shared" ref="V51:V63" si="59">IF(A51="APP SLAB",0,$U$1*U51*110*0.06*0.75/2000)</f>
        <v>0</v>
      </c>
      <c r="W51" s="34">
        <f t="shared" ref="W51:W63" si="60">IF(A51="APP SLAB",0,(Q51*$W$1/12)/27+I51)</f>
        <v>236.4077296296297</v>
      </c>
      <c r="X51" s="4">
        <f t="shared" ref="X51:X63" si="61">(Q51*$X$1/12)/27+J51</f>
        <v>135.01116666666687</v>
      </c>
      <c r="Y51" s="6">
        <f t="shared" ref="Y51:Y63" si="62">IF(A51="APP SLAB",0,(Q51/9)*$Y$1)</f>
        <v>28.986666666666665</v>
      </c>
      <c r="Z51" s="4">
        <f t="shared" ref="Z51:Z63" si="63">IF(A51="APP SLAB",0,(Q51*($Z$1/12))/27+K51)</f>
        <v>30.194444444444443</v>
      </c>
      <c r="AA51" s="4">
        <f t="shared" ref="AA51:AA63" si="64">IF(A51="APP SLAB",0,(Q51*$AA$1/12)/27+L51)</f>
        <v>35.226851851851855</v>
      </c>
      <c r="AB51" s="467">
        <f t="shared" ref="AB51:AB63" si="65">IF(AND($E51=$F51="Uncurbed"),(2*$M51*2*$AB$1/12)/27,IF(OR($E51="Uncurbed",$F51="Uncurbed"),($M51*2*$AB$1/12)/27,IF(OR(AND($E51="Med. Barr.",$F51="Curbed"),AND($E51="Curbed",$F51="Med. Barr."),$E51=$F51,$E51="Unique",$F51="Unique",$E51="-",$F51="-"),0,"?")))</f>
        <v>4.6725771604938968</v>
      </c>
      <c r="AC51" s="85">
        <f>IF(A51="APP SLAB",0,(M51*2))</f>
        <v>465.82000000000698</v>
      </c>
      <c r="AQ51" s="18"/>
    </row>
    <row r="52" spans="1:43" ht="12.75" customHeight="1" x14ac:dyDescent="0.2">
      <c r="B52" s="338">
        <v>79968.09</v>
      </c>
      <c r="C52" s="339">
        <v>80213.09</v>
      </c>
      <c r="D52" s="340" t="s">
        <v>30</v>
      </c>
      <c r="E52" s="340" t="s">
        <v>105</v>
      </c>
      <c r="F52" s="340" t="s">
        <v>105</v>
      </c>
      <c r="G52" s="47" t="str">
        <f t="shared" si="49"/>
        <v>E/S - E/S</v>
      </c>
      <c r="H52" s="26">
        <f t="shared" si="50"/>
        <v>3</v>
      </c>
      <c r="I52" s="27">
        <f t="shared" si="51"/>
        <v>10.344444444444443</v>
      </c>
      <c r="J52" s="27">
        <f t="shared" si="52"/>
        <v>12.15925925925926</v>
      </c>
      <c r="K52" s="27">
        <f t="shared" si="53"/>
        <v>0</v>
      </c>
      <c r="L52" s="341">
        <v>0</v>
      </c>
      <c r="M52" s="83">
        <f t="shared" si="54"/>
        <v>245</v>
      </c>
      <c r="N52" s="345">
        <v>26</v>
      </c>
      <c r="O52" s="76">
        <f t="shared" si="18"/>
        <v>6370</v>
      </c>
      <c r="P52" s="347">
        <v>0</v>
      </c>
      <c r="Q52" s="75">
        <f t="shared" si="1"/>
        <v>6370</v>
      </c>
      <c r="R52" s="493">
        <f t="shared" si="55"/>
        <v>789.44444444444446</v>
      </c>
      <c r="S52" s="210">
        <f t="shared" si="56"/>
        <v>0.39472222222222225</v>
      </c>
      <c r="T52" s="6">
        <f t="shared" si="57"/>
        <v>0</v>
      </c>
      <c r="U52" s="135">
        <f t="shared" si="58"/>
        <v>0</v>
      </c>
      <c r="V52" s="6">
        <f t="shared" si="59"/>
        <v>0</v>
      </c>
      <c r="W52" s="34">
        <f t="shared" si="60"/>
        <v>236.4401234567901</v>
      </c>
      <c r="X52" s="4">
        <f t="shared" si="61"/>
        <v>130.12222222222223</v>
      </c>
      <c r="Y52" s="6">
        <f t="shared" si="62"/>
        <v>28.311111111111114</v>
      </c>
      <c r="Z52" s="4">
        <f t="shared" si="63"/>
        <v>29.49074074074074</v>
      </c>
      <c r="AA52" s="4">
        <f t="shared" si="64"/>
        <v>34.405864197530867</v>
      </c>
      <c r="AB52" s="467">
        <f t="shared" si="65"/>
        <v>4.9151234567901234</v>
      </c>
      <c r="AC52" s="85">
        <f>IF(A52="APP SLAB",0,(M52*2))</f>
        <v>490</v>
      </c>
    </row>
    <row r="53" spans="1:43" ht="12.75" customHeight="1" x14ac:dyDescent="0.2">
      <c r="B53" s="338">
        <v>80213.09</v>
      </c>
      <c r="C53" s="339">
        <v>80254.429999999993</v>
      </c>
      <c r="D53" s="340" t="s">
        <v>30</v>
      </c>
      <c r="E53" s="340" t="s">
        <v>106</v>
      </c>
      <c r="F53" s="340" t="s">
        <v>105</v>
      </c>
      <c r="G53" s="47" t="str">
        <f t="shared" si="49"/>
        <v>E/S - F/C</v>
      </c>
      <c r="H53" s="26">
        <f t="shared" si="50"/>
        <v>3.5</v>
      </c>
      <c r="I53" s="27">
        <f t="shared" si="51"/>
        <v>0.87273333333325953</v>
      </c>
      <c r="J53" s="27">
        <f t="shared" si="52"/>
        <v>2.5263333333331195</v>
      </c>
      <c r="K53" s="27">
        <f t="shared" si="53"/>
        <v>0</v>
      </c>
      <c r="L53" s="341">
        <v>0</v>
      </c>
      <c r="M53" s="83">
        <f t="shared" si="54"/>
        <v>41.339999999996508</v>
      </c>
      <c r="N53" s="345">
        <v>28</v>
      </c>
      <c r="O53" s="76">
        <f t="shared" si="18"/>
        <v>1158</v>
      </c>
      <c r="P53" s="347">
        <v>0</v>
      </c>
      <c r="Q53" s="75">
        <f t="shared" si="1"/>
        <v>1158</v>
      </c>
      <c r="R53" s="493">
        <f t="shared" si="55"/>
        <v>144.74333333333198</v>
      </c>
      <c r="S53" s="210">
        <f t="shared" si="56"/>
        <v>7.2371666666665987E-2</v>
      </c>
      <c r="T53" s="6">
        <f t="shared" si="57"/>
        <v>0</v>
      </c>
      <c r="U53" s="135">
        <f t="shared" si="58"/>
        <v>0</v>
      </c>
      <c r="V53" s="6">
        <f t="shared" si="59"/>
        <v>0</v>
      </c>
      <c r="W53" s="34">
        <f t="shared" si="60"/>
        <v>41.974585185185113</v>
      </c>
      <c r="X53" s="4">
        <f t="shared" si="61"/>
        <v>23.970777777777563</v>
      </c>
      <c r="Y53" s="6">
        <f t="shared" si="62"/>
        <v>5.1466666666666665</v>
      </c>
      <c r="Z53" s="4">
        <f t="shared" si="63"/>
        <v>5.3611111111111107</v>
      </c>
      <c r="AA53" s="4">
        <f t="shared" si="64"/>
        <v>6.2546296296296298</v>
      </c>
      <c r="AB53" s="467">
        <f t="shared" si="65"/>
        <v>0.82935185185178184</v>
      </c>
      <c r="AC53" s="85">
        <f>IF(A53="APP SLAB",0,(M53*2))</f>
        <v>82.679999999993015</v>
      </c>
    </row>
    <row r="54" spans="1:43" ht="12.75" customHeight="1" x14ac:dyDescent="0.2">
      <c r="B54" s="338">
        <v>80254.429999999993</v>
      </c>
      <c r="C54" s="339">
        <v>80563.850000000006</v>
      </c>
      <c r="D54" s="340" t="s">
        <v>15</v>
      </c>
      <c r="E54" s="340" t="s">
        <v>106</v>
      </c>
      <c r="F54" s="340" t="s">
        <v>112</v>
      </c>
      <c r="G54" s="47" t="str">
        <f t="shared" si="49"/>
        <v>-</v>
      </c>
      <c r="H54" s="342">
        <v>2</v>
      </c>
      <c r="I54" s="341">
        <v>6.53</v>
      </c>
      <c r="J54" s="341">
        <v>7.68</v>
      </c>
      <c r="K54" s="341">
        <v>0</v>
      </c>
      <c r="L54" s="341">
        <v>0</v>
      </c>
      <c r="M54" s="83">
        <f t="shared" si="54"/>
        <v>309.42000000001281</v>
      </c>
      <c r="N54" s="345">
        <v>22</v>
      </c>
      <c r="O54" s="76">
        <f t="shared" si="18"/>
        <v>6808</v>
      </c>
      <c r="P54" s="347">
        <v>0</v>
      </c>
      <c r="Q54" s="75">
        <f t="shared" si="1"/>
        <v>6808</v>
      </c>
      <c r="R54" s="493">
        <f t="shared" si="55"/>
        <v>825.20444444444729</v>
      </c>
      <c r="S54" s="210">
        <f t="shared" si="56"/>
        <v>0.41260222222222365</v>
      </c>
      <c r="T54" s="6">
        <f t="shared" si="57"/>
        <v>0</v>
      </c>
      <c r="U54" s="135">
        <f t="shared" si="58"/>
        <v>0</v>
      </c>
      <c r="V54" s="6">
        <f t="shared" si="59"/>
        <v>0</v>
      </c>
      <c r="W54" s="34">
        <f t="shared" si="60"/>
        <v>248.17197530864198</v>
      </c>
      <c r="X54" s="4">
        <f t="shared" si="61"/>
        <v>133.75407407407408</v>
      </c>
      <c r="Y54" s="6">
        <f t="shared" si="62"/>
        <v>30.257777777777779</v>
      </c>
      <c r="Z54" s="4">
        <f t="shared" si="63"/>
        <v>31.518518518518519</v>
      </c>
      <c r="AA54" s="4">
        <f t="shared" si="64"/>
        <v>36.771604938271608</v>
      </c>
      <c r="AB54" s="467">
        <f t="shared" si="65"/>
        <v>0</v>
      </c>
      <c r="AC54" s="85">
        <f>IF(A54="APP SLAB",0,(M54))</f>
        <v>309.42000000001281</v>
      </c>
      <c r="AD54" s="10"/>
      <c r="AE54" s="1"/>
    </row>
    <row r="55" spans="1:43" ht="12.75" customHeight="1" x14ac:dyDescent="0.2">
      <c r="B55" s="338">
        <v>80254.429999999993</v>
      </c>
      <c r="C55" s="339">
        <v>80525.570000000007</v>
      </c>
      <c r="D55" s="340" t="s">
        <v>16</v>
      </c>
      <c r="E55" s="340" t="s">
        <v>112</v>
      </c>
      <c r="F55" s="340" t="s">
        <v>106</v>
      </c>
      <c r="G55" s="47" t="str">
        <f t="shared" si="49"/>
        <v>-</v>
      </c>
      <c r="H55" s="342">
        <v>2</v>
      </c>
      <c r="I55" s="341">
        <v>0</v>
      </c>
      <c r="J55" s="341">
        <v>9.84</v>
      </c>
      <c r="K55" s="341">
        <v>0</v>
      </c>
      <c r="L55" s="341">
        <v>0</v>
      </c>
      <c r="M55" s="83">
        <f t="shared" si="54"/>
        <v>271.14000000001397</v>
      </c>
      <c r="N55" s="345" t="s">
        <v>101</v>
      </c>
      <c r="O55" s="76">
        <f t="shared" si="18"/>
        <v>0</v>
      </c>
      <c r="P55" s="347">
        <v>9983</v>
      </c>
      <c r="Q55" s="75">
        <f t="shared" si="1"/>
        <v>9983</v>
      </c>
      <c r="R55" s="493">
        <f t="shared" si="55"/>
        <v>1169.4755555555587</v>
      </c>
      <c r="S55" s="210">
        <f t="shared" si="56"/>
        <v>0.58473777777777936</v>
      </c>
      <c r="T55" s="6">
        <f t="shared" si="57"/>
        <v>0</v>
      </c>
      <c r="U55" s="135">
        <f t="shared" si="58"/>
        <v>0</v>
      </c>
      <c r="V55" s="6">
        <f t="shared" si="59"/>
        <v>0</v>
      </c>
      <c r="W55" s="34">
        <f t="shared" si="60"/>
        <v>354.33487654320987</v>
      </c>
      <c r="X55" s="4">
        <f t="shared" si="61"/>
        <v>194.71037037037038</v>
      </c>
      <c r="Y55" s="6">
        <f t="shared" si="62"/>
        <v>44.36888888888889</v>
      </c>
      <c r="Z55" s="4">
        <f t="shared" si="63"/>
        <v>46.217592592592595</v>
      </c>
      <c r="AA55" s="4">
        <f t="shared" si="64"/>
        <v>53.920524691358025</v>
      </c>
      <c r="AB55" s="467">
        <f t="shared" si="65"/>
        <v>0</v>
      </c>
      <c r="AC55" s="85">
        <f>IF(A55="APP SLAB",0,(M55))</f>
        <v>271.14000000001397</v>
      </c>
      <c r="AD55" s="10"/>
      <c r="AE55" s="1"/>
    </row>
    <row r="56" spans="1:43" ht="12.75" customHeight="1" x14ac:dyDescent="0.2">
      <c r="B56" s="338">
        <v>80525.570000000007</v>
      </c>
      <c r="C56" s="339">
        <v>80563.850000000006</v>
      </c>
      <c r="D56" s="340" t="s">
        <v>16</v>
      </c>
      <c r="E56" s="340" t="s">
        <v>112</v>
      </c>
      <c r="F56" s="340" t="s">
        <v>101</v>
      </c>
      <c r="G56" s="47" t="str">
        <f t="shared" si="49"/>
        <v>-</v>
      </c>
      <c r="H56" s="342">
        <v>0</v>
      </c>
      <c r="I56" s="341">
        <v>0</v>
      </c>
      <c r="J56" s="341">
        <v>0</v>
      </c>
      <c r="K56" s="341">
        <v>0</v>
      </c>
      <c r="L56" s="341">
        <v>0</v>
      </c>
      <c r="M56" s="83">
        <f t="shared" si="54"/>
        <v>38.279999999998836</v>
      </c>
      <c r="N56" s="345" t="s">
        <v>101</v>
      </c>
      <c r="O56" s="76">
        <f t="shared" si="18"/>
        <v>0</v>
      </c>
      <c r="P56" s="347">
        <v>682</v>
      </c>
      <c r="Q56" s="75">
        <f t="shared" si="1"/>
        <v>682</v>
      </c>
      <c r="R56" s="493">
        <f t="shared" si="55"/>
        <v>75.777777777777771</v>
      </c>
      <c r="S56" s="210">
        <f t="shared" si="56"/>
        <v>3.7888888888888889E-2</v>
      </c>
      <c r="T56" s="6">
        <f t="shared" si="57"/>
        <v>0</v>
      </c>
      <c r="U56" s="135">
        <f t="shared" si="58"/>
        <v>0</v>
      </c>
      <c r="V56" s="6">
        <f t="shared" si="59"/>
        <v>0</v>
      </c>
      <c r="W56" s="34">
        <f t="shared" si="60"/>
        <v>24.206790123456791</v>
      </c>
      <c r="X56" s="4">
        <f t="shared" si="61"/>
        <v>12.62962962962963</v>
      </c>
      <c r="Y56" s="6">
        <f t="shared" si="62"/>
        <v>3.0311111111111111</v>
      </c>
      <c r="Z56" s="4">
        <f t="shared" si="63"/>
        <v>3.1574074074074074</v>
      </c>
      <c r="AA56" s="4">
        <f t="shared" si="64"/>
        <v>3.683641975308642</v>
      </c>
      <c r="AB56" s="467">
        <f t="shared" si="65"/>
        <v>0</v>
      </c>
      <c r="AC56" s="85">
        <f>IF(A56="APP SLAB",0,(M56))</f>
        <v>38.279999999998836</v>
      </c>
      <c r="AD56" s="10"/>
      <c r="AE56" s="1"/>
    </row>
    <row r="57" spans="1:43" ht="12.75" customHeight="1" x14ac:dyDescent="0.2">
      <c r="A57" s="48" t="s">
        <v>28</v>
      </c>
      <c r="B57" s="338">
        <v>80563.850000000006</v>
      </c>
      <c r="C57" s="339">
        <v>80593.850000000006</v>
      </c>
      <c r="D57" s="340" t="s">
        <v>30</v>
      </c>
      <c r="E57" s="340" t="s">
        <v>101</v>
      </c>
      <c r="F57" s="340" t="s">
        <v>101</v>
      </c>
      <c r="G57" s="47" t="str">
        <f t="shared" si="49"/>
        <v>-</v>
      </c>
      <c r="H57" s="26">
        <f t="shared" ref="H57:H58" si="66">IF(AND($E57=$AE$2,$F57=$AE$2),2*$AG$12,IF(OR(AND($E57=$AE$2, $F57=$AE$3),AND($E57=$AE$3,$F57=$AE$2)),$AG$12+$AG$13,IF(OR(AND($E57=$AE$2,$F57=$AE$4),AND($E57=$AE$4,$F57=$AE$2)),$AG$12,IF(OR(AND($E57=$AE$3,$F57=$AE$4),AND($E57=$AE$4,$F57=$AE$3)),$AG$13,IF(AND($E57=$AE$3,$F57=$AE$3),2*$AG$13,0)))))</f>
        <v>0</v>
      </c>
      <c r="I57" s="27">
        <f t="shared" ref="I57:I58" si="67">IF(AND($E57=$AE$2,$F57=$AE$2),2*$AJ$12*$M57/27,IF(OR(AND($E57=$AE$2,$F57=$AE$3),AND($E57=$AE$3,$F57=$AE$2)),$AJ$12*$M57/27,IF(OR(AND($E57=$AE$2,$F57=$AE$4),AND($E57=$AE$4,$F57=$AE$2)),$AJ$12*$M57/27,0)))</f>
        <v>0</v>
      </c>
      <c r="J57" s="27">
        <f t="shared" ref="J57:J58" si="68">IF(AND($E57=$AE$2,$F57=$AE$2),2*$AM$12*$M57/27,IF(OR(AND($E57=$AE$2,$F57=$AE$3),AND($E57=$AE$3,$F57=$AE$2)),($AM$12+$AM$13)*$M57/27,IF(OR(AND($E57=$AE$2,$F57=$AE$4),AND($E57=$AE$4,$F57=$AE$2)),$AM$12*$M57/27,IF(OR(AND($E57=$AE$3,$F57=$AE$4),AND($E57=$AE$4,$F57=$AE$3)),$AM$13*$M57/27,IF(AND($E57=$AE$3,$F57=$AE$3),2*$AM$13*$M57/27,0)))))</f>
        <v>0</v>
      </c>
      <c r="K57" s="27">
        <f t="shared" ref="K57:K58" si="69">IF(AND($E57=$AE$4,$F57=$AE$4),2*$AP$14*$M57/27,IF(OR($E57=$AE$4,$F57=$AE$4),$AP$14*$M57/27,0))</f>
        <v>0</v>
      </c>
      <c r="L57" s="341">
        <v>0</v>
      </c>
      <c r="M57" s="83">
        <f t="shared" si="54"/>
        <v>30</v>
      </c>
      <c r="N57" s="345" t="s">
        <v>101</v>
      </c>
      <c r="O57" s="76">
        <f t="shared" si="18"/>
        <v>0</v>
      </c>
      <c r="P57" s="347">
        <v>1890</v>
      </c>
      <c r="Q57" s="75">
        <f t="shared" si="1"/>
        <v>1890</v>
      </c>
      <c r="R57" s="493">
        <f t="shared" si="55"/>
        <v>0</v>
      </c>
      <c r="S57" s="210">
        <f t="shared" si="56"/>
        <v>0</v>
      </c>
      <c r="T57" s="6">
        <f t="shared" si="57"/>
        <v>0</v>
      </c>
      <c r="U57" s="135">
        <f t="shared" si="58"/>
        <v>0</v>
      </c>
      <c r="V57" s="6">
        <f t="shared" si="59"/>
        <v>0</v>
      </c>
      <c r="W57" s="34">
        <f t="shared" si="60"/>
        <v>0</v>
      </c>
      <c r="X57" s="4">
        <f t="shared" si="61"/>
        <v>35</v>
      </c>
      <c r="Y57" s="6">
        <f t="shared" si="62"/>
        <v>0</v>
      </c>
      <c r="Z57" s="4">
        <f t="shared" si="63"/>
        <v>0</v>
      </c>
      <c r="AA57" s="4">
        <f t="shared" si="64"/>
        <v>0</v>
      </c>
      <c r="AB57" s="467">
        <f t="shared" si="65"/>
        <v>0</v>
      </c>
      <c r="AC57" s="85">
        <f>IF(A57="APP SLAB",0,(M57*2))</f>
        <v>0</v>
      </c>
      <c r="AD57" s="10"/>
      <c r="AE57" s="1"/>
    </row>
    <row r="58" spans="1:43" ht="12.75" customHeight="1" x14ac:dyDescent="0.2">
      <c r="A58" s="48" t="s">
        <v>28</v>
      </c>
      <c r="B58" s="338">
        <v>80693.98</v>
      </c>
      <c r="C58" s="339">
        <v>80723.98</v>
      </c>
      <c r="D58" s="340" t="s">
        <v>30</v>
      </c>
      <c r="E58" s="340" t="s">
        <v>101</v>
      </c>
      <c r="F58" s="340" t="s">
        <v>101</v>
      </c>
      <c r="G58" s="47" t="str">
        <f t="shared" si="49"/>
        <v>-</v>
      </c>
      <c r="H58" s="26">
        <f t="shared" si="66"/>
        <v>0</v>
      </c>
      <c r="I58" s="27">
        <f t="shared" si="67"/>
        <v>0</v>
      </c>
      <c r="J58" s="27">
        <f t="shared" si="68"/>
        <v>0</v>
      </c>
      <c r="K58" s="27">
        <f t="shared" si="69"/>
        <v>0</v>
      </c>
      <c r="L58" s="341">
        <v>0</v>
      </c>
      <c r="M58" s="83">
        <f t="shared" si="54"/>
        <v>30</v>
      </c>
      <c r="N58" s="345" t="s">
        <v>101</v>
      </c>
      <c r="O58" s="76">
        <f t="shared" si="18"/>
        <v>0</v>
      </c>
      <c r="P58" s="347">
        <v>1803</v>
      </c>
      <c r="Q58" s="75">
        <f t="shared" si="1"/>
        <v>1803</v>
      </c>
      <c r="R58" s="493">
        <f t="shared" si="55"/>
        <v>0</v>
      </c>
      <c r="S58" s="210">
        <f t="shared" si="56"/>
        <v>0</v>
      </c>
      <c r="T58" s="6">
        <f t="shared" si="57"/>
        <v>0</v>
      </c>
      <c r="U58" s="135">
        <f t="shared" si="58"/>
        <v>0</v>
      </c>
      <c r="V58" s="6">
        <f t="shared" si="59"/>
        <v>0</v>
      </c>
      <c r="W58" s="34">
        <f t="shared" si="60"/>
        <v>0</v>
      </c>
      <c r="X58" s="4">
        <f t="shared" si="61"/>
        <v>33.388888888888886</v>
      </c>
      <c r="Y58" s="6">
        <f t="shared" si="62"/>
        <v>0</v>
      </c>
      <c r="Z58" s="4">
        <f t="shared" si="63"/>
        <v>0</v>
      </c>
      <c r="AA58" s="4">
        <f t="shared" si="64"/>
        <v>0</v>
      </c>
      <c r="AB58" s="467">
        <f t="shared" si="65"/>
        <v>0</v>
      </c>
      <c r="AC58" s="85">
        <f>IF(A58="APP SLAB",0,(M58*2))</f>
        <v>0</v>
      </c>
      <c r="AD58" s="10"/>
      <c r="AE58" s="1"/>
    </row>
    <row r="59" spans="1:43" ht="12.75" customHeight="1" x14ac:dyDescent="0.2">
      <c r="B59" s="338">
        <v>80723.98</v>
      </c>
      <c r="C59" s="339">
        <v>80741.149999999994</v>
      </c>
      <c r="D59" s="340" t="s">
        <v>15</v>
      </c>
      <c r="E59" s="340" t="s">
        <v>101</v>
      </c>
      <c r="F59" s="340" t="s">
        <v>112</v>
      </c>
      <c r="G59" s="47" t="str">
        <f t="shared" si="49"/>
        <v>-</v>
      </c>
      <c r="H59" s="342">
        <v>0</v>
      </c>
      <c r="I59" s="341">
        <v>0</v>
      </c>
      <c r="J59" s="341">
        <v>0</v>
      </c>
      <c r="K59" s="341">
        <v>0</v>
      </c>
      <c r="L59" s="341">
        <v>0</v>
      </c>
      <c r="M59" s="83">
        <f t="shared" si="54"/>
        <v>17.169999999998254</v>
      </c>
      <c r="N59" s="345" t="s">
        <v>101</v>
      </c>
      <c r="O59" s="76">
        <f t="shared" si="18"/>
        <v>0</v>
      </c>
      <c r="P59" s="347">
        <v>189</v>
      </c>
      <c r="Q59" s="75">
        <f t="shared" si="1"/>
        <v>189</v>
      </c>
      <c r="R59" s="493">
        <f t="shared" si="55"/>
        <v>21</v>
      </c>
      <c r="S59" s="210">
        <f t="shared" si="56"/>
        <v>1.0500000000000001E-2</v>
      </c>
      <c r="T59" s="6">
        <f t="shared" si="57"/>
        <v>0</v>
      </c>
      <c r="U59" s="135">
        <f t="shared" si="58"/>
        <v>0</v>
      </c>
      <c r="V59" s="6">
        <f t="shared" si="59"/>
        <v>0</v>
      </c>
      <c r="W59" s="34">
        <f t="shared" si="60"/>
        <v>6.708333333333333</v>
      </c>
      <c r="X59" s="4">
        <f t="shared" si="61"/>
        <v>3.5</v>
      </c>
      <c r="Y59" s="6">
        <f t="shared" si="62"/>
        <v>0.84</v>
      </c>
      <c r="Z59" s="4">
        <f t="shared" si="63"/>
        <v>0.875</v>
      </c>
      <c r="AA59" s="4">
        <f t="shared" si="64"/>
        <v>1.0208333333333333</v>
      </c>
      <c r="AB59" s="467">
        <f t="shared" si="65"/>
        <v>0</v>
      </c>
      <c r="AC59" s="85">
        <v>0</v>
      </c>
      <c r="AD59" s="10"/>
      <c r="AE59" s="1"/>
    </row>
    <row r="60" spans="1:43" ht="12.75" customHeight="1" x14ac:dyDescent="0.2">
      <c r="B60" s="338">
        <v>80697.58</v>
      </c>
      <c r="C60" s="339">
        <v>81419.11</v>
      </c>
      <c r="D60" s="340" t="s">
        <v>30</v>
      </c>
      <c r="E60" s="340" t="s">
        <v>112</v>
      </c>
      <c r="F60" s="340" t="s">
        <v>106</v>
      </c>
      <c r="G60" s="47" t="str">
        <f t="shared" si="49"/>
        <v>-</v>
      </c>
      <c r="H60" s="342">
        <v>2</v>
      </c>
      <c r="I60" s="341">
        <v>0</v>
      </c>
      <c r="J60" s="341">
        <v>26.19</v>
      </c>
      <c r="K60" s="341">
        <v>0</v>
      </c>
      <c r="L60" s="341">
        <v>0</v>
      </c>
      <c r="M60" s="83">
        <f t="shared" si="54"/>
        <v>721.52999999999884</v>
      </c>
      <c r="N60" s="345" t="s">
        <v>101</v>
      </c>
      <c r="O60" s="76">
        <f t="shared" si="18"/>
        <v>0</v>
      </c>
      <c r="P60" s="347">
        <v>18404</v>
      </c>
      <c r="Q60" s="75">
        <f t="shared" si="1"/>
        <v>18404</v>
      </c>
      <c r="R60" s="493">
        <f t="shared" si="55"/>
        <v>2205.2288888888888</v>
      </c>
      <c r="S60" s="210">
        <f t="shared" si="56"/>
        <v>1.1026144444444443</v>
      </c>
      <c r="T60" s="6">
        <f t="shared" si="57"/>
        <v>0</v>
      </c>
      <c r="U60" s="135">
        <f t="shared" si="58"/>
        <v>0</v>
      </c>
      <c r="V60" s="6">
        <f t="shared" si="59"/>
        <v>0</v>
      </c>
      <c r="W60" s="34">
        <f t="shared" si="60"/>
        <v>653.22839506172841</v>
      </c>
      <c r="X60" s="4">
        <f t="shared" si="61"/>
        <v>367.00481481481484</v>
      </c>
      <c r="Y60" s="6">
        <f t="shared" si="62"/>
        <v>81.795555555555552</v>
      </c>
      <c r="Z60" s="4">
        <f t="shared" si="63"/>
        <v>85.203703703703709</v>
      </c>
      <c r="AA60" s="4">
        <f t="shared" si="64"/>
        <v>99.404320987654316</v>
      </c>
      <c r="AB60" s="467">
        <f t="shared" si="65"/>
        <v>0</v>
      </c>
      <c r="AC60" s="85">
        <f>IF(A60="APP SLAB",0,(M60))</f>
        <v>721.52999999999884</v>
      </c>
      <c r="AD60" s="10"/>
      <c r="AE60" s="1"/>
    </row>
    <row r="61" spans="1:43" ht="12.75" customHeight="1" x14ac:dyDescent="0.2">
      <c r="B61" s="338">
        <v>80741.149999999994</v>
      </c>
      <c r="C61" s="339">
        <v>81059.83</v>
      </c>
      <c r="D61" s="340" t="s">
        <v>15</v>
      </c>
      <c r="E61" s="340" t="s">
        <v>106</v>
      </c>
      <c r="F61" s="340" t="s">
        <v>112</v>
      </c>
      <c r="G61" s="47" t="str">
        <f t="shared" si="49"/>
        <v>-</v>
      </c>
      <c r="H61" s="342">
        <v>2</v>
      </c>
      <c r="I61" s="341">
        <v>0</v>
      </c>
      <c r="J61" s="341">
        <v>11.57</v>
      </c>
      <c r="K61" s="341">
        <v>0</v>
      </c>
      <c r="L61" s="341">
        <v>0</v>
      </c>
      <c r="M61" s="83">
        <f t="shared" si="54"/>
        <v>318.68000000000757</v>
      </c>
      <c r="N61" s="345">
        <v>22</v>
      </c>
      <c r="O61" s="76">
        <f t="shared" si="18"/>
        <v>7011</v>
      </c>
      <c r="P61" s="347">
        <v>0</v>
      </c>
      <c r="Q61" s="75">
        <f t="shared" si="1"/>
        <v>7011</v>
      </c>
      <c r="R61" s="493">
        <f t="shared" si="55"/>
        <v>849.8177777777795</v>
      </c>
      <c r="S61" s="210">
        <f t="shared" si="56"/>
        <v>0.42490888888888972</v>
      </c>
      <c r="T61" s="6">
        <f t="shared" si="57"/>
        <v>0</v>
      </c>
      <c r="U61" s="135">
        <f t="shared" si="58"/>
        <v>0</v>
      </c>
      <c r="V61" s="6">
        <f t="shared" si="59"/>
        <v>0</v>
      </c>
      <c r="W61" s="34">
        <f t="shared" si="60"/>
        <v>248.84722222222223</v>
      </c>
      <c r="X61" s="4">
        <f t="shared" si="61"/>
        <v>141.40333333333334</v>
      </c>
      <c r="Y61" s="6">
        <f t="shared" si="62"/>
        <v>31.16</v>
      </c>
      <c r="Z61" s="4">
        <f t="shared" si="63"/>
        <v>32.458333333333336</v>
      </c>
      <c r="AA61" s="4">
        <f t="shared" si="64"/>
        <v>37.868055555555557</v>
      </c>
      <c r="AB61" s="467">
        <f t="shared" si="65"/>
        <v>0</v>
      </c>
      <c r="AC61" s="85">
        <f>IF(A61="APP SLAB",0,(M61))</f>
        <v>318.68000000000757</v>
      </c>
      <c r="AD61" s="10"/>
      <c r="AE61" s="1"/>
    </row>
    <row r="62" spans="1:43" ht="12.75" customHeight="1" x14ac:dyDescent="0.2">
      <c r="B62" s="338">
        <v>81059.83</v>
      </c>
      <c r="C62" s="339">
        <v>81338.28</v>
      </c>
      <c r="D62" s="340" t="s">
        <v>15</v>
      </c>
      <c r="E62" s="340" t="s">
        <v>105</v>
      </c>
      <c r="F62" s="340" t="s">
        <v>112</v>
      </c>
      <c r="G62" s="47" t="str">
        <f t="shared" si="49"/>
        <v>-</v>
      </c>
      <c r="H62" s="342">
        <v>1.5</v>
      </c>
      <c r="I62" s="341">
        <v>5.88</v>
      </c>
      <c r="J62" s="341">
        <v>6.91</v>
      </c>
      <c r="K62" s="341">
        <v>0</v>
      </c>
      <c r="L62" s="341">
        <v>0</v>
      </c>
      <c r="M62" s="83">
        <f t="shared" si="54"/>
        <v>278.44999999999709</v>
      </c>
      <c r="N62" s="345">
        <v>20</v>
      </c>
      <c r="O62" s="76">
        <f t="shared" si="18"/>
        <v>5569</v>
      </c>
      <c r="P62" s="347">
        <v>0</v>
      </c>
      <c r="Q62" s="75">
        <f t="shared" si="1"/>
        <v>5569</v>
      </c>
      <c r="R62" s="493">
        <f t="shared" si="55"/>
        <v>665.18611111111068</v>
      </c>
      <c r="S62" s="210">
        <f t="shared" si="56"/>
        <v>0.33259305555555535</v>
      </c>
      <c r="T62" s="6">
        <f t="shared" si="57"/>
        <v>0</v>
      </c>
      <c r="U62" s="135">
        <f t="shared" si="58"/>
        <v>0</v>
      </c>
      <c r="V62" s="6">
        <f t="shared" si="59"/>
        <v>0</v>
      </c>
      <c r="W62" s="34">
        <f t="shared" si="60"/>
        <v>203.54512345679009</v>
      </c>
      <c r="X62" s="4">
        <f t="shared" si="61"/>
        <v>110.03962962962963</v>
      </c>
      <c r="Y62" s="6">
        <f t="shared" si="62"/>
        <v>24.751111111111115</v>
      </c>
      <c r="Z62" s="4">
        <f t="shared" si="63"/>
        <v>25.782407407407408</v>
      </c>
      <c r="AA62" s="4">
        <f t="shared" si="64"/>
        <v>30.079475308641978</v>
      </c>
      <c r="AB62" s="467">
        <f t="shared" si="65"/>
        <v>5.5861882716048799</v>
      </c>
      <c r="AC62" s="85">
        <f>IF(A62="APP SLAB",0,(M62))</f>
        <v>278.44999999999709</v>
      </c>
      <c r="AD62" s="10"/>
      <c r="AE62" s="1"/>
    </row>
    <row r="63" spans="1:43" ht="12.75" customHeight="1" x14ac:dyDescent="0.2">
      <c r="A63" s="48" t="s">
        <v>28</v>
      </c>
      <c r="B63" s="338">
        <v>81383.960000000006</v>
      </c>
      <c r="C63" s="339">
        <v>81412.460000000006</v>
      </c>
      <c r="D63" s="340" t="s">
        <v>30</v>
      </c>
      <c r="E63" s="340" t="s">
        <v>101</v>
      </c>
      <c r="F63" s="340" t="s">
        <v>101</v>
      </c>
      <c r="G63" s="47" t="str">
        <f t="shared" si="49"/>
        <v>-</v>
      </c>
      <c r="H63" s="26">
        <f t="shared" ref="H63" si="70">IF(AND($E63=$AE$2,$F63=$AE$2),2*$AG$12,IF(OR(AND($E63=$AE$2, $F63=$AE$3),AND($E63=$AE$3,$F63=$AE$2)),$AG$12+$AG$13,IF(OR(AND($E63=$AE$2,$F63=$AE$4),AND($E63=$AE$4,$F63=$AE$2)),$AG$12,IF(OR(AND($E63=$AE$3,$F63=$AE$4),AND($E63=$AE$4,$F63=$AE$3)),$AG$13,IF(AND($E63=$AE$3,$F63=$AE$3),2*$AG$13,0)))))</f>
        <v>0</v>
      </c>
      <c r="I63" s="27">
        <f t="shared" ref="I63" si="71">IF(AND($E63=$AE$2,$F63=$AE$2),2*$AJ$12*$M63/27,IF(OR(AND($E63=$AE$2,$F63=$AE$3),AND($E63=$AE$3,$F63=$AE$2)),$AJ$12*$M63/27,IF(OR(AND($E63=$AE$2,$F63=$AE$4),AND($E63=$AE$4,$F63=$AE$2)),$AJ$12*$M63/27,0)))</f>
        <v>0</v>
      </c>
      <c r="J63" s="27">
        <f t="shared" ref="J63" si="72">IF(AND($E63=$AE$2,$F63=$AE$2),2*$AM$12*$M63/27,IF(OR(AND($E63=$AE$2,$F63=$AE$3),AND($E63=$AE$3,$F63=$AE$2)),($AM$12+$AM$13)*$M63/27,IF(OR(AND($E63=$AE$2,$F63=$AE$4),AND($E63=$AE$4,$F63=$AE$2)),$AM$12*$M63/27,IF(OR(AND($E63=$AE$3,$F63=$AE$4),AND($E63=$AE$4,$F63=$AE$3)),$AM$13*$M63/27,IF(AND($E63=$AE$3,$F63=$AE$3),2*$AM$13*$M63/27,0)))))</f>
        <v>0</v>
      </c>
      <c r="K63" s="27">
        <f t="shared" ref="K63" si="73">IF(AND($E63=$AE$4,$F63=$AE$4),2*$AP$14*$M63/27,IF(OR($E63=$AE$4,$F63=$AE$4),$AP$14*$M63/27,0))</f>
        <v>0</v>
      </c>
      <c r="L63" s="341">
        <v>0</v>
      </c>
      <c r="M63" s="83">
        <f t="shared" si="54"/>
        <v>28.5</v>
      </c>
      <c r="N63" s="345" t="s">
        <v>101</v>
      </c>
      <c r="O63" s="76">
        <f t="shared" si="18"/>
        <v>0</v>
      </c>
      <c r="P63" s="347">
        <v>1038</v>
      </c>
      <c r="Q63" s="75">
        <f t="shared" si="1"/>
        <v>1038</v>
      </c>
      <c r="R63" s="493">
        <f t="shared" si="55"/>
        <v>0</v>
      </c>
      <c r="S63" s="210">
        <f t="shared" si="56"/>
        <v>0</v>
      </c>
      <c r="T63" s="6">
        <f t="shared" si="57"/>
        <v>0</v>
      </c>
      <c r="U63" s="135">
        <f t="shared" si="58"/>
        <v>0</v>
      </c>
      <c r="V63" s="6">
        <f t="shared" si="59"/>
        <v>0</v>
      </c>
      <c r="W63" s="34">
        <f t="shared" si="60"/>
        <v>0</v>
      </c>
      <c r="X63" s="4">
        <f t="shared" si="61"/>
        <v>19.222222222222221</v>
      </c>
      <c r="Y63" s="6">
        <f t="shared" si="62"/>
        <v>0</v>
      </c>
      <c r="Z63" s="4">
        <f t="shared" si="63"/>
        <v>0</v>
      </c>
      <c r="AA63" s="4">
        <f t="shared" si="64"/>
        <v>0</v>
      </c>
      <c r="AB63" s="467">
        <f t="shared" si="65"/>
        <v>0</v>
      </c>
      <c r="AC63" s="85">
        <f>IF(A63="APP SLAB",0,(M63*2))</f>
        <v>0</v>
      </c>
      <c r="AD63" s="10"/>
      <c r="AE63" s="1"/>
    </row>
    <row r="64" spans="1:43" ht="12.75" customHeight="1" thickBot="1" x14ac:dyDescent="0.25">
      <c r="B64" s="54"/>
      <c r="C64" s="3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174"/>
      <c r="AE64" s="1"/>
    </row>
    <row r="65" spans="1:31" ht="12.75" customHeight="1" x14ac:dyDescent="0.2">
      <c r="A65" s="20"/>
      <c r="B65" s="707" t="s">
        <v>268</v>
      </c>
      <c r="C65" s="708"/>
      <c r="D65" s="585" t="s">
        <v>190</v>
      </c>
      <c r="E65" s="586"/>
      <c r="F65" s="586"/>
      <c r="G65" s="586"/>
      <c r="H65" s="586"/>
      <c r="I65" s="586"/>
      <c r="J65" s="586"/>
      <c r="K65" s="586"/>
      <c r="L65" s="586"/>
      <c r="M65" s="586"/>
      <c r="N65" s="586"/>
      <c r="O65" s="586"/>
      <c r="P65" s="586"/>
      <c r="Q65" s="587"/>
      <c r="R65" s="592">
        <f>ROUNDUP(SUM(R18:R63),0)</f>
        <v>21453</v>
      </c>
      <c r="S65" s="592">
        <f>ROUNDUP(SUM(S18:S63),0)</f>
        <v>19</v>
      </c>
      <c r="T65" s="592">
        <f>ROUNDUP(SUM(T18:T63),0)</f>
        <v>16103</v>
      </c>
      <c r="U65" s="592">
        <f t="shared" ref="U65:AC65" si="74">ROUNDUP(SUM(U18:U63),0)</f>
        <v>16103</v>
      </c>
      <c r="V65" s="592">
        <f t="shared" si="74"/>
        <v>479</v>
      </c>
      <c r="W65" s="592">
        <f t="shared" si="74"/>
        <v>11227</v>
      </c>
      <c r="X65" s="592">
        <f t="shared" si="74"/>
        <v>6329</v>
      </c>
      <c r="Y65" s="592">
        <f t="shared" si="74"/>
        <v>1367</v>
      </c>
      <c r="Z65" s="592">
        <f t="shared" si="74"/>
        <v>1417</v>
      </c>
      <c r="AA65" s="592">
        <f t="shared" si="74"/>
        <v>1664</v>
      </c>
      <c r="AB65" s="592">
        <f t="shared" ref="AB65" si="75">ROUNDUP(SUM(AB18:AB63),0)</f>
        <v>186</v>
      </c>
      <c r="AC65" s="592">
        <f t="shared" si="74"/>
        <v>18461</v>
      </c>
      <c r="AD65" s="144"/>
      <c r="AE65" s="1"/>
    </row>
    <row r="66" spans="1:31" ht="12.75" customHeight="1" thickBot="1" x14ac:dyDescent="0.25">
      <c r="A66" s="20"/>
      <c r="B66" s="709"/>
      <c r="C66" s="710"/>
      <c r="D66" s="588"/>
      <c r="E66" s="589"/>
      <c r="F66" s="589"/>
      <c r="G66" s="589"/>
      <c r="H66" s="589"/>
      <c r="I66" s="589"/>
      <c r="J66" s="589"/>
      <c r="K66" s="589"/>
      <c r="L66" s="589"/>
      <c r="M66" s="589"/>
      <c r="N66" s="589"/>
      <c r="O66" s="589"/>
      <c r="P66" s="589"/>
      <c r="Q66" s="590"/>
      <c r="R66" s="593"/>
      <c r="S66" s="593"/>
      <c r="T66" s="593"/>
      <c r="U66" s="593"/>
      <c r="V66" s="593"/>
      <c r="W66" s="593"/>
      <c r="X66" s="593"/>
      <c r="Y66" s="593"/>
      <c r="Z66" s="593"/>
      <c r="AA66" s="593"/>
      <c r="AB66" s="593"/>
      <c r="AC66" s="593"/>
      <c r="AD66" s="44"/>
      <c r="AE66" s="1"/>
    </row>
    <row r="67" spans="1:31" ht="12.75" customHeight="1" x14ac:dyDescent="0.2">
      <c r="AE67" s="1"/>
    </row>
    <row r="68" spans="1:31" ht="12.75" customHeight="1" x14ac:dyDescent="0.2">
      <c r="A68" s="20"/>
      <c r="C68" s="22"/>
      <c r="AE68" s="1"/>
    </row>
    <row r="69" spans="1:31" ht="12.75" customHeight="1" x14ac:dyDescent="0.2">
      <c r="A69" s="20"/>
      <c r="C69" s="22"/>
      <c r="AE69" s="1"/>
    </row>
    <row r="70" spans="1:31" ht="12.75" customHeight="1" x14ac:dyDescent="0.2">
      <c r="C70" s="22"/>
      <c r="AE70" s="1"/>
    </row>
    <row r="71" spans="1:31" ht="12.75" customHeight="1" x14ac:dyDescent="0.25">
      <c r="C71" s="22"/>
      <c r="Q71" s="184">
        <f>SUM(Q18:Q63)</f>
        <v>316842</v>
      </c>
      <c r="R71" s="512"/>
      <c r="S71" s="179" t="s">
        <v>181</v>
      </c>
      <c r="V71" s="8"/>
      <c r="AA71" s="15"/>
      <c r="AB71" s="90"/>
      <c r="AC71" s="90"/>
      <c r="AD71" s="1"/>
      <c r="AE71" s="1"/>
    </row>
    <row r="72" spans="1:31" ht="12.75" customHeight="1" x14ac:dyDescent="0.2">
      <c r="C72" s="22"/>
      <c r="AE72" s="1"/>
    </row>
    <row r="73" spans="1:31" ht="12.75" customHeight="1" x14ac:dyDescent="0.2">
      <c r="C73" s="22"/>
      <c r="AE73" s="1"/>
    </row>
    <row r="74" spans="1:31" ht="12.75" customHeight="1" x14ac:dyDescent="0.2">
      <c r="C74" s="22"/>
      <c r="AE74" s="1"/>
    </row>
    <row r="75" spans="1:31" ht="12.75" customHeight="1" x14ac:dyDescent="0.2">
      <c r="C75" s="22"/>
    </row>
    <row r="76" spans="1:31" ht="12.75" customHeight="1" x14ac:dyDescent="0.2"/>
    <row r="77" spans="1:31" ht="12.75" customHeight="1" x14ac:dyDescent="0.2"/>
    <row r="78" spans="1:31" ht="12.75" customHeight="1" x14ac:dyDescent="0.2"/>
    <row r="79" spans="1:31" ht="12.75" customHeight="1" x14ac:dyDescent="0.2"/>
    <row r="80" spans="1:31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31" ht="12.75" customHeight="1" x14ac:dyDescent="0.2"/>
    <row r="130" spans="1:31" ht="12.75" customHeight="1" x14ac:dyDescent="0.2"/>
    <row r="131" spans="1:31" ht="12.75" customHeight="1" x14ac:dyDescent="0.2"/>
    <row r="132" spans="1:31" ht="12.75" customHeight="1" x14ac:dyDescent="0.2"/>
    <row r="133" spans="1:31" ht="12.75" customHeight="1" x14ac:dyDescent="0.2"/>
    <row r="134" spans="1:31" ht="12.75" customHeight="1" x14ac:dyDescent="0.2"/>
    <row r="135" spans="1:31" s="20" customFormat="1" ht="12.75" customHeight="1" x14ac:dyDescent="0.2">
      <c r="A135" s="1"/>
      <c r="B135" s="21"/>
      <c r="C135" s="21"/>
      <c r="D135" s="1"/>
      <c r="E135" s="1"/>
      <c r="F135" s="1"/>
      <c r="G135" s="1"/>
      <c r="H135" s="1"/>
      <c r="I135" s="1"/>
      <c r="J135" s="1"/>
      <c r="K135" s="1"/>
      <c r="L135" s="1"/>
      <c r="M135" s="8"/>
      <c r="N135" s="8"/>
      <c r="R135" s="94"/>
      <c r="S135" s="94"/>
      <c r="T135" s="11"/>
      <c r="U135" s="11"/>
      <c r="V135" s="11"/>
      <c r="W135" s="8"/>
      <c r="X135" s="8"/>
      <c r="Y135" s="8"/>
      <c r="Z135" s="8"/>
      <c r="AA135" s="8"/>
      <c r="AB135" s="87"/>
      <c r="AC135" s="15"/>
      <c r="AD135" s="90"/>
      <c r="AE135" s="94"/>
    </row>
    <row r="136" spans="1:31" s="20" customFormat="1" ht="12.75" customHeight="1" x14ac:dyDescent="0.2">
      <c r="A136" s="1"/>
      <c r="B136" s="21"/>
      <c r="C136" s="21"/>
      <c r="D136" s="1"/>
      <c r="E136" s="1"/>
      <c r="F136" s="1"/>
      <c r="G136" s="1"/>
      <c r="H136" s="1"/>
      <c r="I136" s="1"/>
      <c r="J136" s="1"/>
      <c r="K136" s="1"/>
      <c r="L136" s="1"/>
      <c r="M136" s="8"/>
      <c r="N136" s="8"/>
      <c r="R136" s="94"/>
      <c r="S136" s="94"/>
      <c r="T136" s="11"/>
      <c r="U136" s="11"/>
      <c r="V136" s="11"/>
      <c r="W136" s="8"/>
      <c r="X136" s="8"/>
      <c r="Y136" s="8"/>
      <c r="Z136" s="8"/>
      <c r="AA136" s="8"/>
      <c r="AB136" s="87"/>
      <c r="AC136" s="15"/>
      <c r="AD136" s="90"/>
      <c r="AE136" s="94"/>
    </row>
  </sheetData>
  <customSheetViews>
    <customSheetView guid="{221143F3-72E3-4C4A-9811-2F859DD19779}" fitToPage="1" hiddenColumns="1">
      <pane ySplit="13" topLeftCell="A38" activePane="bottomLeft" state="frozen"/>
      <selection pane="bottomLeft" activeCell="T63" sqref="T63"/>
      <pageMargins left="0.73" right="0.75" top="0.66" bottom="0.4" header="0.65" footer="0.25"/>
      <printOptions horizontalCentered="1" verticalCentered="1"/>
      <pageSetup paperSize="17" scale="63" orientation="landscape" r:id="rId1"/>
      <headerFooter alignWithMargins="0">
        <oddFooter>&amp;L&amp;D&amp;R&amp;F, &amp;A</oddFooter>
      </headerFooter>
    </customSheetView>
  </customSheetViews>
  <mergeCells count="78">
    <mergeCell ref="AG16:AI16"/>
    <mergeCell ref="AJ16:AL16"/>
    <mergeCell ref="AM16:AO16"/>
    <mergeCell ref="AP16:AR16"/>
    <mergeCell ref="AG15:AI15"/>
    <mergeCell ref="AJ15:AL15"/>
    <mergeCell ref="AG12:AI12"/>
    <mergeCell ref="AJ12:AL12"/>
    <mergeCell ref="AM12:AO12"/>
    <mergeCell ref="AP12:AR12"/>
    <mergeCell ref="AM15:AO15"/>
    <mergeCell ref="AP15:AR15"/>
    <mergeCell ref="AG13:AI13"/>
    <mergeCell ref="AJ13:AL13"/>
    <mergeCell ref="AM13:AO13"/>
    <mergeCell ref="AP13:AR13"/>
    <mergeCell ref="AG14:AI14"/>
    <mergeCell ref="AJ14:AL14"/>
    <mergeCell ref="AM14:AO14"/>
    <mergeCell ref="AP14:AR14"/>
    <mergeCell ref="AE9:AR9"/>
    <mergeCell ref="AE10:AE11"/>
    <mergeCell ref="AF10:AF11"/>
    <mergeCell ref="AG10:AI10"/>
    <mergeCell ref="AJ10:AL10"/>
    <mergeCell ref="AM10:AO10"/>
    <mergeCell ref="AP10:AR10"/>
    <mergeCell ref="AG11:AI11"/>
    <mergeCell ref="AJ11:AL11"/>
    <mergeCell ref="AM11:AO11"/>
    <mergeCell ref="AP11:AR11"/>
    <mergeCell ref="B50:C50"/>
    <mergeCell ref="B65:C66"/>
    <mergeCell ref="AC65:AC66"/>
    <mergeCell ref="W65:W66"/>
    <mergeCell ref="X65:X66"/>
    <mergeCell ref="Y65:Y66"/>
    <mergeCell ref="Z65:Z66"/>
    <mergeCell ref="AA65:AA66"/>
    <mergeCell ref="D65:Q66"/>
    <mergeCell ref="T65:T66"/>
    <mergeCell ref="U65:U66"/>
    <mergeCell ref="V65:V66"/>
    <mergeCell ref="S65:S66"/>
    <mergeCell ref="R65:R66"/>
    <mergeCell ref="T5:V5"/>
    <mergeCell ref="Z5:AA5"/>
    <mergeCell ref="B5:C15"/>
    <mergeCell ref="I5:I15"/>
    <mergeCell ref="J5:J15"/>
    <mergeCell ref="K5:K15"/>
    <mergeCell ref="L5:L15"/>
    <mergeCell ref="M5:M15"/>
    <mergeCell ref="N5:N15"/>
    <mergeCell ref="D5:D16"/>
    <mergeCell ref="E5:E16"/>
    <mergeCell ref="F5:F16"/>
    <mergeCell ref="R6:R15"/>
    <mergeCell ref="B25:C25"/>
    <mergeCell ref="B30:C30"/>
    <mergeCell ref="AC6:AC15"/>
    <mergeCell ref="B17:C17"/>
    <mergeCell ref="G5:G16"/>
    <mergeCell ref="H5:H15"/>
    <mergeCell ref="V6:V15"/>
    <mergeCell ref="AB6:AB15"/>
    <mergeCell ref="AB65:AB66"/>
    <mergeCell ref="Z6:Z15"/>
    <mergeCell ref="AA6:AA15"/>
    <mergeCell ref="Y6:Y15"/>
    <mergeCell ref="W6:W15"/>
    <mergeCell ref="X6:X15"/>
    <mergeCell ref="P5:P15"/>
    <mergeCell ref="Q5:Q15"/>
    <mergeCell ref="O5:O15"/>
    <mergeCell ref="S6:S15"/>
    <mergeCell ref="T6:T15"/>
    <mergeCell ref="U6:U15"/>
  </mergeCells>
  <dataValidations disablePrompts="1" count="1">
    <dataValidation type="list" allowBlank="1" showInputMessage="1" showErrorMessage="1" sqref="E18:F63">
      <formula1>$AE$2:$AE$6</formula1>
    </dataValidation>
  </dataValidations>
  <printOptions horizontalCentered="1" verticalCentered="1"/>
  <pageMargins left="0.73" right="0.75" top="0.66" bottom="0.4" header="0.65" footer="0.25"/>
  <pageSetup paperSize="17" scale="88" orientation="landscape" r:id="rId2"/>
  <headerFooter scaleWithDoc="0" alignWithMargins="0">
    <oddHeader>&amp;LHAN-75-14.39</oddHead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36"/>
  <sheetViews>
    <sheetView view="pageBreakPreview" zoomScaleNormal="100" zoomScaleSheetLayoutView="100" workbookViewId="0">
      <pane ySplit="16" topLeftCell="A17" activePane="bottomLeft" state="frozen"/>
      <selection pane="bottomLeft" activeCell="R47" sqref="R47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7" width="9.7109375" style="81" hidden="1" customWidth="1"/>
    <col min="8" max="10" width="8.5703125" style="81" hidden="1" customWidth="1"/>
    <col min="11" max="12" width="9.28515625" style="87" customWidth="1"/>
    <col min="13" max="13" width="10.7109375" style="94" customWidth="1"/>
    <col min="14" max="14" width="10" style="94" customWidth="1"/>
    <col min="15" max="16" width="10.7109375" style="94" customWidth="1"/>
    <col min="17" max="17" width="9.28515625" style="88" customWidth="1"/>
    <col min="18" max="19" width="10.28515625" style="81" bestFit="1" customWidth="1"/>
    <col min="20" max="20" width="9.140625" style="81"/>
    <col min="21" max="21" width="11.85546875" style="81" bestFit="1" customWidth="1"/>
    <col min="22" max="22" width="9.85546875" style="81" bestFit="1" customWidth="1"/>
    <col min="23" max="23" width="9.85546875" style="81" customWidth="1"/>
    <col min="24" max="24" width="9.140625" style="81"/>
    <col min="25" max="25" width="11.85546875" style="81" bestFit="1" customWidth="1"/>
    <col min="26" max="26" width="9.85546875" style="81" bestFit="1" customWidth="1"/>
    <col min="27" max="27" width="9.140625" style="81"/>
    <col min="28" max="28" width="9.140625" style="81" customWidth="1"/>
    <col min="29" max="16384" width="9.140625" style="81"/>
  </cols>
  <sheetData>
    <row r="1" spans="2:35" s="90" customFormat="1" ht="13.5" thickBot="1" x14ac:dyDescent="0.25">
      <c r="B1" s="97"/>
      <c r="C1" s="97"/>
      <c r="K1" s="88"/>
      <c r="L1" s="88"/>
      <c r="M1" s="105"/>
      <c r="N1" s="105"/>
      <c r="O1" s="105"/>
      <c r="P1" s="105"/>
      <c r="Q1" s="105"/>
      <c r="R1" s="88"/>
      <c r="S1" s="88">
        <v>12</v>
      </c>
      <c r="T1" s="88"/>
      <c r="U1" s="125">
        <v>6</v>
      </c>
      <c r="W1" s="90">
        <v>3.25</v>
      </c>
    </row>
    <row r="2" spans="2:35" s="90" customFormat="1" x14ac:dyDescent="0.2">
      <c r="B2" s="97"/>
      <c r="C2" s="97"/>
      <c r="Q2" s="146"/>
      <c r="R2" s="145" t="s">
        <v>36</v>
      </c>
      <c r="S2" s="168" t="s">
        <v>149</v>
      </c>
      <c r="T2" s="168"/>
      <c r="U2" s="168"/>
      <c r="V2" s="170" t="s">
        <v>35</v>
      </c>
      <c r="W2" s="211">
        <v>41920</v>
      </c>
      <c r="Y2" s="224" t="s">
        <v>105</v>
      </c>
      <c r="Z2" s="81"/>
      <c r="AA2" s="224" t="s">
        <v>107</v>
      </c>
      <c r="AB2" s="219" t="s">
        <v>212</v>
      </c>
    </row>
    <row r="3" spans="2:35" s="90" customFormat="1" ht="13.5" thickBot="1" x14ac:dyDescent="0.25">
      <c r="B3" s="97"/>
      <c r="C3" s="97"/>
      <c r="Q3" s="45"/>
      <c r="R3" s="46" t="s">
        <v>37</v>
      </c>
      <c r="S3" s="169" t="s">
        <v>278</v>
      </c>
      <c r="T3" s="216"/>
      <c r="U3" s="216"/>
      <c r="V3" s="217" t="s">
        <v>35</v>
      </c>
      <c r="W3" s="472">
        <v>41926</v>
      </c>
      <c r="Y3" s="225" t="s">
        <v>106</v>
      </c>
      <c r="Z3" s="81"/>
      <c r="AA3" s="225" t="s">
        <v>108</v>
      </c>
      <c r="AB3" s="106" t="s">
        <v>213</v>
      </c>
    </row>
    <row r="4" spans="2:35" s="90" customFormat="1" ht="13.5" thickBot="1" x14ac:dyDescent="0.25">
      <c r="B4" s="97"/>
      <c r="C4" s="97"/>
      <c r="K4" s="88"/>
      <c r="L4" s="88"/>
      <c r="M4" s="105"/>
      <c r="N4" s="105"/>
      <c r="O4" s="105"/>
      <c r="P4" s="105"/>
      <c r="Q4" s="105"/>
      <c r="R4" s="88"/>
      <c r="S4" s="88"/>
      <c r="T4" s="88"/>
      <c r="U4" s="125"/>
      <c r="Y4" s="225" t="s">
        <v>111</v>
      </c>
      <c r="Z4" s="81"/>
      <c r="AA4" s="225" t="s">
        <v>113</v>
      </c>
      <c r="AB4" s="106" t="s">
        <v>214</v>
      </c>
    </row>
    <row r="5" spans="2:35" s="91" customFormat="1" ht="12.75" customHeight="1" x14ac:dyDescent="0.2">
      <c r="B5" s="639" t="s">
        <v>1</v>
      </c>
      <c r="C5" s="640"/>
      <c r="D5" s="635" t="s">
        <v>0</v>
      </c>
      <c r="E5" s="649" t="s">
        <v>103</v>
      </c>
      <c r="F5" s="649" t="s">
        <v>104</v>
      </c>
      <c r="G5" s="649" t="s">
        <v>110</v>
      </c>
      <c r="H5" s="649" t="s">
        <v>200</v>
      </c>
      <c r="I5" s="649" t="s">
        <v>50</v>
      </c>
      <c r="J5" s="649" t="s">
        <v>118</v>
      </c>
      <c r="K5" s="645" t="s">
        <v>4</v>
      </c>
      <c r="L5" s="645" t="s">
        <v>21</v>
      </c>
      <c r="M5" s="699" t="s">
        <v>17</v>
      </c>
      <c r="N5" s="699" t="s">
        <v>20</v>
      </c>
      <c r="O5" s="699" t="s">
        <v>14</v>
      </c>
      <c r="P5" s="516">
        <v>204</v>
      </c>
      <c r="Q5" s="203">
        <v>204</v>
      </c>
      <c r="R5" s="526">
        <v>206</v>
      </c>
      <c r="S5" s="527"/>
      <c r="T5" s="527"/>
      <c r="U5" s="2">
        <v>304</v>
      </c>
      <c r="V5" s="2">
        <v>452</v>
      </c>
      <c r="W5" s="49">
        <v>617</v>
      </c>
      <c r="Y5" s="225" t="s">
        <v>112</v>
      </c>
      <c r="Z5" s="81"/>
      <c r="AA5" s="225" t="s">
        <v>114</v>
      </c>
      <c r="AB5" s="106" t="s">
        <v>215</v>
      </c>
    </row>
    <row r="6" spans="2:35" ht="12.75" customHeight="1" thickBot="1" x14ac:dyDescent="0.25">
      <c r="B6" s="641"/>
      <c r="C6" s="642"/>
      <c r="D6" s="636"/>
      <c r="E6" s="694"/>
      <c r="F6" s="696"/>
      <c r="G6" s="696"/>
      <c r="H6" s="692"/>
      <c r="I6" s="692"/>
      <c r="J6" s="692"/>
      <c r="K6" s="646"/>
      <c r="L6" s="646"/>
      <c r="M6" s="700"/>
      <c r="N6" s="700"/>
      <c r="O6" s="700"/>
      <c r="P6" s="657" t="s">
        <v>194</v>
      </c>
      <c r="Q6" s="658" t="s">
        <v>7</v>
      </c>
      <c r="R6" s="658" t="s">
        <v>18</v>
      </c>
      <c r="S6" s="529" t="s">
        <v>19</v>
      </c>
      <c r="T6" s="537" t="s">
        <v>23</v>
      </c>
      <c r="U6" s="543" t="s">
        <v>9</v>
      </c>
      <c r="V6" s="543" t="s">
        <v>29</v>
      </c>
      <c r="W6" s="657" t="s">
        <v>279</v>
      </c>
      <c r="Y6" s="226" t="s">
        <v>101</v>
      </c>
      <c r="AA6" s="225" t="s">
        <v>109</v>
      </c>
      <c r="AB6" s="220" t="s">
        <v>216</v>
      </c>
    </row>
    <row r="7" spans="2:35" ht="12.75" customHeight="1" thickBot="1" x14ac:dyDescent="0.25">
      <c r="B7" s="641"/>
      <c r="C7" s="642"/>
      <c r="D7" s="636"/>
      <c r="E7" s="694"/>
      <c r="F7" s="696"/>
      <c r="G7" s="696"/>
      <c r="H7" s="692"/>
      <c r="I7" s="692"/>
      <c r="J7" s="692"/>
      <c r="K7" s="646"/>
      <c r="L7" s="646"/>
      <c r="M7" s="700"/>
      <c r="N7" s="700"/>
      <c r="O7" s="700"/>
      <c r="P7" s="658"/>
      <c r="Q7" s="658"/>
      <c r="R7" s="658"/>
      <c r="S7" s="702"/>
      <c r="T7" s="702"/>
      <c r="U7" s="544"/>
      <c r="V7" s="544"/>
      <c r="W7" s="658"/>
      <c r="AA7" s="226" t="s">
        <v>116</v>
      </c>
      <c r="AB7" s="220" t="s">
        <v>217</v>
      </c>
    </row>
    <row r="8" spans="2:35" ht="12.75" customHeight="1" thickBot="1" x14ac:dyDescent="0.25">
      <c r="B8" s="641"/>
      <c r="C8" s="642"/>
      <c r="D8" s="636"/>
      <c r="E8" s="694"/>
      <c r="F8" s="696"/>
      <c r="G8" s="696"/>
      <c r="H8" s="692"/>
      <c r="I8" s="692"/>
      <c r="J8" s="692"/>
      <c r="K8" s="646"/>
      <c r="L8" s="646"/>
      <c r="M8" s="700"/>
      <c r="N8" s="700"/>
      <c r="O8" s="700"/>
      <c r="P8" s="658"/>
      <c r="Q8" s="658"/>
      <c r="R8" s="658"/>
      <c r="S8" s="702"/>
      <c r="T8" s="702"/>
      <c r="U8" s="544"/>
      <c r="V8" s="544"/>
      <c r="W8" s="658"/>
      <c r="Y8" s="116"/>
    </row>
    <row r="9" spans="2:35" ht="12.75" customHeight="1" thickBot="1" x14ac:dyDescent="0.25">
      <c r="B9" s="641"/>
      <c r="C9" s="642"/>
      <c r="D9" s="636"/>
      <c r="E9" s="694"/>
      <c r="F9" s="696"/>
      <c r="G9" s="696"/>
      <c r="H9" s="692"/>
      <c r="I9" s="692"/>
      <c r="J9" s="692"/>
      <c r="K9" s="646"/>
      <c r="L9" s="646"/>
      <c r="M9" s="700"/>
      <c r="N9" s="700"/>
      <c r="O9" s="700"/>
      <c r="P9" s="658"/>
      <c r="Q9" s="658"/>
      <c r="R9" s="658"/>
      <c r="S9" s="702"/>
      <c r="T9" s="702"/>
      <c r="U9" s="544"/>
      <c r="V9" s="544"/>
      <c r="W9" s="658"/>
      <c r="Y9" s="659" t="s">
        <v>211</v>
      </c>
      <c r="Z9" s="660"/>
      <c r="AA9" s="660"/>
      <c r="AB9" s="660"/>
      <c r="AC9" s="660"/>
      <c r="AD9" s="660"/>
      <c r="AE9" s="660"/>
      <c r="AF9" s="660"/>
      <c r="AG9" s="660"/>
      <c r="AH9" s="660"/>
      <c r="AI9" s="661"/>
    </row>
    <row r="10" spans="2:35" ht="12.75" customHeight="1" x14ac:dyDescent="0.2">
      <c r="B10" s="641"/>
      <c r="C10" s="642"/>
      <c r="D10" s="636"/>
      <c r="E10" s="694"/>
      <c r="F10" s="696"/>
      <c r="G10" s="696"/>
      <c r="H10" s="692"/>
      <c r="I10" s="692"/>
      <c r="J10" s="692"/>
      <c r="K10" s="646"/>
      <c r="L10" s="646"/>
      <c r="M10" s="700"/>
      <c r="N10" s="700"/>
      <c r="O10" s="700"/>
      <c r="P10" s="658"/>
      <c r="Q10" s="658"/>
      <c r="R10" s="658"/>
      <c r="S10" s="702"/>
      <c r="T10" s="702"/>
      <c r="U10" s="544"/>
      <c r="V10" s="544"/>
      <c r="W10" s="658"/>
      <c r="Y10" s="662" t="s">
        <v>218</v>
      </c>
      <c r="Z10" s="664" t="s">
        <v>224</v>
      </c>
      <c r="AA10" s="686" t="s">
        <v>199</v>
      </c>
      <c r="AB10" s="668"/>
      <c r="AC10" s="687"/>
      <c r="AD10" s="667" t="s">
        <v>49</v>
      </c>
      <c r="AE10" s="668"/>
      <c r="AF10" s="687"/>
      <c r="AG10" s="667" t="s">
        <v>117</v>
      </c>
      <c r="AH10" s="668"/>
      <c r="AI10" s="669"/>
    </row>
    <row r="11" spans="2:35" ht="12.75" customHeight="1" thickBot="1" x14ac:dyDescent="0.25">
      <c r="B11" s="641"/>
      <c r="C11" s="642"/>
      <c r="D11" s="636"/>
      <c r="E11" s="694"/>
      <c r="F11" s="696"/>
      <c r="G11" s="696"/>
      <c r="H11" s="692"/>
      <c r="I11" s="692"/>
      <c r="J11" s="692"/>
      <c r="K11" s="646"/>
      <c r="L11" s="646"/>
      <c r="M11" s="700"/>
      <c r="N11" s="700"/>
      <c r="O11" s="700"/>
      <c r="P11" s="658"/>
      <c r="Q11" s="658"/>
      <c r="R11" s="658"/>
      <c r="S11" s="702"/>
      <c r="T11" s="702"/>
      <c r="U11" s="544"/>
      <c r="V11" s="544"/>
      <c r="W11" s="658"/>
      <c r="Y11" s="663"/>
      <c r="Z11" s="665"/>
      <c r="AA11" s="670" t="s">
        <v>219</v>
      </c>
      <c r="AB11" s="671"/>
      <c r="AC11" s="672"/>
      <c r="AD11" s="673" t="s">
        <v>220</v>
      </c>
      <c r="AE11" s="671"/>
      <c r="AF11" s="672"/>
      <c r="AG11" s="673" t="s">
        <v>227</v>
      </c>
      <c r="AH11" s="671"/>
      <c r="AI11" s="674"/>
    </row>
    <row r="12" spans="2:35" ht="12.75" customHeight="1" x14ac:dyDescent="0.2">
      <c r="B12" s="641"/>
      <c r="C12" s="642"/>
      <c r="D12" s="636"/>
      <c r="E12" s="694"/>
      <c r="F12" s="696"/>
      <c r="G12" s="696"/>
      <c r="H12" s="692"/>
      <c r="I12" s="692"/>
      <c r="J12" s="692"/>
      <c r="K12" s="646"/>
      <c r="L12" s="646"/>
      <c r="M12" s="700"/>
      <c r="N12" s="700"/>
      <c r="O12" s="700"/>
      <c r="P12" s="658"/>
      <c r="Q12" s="658"/>
      <c r="R12" s="658"/>
      <c r="S12" s="702"/>
      <c r="T12" s="702"/>
      <c r="U12" s="544"/>
      <c r="V12" s="544"/>
      <c r="W12" s="658"/>
      <c r="Y12" s="222" t="s">
        <v>105</v>
      </c>
      <c r="Z12" s="104" t="s">
        <v>221</v>
      </c>
      <c r="AA12" s="653">
        <v>1.5</v>
      </c>
      <c r="AB12" s="601"/>
      <c r="AC12" s="602"/>
      <c r="AD12" s="600">
        <v>0.75</v>
      </c>
      <c r="AE12" s="601"/>
      <c r="AF12" s="602"/>
      <c r="AG12" s="600" t="s">
        <v>101</v>
      </c>
      <c r="AH12" s="601"/>
      <c r="AI12" s="681"/>
    </row>
    <row r="13" spans="2:35" ht="12.75" customHeight="1" x14ac:dyDescent="0.2">
      <c r="B13" s="641"/>
      <c r="C13" s="642"/>
      <c r="D13" s="636"/>
      <c r="E13" s="694"/>
      <c r="F13" s="696"/>
      <c r="G13" s="696"/>
      <c r="H13" s="692"/>
      <c r="I13" s="692"/>
      <c r="J13" s="692"/>
      <c r="K13" s="646"/>
      <c r="L13" s="646"/>
      <c r="M13" s="700"/>
      <c r="N13" s="700"/>
      <c r="O13" s="700"/>
      <c r="P13" s="658"/>
      <c r="Q13" s="658"/>
      <c r="R13" s="658"/>
      <c r="S13" s="702"/>
      <c r="T13" s="702"/>
      <c r="U13" s="544"/>
      <c r="V13" s="544"/>
      <c r="W13" s="658"/>
      <c r="Y13" s="221" t="s">
        <v>106</v>
      </c>
      <c r="Z13" s="103" t="s">
        <v>222</v>
      </c>
      <c r="AA13" s="675">
        <v>2</v>
      </c>
      <c r="AB13" s="676"/>
      <c r="AC13" s="677"/>
      <c r="AD13" s="678">
        <v>0.75</v>
      </c>
      <c r="AE13" s="679"/>
      <c r="AF13" s="680"/>
      <c r="AG13" s="678" t="s">
        <v>101</v>
      </c>
      <c r="AH13" s="679"/>
      <c r="AI13" s="711"/>
    </row>
    <row r="14" spans="2:35" ht="12.75" customHeight="1" x14ac:dyDescent="0.2">
      <c r="B14" s="641"/>
      <c r="C14" s="642"/>
      <c r="D14" s="636"/>
      <c r="E14" s="694"/>
      <c r="F14" s="696"/>
      <c r="G14" s="696"/>
      <c r="H14" s="692"/>
      <c r="I14" s="692"/>
      <c r="J14" s="692"/>
      <c r="K14" s="646"/>
      <c r="L14" s="646"/>
      <c r="M14" s="700"/>
      <c r="N14" s="700"/>
      <c r="O14" s="700"/>
      <c r="P14" s="658"/>
      <c r="Q14" s="658"/>
      <c r="R14" s="658"/>
      <c r="S14" s="702"/>
      <c r="T14" s="702"/>
      <c r="U14" s="544"/>
      <c r="V14" s="544"/>
      <c r="W14" s="658"/>
      <c r="Y14" s="221" t="s">
        <v>111</v>
      </c>
      <c r="Z14" s="103" t="s">
        <v>223</v>
      </c>
      <c r="AA14" s="675" t="s">
        <v>101</v>
      </c>
      <c r="AB14" s="676"/>
      <c r="AC14" s="677"/>
      <c r="AD14" s="678" t="s">
        <v>101</v>
      </c>
      <c r="AE14" s="679"/>
      <c r="AF14" s="680"/>
      <c r="AG14" s="678">
        <v>-1.42</v>
      </c>
      <c r="AH14" s="679"/>
      <c r="AI14" s="711"/>
    </row>
    <row r="15" spans="2:35" ht="12.75" customHeight="1" x14ac:dyDescent="0.2">
      <c r="B15" s="641"/>
      <c r="C15" s="642"/>
      <c r="D15" s="636"/>
      <c r="E15" s="694"/>
      <c r="F15" s="696"/>
      <c r="G15" s="696"/>
      <c r="H15" s="692"/>
      <c r="I15" s="692"/>
      <c r="J15" s="692"/>
      <c r="K15" s="647"/>
      <c r="L15" s="647"/>
      <c r="M15" s="701"/>
      <c r="N15" s="701"/>
      <c r="O15" s="701"/>
      <c r="P15" s="658"/>
      <c r="Q15" s="658"/>
      <c r="R15" s="658"/>
      <c r="S15" s="703"/>
      <c r="T15" s="703"/>
      <c r="U15" s="545"/>
      <c r="V15" s="545"/>
      <c r="W15" s="658"/>
      <c r="Y15" s="221" t="s">
        <v>225</v>
      </c>
      <c r="Z15" s="103" t="s">
        <v>221</v>
      </c>
      <c r="AA15" s="653">
        <v>3.83</v>
      </c>
      <c r="AB15" s="601"/>
      <c r="AC15" s="602"/>
      <c r="AD15" s="600">
        <v>1.42</v>
      </c>
      <c r="AE15" s="601"/>
      <c r="AF15" s="602"/>
      <c r="AG15" s="600" t="s">
        <v>101</v>
      </c>
      <c r="AH15" s="601"/>
      <c r="AI15" s="681"/>
    </row>
    <row r="16" spans="2:35" ht="12.75" customHeight="1" thickBot="1" x14ac:dyDescent="0.25">
      <c r="B16" s="98" t="s">
        <v>2</v>
      </c>
      <c r="C16" s="99" t="s">
        <v>3</v>
      </c>
      <c r="D16" s="693"/>
      <c r="E16" s="695"/>
      <c r="F16" s="697"/>
      <c r="G16" s="697"/>
      <c r="H16" s="5" t="s">
        <v>5</v>
      </c>
      <c r="I16" s="5" t="s">
        <v>12</v>
      </c>
      <c r="J16" s="84" t="s">
        <v>5</v>
      </c>
      <c r="K16" s="5" t="s">
        <v>5</v>
      </c>
      <c r="L16" s="5" t="s">
        <v>5</v>
      </c>
      <c r="M16" s="73" t="s">
        <v>6</v>
      </c>
      <c r="N16" s="73" t="s">
        <v>6</v>
      </c>
      <c r="O16" s="73" t="s">
        <v>6</v>
      </c>
      <c r="P16" s="84" t="s">
        <v>10</v>
      </c>
      <c r="Q16" s="5" t="s">
        <v>11</v>
      </c>
      <c r="R16" s="5" t="s">
        <v>10</v>
      </c>
      <c r="S16" s="5" t="s">
        <v>10</v>
      </c>
      <c r="T16" s="5" t="s">
        <v>22</v>
      </c>
      <c r="U16" s="108" t="s">
        <v>12</v>
      </c>
      <c r="V16" s="55" t="s">
        <v>10</v>
      </c>
      <c r="W16" s="471" t="s">
        <v>12</v>
      </c>
      <c r="Y16" s="223" t="s">
        <v>226</v>
      </c>
      <c r="Z16" s="158" t="s">
        <v>221</v>
      </c>
      <c r="AA16" s="666">
        <v>3.17</v>
      </c>
      <c r="AB16" s="655"/>
      <c r="AC16" s="656"/>
      <c r="AD16" s="654">
        <v>1.0900000000000001</v>
      </c>
      <c r="AE16" s="655"/>
      <c r="AF16" s="656"/>
      <c r="AG16" s="654" t="s">
        <v>101</v>
      </c>
      <c r="AH16" s="655"/>
      <c r="AI16" s="682"/>
    </row>
    <row r="17" spans="1:35" ht="12.75" customHeight="1" x14ac:dyDescent="0.2">
      <c r="B17" s="643" t="s">
        <v>59</v>
      </c>
      <c r="C17" s="644"/>
      <c r="D17" s="100"/>
      <c r="E17" s="100"/>
      <c r="F17" s="100"/>
      <c r="G17" s="100"/>
      <c r="H17" s="100"/>
      <c r="I17" s="100"/>
      <c r="J17" s="100"/>
      <c r="K17" s="101"/>
      <c r="L17" s="101"/>
      <c r="M17" s="118"/>
      <c r="N17" s="118"/>
      <c r="O17" s="118"/>
      <c r="P17" s="118"/>
      <c r="Q17" s="118"/>
      <c r="R17" s="101"/>
      <c r="S17" s="101"/>
      <c r="T17" s="102"/>
      <c r="U17" s="110"/>
      <c r="V17" s="109"/>
      <c r="W17" s="101"/>
    </row>
    <row r="18" spans="1:35" ht="12.75" customHeight="1" x14ac:dyDescent="0.2">
      <c r="B18" s="338">
        <v>75050</v>
      </c>
      <c r="C18" s="339">
        <v>75100</v>
      </c>
      <c r="D18" s="340" t="s">
        <v>30</v>
      </c>
      <c r="E18" s="340" t="s">
        <v>105</v>
      </c>
      <c r="F18" s="340" t="s">
        <v>111</v>
      </c>
      <c r="G18" s="103" t="str">
        <f t="shared" ref="G18:G23" si="0">IF(AND($E18=$Y$2,$F18=$Y$2),$AA$2,IF(OR(AND($E18=$Y$2,$F18=$Y$3),AND($E18=$Y$3,$F18=$Y$2)),$AA$3,IF(OR(AND($E18=$Y$2,$F18=$Y$4),AND($E18=$Y$4,$F18=$Y$2)),$AA$4,IF(OR(AND($E18=$Y$3,$F18=$Y$4),AND($E18=$Y$4,$F18=$Y$3)),$AA$5,IF(AND($E18=$Y$3,$F18=$Y$3),$AA$6,IF(AND($E18=$Y$4,$F18=$Y$4),$AA$7,"-"))))))</f>
        <v>E/S - C/B</v>
      </c>
      <c r="H18" s="26">
        <f>IF(AND($E18=$Y$2,$F18=$Y$2),2*$AA$12,IF(OR(AND($E18=$Y$2, $F18=$Y$3),AND($E18=$Y$3,$F18=$Y$2)),$AA$12+$AA$13,IF(OR(AND($E18=$Y$2,$F18=$Y$4),AND($E18=$Y$4,$F18=$Y$2)),$AA$12,IF(OR(AND($E18=$Y$3,$F18=$Y$4),AND($E18=$Y$4,$F18=$Y$3)),$AA$13,IF(AND($E18=$Y$3,$F18=$Y$3),2*$AA$13,0)))))</f>
        <v>1.5</v>
      </c>
      <c r="I18" s="27">
        <f>IF(AND($E18=$Y$2,$F18=$Y$2),2*$AD$12*$K18/27,IF(OR(AND($E18=$Y$2,$F18=$Y$3),AND($E18=$Y$3,$F18=$Y$2)),($AD$12+$AD$13)*$K18/27,IF(OR(AND($E18=$Y$2,$F18=$Y$4),AND($E18=$Y$4,$F18=$Y$2)),$AD$12*$K18/27,IF(OR(AND($E18=$Y$3,$F18=$Y$4),AND($E18=$Y$4,$F18=$Y$3)),$AD$13*$K18/27,IF(AND($E18=$Y$3,$F18=$Y$3),2*$AD$13*$K18/27,0)))))</f>
        <v>1.3888888888888888</v>
      </c>
      <c r="J18" s="78">
        <f>IF(OR(AND($E18=$Y$2,$F18=$Y$4),AND($E18=$Y$4,$F18=$Y$2)),$AG$14,IF(OR(AND($E18=$Y$3,$F18=$Y$4),AND($E18=$Y$4,$F18=$Y$3)),$AG$14,IF(AND($E18=$Y$4,$F18=$Y$4),2*$AG$14,0)))</f>
        <v>-1.42</v>
      </c>
      <c r="K18" s="83">
        <f>C18-B18</f>
        <v>50</v>
      </c>
      <c r="L18" s="345">
        <v>30.72</v>
      </c>
      <c r="M18" s="124">
        <f>IF(L18="-",0,ROUNDUP($K18*L18,0))</f>
        <v>1536</v>
      </c>
      <c r="N18" s="347">
        <v>0</v>
      </c>
      <c r="O18" s="123">
        <f t="shared" ref="O18:O63" si="1">SUM(M18:N18)</f>
        <v>1536</v>
      </c>
      <c r="P18" s="493">
        <f>IF(OR($A18="APP SLAB",O18=0),0,($O18+$H18*$K18)/9)</f>
        <v>179</v>
      </c>
      <c r="Q18" s="210">
        <f>IF(AND(P18=0,S18=0),0,IF(S18=0,P18/2000,S18/2000))</f>
        <v>8.9499999999999996E-2</v>
      </c>
      <c r="R18" s="85">
        <f t="shared" ref="R18:R23" si="2">IF(A18="APP SLAB",0,S18)</f>
        <v>0</v>
      </c>
      <c r="S18" s="135">
        <f>IF(OR(A18="APP SLAB",P18&lt;&gt;0),0,(O18+H18*K18)/9)</f>
        <v>0</v>
      </c>
      <c r="T18" s="85">
        <f t="shared" ref="T18:T23" si="3">IF(A18="APP SLAB",0,$S$1*S18*110*0.06*0.75/2000)</f>
        <v>0</v>
      </c>
      <c r="U18" s="85">
        <f>IF(O18=0,0,(O18*$U$1/12)/27+I18)</f>
        <v>29.833333333333332</v>
      </c>
      <c r="V18" s="111">
        <f>IF(OR(A18="APP SLAB",O18=0),0,(O18+J18*K18)/9)</f>
        <v>162.77777777777777</v>
      </c>
      <c r="W18" s="467">
        <f>IF(AND($E18=$F18="Uncurbed"),(2*$K18*2*$W$1/12)/27,IF(OR($E18="Uncurbed",$F18="Uncurbed"),($K18*2*$W$1/12)/27,IF(OR(AND($E18="Med. Barr.",$F18="Curbed"),AND($E18="Curbed",$F18="Med. Barr."),$E18=$F18,$E18="Unique",$F18="Unique",$E18="-",$F18="-"),0,"?")))</f>
        <v>1.0030864197530864</v>
      </c>
    </row>
    <row r="19" spans="1:35" ht="12.75" customHeight="1" x14ac:dyDescent="0.2">
      <c r="B19" s="338">
        <v>75100</v>
      </c>
      <c r="C19" s="339">
        <v>75150</v>
      </c>
      <c r="D19" s="340" t="s">
        <v>30</v>
      </c>
      <c r="E19" s="340" t="s">
        <v>105</v>
      </c>
      <c r="F19" s="340" t="s">
        <v>111</v>
      </c>
      <c r="G19" s="103" t="str">
        <f t="shared" si="0"/>
        <v>E/S - C/B</v>
      </c>
      <c r="H19" s="26">
        <f>IF(AND($E19=$Y$2,$F19=$Y$2),2*$AA$12,IF(OR(AND($E19=$Y$2, $F19=$Y$3),AND($E19=$Y$3,$F19=$Y$2)),$AA$12+$AA$13,IF(OR(AND($E19=$Y$2,$F19=$Y$4),AND($E19=$Y$4,$F19=$Y$2)),$AA$12,IF(OR(AND($E19=$Y$3,$F19=$Y$4),AND($E19=$Y$4,$F19=$Y$3)),$AA$13,IF(AND($E19=$Y$3,$F19=$Y$3),2*$AA$13,0)))))</f>
        <v>1.5</v>
      </c>
      <c r="I19" s="27">
        <f>IF(AND($E19=$Y$2,$F19=$Y$2),2*$AD$12*$K19/27,IF(OR(AND($E19=$Y$2,$F19=$Y$3),AND($E19=$Y$3,$F19=$Y$2)),($AD$12+$AD$13)*$K19/27,IF(OR(AND($E19=$Y$2,$F19=$Y$4),AND($E19=$Y$4,$F19=$Y$2)),$AD$12*$K19/27,IF(OR(AND($E19=$Y$3,$F19=$Y$4),AND($E19=$Y$4,$F19=$Y$3)),$AD$13*$K19/27,IF(AND($E19=$Y$3,$F19=$Y$3),2*$AD$13*$K19/27,0)))))</f>
        <v>1.3888888888888888</v>
      </c>
      <c r="J19" s="78">
        <f>IF(OR(AND($E19=$Y$2,$F19=$Y$4),AND($E19=$Y$4,$F19=$Y$2)),$AG$14,IF(OR(AND($E19=$Y$3,$F19=$Y$4),AND($E19=$Y$4,$F19=$Y$3)),$AG$14,IF(AND($E19=$Y$4,$F19=$Y$4),2*$AG$14,0)))</f>
        <v>-1.42</v>
      </c>
      <c r="K19" s="83">
        <f t="shared" ref="K19:K23" si="4">C19-B19</f>
        <v>50</v>
      </c>
      <c r="L19" s="345">
        <v>29.72</v>
      </c>
      <c r="M19" s="124">
        <f t="shared" ref="M19:M23" si="5">IF(L19="-",0,ROUNDUP($K19*L19,0))</f>
        <v>1486</v>
      </c>
      <c r="N19" s="347">
        <v>0</v>
      </c>
      <c r="O19" s="123">
        <f t="shared" ref="O19:O23" si="6">SUM(M19:N19)</f>
        <v>1486</v>
      </c>
      <c r="P19" s="493">
        <f t="shared" ref="P19:P23" si="7">IF(OR($A19="APP SLAB",O19=0),0,($O19+$H19*$K19)/9)</f>
        <v>173.44444444444446</v>
      </c>
      <c r="Q19" s="210">
        <f t="shared" ref="Q19:Q23" si="8">IF(AND(P19=0,S19=0),0,IF(S19=0,P19/2000,S19/2000))</f>
        <v>8.6722222222222228E-2</v>
      </c>
      <c r="R19" s="85">
        <f t="shared" si="2"/>
        <v>0</v>
      </c>
      <c r="S19" s="135">
        <f t="shared" ref="S19:S23" si="9">IF(OR(A19="APP SLAB",P19&lt;&gt;0),0,(O19+H19*K19)/9)</f>
        <v>0</v>
      </c>
      <c r="T19" s="85">
        <f t="shared" si="3"/>
        <v>0</v>
      </c>
      <c r="U19" s="85">
        <f t="shared" ref="U19:U23" si="10">IF(O19=0,0,(O19*$U$1/12)/27+I19)</f>
        <v>28.907407407407408</v>
      </c>
      <c r="V19" s="111">
        <f t="shared" ref="V19:V23" si="11">IF(OR(A19="APP SLAB",O19=0),0,(O19+J19*K19)/9)</f>
        <v>157.22222222222223</v>
      </c>
      <c r="W19" s="467">
        <f t="shared" ref="W19:W23" si="12">IF(AND($E19=$F19="Uncurbed"),(2*$K19*2*$W$1/12)/27,IF(OR($E19="Uncurbed",$F19="Uncurbed"),($K19*2*$W$1/12)/27,IF(OR(AND($E19="Med. Barr.",$F19="Curbed"),AND($E19="Curbed",$F19="Med. Barr."),$E19=$F19,$E19="Unique",$F19="Unique",$E19="-",$F19="-"),0,"?")))</f>
        <v>1.0030864197530864</v>
      </c>
    </row>
    <row r="20" spans="1:35" ht="12.75" customHeight="1" x14ac:dyDescent="0.2">
      <c r="A20" s="106"/>
      <c r="B20" s="338">
        <v>75150</v>
      </c>
      <c r="C20" s="339">
        <v>75658.05</v>
      </c>
      <c r="D20" s="340" t="s">
        <v>30</v>
      </c>
      <c r="E20" s="340" t="s">
        <v>105</v>
      </c>
      <c r="F20" s="340" t="s">
        <v>112</v>
      </c>
      <c r="G20" s="103" t="str">
        <f t="shared" si="0"/>
        <v>-</v>
      </c>
      <c r="H20" s="342">
        <v>3.17</v>
      </c>
      <c r="I20" s="341">
        <v>20.51</v>
      </c>
      <c r="J20" s="361">
        <v>0</v>
      </c>
      <c r="K20" s="83">
        <f t="shared" si="4"/>
        <v>508.05000000000291</v>
      </c>
      <c r="L20" s="345">
        <v>26.87</v>
      </c>
      <c r="M20" s="124">
        <f t="shared" si="5"/>
        <v>13652</v>
      </c>
      <c r="N20" s="347">
        <v>0</v>
      </c>
      <c r="O20" s="123">
        <f t="shared" si="6"/>
        <v>13652</v>
      </c>
      <c r="P20" s="493">
        <f t="shared" si="7"/>
        <v>1695.8353888888898</v>
      </c>
      <c r="Q20" s="210">
        <f t="shared" si="8"/>
        <v>0.84791769444444487</v>
      </c>
      <c r="R20" s="85">
        <f t="shared" si="2"/>
        <v>0</v>
      </c>
      <c r="S20" s="135">
        <f t="shared" si="9"/>
        <v>0</v>
      </c>
      <c r="T20" s="85">
        <f t="shared" si="3"/>
        <v>0</v>
      </c>
      <c r="U20" s="85">
        <f t="shared" si="10"/>
        <v>273.32481481481483</v>
      </c>
      <c r="V20" s="111">
        <f t="shared" si="11"/>
        <v>1516.8888888888889</v>
      </c>
      <c r="W20" s="467">
        <f t="shared" si="12"/>
        <v>10.192361111111168</v>
      </c>
    </row>
    <row r="21" spans="1:35" ht="12.75" customHeight="1" x14ac:dyDescent="0.2">
      <c r="A21" s="106"/>
      <c r="B21" s="338">
        <v>75658.05</v>
      </c>
      <c r="C21" s="339">
        <v>75700</v>
      </c>
      <c r="D21" s="340" t="s">
        <v>30</v>
      </c>
      <c r="E21" s="340" t="s">
        <v>105</v>
      </c>
      <c r="F21" s="340" t="s">
        <v>106</v>
      </c>
      <c r="G21" s="103" t="str">
        <f t="shared" si="0"/>
        <v>E/S - F/C</v>
      </c>
      <c r="H21" s="26">
        <f>IF(AND($E21=$Y$2,$F21=$Y$2),2*$AA$12,IF(OR(AND($E21=$Y$2, $F21=$Y$3),AND($E21=$Y$3,$F21=$Y$2)),$AA$12+$AA$13,IF(OR(AND($E21=$Y$2,$F21=$Y$4),AND($E21=$Y$4,$F21=$Y$2)),$AA$12,IF(OR(AND($E21=$Y$3,$F21=$Y$4),AND($E21=$Y$4,$F21=$Y$3)),$AA$13,IF(AND($E21=$Y$3,$F21=$Y$3),2*$AA$13,0)))))</f>
        <v>3.5</v>
      </c>
      <c r="I21" s="27">
        <f>IF(AND($E21=$Y$2,$F21=$Y$2),2*$AD$12*$K21/27,IF(OR(AND($E21=$Y$2,$F21=$Y$3),AND($E21=$Y$3,$F21=$Y$2)),($AD$12+$AD$13)*$K21/27,IF(OR(AND($E21=$Y$2,$F21=$Y$4),AND($E21=$Y$4,$F21=$Y$2)),$AD$12*$K21/27,IF(OR(AND($E21=$Y$3,$F21=$Y$4),AND($E21=$Y$4,$F21=$Y$3)),$AD$13*$K21/27,IF(AND($E21=$Y$3,$F21=$Y$3),2*$AD$13*$K21/27,0)))))</f>
        <v>2.3305555555553941</v>
      </c>
      <c r="J21" s="78">
        <f>IF(OR(AND($E21=$Y$2,$F21=$Y$4),AND($E21=$Y$4,$F21=$Y$2)),$AG$14,IF(OR(AND($E21=$Y$3,$F21=$Y$4),AND($E21=$Y$4,$F21=$Y$3)),$AG$14,IF(AND($E21=$Y$4,$F21=$Y$4),2*$AG$14,0)))</f>
        <v>0</v>
      </c>
      <c r="K21" s="83">
        <f t="shared" si="4"/>
        <v>41.94999999999709</v>
      </c>
      <c r="L21" s="345">
        <v>26.56</v>
      </c>
      <c r="M21" s="124">
        <f t="shared" si="5"/>
        <v>1115</v>
      </c>
      <c r="N21" s="347">
        <v>0</v>
      </c>
      <c r="O21" s="123">
        <f t="shared" si="6"/>
        <v>1115</v>
      </c>
      <c r="P21" s="493">
        <f t="shared" si="7"/>
        <v>140.20277777777665</v>
      </c>
      <c r="Q21" s="210">
        <f t="shared" si="8"/>
        <v>7.0101388888888325E-2</v>
      </c>
      <c r="R21" s="85">
        <f t="shared" si="2"/>
        <v>0</v>
      </c>
      <c r="S21" s="135">
        <f t="shared" si="9"/>
        <v>0</v>
      </c>
      <c r="T21" s="85">
        <f>IF(A21="APP SLAB",0,$S$1*S21*110*0.06*0.75/2000)</f>
        <v>0</v>
      </c>
      <c r="U21" s="85">
        <f>IF(O21=0,0,(O21*$U$1/12)/27+I21)</f>
        <v>22.978703703703545</v>
      </c>
      <c r="V21" s="111">
        <f>IF(OR(A21="APP SLAB",O21=0),0,(O21+J21*K21)/9)</f>
        <v>123.88888888888889</v>
      </c>
      <c r="W21" s="467">
        <f t="shared" si="12"/>
        <v>0.84158950617278105</v>
      </c>
    </row>
    <row r="22" spans="1:35" ht="12.75" customHeight="1" x14ac:dyDescent="0.2">
      <c r="B22" s="338">
        <v>75700</v>
      </c>
      <c r="C22" s="339">
        <v>75810</v>
      </c>
      <c r="D22" s="340" t="s">
        <v>30</v>
      </c>
      <c r="E22" s="340" t="s">
        <v>105</v>
      </c>
      <c r="F22" s="340" t="s">
        <v>106</v>
      </c>
      <c r="G22" s="103" t="str">
        <f t="shared" si="0"/>
        <v>E/S - F/C</v>
      </c>
      <c r="H22" s="26">
        <f>IF(AND($E22=$Y$2,$F22=$Y$2),2*$AA$12,IF(OR(AND($E22=$Y$2, $F22=$Y$3),AND($E22=$Y$3,$F22=$Y$2)),$AA$12+$AA$13,IF(OR(AND($E22=$Y$2,$F22=$Y$4),AND($E22=$Y$4,$F22=$Y$2)),$AA$12,IF(OR(AND($E22=$Y$3,$F22=$Y$4),AND($E22=$Y$4,$F22=$Y$3)),$AA$13,IF(AND($E22=$Y$3,$F22=$Y$3),2*$AA$13,0)))))</f>
        <v>3.5</v>
      </c>
      <c r="I22" s="27">
        <f>IF(AND($E22=$Y$2,$F22=$Y$2),2*$AD$12*$K22/27,IF(OR(AND($E22=$Y$2,$F22=$Y$3),AND($E22=$Y$3,$F22=$Y$2)),($AD$12+$AD$13)*$K22/27,IF(OR(AND($E22=$Y$2,$F22=$Y$4),AND($E22=$Y$4,$F22=$Y$2)),$AD$12*$K22/27,IF(OR(AND($E22=$Y$3,$F22=$Y$4),AND($E22=$Y$4,$F22=$Y$3)),$AD$13*$K22/27,IF(AND($E22=$Y$3,$F22=$Y$3),2*$AD$13*$K22/27,0)))))</f>
        <v>6.1111111111111107</v>
      </c>
      <c r="J22" s="78">
        <f>IF(OR(AND($E22=$Y$2,$F22=$Y$4),AND($E22=$Y$4,$F22=$Y$2)),$AG$14,IF(OR(AND($E22=$Y$3,$F22=$Y$4),AND($E22=$Y$4,$F22=$Y$3)),$AG$14,IF(AND($E22=$Y$4,$F22=$Y$4),2*$AG$14,0)))</f>
        <v>0</v>
      </c>
      <c r="K22" s="83">
        <f t="shared" si="4"/>
        <v>110</v>
      </c>
      <c r="L22" s="345">
        <v>26</v>
      </c>
      <c r="M22" s="124">
        <f t="shared" si="5"/>
        <v>2860</v>
      </c>
      <c r="N22" s="347">
        <v>0</v>
      </c>
      <c r="O22" s="123">
        <f t="shared" si="6"/>
        <v>2860</v>
      </c>
      <c r="P22" s="493">
        <f t="shared" si="7"/>
        <v>360.55555555555554</v>
      </c>
      <c r="Q22" s="210">
        <f t="shared" si="8"/>
        <v>0.18027777777777776</v>
      </c>
      <c r="R22" s="85">
        <f t="shared" si="2"/>
        <v>0</v>
      </c>
      <c r="S22" s="135">
        <f t="shared" si="9"/>
        <v>0</v>
      </c>
      <c r="T22" s="85">
        <f t="shared" si="3"/>
        <v>0</v>
      </c>
      <c r="U22" s="85">
        <f t="shared" si="10"/>
        <v>59.074074074074076</v>
      </c>
      <c r="V22" s="111">
        <f t="shared" si="11"/>
        <v>317.77777777777777</v>
      </c>
      <c r="W22" s="467">
        <f t="shared" si="12"/>
        <v>2.2067901234567904</v>
      </c>
    </row>
    <row r="23" spans="1:35" ht="12.75" customHeight="1" x14ac:dyDescent="0.2">
      <c r="B23" s="338">
        <v>75810</v>
      </c>
      <c r="C23" s="339">
        <v>75882.350000000006</v>
      </c>
      <c r="D23" s="340" t="s">
        <v>30</v>
      </c>
      <c r="E23" s="340" t="s">
        <v>106</v>
      </c>
      <c r="F23" s="340" t="s">
        <v>106</v>
      </c>
      <c r="G23" s="103" t="str">
        <f t="shared" si="0"/>
        <v>F/C - F/C</v>
      </c>
      <c r="H23" s="26">
        <f>IF(AND($E23=$Y$2,$F23=$Y$2),2*$AA$12,IF(OR(AND($E23=$Y$2, $F23=$Y$3),AND($E23=$Y$3,$F23=$Y$2)),$AA$12+$AA$13,IF(OR(AND($E23=$Y$2,$F23=$Y$4),AND($E23=$Y$4,$F23=$Y$2)),$AA$12,IF(OR(AND($E23=$Y$3,$F23=$Y$4),AND($E23=$Y$4,$F23=$Y$3)),$AA$13,IF(AND($E23=$Y$3,$F23=$Y$3),2*$AA$13,0)))))</f>
        <v>4</v>
      </c>
      <c r="I23" s="27">
        <f>IF(AND($E23=$Y$2,$F23=$Y$2),2*$AD$12*$K23/27,IF(OR(AND($E23=$Y$2,$F23=$Y$3),AND($E23=$Y$3,$F23=$Y$2)),($AD$12+$AD$13)*$K23/27,IF(OR(AND($E23=$Y$2,$F23=$Y$4),AND($E23=$Y$4,$F23=$Y$2)),$AD$12*$K23/27,IF(OR(AND($E23=$Y$3,$F23=$Y$4),AND($E23=$Y$4,$F23=$Y$3)),$AD$13*$K23/27,IF(AND($E23=$Y$3,$F23=$Y$3),2*$AD$13*$K23/27,0)))))</f>
        <v>4.0194444444447681</v>
      </c>
      <c r="J23" s="78">
        <f>IF(OR(AND($E23=$Y$2,$F23=$Y$4),AND($E23=$Y$4,$F23=$Y$2)),$AG$14,IF(OR(AND($E23=$Y$3,$F23=$Y$4),AND($E23=$Y$4,$F23=$Y$3)),$AG$14,IF(AND($E23=$Y$4,$F23=$Y$4),2*$AG$14,0)))</f>
        <v>0</v>
      </c>
      <c r="K23" s="83">
        <f t="shared" si="4"/>
        <v>72.350000000005821</v>
      </c>
      <c r="L23" s="345">
        <v>26</v>
      </c>
      <c r="M23" s="124">
        <f t="shared" si="5"/>
        <v>1882</v>
      </c>
      <c r="N23" s="347">
        <v>0</v>
      </c>
      <c r="O23" s="123">
        <f t="shared" si="6"/>
        <v>1882</v>
      </c>
      <c r="P23" s="493">
        <f t="shared" si="7"/>
        <v>241.26666666666927</v>
      </c>
      <c r="Q23" s="210">
        <f t="shared" si="8"/>
        <v>0.12063333333333463</v>
      </c>
      <c r="R23" s="85">
        <f t="shared" si="2"/>
        <v>0</v>
      </c>
      <c r="S23" s="135">
        <f t="shared" si="9"/>
        <v>0</v>
      </c>
      <c r="T23" s="85">
        <f t="shared" si="3"/>
        <v>0</v>
      </c>
      <c r="U23" s="85">
        <f t="shared" si="10"/>
        <v>38.87129629629662</v>
      </c>
      <c r="V23" s="111">
        <f t="shared" si="11"/>
        <v>209.11111111111111</v>
      </c>
      <c r="W23" s="467">
        <f t="shared" si="12"/>
        <v>0</v>
      </c>
    </row>
    <row r="24" spans="1:35" ht="12.75" customHeight="1" thickBot="1" x14ac:dyDescent="0.25">
      <c r="B24" s="107"/>
      <c r="C24" s="8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spans="1:35" ht="12.75" customHeight="1" x14ac:dyDescent="0.2">
      <c r="B25" s="643" t="s">
        <v>60</v>
      </c>
      <c r="C25" s="644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</row>
    <row r="26" spans="1:35" ht="12.75" customHeight="1" x14ac:dyDescent="0.2">
      <c r="B26" s="338">
        <v>75038.42</v>
      </c>
      <c r="C26" s="339">
        <v>75088.490000000005</v>
      </c>
      <c r="D26" s="340" t="s">
        <v>30</v>
      </c>
      <c r="E26" s="340" t="s">
        <v>105</v>
      </c>
      <c r="F26" s="340" t="s">
        <v>105</v>
      </c>
      <c r="G26" s="103" t="str">
        <f>IF(AND($E26=$Y$2,$F26=$Y$2),$AA$2,IF(OR(AND($E26=$Y$2,$F26=$Y$3),AND($E26=$Y$3,$F26=$Y$2)),$AA$3,IF(OR(AND($E26=$Y$2,$F26=$Y$4),AND($E26=$Y$4,$F26=$Y$2)),$AA$4,IF(OR(AND($E26=$Y$3,$F26=$Y$4),AND($E26=$Y$4,$F26=$Y$3)),$AA$5,IF(AND($E26=$Y$3,$F26=$Y$3),$AA$6,IF(AND($E26=$Y$4,$F26=$Y$4),$AA$7,"-"))))))</f>
        <v>E/S - E/S</v>
      </c>
      <c r="H26" s="26">
        <f>IF(AND($E26=$Y$2,$F26=$Y$2),2*$AA$12,IF(OR(AND($E26=$Y$2, $F26=$Y$3),AND($E26=$Y$3,$F26=$Y$2)),$AA$12+$AA$13,IF(OR(AND($E26=$Y$2,$F26=$Y$4),AND($E26=$Y$4,$F26=$Y$2)),$AA$12,IF(OR(AND($E26=$Y$3,$F26=$Y$4),AND($E26=$Y$4,$F26=$Y$3)),$AA$13,IF(AND($E26=$Y$3,$F26=$Y$3),2*$AA$13,0)))))</f>
        <v>3</v>
      </c>
      <c r="I26" s="27">
        <f>IF(AND($E26=$Y$2,$F26=$Y$2),2*$AD$12*$K26/27,IF(OR(AND($E26=$Y$2,$F26=$Y$3),AND($E26=$Y$3,$F26=$Y$2)),($AD$12+$AD$13)*$K26/27,IF(OR(AND($E26=$Y$2,$F26=$Y$4),AND($E26=$Y$4,$F26=$Y$2)),$AD$12*$K26/27,IF(OR(AND($E26=$Y$3,$F26=$Y$4),AND($E26=$Y$4,$F26=$Y$3)),$AD$13*$K26/27,IF(AND($E26=$Y$3,$F26=$Y$3),2*$AD$13*$K26/27,0)))))</f>
        <v>2.7816666666670549</v>
      </c>
      <c r="J26" s="78">
        <f>IF(OR(AND($E26=$Y$2,$F26=$Y$4),AND($E26=$Y$4,$F26=$Y$2)),$AG$14,IF(OR(AND($E26=$Y$3,$F26=$Y$4),AND($E26=$Y$4,$F26=$Y$3)),$AG$14,IF(AND($E26=$Y$4,$F26=$Y$4),2*$AG$14,0)))</f>
        <v>0</v>
      </c>
      <c r="K26" s="83">
        <f t="shared" ref="K26:K48" si="13">C26-B26</f>
        <v>50.070000000006985</v>
      </c>
      <c r="L26" s="345">
        <v>26</v>
      </c>
      <c r="M26" s="124">
        <f t="shared" ref="M26:M63" si="14">IF(L26="-",0,ROUNDUP($K26*L26,0))</f>
        <v>1302</v>
      </c>
      <c r="N26" s="347">
        <v>0</v>
      </c>
      <c r="O26" s="123">
        <f t="shared" ref="O26" si="15">SUM(M26:N26)</f>
        <v>1302</v>
      </c>
      <c r="P26" s="347">
        <v>0</v>
      </c>
      <c r="Q26" s="210">
        <f>IF(AND(P26=0,S26=0),0,IF(S26=0,P26/2000,S26/2000))</f>
        <v>8.067833333333449E-2</v>
      </c>
      <c r="R26" s="85">
        <f>IF(A26="APP SLAB",0,S26)</f>
        <v>161.35666666666899</v>
      </c>
      <c r="S26" s="135">
        <f>IF(OR(A26="APP SLAB",P26&lt;&gt;0),0,(O26+H26*K26)/9)</f>
        <v>161.35666666666899</v>
      </c>
      <c r="T26" s="85">
        <f>IF(A26="APP SLAB",0,$S$1*S26*110*0.06*0.75/2000)</f>
        <v>4.7922930000000692</v>
      </c>
      <c r="U26" s="85">
        <f t="shared" ref="U26:U29" si="16">IF(O26=0,0,(O26*$U$1/12)/27+I26)</f>
        <v>26.892777777778164</v>
      </c>
      <c r="V26" s="111">
        <f t="shared" ref="V26:V29" si="17">IF(OR(A26="APP SLAB",O26=0),0,(O26+J26*K26)/9)</f>
        <v>144.66666666666666</v>
      </c>
      <c r="W26" s="467">
        <f t="shared" ref="W26:W29" si="18">IF(AND($E26=$F26="Uncurbed"),(2*$K26*2*$W$1/12)/27,IF(OR($E26="Uncurbed",$F26="Uncurbed"),($K26*2*$W$1/12)/27,IF(OR(AND($E26="Med. Barr.",$F26="Curbed"),AND($E26="Curbed",$F26="Med. Barr."),$E26=$F26,$E26="Unique",$F26="Unique",$E26="-",$F26="-"),0,"?")))</f>
        <v>1.004490740740881</v>
      </c>
    </row>
    <row r="27" spans="1:35" ht="12.75" customHeight="1" x14ac:dyDescent="0.2">
      <c r="B27" s="338">
        <v>75088.490000000005</v>
      </c>
      <c r="C27" s="339">
        <v>75456.59</v>
      </c>
      <c r="D27" s="340" t="s">
        <v>30</v>
      </c>
      <c r="E27" s="340" t="s">
        <v>105</v>
      </c>
      <c r="F27" s="340" t="s">
        <v>105</v>
      </c>
      <c r="G27" s="103" t="str">
        <f>IF(AND($E27=$Y$2,$F27=$Y$2),$AA$2,IF(OR(AND($E27=$Y$2,$F27=$Y$3),AND($E27=$Y$3,$F27=$Y$2)),$AA$3,IF(OR(AND($E27=$Y$2,$F27=$Y$4),AND($E27=$Y$4,$F27=$Y$2)),$AA$4,IF(OR(AND($E27=$Y$3,$F27=$Y$4),AND($E27=$Y$4,$F27=$Y$3)),$AA$5,IF(AND($E27=$Y$3,$F27=$Y$3),$AA$6,IF(AND($E27=$Y$4,$F27=$Y$4),$AA$7,"-"))))))</f>
        <v>E/S - E/S</v>
      </c>
      <c r="H27" s="26">
        <f>IF(AND($E27=$Y$2,$F27=$Y$2),2*$AA$12,IF(OR(AND($E27=$Y$2, $F27=$Y$3),AND($E27=$Y$3,$F27=$Y$2)),$AA$12+$AA$13,IF(OR(AND($E27=$Y$2,$F27=$Y$4),AND($E27=$Y$4,$F27=$Y$2)),$AA$12,IF(OR(AND($E27=$Y$3,$F27=$Y$4),AND($E27=$Y$4,$F27=$Y$3)),$AA$13,IF(AND($E27=$Y$3,$F27=$Y$3),2*$AA$13,0)))))</f>
        <v>3</v>
      </c>
      <c r="I27" s="27">
        <f>IF(AND($E27=$Y$2,$F27=$Y$2),2*$AD$12*$K27/27,IF(OR(AND($E27=$Y$2,$F27=$Y$3),AND($E27=$Y$3,$F27=$Y$2)),($AD$12+$AD$13)*$K27/27,IF(OR(AND($E27=$Y$2,$F27=$Y$4),AND($E27=$Y$4,$F27=$Y$2)),$AD$12*$K27/27,IF(OR(AND($E27=$Y$3,$F27=$Y$4),AND($E27=$Y$4,$F27=$Y$3)),$AD$13*$K27/27,IF(AND($E27=$Y$3,$F27=$Y$3),2*$AD$13*$K27/27,0)))))</f>
        <v>20.449999999999516</v>
      </c>
      <c r="J27" s="78">
        <f>IF(OR(AND($E27=$Y$2,$F27=$Y$4),AND($E27=$Y$4,$F27=$Y$2)),$AG$14,IF(OR(AND($E27=$Y$3,$F27=$Y$4),AND($E27=$Y$4,$F27=$Y$3)),$AG$14,IF(AND($E27=$Y$4,$F27=$Y$4),2*$AG$14,0)))</f>
        <v>0</v>
      </c>
      <c r="K27" s="83">
        <f t="shared" si="13"/>
        <v>368.09999999999127</v>
      </c>
      <c r="L27" s="345">
        <v>25</v>
      </c>
      <c r="M27" s="124">
        <f t="shared" si="14"/>
        <v>9203</v>
      </c>
      <c r="N27" s="347">
        <v>0</v>
      </c>
      <c r="O27" s="123">
        <f t="shared" si="1"/>
        <v>9203</v>
      </c>
      <c r="P27" s="347">
        <v>0</v>
      </c>
      <c r="Q27" s="210">
        <f t="shared" ref="Q27:Q29" si="19">IF(AND(P27=0,S27=0),0,IF(S27=0,P27/2000,S27/2000))</f>
        <v>0.5726277777777764</v>
      </c>
      <c r="R27" s="85">
        <f>IF(A27="APP SLAB",0,S27)</f>
        <v>1145.2555555555527</v>
      </c>
      <c r="S27" s="135">
        <f t="shared" ref="S27:S29" si="20">IF(OR(A27="APP SLAB",P27&lt;&gt;0),0,(O27+H27*K27)/9)</f>
        <v>1145.2555555555527</v>
      </c>
      <c r="T27" s="85">
        <f>IF(A27="APP SLAB",0,$S$1*S27*110*0.06*0.75/2000)</f>
        <v>34.014089999999918</v>
      </c>
      <c r="U27" s="85">
        <f t="shared" si="16"/>
        <v>190.87592592592543</v>
      </c>
      <c r="V27" s="111">
        <f t="shared" si="17"/>
        <v>1022.5555555555555</v>
      </c>
      <c r="W27" s="467">
        <f t="shared" si="18"/>
        <v>7.384722222222047</v>
      </c>
      <c r="AF27" s="93"/>
      <c r="AG27" s="93"/>
      <c r="AH27" s="93"/>
      <c r="AI27" s="93"/>
    </row>
    <row r="28" spans="1:35" ht="12.75" customHeight="1" x14ac:dyDescent="0.2">
      <c r="B28" s="338">
        <v>75456.59</v>
      </c>
      <c r="C28" s="339">
        <v>75581.990000000005</v>
      </c>
      <c r="D28" s="340" t="s">
        <v>30</v>
      </c>
      <c r="E28" s="340" t="s">
        <v>106</v>
      </c>
      <c r="F28" s="340" t="s">
        <v>106</v>
      </c>
      <c r="G28" s="103" t="str">
        <f>IF(AND($E28=$Y$2,$F28=$Y$2),$AA$2,IF(OR(AND($E28=$Y$2,$F28=$Y$3),AND($E28=$Y$3,$F28=$Y$2)),$AA$3,IF(OR(AND($E28=$Y$2,$F28=$Y$4),AND($E28=$Y$4,$F28=$Y$2)),$AA$4,IF(OR(AND($E28=$Y$3,$F28=$Y$4),AND($E28=$Y$4,$F28=$Y$3)),$AA$5,IF(AND($E28=$Y$3,$F28=$Y$3),$AA$6,IF(AND($E28=$Y$4,$F28=$Y$4),$AA$7,"-"))))))</f>
        <v>F/C - F/C</v>
      </c>
      <c r="H28" s="26">
        <f>IF(AND($E28=$Y$2,$F28=$Y$2),2*$AA$12,IF(OR(AND($E28=$Y$2, $F28=$Y$3),AND($E28=$Y$3,$F28=$Y$2)),$AA$12+$AA$13,IF(OR(AND($E28=$Y$2,$F28=$Y$4),AND($E28=$Y$4,$F28=$Y$2)),$AA$12,IF(OR(AND($E28=$Y$3,$F28=$Y$4),AND($E28=$Y$4,$F28=$Y$3)),$AA$13,IF(AND($E28=$Y$3,$F28=$Y$3),2*$AA$13,0)))))</f>
        <v>4</v>
      </c>
      <c r="I28" s="27">
        <f>IF(AND($E28=$Y$2,$F28=$Y$2),2*$AD$12*$K28/27,IF(OR(AND($E28=$Y$2,$F28=$Y$3),AND($E28=$Y$3,$F28=$Y$2)),($AD$12+$AD$13)*$K28/27,IF(OR(AND($E28=$Y$2,$F28=$Y$4),AND($E28=$Y$4,$F28=$Y$2)),$AD$12*$K28/27,IF(OR(AND($E28=$Y$3,$F28=$Y$4),AND($E28=$Y$4,$F28=$Y$3)),$AD$13*$K28/27,IF(AND($E28=$Y$3,$F28=$Y$3),2*$AD$13*$K28/27,0)))))</f>
        <v>6.9666666666671517</v>
      </c>
      <c r="J28" s="78">
        <f>IF(OR(AND($E28=$Y$2,$F28=$Y$4),AND($E28=$Y$4,$F28=$Y$2)),$AG$14,IF(OR(AND($E28=$Y$3,$F28=$Y$4),AND($E28=$Y$4,$F28=$Y$3)),$AG$14,IF(AND($E28=$Y$4,$F28=$Y$4),2*$AG$14,0)))</f>
        <v>0</v>
      </c>
      <c r="K28" s="83">
        <f t="shared" si="13"/>
        <v>125.40000000000873</v>
      </c>
      <c r="L28" s="345">
        <v>25</v>
      </c>
      <c r="M28" s="124">
        <f t="shared" si="14"/>
        <v>3136</v>
      </c>
      <c r="N28" s="347">
        <v>0</v>
      </c>
      <c r="O28" s="123">
        <f t="shared" si="1"/>
        <v>3136</v>
      </c>
      <c r="P28" s="347">
        <v>0</v>
      </c>
      <c r="Q28" s="210">
        <f t="shared" si="19"/>
        <v>0.20208888888889084</v>
      </c>
      <c r="R28" s="85">
        <f>IF(A28="APP SLAB",0,S28)</f>
        <v>404.17777777778167</v>
      </c>
      <c r="S28" s="135">
        <f t="shared" si="20"/>
        <v>404.17777777778167</v>
      </c>
      <c r="T28" s="85">
        <f>IF(A28="APP SLAB",0,$S$1*S28*110*0.06*0.75/2000)</f>
        <v>12.004080000000116</v>
      </c>
      <c r="U28" s="85">
        <f t="shared" si="16"/>
        <v>65.040740740741228</v>
      </c>
      <c r="V28" s="111">
        <f t="shared" si="17"/>
        <v>348.44444444444446</v>
      </c>
      <c r="W28" s="467">
        <f t="shared" si="18"/>
        <v>0</v>
      </c>
    </row>
    <row r="29" spans="1:35" ht="12.75" customHeight="1" x14ac:dyDescent="0.2">
      <c r="B29" s="338">
        <v>75581.990000000005</v>
      </c>
      <c r="C29" s="339">
        <v>75705.149999999994</v>
      </c>
      <c r="D29" s="340" t="s">
        <v>30</v>
      </c>
      <c r="E29" s="340" t="s">
        <v>106</v>
      </c>
      <c r="F29" s="340" t="s">
        <v>106</v>
      </c>
      <c r="G29" s="103" t="str">
        <f>IF(AND($E29=$Y$2,$F29=$Y$2),$AA$2,IF(OR(AND($E29=$Y$2,$F29=$Y$3),AND($E29=$Y$3,$F29=$Y$2)),$AA$3,IF(OR(AND($E29=$Y$2,$F29=$Y$4),AND($E29=$Y$4,$F29=$Y$2)),$AA$4,IF(OR(AND($E29=$Y$3,$F29=$Y$4),AND($E29=$Y$4,$F29=$Y$3)),$AA$5,IF(AND($E29=$Y$3,$F29=$Y$3),$AA$6,IF(AND($E29=$Y$4,$F29=$Y$4),$AA$7,"-"))))))</f>
        <v>F/C - F/C</v>
      </c>
      <c r="H29" s="26">
        <f>IF(AND($E29=$Y$2,$F29=$Y$2),2*$AA$12,IF(OR(AND($E29=$Y$2, $F29=$Y$3),AND($E29=$Y$3,$F29=$Y$2)),$AA$12+$AA$13,IF(OR(AND($E29=$Y$2,$F29=$Y$4),AND($E29=$Y$4,$F29=$Y$2)),$AA$12,IF(OR(AND($E29=$Y$3,$F29=$Y$4),AND($E29=$Y$4,$F29=$Y$3)),$AA$13,IF(AND($E29=$Y$3,$F29=$Y$3),2*$AA$13,0)))))</f>
        <v>4</v>
      </c>
      <c r="I29" s="27">
        <f>IF(AND($E29=$Y$2,$F29=$Y$2),2*$AD$12*$K29/27,IF(OR(AND($E29=$Y$2,$F29=$Y$3),AND($E29=$Y$3,$F29=$Y$2)),($AD$12+$AD$13)*$K29/27,IF(OR(AND($E29=$Y$2,$F29=$Y$4),AND($E29=$Y$4,$F29=$Y$2)),$AD$12*$K29/27,IF(OR(AND($E29=$Y$3,$F29=$Y$4),AND($E29=$Y$4,$F29=$Y$3)),$AD$13*$K29/27,IF(AND($E29=$Y$3,$F29=$Y$3),2*$AD$13*$K29/27,0)))))</f>
        <v>6.8422222222216078</v>
      </c>
      <c r="J29" s="78">
        <f>IF(OR(AND($E29=$Y$2,$F29=$Y$4),AND($E29=$Y$4,$F29=$Y$2)),$AG$14,IF(OR(AND($E29=$Y$3,$F29=$Y$4),AND($E29=$Y$4,$F29=$Y$3)),$AG$14,IF(AND($E29=$Y$4,$F29=$Y$4),2*$AG$14,0)))</f>
        <v>0</v>
      </c>
      <c r="K29" s="83">
        <f t="shared" si="13"/>
        <v>123.15999999998894</v>
      </c>
      <c r="L29" s="345">
        <v>25.99</v>
      </c>
      <c r="M29" s="124">
        <f t="shared" si="14"/>
        <v>3201</v>
      </c>
      <c r="N29" s="347">
        <v>0</v>
      </c>
      <c r="O29" s="123">
        <f t="shared" si="1"/>
        <v>3201</v>
      </c>
      <c r="P29" s="347">
        <v>0</v>
      </c>
      <c r="Q29" s="210">
        <f t="shared" si="19"/>
        <v>0.20520222222221979</v>
      </c>
      <c r="R29" s="85">
        <f>IF(A29="APP SLAB",0,S29)</f>
        <v>410.40444444443955</v>
      </c>
      <c r="S29" s="135">
        <f t="shared" si="20"/>
        <v>410.40444444443955</v>
      </c>
      <c r="T29" s="85">
        <f>IF(A29="APP SLAB",0,$S$1*S29*110*0.06*0.75/2000)</f>
        <v>12.189011999999853</v>
      </c>
      <c r="U29" s="85">
        <f t="shared" si="16"/>
        <v>66.119999999999379</v>
      </c>
      <c r="V29" s="111">
        <f t="shared" si="17"/>
        <v>355.66666666666669</v>
      </c>
      <c r="W29" s="467">
        <f t="shared" si="18"/>
        <v>0</v>
      </c>
    </row>
    <row r="30" spans="1:35" ht="12.75" customHeight="1" thickBot="1" x14ac:dyDescent="0.25">
      <c r="A30" s="113"/>
      <c r="B30" s="107"/>
      <c r="C30" s="8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35" ht="12.75" customHeight="1" x14ac:dyDescent="0.2">
      <c r="A31" s="113"/>
      <c r="B31" s="643" t="s">
        <v>61</v>
      </c>
      <c r="C31" s="644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</row>
    <row r="32" spans="1:35" ht="12.75" customHeight="1" x14ac:dyDescent="0.2">
      <c r="A32" s="106"/>
      <c r="B32" s="338">
        <v>77799.08</v>
      </c>
      <c r="C32" s="339">
        <v>77893.990000000005</v>
      </c>
      <c r="D32" s="340" t="s">
        <v>30</v>
      </c>
      <c r="E32" s="340" t="s">
        <v>106</v>
      </c>
      <c r="F32" s="340" t="s">
        <v>106</v>
      </c>
      <c r="G32" s="103" t="str">
        <f t="shared" ref="G32:G41" si="21">IF(AND($E32=$Y$2,$F32=$Y$2),$AA$2,IF(OR(AND($E32=$Y$2,$F32=$Y$3),AND($E32=$Y$3,$F32=$Y$2)),$AA$3,IF(OR(AND($E32=$Y$2,$F32=$Y$4),AND($E32=$Y$4,$F32=$Y$2)),$AA$4,IF(OR(AND($E32=$Y$3,$F32=$Y$4),AND($E32=$Y$4,$F32=$Y$3)),$AA$5,IF(AND($E32=$Y$3,$F32=$Y$3),$AA$6,IF(AND($E32=$Y$4,$F32=$Y$4),$AA$7,"-"))))))</f>
        <v>F/C - F/C</v>
      </c>
      <c r="H32" s="26">
        <f>IF(AND($E32=$Y$2,$F32=$Y$2),2*$AA$12,IF(OR(AND($E32=$Y$2, $F32=$Y$3),AND($E32=$Y$3,$F32=$Y$2)),$AA$12+$AA$13,IF(OR(AND($E32=$Y$2,$F32=$Y$4),AND($E32=$Y$4,$F32=$Y$2)),$AA$12,IF(OR(AND($E32=$Y$3,$F32=$Y$4),AND($E32=$Y$4,$F32=$Y$3)),$AA$13,IF(AND($E32=$Y$3,$F32=$Y$3),2*$AA$13,0)))))</f>
        <v>4</v>
      </c>
      <c r="I32" s="27">
        <f>IF(AND($E32=$Y$2,$F32=$Y$2),2*$AD$12*$K32/27,IF(OR(AND($E32=$Y$2,$F32=$Y$3),AND($E32=$Y$3,$F32=$Y$2)),($AD$12+$AD$13)*$K32/27,IF(OR(AND($E32=$Y$2,$F32=$Y$4),AND($E32=$Y$4,$F32=$Y$2)),$AD$12*$K32/27,IF(OR(AND($E32=$Y$3,$F32=$Y$4),AND($E32=$Y$4,$F32=$Y$3)),$AD$13*$K32/27,IF(AND($E32=$Y$3,$F32=$Y$3),2*$AD$13*$K32/27,0)))))</f>
        <v>5.2727777777779714</v>
      </c>
      <c r="J32" s="78">
        <f>IF(OR(AND($E32=$Y$2,$F32=$Y$4),AND($E32=$Y$4,$F32=$Y$2)),$AG$14,IF(OR(AND($E32=$Y$3,$F32=$Y$4),AND($E32=$Y$4,$F32=$Y$3)),$AG$14,IF(AND($E32=$Y$4,$F32=$Y$4),2*$AG$14,0)))</f>
        <v>0</v>
      </c>
      <c r="K32" s="83">
        <f t="shared" si="13"/>
        <v>94.910000000003492</v>
      </c>
      <c r="L32" s="345">
        <v>26.53</v>
      </c>
      <c r="M32" s="124">
        <f t="shared" si="14"/>
        <v>2518</v>
      </c>
      <c r="N32" s="347">
        <v>0</v>
      </c>
      <c r="O32" s="123">
        <f t="shared" si="1"/>
        <v>2518</v>
      </c>
      <c r="P32" s="347">
        <v>0</v>
      </c>
      <c r="Q32" s="210">
        <f>IF(AND(P32=0,S32=0),0,IF(S32=0,P32/2000,S32/2000))</f>
        <v>0.16098000000000079</v>
      </c>
      <c r="R32" s="85">
        <f t="shared" ref="R32:R41" si="22">IF(A32="APP SLAB",0,S32)</f>
        <v>321.96000000000157</v>
      </c>
      <c r="S32" s="135">
        <f>IF(OR(A32="APP SLAB",P32&lt;&gt;0),0,(O32+H32*K32)/9)</f>
        <v>321.96000000000157</v>
      </c>
      <c r="T32" s="85">
        <f t="shared" ref="T32:T41" si="23">IF(A32="APP SLAB",0,$S$1*S32*110*0.06*0.75/2000)</f>
        <v>9.5622120000000468</v>
      </c>
      <c r="U32" s="85">
        <f t="shared" ref="U32:U41" si="24">IF(O32=0,0,(O32*$U$1/12)/27+I32)</f>
        <v>51.902407407407594</v>
      </c>
      <c r="V32" s="111">
        <f t="shared" ref="V32:V41" si="25">IF(OR(A32="APP SLAB",O32=0),0,(O32+J32*K32)/9)</f>
        <v>279.77777777777777</v>
      </c>
      <c r="W32" s="467">
        <f t="shared" ref="W32:W41" si="26">IF(AND($E32=$F32="Uncurbed"),(2*$K32*2*$W$1/12)/27,IF(OR($E32="Uncurbed",$F32="Uncurbed"),($K32*2*$W$1/12)/27,IF(OR(AND($E32="Med. Barr.",$F32="Curbed"),AND($E32="Curbed",$F32="Med. Barr."),$E32=$F32,$E32="Unique",$F32="Unique",$E32="-",$F32="-"),0,"?")))</f>
        <v>0</v>
      </c>
    </row>
    <row r="33" spans="1:23" ht="12.75" customHeight="1" x14ac:dyDescent="0.2">
      <c r="A33" s="106"/>
      <c r="B33" s="338">
        <v>77893.990000000005</v>
      </c>
      <c r="C33" s="339">
        <v>77937.41</v>
      </c>
      <c r="D33" s="340" t="s">
        <v>30</v>
      </c>
      <c r="E33" s="340" t="s">
        <v>106</v>
      </c>
      <c r="F33" s="340" t="s">
        <v>106</v>
      </c>
      <c r="G33" s="103" t="str">
        <f t="shared" si="21"/>
        <v>F/C - F/C</v>
      </c>
      <c r="H33" s="26">
        <f>IF(AND($E33=$Y$2,$F33=$Y$2),2*$AA$12,IF(OR(AND($E33=$Y$2, $F33=$Y$3),AND($E33=$Y$3,$F33=$Y$2)),$AA$12+$AA$13,IF(OR(AND($E33=$Y$2,$F33=$Y$4),AND($E33=$Y$4,$F33=$Y$2)),$AA$12,IF(OR(AND($E33=$Y$3,$F33=$Y$4),AND($E33=$Y$4,$F33=$Y$3)),$AA$13,IF(AND($E33=$Y$3,$F33=$Y$3),2*$AA$13,0)))))</f>
        <v>4</v>
      </c>
      <c r="I33" s="27">
        <f>IF(AND($E33=$Y$2,$F33=$Y$2),2*$AD$12*$K33/27,IF(OR(AND($E33=$Y$2,$F33=$Y$3),AND($E33=$Y$3,$F33=$Y$2)),($AD$12+$AD$13)*$K33/27,IF(OR(AND($E33=$Y$2,$F33=$Y$4),AND($E33=$Y$4,$F33=$Y$2)),$AD$12*$K33/27,IF(OR(AND($E33=$Y$3,$F33=$Y$4),AND($E33=$Y$4,$F33=$Y$3)),$AD$13*$K33/27,IF(AND($E33=$Y$3,$F33=$Y$3),2*$AD$13*$K33/27,0)))))</f>
        <v>2.412222222222125</v>
      </c>
      <c r="J33" s="78">
        <f>IF(OR(AND($E33=$Y$2,$F33=$Y$4),AND($E33=$Y$4,$F33=$Y$2)),$AG$14,IF(OR(AND($E33=$Y$3,$F33=$Y$4),AND($E33=$Y$4,$F33=$Y$3)),$AG$14,IF(AND($E33=$Y$4,$F33=$Y$4),2*$AG$14,0)))</f>
        <v>0</v>
      </c>
      <c r="K33" s="83">
        <f t="shared" si="13"/>
        <v>43.419999999998254</v>
      </c>
      <c r="L33" s="345">
        <v>26.35</v>
      </c>
      <c r="M33" s="124">
        <f t="shared" si="14"/>
        <v>1145</v>
      </c>
      <c r="N33" s="347">
        <v>0</v>
      </c>
      <c r="O33" s="123">
        <f t="shared" si="1"/>
        <v>1145</v>
      </c>
      <c r="P33" s="347">
        <v>0</v>
      </c>
      <c r="Q33" s="210">
        <f t="shared" ref="Q33:Q41" si="27">IF(AND(P33=0,S33=0),0,IF(S33=0,P33/2000,S33/2000))</f>
        <v>7.3259999999999603E-2</v>
      </c>
      <c r="R33" s="85">
        <f t="shared" si="22"/>
        <v>146.51999999999921</v>
      </c>
      <c r="S33" s="135">
        <f t="shared" ref="S33:S41" si="28">IF(OR(A33="APP SLAB",P33&lt;&gt;0),0,(O33+H33*K33)/9)</f>
        <v>146.51999999999921</v>
      </c>
      <c r="T33" s="85">
        <f t="shared" si="23"/>
        <v>4.3516439999999763</v>
      </c>
      <c r="U33" s="85">
        <f t="shared" si="24"/>
        <v>23.615925925925829</v>
      </c>
      <c r="V33" s="111">
        <f t="shared" si="25"/>
        <v>127.22222222222223</v>
      </c>
      <c r="W33" s="467">
        <f t="shared" si="26"/>
        <v>0</v>
      </c>
    </row>
    <row r="34" spans="1:23" ht="12.75" customHeight="1" x14ac:dyDescent="0.2">
      <c r="A34" s="106"/>
      <c r="B34" s="338">
        <v>77937.41</v>
      </c>
      <c r="C34" s="339">
        <v>78055.02</v>
      </c>
      <c r="D34" s="340" t="s">
        <v>30</v>
      </c>
      <c r="E34" s="340" t="s">
        <v>106</v>
      </c>
      <c r="F34" s="340" t="s">
        <v>106</v>
      </c>
      <c r="G34" s="103" t="str">
        <f t="shared" si="21"/>
        <v>F/C - F/C</v>
      </c>
      <c r="H34" s="26">
        <f>IF(AND($E34=$Y$2,$F34=$Y$2),2*$AA$12,IF(OR(AND($E34=$Y$2, $F34=$Y$3),AND($E34=$Y$3,$F34=$Y$2)),$AA$12+$AA$13,IF(OR(AND($E34=$Y$2,$F34=$Y$4),AND($E34=$Y$4,$F34=$Y$2)),$AA$12,IF(OR(AND($E34=$Y$3,$F34=$Y$4),AND($E34=$Y$4,$F34=$Y$3)),$AA$13,IF(AND($E34=$Y$3,$F34=$Y$3),2*$AA$13,0)))))</f>
        <v>4</v>
      </c>
      <c r="I34" s="27">
        <f>IF(AND($E34=$Y$2,$F34=$Y$2),2*$AD$12*$K34/27,IF(OR(AND($E34=$Y$2,$F34=$Y$3),AND($E34=$Y$3,$F34=$Y$2)),($AD$12+$AD$13)*$K34/27,IF(OR(AND($E34=$Y$2,$F34=$Y$4),AND($E34=$Y$4,$F34=$Y$2)),$AD$12*$K34/27,IF(OR(AND($E34=$Y$3,$F34=$Y$4),AND($E34=$Y$4,$F34=$Y$3)),$AD$13*$K34/27,IF(AND($E34=$Y$3,$F34=$Y$3),2*$AD$13*$K34/27,0)))))</f>
        <v>6.5338888888889208</v>
      </c>
      <c r="J34" s="78">
        <f>IF(OR(AND($E34=$Y$2,$F34=$Y$4),AND($E34=$Y$4,$F34=$Y$2)),$AG$14,IF(OR(AND($E34=$Y$3,$F34=$Y$4),AND($E34=$Y$4,$F34=$Y$3)),$AG$14,IF(AND($E34=$Y$4,$F34=$Y$4),2*$AG$14,0)))</f>
        <v>0</v>
      </c>
      <c r="K34" s="83">
        <f t="shared" si="13"/>
        <v>117.61000000000058</v>
      </c>
      <c r="L34" s="345">
        <v>27.92</v>
      </c>
      <c r="M34" s="124">
        <f t="shared" si="14"/>
        <v>3284</v>
      </c>
      <c r="N34" s="347">
        <v>0</v>
      </c>
      <c r="O34" s="123">
        <f t="shared" si="1"/>
        <v>3284</v>
      </c>
      <c r="P34" s="347">
        <v>0</v>
      </c>
      <c r="Q34" s="210">
        <f t="shared" si="27"/>
        <v>0.20858000000000013</v>
      </c>
      <c r="R34" s="85">
        <f t="shared" si="22"/>
        <v>417.16000000000025</v>
      </c>
      <c r="S34" s="135">
        <f t="shared" si="28"/>
        <v>417.16000000000025</v>
      </c>
      <c r="T34" s="85">
        <f t="shared" si="23"/>
        <v>12.389652000000005</v>
      </c>
      <c r="U34" s="85">
        <f t="shared" si="24"/>
        <v>67.348703703703734</v>
      </c>
      <c r="V34" s="111">
        <f t="shared" si="25"/>
        <v>364.88888888888891</v>
      </c>
      <c r="W34" s="467">
        <f t="shared" si="26"/>
        <v>0</v>
      </c>
    </row>
    <row r="35" spans="1:23" ht="12.75" customHeight="1" x14ac:dyDescent="0.2">
      <c r="A35" s="106"/>
      <c r="B35" s="338">
        <v>78055.02</v>
      </c>
      <c r="C35" s="339">
        <v>78313.919999999998</v>
      </c>
      <c r="D35" s="340" t="s">
        <v>30</v>
      </c>
      <c r="E35" s="340" t="s">
        <v>105</v>
      </c>
      <c r="F35" s="340" t="s">
        <v>105</v>
      </c>
      <c r="G35" s="103" t="str">
        <f t="shared" si="21"/>
        <v>E/S - E/S</v>
      </c>
      <c r="H35" s="26">
        <f>IF(AND($E35=$Y$2,$F35=$Y$2),2*$AA$12,IF(OR(AND($E35=$Y$2, $F35=$Y$3),AND($E35=$Y$3,$F35=$Y$2)),$AA$12+$AA$13,IF(OR(AND($E35=$Y$2,$F35=$Y$4),AND($E35=$Y$4,$F35=$Y$2)),$AA$12,IF(OR(AND($E35=$Y$3,$F35=$Y$4),AND($E35=$Y$4,$F35=$Y$3)),$AA$13,IF(AND($E35=$Y$3,$F35=$Y$3),2*$AA$13,0)))))</f>
        <v>3</v>
      </c>
      <c r="I35" s="27">
        <f>IF(AND($E35=$Y$2,$F35=$Y$2),2*$AD$12*$K35/27,IF(OR(AND($E35=$Y$2,$F35=$Y$3),AND($E35=$Y$3,$F35=$Y$2)),($AD$12+$AD$13)*$K35/27,IF(OR(AND($E35=$Y$2,$F35=$Y$4),AND($E35=$Y$4,$F35=$Y$2)),$AD$12*$K35/27,IF(OR(AND($E35=$Y$3,$F35=$Y$4),AND($E35=$Y$4,$F35=$Y$3)),$AD$13*$K35/27,IF(AND($E35=$Y$3,$F35=$Y$3),2*$AD$13*$K35/27,0)))))</f>
        <v>14.38333333333301</v>
      </c>
      <c r="J35" s="78">
        <f>IF(OR(AND($E35=$Y$2,$F35=$Y$4),AND($E35=$Y$4,$F35=$Y$2)),$AG$14,IF(OR(AND($E35=$Y$3,$F35=$Y$4),AND($E35=$Y$4,$F35=$Y$3)),$AG$14,IF(AND($E35=$Y$4,$F35=$Y$4),2*$AG$14,0)))</f>
        <v>0</v>
      </c>
      <c r="K35" s="83">
        <f t="shared" si="13"/>
        <v>258.89999999999418</v>
      </c>
      <c r="L35" s="345">
        <v>33.299999999999997</v>
      </c>
      <c r="M35" s="124">
        <f t="shared" si="14"/>
        <v>8622</v>
      </c>
      <c r="N35" s="347">
        <v>0</v>
      </c>
      <c r="O35" s="123">
        <f t="shared" si="1"/>
        <v>8622</v>
      </c>
      <c r="P35" s="347">
        <v>0</v>
      </c>
      <c r="Q35" s="210">
        <f t="shared" si="27"/>
        <v>0.52214999999999911</v>
      </c>
      <c r="R35" s="85">
        <f t="shared" si="22"/>
        <v>1044.2999999999981</v>
      </c>
      <c r="S35" s="135">
        <f t="shared" si="28"/>
        <v>1044.2999999999981</v>
      </c>
      <c r="T35" s="85">
        <f t="shared" si="23"/>
        <v>31.015709999999942</v>
      </c>
      <c r="U35" s="85">
        <f t="shared" si="24"/>
        <v>174.04999999999967</v>
      </c>
      <c r="V35" s="111">
        <f t="shared" si="25"/>
        <v>958</v>
      </c>
      <c r="W35" s="467">
        <f t="shared" si="26"/>
        <v>5.193981481481365</v>
      </c>
    </row>
    <row r="36" spans="1:23" ht="12.75" customHeight="1" x14ac:dyDescent="0.2">
      <c r="A36" s="106"/>
      <c r="B36" s="338">
        <v>78313.919999999998</v>
      </c>
      <c r="C36" s="339">
        <v>78624.31</v>
      </c>
      <c r="D36" s="340" t="s">
        <v>16</v>
      </c>
      <c r="E36" s="340" t="s">
        <v>112</v>
      </c>
      <c r="F36" s="340" t="s">
        <v>105</v>
      </c>
      <c r="G36" s="103" t="str">
        <f t="shared" si="21"/>
        <v>-</v>
      </c>
      <c r="H36" s="342">
        <v>1.5</v>
      </c>
      <c r="I36" s="341">
        <v>8.6199999999999992</v>
      </c>
      <c r="J36" s="361">
        <v>0</v>
      </c>
      <c r="K36" s="83">
        <f t="shared" si="13"/>
        <v>310.38999999999942</v>
      </c>
      <c r="L36" s="345">
        <v>19</v>
      </c>
      <c r="M36" s="124">
        <f t="shared" si="14"/>
        <v>5898</v>
      </c>
      <c r="N36" s="347">
        <v>0</v>
      </c>
      <c r="O36" s="123">
        <f t="shared" si="1"/>
        <v>5898</v>
      </c>
      <c r="P36" s="347">
        <v>0</v>
      </c>
      <c r="Q36" s="210">
        <f t="shared" si="27"/>
        <v>0.35353249999999997</v>
      </c>
      <c r="R36" s="85">
        <f t="shared" si="22"/>
        <v>707.06499999999994</v>
      </c>
      <c r="S36" s="135">
        <f t="shared" si="28"/>
        <v>707.06499999999994</v>
      </c>
      <c r="T36" s="85">
        <f t="shared" si="23"/>
        <v>20.999830499999998</v>
      </c>
      <c r="U36" s="85">
        <f t="shared" si="24"/>
        <v>117.84222222222223</v>
      </c>
      <c r="V36" s="111">
        <f t="shared" si="25"/>
        <v>655.33333333333337</v>
      </c>
      <c r="W36" s="467">
        <f t="shared" si="26"/>
        <v>6.2269598765431979</v>
      </c>
    </row>
    <row r="37" spans="1:23" ht="12.75" customHeight="1" x14ac:dyDescent="0.2">
      <c r="A37" s="106"/>
      <c r="B37" s="338">
        <v>78624.31</v>
      </c>
      <c r="C37" s="339">
        <v>78624.31</v>
      </c>
      <c r="D37" s="340" t="s">
        <v>15</v>
      </c>
      <c r="E37" s="340" t="s">
        <v>105</v>
      </c>
      <c r="F37" s="340" t="s">
        <v>112</v>
      </c>
      <c r="G37" s="103" t="str">
        <f t="shared" si="21"/>
        <v>-</v>
      </c>
      <c r="H37" s="342">
        <v>1.5</v>
      </c>
      <c r="I37" s="341">
        <v>8.6199999999999992</v>
      </c>
      <c r="J37" s="361">
        <v>0</v>
      </c>
      <c r="K37" s="83">
        <f t="shared" si="13"/>
        <v>0</v>
      </c>
      <c r="L37" s="345" t="s">
        <v>101</v>
      </c>
      <c r="M37" s="124">
        <f t="shared" si="14"/>
        <v>0</v>
      </c>
      <c r="N37" s="347">
        <v>8310</v>
      </c>
      <c r="O37" s="123">
        <f t="shared" si="1"/>
        <v>8310</v>
      </c>
      <c r="P37" s="347">
        <v>0</v>
      </c>
      <c r="Q37" s="210">
        <f t="shared" si="27"/>
        <v>0.46166666666666667</v>
      </c>
      <c r="R37" s="85">
        <f t="shared" si="22"/>
        <v>923.33333333333337</v>
      </c>
      <c r="S37" s="135">
        <f t="shared" si="28"/>
        <v>923.33333333333337</v>
      </c>
      <c r="T37" s="85">
        <f t="shared" si="23"/>
        <v>27.422999999999998</v>
      </c>
      <c r="U37" s="85">
        <f t="shared" si="24"/>
        <v>162.50888888888889</v>
      </c>
      <c r="V37" s="111">
        <f t="shared" si="25"/>
        <v>923.33333333333337</v>
      </c>
      <c r="W37" s="467">
        <f t="shared" si="26"/>
        <v>0</v>
      </c>
    </row>
    <row r="38" spans="1:23" ht="12.75" customHeight="1" x14ac:dyDescent="0.2">
      <c r="A38" s="106"/>
      <c r="B38" s="338">
        <v>78624.31</v>
      </c>
      <c r="C38" s="339">
        <v>78800</v>
      </c>
      <c r="D38" s="340" t="s">
        <v>30</v>
      </c>
      <c r="E38" s="340" t="s">
        <v>105</v>
      </c>
      <c r="F38" s="340" t="s">
        <v>105</v>
      </c>
      <c r="G38" s="103" t="str">
        <f t="shared" si="21"/>
        <v>E/S - E/S</v>
      </c>
      <c r="H38" s="26">
        <f>IF(AND($E38=$Y$2,$F38=$Y$2),2*$AA$12,IF(OR(AND($E38=$Y$2, $F38=$Y$3),AND($E38=$Y$3,$F38=$Y$2)),$AA$12+$AA$13,IF(OR(AND($E38=$Y$2,$F38=$Y$4),AND($E38=$Y$4,$F38=$Y$2)),$AA$12,IF(OR(AND($E38=$Y$3,$F38=$Y$4),AND($E38=$Y$4,$F38=$Y$3)),$AA$13,IF(AND($E38=$Y$3,$F38=$Y$3),2*$AA$13,0)))))</f>
        <v>3</v>
      </c>
      <c r="I38" s="27">
        <f>IF(AND($E38=$Y$2,$F38=$Y$2),2*$AD$12*$K38/27,IF(OR(AND($E38=$Y$2,$F38=$Y$3),AND($E38=$Y$3,$F38=$Y$2)),($AD$12+$AD$13)*$K38/27,IF(OR(AND($E38=$Y$2,$F38=$Y$4),AND($E38=$Y$4,$F38=$Y$2)),$AD$12*$K38/27,IF(OR(AND($E38=$Y$3,$F38=$Y$4),AND($E38=$Y$4,$F38=$Y$3)),$AD$13*$K38/27,IF(AND($E38=$Y$3,$F38=$Y$3),2*$AD$13*$K38/27,0)))))</f>
        <v>9.7605555555556851</v>
      </c>
      <c r="J38" s="78">
        <f>IF(OR(AND($E38=$Y$2,$F38=$Y$4),AND($E38=$Y$4,$F38=$Y$2)),$AG$14,IF(OR(AND($E38=$Y$3,$F38=$Y$4),AND($E38=$Y$4,$F38=$Y$3)),$AG$14,IF(AND($E38=$Y$4,$F38=$Y$4),2*$AG$14,0)))</f>
        <v>0</v>
      </c>
      <c r="K38" s="115">
        <f t="shared" si="13"/>
        <v>175.69000000000233</v>
      </c>
      <c r="L38" s="368">
        <v>25</v>
      </c>
      <c r="M38" s="124">
        <f t="shared" si="14"/>
        <v>4393</v>
      </c>
      <c r="N38" s="369">
        <v>0</v>
      </c>
      <c r="O38" s="127">
        <f t="shared" si="1"/>
        <v>4393</v>
      </c>
      <c r="P38" s="347">
        <v>0</v>
      </c>
      <c r="Q38" s="210">
        <f t="shared" si="27"/>
        <v>0.27333722222222262</v>
      </c>
      <c r="R38" s="85">
        <f t="shared" si="22"/>
        <v>546.67444444444527</v>
      </c>
      <c r="S38" s="135">
        <f t="shared" si="28"/>
        <v>546.67444444444527</v>
      </c>
      <c r="T38" s="85">
        <f t="shared" si="23"/>
        <v>16.236231000000025</v>
      </c>
      <c r="U38" s="85">
        <f t="shared" si="24"/>
        <v>91.112407407407531</v>
      </c>
      <c r="V38" s="111">
        <f t="shared" si="25"/>
        <v>488.11111111111109</v>
      </c>
      <c r="W38" s="467">
        <f t="shared" si="26"/>
        <v>3.5246450617284415</v>
      </c>
    </row>
    <row r="39" spans="1:23" ht="12.75" customHeight="1" x14ac:dyDescent="0.2">
      <c r="A39" s="106"/>
      <c r="B39" s="338">
        <v>78800</v>
      </c>
      <c r="C39" s="339">
        <v>79077.73</v>
      </c>
      <c r="D39" s="340" t="s">
        <v>30</v>
      </c>
      <c r="E39" s="340" t="s">
        <v>105</v>
      </c>
      <c r="F39" s="340" t="s">
        <v>105</v>
      </c>
      <c r="G39" s="103" t="str">
        <f t="shared" si="21"/>
        <v>E/S - E/S</v>
      </c>
      <c r="H39" s="26">
        <f>IF(AND($E39=$Y$2,$F39=$Y$2),2*$AA$12,IF(OR(AND($E39=$Y$2, $F39=$Y$3),AND($E39=$Y$3,$F39=$Y$2)),$AA$12+$AA$13,IF(OR(AND($E39=$Y$2,$F39=$Y$4),AND($E39=$Y$4,$F39=$Y$2)),$AA$12,IF(OR(AND($E39=$Y$3,$F39=$Y$4),AND($E39=$Y$4,$F39=$Y$3)),$AA$13,IF(AND($E39=$Y$3,$F39=$Y$3),2*$AA$13,0)))))</f>
        <v>3</v>
      </c>
      <c r="I39" s="27">
        <f>IF(AND($E39=$Y$2,$F39=$Y$2),2*$AD$12*$K39/27,IF(OR(AND($E39=$Y$2,$F39=$Y$3),AND($E39=$Y$3,$F39=$Y$2)),($AD$12+$AD$13)*$K39/27,IF(OR(AND($E39=$Y$2,$F39=$Y$4),AND($E39=$Y$4,$F39=$Y$2)),$AD$12*$K39/27,IF(OR(AND($E39=$Y$3,$F39=$Y$4),AND($E39=$Y$4,$F39=$Y$3)),$AD$13*$K39/27,IF(AND($E39=$Y$3,$F39=$Y$3),2*$AD$13*$K39/27,0)))))</f>
        <v>15.429444444444218</v>
      </c>
      <c r="J39" s="78">
        <f>IF(OR(AND($E39=$Y$2,$F39=$Y$4),AND($E39=$Y$4,$F39=$Y$2)),$AG$14,IF(OR(AND($E39=$Y$3,$F39=$Y$4),AND($E39=$Y$4,$F39=$Y$3)),$AG$14,IF(AND($E39=$Y$4,$F39=$Y$4),2*$AG$14,0)))</f>
        <v>0</v>
      </c>
      <c r="K39" s="515">
        <f t="shared" ref="K39" si="29">C39-B39</f>
        <v>277.72999999999593</v>
      </c>
      <c r="L39" s="368">
        <v>25</v>
      </c>
      <c r="M39" s="124">
        <f t="shared" ref="M39" si="30">IF(L39="-",0,ROUNDUP($K39*L39,0))</f>
        <v>6944</v>
      </c>
      <c r="N39" s="369">
        <v>0</v>
      </c>
      <c r="O39" s="127">
        <f t="shared" ref="O39" si="31">SUM(M39:N39)</f>
        <v>6944</v>
      </c>
      <c r="P39" s="493">
        <f t="shared" ref="P39:P41" si="32">IF(OR($A39="APP SLAB",O39=0),0,($O39+$H39*$K39)/9)</f>
        <v>864.13222222222089</v>
      </c>
      <c r="Q39" s="210">
        <f t="shared" si="27"/>
        <v>0.43206611111111043</v>
      </c>
      <c r="R39" s="493">
        <f t="shared" ref="R39" si="33">IF(A39="APP SLAB",0,S39)</f>
        <v>0</v>
      </c>
      <c r="S39" s="135">
        <f t="shared" si="28"/>
        <v>0</v>
      </c>
      <c r="T39" s="493">
        <f t="shared" ref="T39" si="34">IF(A39="APP SLAB",0,$S$1*S39*110*0.06*0.75/2000)</f>
        <v>0</v>
      </c>
      <c r="U39" s="493">
        <f t="shared" ref="U39" si="35">IF(O39=0,0,(O39*$U$1/12)/27+I39)</f>
        <v>144.0220370370368</v>
      </c>
      <c r="V39" s="111">
        <f t="shared" ref="V39" si="36">IF(OR(A39="APP SLAB",O39=0),0,(O39+J39*K39)/9)</f>
        <v>771.55555555555554</v>
      </c>
      <c r="W39" s="515">
        <f t="shared" si="26"/>
        <v>5.5717438271604118</v>
      </c>
    </row>
    <row r="40" spans="1:23" ht="12.75" customHeight="1" x14ac:dyDescent="0.2">
      <c r="A40" s="106"/>
      <c r="B40" s="338">
        <v>79077.73</v>
      </c>
      <c r="C40" s="339">
        <v>79174.91</v>
      </c>
      <c r="D40" s="340" t="s">
        <v>30</v>
      </c>
      <c r="E40" s="340" t="s">
        <v>106</v>
      </c>
      <c r="F40" s="340" t="s">
        <v>105</v>
      </c>
      <c r="G40" s="103" t="str">
        <f t="shared" si="21"/>
        <v>E/S - F/C</v>
      </c>
      <c r="H40" s="26">
        <f>IF(AND($E40=$Y$2,$F40=$Y$2),2*$AA$12,IF(OR(AND($E40=$Y$2, $F40=$Y$3),AND($E40=$Y$3,$F40=$Y$2)),$AA$12+$AA$13,IF(OR(AND($E40=$Y$2,$F40=$Y$4),AND($E40=$Y$4,$F40=$Y$2)),$AA$12,IF(OR(AND($E40=$Y$3,$F40=$Y$4),AND($E40=$Y$4,$F40=$Y$3)),$AA$13,IF(AND($E40=$Y$3,$F40=$Y$3),2*$AA$13,0)))))</f>
        <v>3.5</v>
      </c>
      <c r="I40" s="27">
        <f>IF(AND($E40=$Y$2,$F40=$Y$2),2*$AD$12*$K40/27,IF(OR(AND($E40=$Y$2,$F40=$Y$3),AND($E40=$Y$3,$F40=$Y$2)),($AD$12+$AD$13)*$K40/27,IF(OR(AND($E40=$Y$2,$F40=$Y$4),AND($E40=$Y$4,$F40=$Y$2)),$AD$12*$K40/27,IF(OR(AND($E40=$Y$3,$F40=$Y$4),AND($E40=$Y$4,$F40=$Y$3)),$AD$13*$K40/27,IF(AND($E40=$Y$3,$F40=$Y$3),2*$AD$13*$K40/27,0)))))</f>
        <v>5.3988888888893092</v>
      </c>
      <c r="J40" s="78">
        <f>IF(OR(AND($E40=$Y$2,$F40=$Y$4),AND($E40=$Y$4,$F40=$Y$2)),$AG$14,IF(OR(AND($E40=$Y$3,$F40=$Y$4),AND($E40=$Y$4,$F40=$Y$3)),$AG$14,IF(AND($E40=$Y$4,$F40=$Y$4),2*$AG$14,0)))</f>
        <v>0</v>
      </c>
      <c r="K40" s="115">
        <f t="shared" ref="K40:K41" si="37">C40-B40</f>
        <v>97.180000000007567</v>
      </c>
      <c r="L40" s="368">
        <v>27</v>
      </c>
      <c r="M40" s="126">
        <f t="shared" si="14"/>
        <v>2624</v>
      </c>
      <c r="N40" s="369">
        <v>0</v>
      </c>
      <c r="O40" s="127">
        <f t="shared" si="1"/>
        <v>2624</v>
      </c>
      <c r="P40" s="493">
        <f t="shared" si="32"/>
        <v>329.34777777778072</v>
      </c>
      <c r="Q40" s="210">
        <f t="shared" si="27"/>
        <v>0.16467388888889037</v>
      </c>
      <c r="R40" s="111">
        <f t="shared" si="22"/>
        <v>0</v>
      </c>
      <c r="S40" s="135">
        <f t="shared" si="28"/>
        <v>0</v>
      </c>
      <c r="T40" s="111">
        <f t="shared" si="23"/>
        <v>0</v>
      </c>
      <c r="U40" s="85">
        <f t="shared" si="24"/>
        <v>53.991481481481905</v>
      </c>
      <c r="V40" s="111">
        <f t="shared" si="25"/>
        <v>291.55555555555554</v>
      </c>
      <c r="W40" s="467">
        <f t="shared" si="26"/>
        <v>1.9495987654322506</v>
      </c>
    </row>
    <row r="41" spans="1:23" ht="12.75" customHeight="1" x14ac:dyDescent="0.2">
      <c r="A41" s="106"/>
      <c r="B41" s="338">
        <v>79174.91</v>
      </c>
      <c r="C41" s="339">
        <v>79449.91</v>
      </c>
      <c r="D41" s="340" t="s">
        <v>30</v>
      </c>
      <c r="E41" s="340" t="s">
        <v>106</v>
      </c>
      <c r="F41" s="340" t="s">
        <v>112</v>
      </c>
      <c r="G41" s="103" t="str">
        <f t="shared" si="21"/>
        <v>-</v>
      </c>
      <c r="H41" s="342">
        <v>1.5</v>
      </c>
      <c r="I41" s="341">
        <v>5.09</v>
      </c>
      <c r="J41" s="361">
        <v>0</v>
      </c>
      <c r="K41" s="115">
        <f t="shared" si="37"/>
        <v>275</v>
      </c>
      <c r="L41" s="368" t="s">
        <v>101</v>
      </c>
      <c r="M41" s="126">
        <f t="shared" si="14"/>
        <v>0</v>
      </c>
      <c r="N41" s="369">
        <v>8064</v>
      </c>
      <c r="O41" s="127">
        <f t="shared" si="1"/>
        <v>8064</v>
      </c>
      <c r="P41" s="493">
        <f t="shared" si="32"/>
        <v>941.83333333333337</v>
      </c>
      <c r="Q41" s="210">
        <f t="shared" si="27"/>
        <v>0.47091666666666671</v>
      </c>
      <c r="R41" s="111">
        <f t="shared" si="22"/>
        <v>0</v>
      </c>
      <c r="S41" s="135">
        <f t="shared" si="28"/>
        <v>0</v>
      </c>
      <c r="T41" s="111">
        <f t="shared" si="23"/>
        <v>0</v>
      </c>
      <c r="U41" s="85">
        <f t="shared" si="24"/>
        <v>154.42333333333335</v>
      </c>
      <c r="V41" s="111">
        <f t="shared" si="25"/>
        <v>896</v>
      </c>
      <c r="W41" s="467">
        <f t="shared" si="26"/>
        <v>0</v>
      </c>
    </row>
    <row r="42" spans="1:23" ht="12.75" customHeight="1" thickBot="1" x14ac:dyDescent="0.25">
      <c r="A42" s="106"/>
      <c r="B42" s="107"/>
      <c r="C42" s="8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23" ht="12.75" customHeight="1" x14ac:dyDescent="0.2">
      <c r="B43" s="643" t="s">
        <v>62</v>
      </c>
      <c r="C43" s="644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</row>
    <row r="44" spans="1:23" ht="12.75" customHeight="1" x14ac:dyDescent="0.2">
      <c r="B44" s="338">
        <v>79818.55</v>
      </c>
      <c r="C44" s="339">
        <v>79873.05</v>
      </c>
      <c r="D44" s="340" t="s">
        <v>30</v>
      </c>
      <c r="E44" s="340" t="s">
        <v>105</v>
      </c>
      <c r="F44" s="340" t="s">
        <v>105</v>
      </c>
      <c r="G44" s="103" t="str">
        <f>IF(AND($E44=$Y$2,$F44=$Y$2),$AA$2,IF(OR(AND($E44=$Y$2,$F44=$Y$3),AND($E44=$Y$3,$F44=$Y$2)),$AA$3,IF(OR(AND($E44=$Y$2,$F44=$Y$4),AND($E44=$Y$4,$F44=$Y$2)),$AA$4,IF(OR(AND($E44=$Y$3,$F44=$Y$4),AND($E44=$Y$4,$F44=$Y$3)),$AA$5,IF(AND($E44=$Y$3,$F44=$Y$3),$AA$6,IF(AND($E44=$Y$4,$F44=$Y$4),$AA$7,"-"))))))</f>
        <v>E/S - E/S</v>
      </c>
      <c r="H44" s="26">
        <f>IF(AND($E44=$Y$2,$F44=$Y$2),2*$AA$12,IF(OR(AND($E44=$Y$2, $F44=$Y$3),AND($E44=$Y$3,$F44=$Y$2)),$AA$12+$AA$13,IF(OR(AND($E44=$Y$2,$F44=$Y$4),AND($E44=$Y$4,$F44=$Y$2)),$AA$12,IF(OR(AND($E44=$Y$3,$F44=$Y$4),AND($E44=$Y$4,$F44=$Y$3)),$AA$13,IF(AND($E44=$Y$3,$F44=$Y$3),2*$AA$13,0)))))</f>
        <v>3</v>
      </c>
      <c r="I44" s="27">
        <f>IF(AND($E44=$Y$2,$F44=$Y$2),2*$AD$12*$K44/27,IF(OR(AND($E44=$Y$2,$F44=$Y$3),AND($E44=$Y$3,$F44=$Y$2)),($AD$12+$AD$13)*$K44/27,IF(OR(AND($E44=$Y$2,$F44=$Y$4),AND($E44=$Y$4,$F44=$Y$2)),$AD$12*$K44/27,IF(OR(AND($E44=$Y$3,$F44=$Y$4),AND($E44=$Y$4,$F44=$Y$3)),$AD$13*$K44/27,IF(AND($E44=$Y$3,$F44=$Y$3),2*$AD$13*$K44/27,0)))))</f>
        <v>3.0277777777777777</v>
      </c>
      <c r="J44" s="78">
        <f>IF(OR(AND($E44=$Y$2,$F44=$Y$4),AND($E44=$Y$4,$F44=$Y$2)),$AG$14,IF(OR(AND($E44=$Y$3,$F44=$Y$4),AND($E44=$Y$4,$F44=$Y$3)),$AG$14,IF(AND($E44=$Y$4,$F44=$Y$4),2*$AG$14,0)))</f>
        <v>0</v>
      </c>
      <c r="K44" s="83">
        <f t="shared" si="13"/>
        <v>54.5</v>
      </c>
      <c r="L44" s="345">
        <v>26</v>
      </c>
      <c r="M44" s="124">
        <f t="shared" si="14"/>
        <v>1417</v>
      </c>
      <c r="N44" s="347">
        <v>0</v>
      </c>
      <c r="O44" s="123">
        <f t="shared" si="1"/>
        <v>1417</v>
      </c>
      <c r="P44" s="493">
        <f t="shared" ref="P44:P46" si="38">IF(OR($A44="APP SLAB",O44=0),0,($O44+$H44*$K44)/9)</f>
        <v>175.61111111111111</v>
      </c>
      <c r="Q44" s="210">
        <f t="shared" ref="Q44" si="39">IF(AND(P44=0,S44=0),0,IF(S44=0,P44/2000,S44/2000))</f>
        <v>8.7805555555555553E-2</v>
      </c>
      <c r="R44" s="85">
        <f>IF(A44="APP SLAB",0,S44)</f>
        <v>0</v>
      </c>
      <c r="S44" s="135">
        <f t="shared" ref="S44:S48" si="40">IF(OR(A44="APP SLAB",P44&lt;&gt;0),0,(O44+H44*K44)/9)</f>
        <v>0</v>
      </c>
      <c r="T44" s="85">
        <f>IF(A44="APP SLAB",0,$S$1*S44*110*0.06*0.75/2000)</f>
        <v>0</v>
      </c>
      <c r="U44" s="85">
        <f t="shared" ref="U44:U48" si="41">IF(O44=0,0,(O44*$U$1/12)/27+I44)</f>
        <v>29.268518518518519</v>
      </c>
      <c r="V44" s="111">
        <f t="shared" ref="V44:V48" si="42">IF(OR(A44="APP SLAB",O44=0),0,(O44+J44*K44)/9)</f>
        <v>157.44444444444446</v>
      </c>
      <c r="W44" s="467">
        <f t="shared" ref="W44:W48" si="43">IF(AND($E44=$F44="Uncurbed"),(2*$K44*2*$W$1/12)/27,IF(OR($E44="Uncurbed",$F44="Uncurbed"),($K44*2*$W$1/12)/27,IF(OR(AND($E44="Med. Barr.",$F44="Curbed"),AND($E44="Curbed",$F44="Med. Barr."),$E44=$F44,$E44="Unique",$F44="Unique",$E44="-",$F44="-"),0,"?")))</f>
        <v>1.0933641975308641</v>
      </c>
    </row>
    <row r="45" spans="1:23" ht="12.75" customHeight="1" x14ac:dyDescent="0.2">
      <c r="B45" s="338">
        <v>79873.05</v>
      </c>
      <c r="C45" s="339">
        <v>80139.91</v>
      </c>
      <c r="D45" s="340" t="s">
        <v>30</v>
      </c>
      <c r="E45" s="340" t="s">
        <v>105</v>
      </c>
      <c r="F45" s="340" t="s">
        <v>105</v>
      </c>
      <c r="G45" s="103" t="str">
        <f>IF(AND($E45=$Y$2,$F45=$Y$2),$AA$2,IF(OR(AND($E45=$Y$2,$F45=$Y$3),AND($E45=$Y$3,$F45=$Y$2)),$AA$3,IF(OR(AND($E45=$Y$2,$F45=$Y$4),AND($E45=$Y$4,$F45=$Y$2)),$AA$4,IF(OR(AND($E45=$Y$3,$F45=$Y$4),AND($E45=$Y$4,$F45=$Y$3)),$AA$5,IF(AND($E45=$Y$3,$F45=$Y$3),$AA$6,IF(AND($E45=$Y$4,$F45=$Y$4),$AA$7,"-"))))))</f>
        <v>E/S - E/S</v>
      </c>
      <c r="H45" s="26">
        <f>IF(AND($E45=$Y$2,$F45=$Y$2),2*$AA$12,IF(OR(AND($E45=$Y$2, $F45=$Y$3),AND($E45=$Y$3,$F45=$Y$2)),$AA$12+$AA$13,IF(OR(AND($E45=$Y$2,$F45=$Y$4),AND($E45=$Y$4,$F45=$Y$2)),$AA$12,IF(OR(AND($E45=$Y$3,$F45=$Y$4),AND($E45=$Y$4,$F45=$Y$3)),$AA$13,IF(AND($E45=$Y$3,$F45=$Y$3),2*$AA$13,0)))))</f>
        <v>3</v>
      </c>
      <c r="I45" s="27">
        <f>IF(AND($E45=$Y$2,$F45=$Y$2),2*$AD$12*$K45/27,IF(OR(AND($E45=$Y$2,$F45=$Y$3),AND($E45=$Y$3,$F45=$Y$2)),($AD$12+$AD$13)*$K45/27,IF(OR(AND($E45=$Y$2,$F45=$Y$4),AND($E45=$Y$4,$F45=$Y$2)),$AD$12*$K45/27,IF(OR(AND($E45=$Y$3,$F45=$Y$4),AND($E45=$Y$4,$F45=$Y$3)),$AD$13*$K45/27,IF(AND($E45=$Y$3,$F45=$Y$3),2*$AD$13*$K45/27,0)))))</f>
        <v>14.825555555555589</v>
      </c>
      <c r="J45" s="78">
        <f>IF(OR(AND($E45=$Y$2,$F45=$Y$4),AND($E45=$Y$4,$F45=$Y$2)),$AG$14,IF(OR(AND($E45=$Y$3,$F45=$Y$4),AND($E45=$Y$4,$F45=$Y$3)),$AG$14,IF(AND($E45=$Y$4,$F45=$Y$4),2*$AG$14,0)))</f>
        <v>0</v>
      </c>
      <c r="K45" s="83">
        <f t="shared" si="13"/>
        <v>266.86000000000058</v>
      </c>
      <c r="L45" s="345">
        <v>25</v>
      </c>
      <c r="M45" s="124">
        <f t="shared" si="14"/>
        <v>6672</v>
      </c>
      <c r="N45" s="347">
        <v>0</v>
      </c>
      <c r="O45" s="123">
        <f t="shared" si="1"/>
        <v>6672</v>
      </c>
      <c r="P45" s="493">
        <f t="shared" si="38"/>
        <v>830.28666666666686</v>
      </c>
      <c r="Q45" s="210">
        <f t="shared" ref="Q45:Q48" si="44">IF(AND(P45=0,S45=0),0,IF(S45=0,P45/2000,S45/2000))</f>
        <v>0.41514333333333342</v>
      </c>
      <c r="R45" s="85">
        <f>IF(A45="APP SLAB",0,S45)</f>
        <v>0</v>
      </c>
      <c r="S45" s="135">
        <f t="shared" si="40"/>
        <v>0</v>
      </c>
      <c r="T45" s="85">
        <f>IF(A45="APP SLAB",0,$S$1*S45*110*0.06*0.75/2000)</f>
        <v>0</v>
      </c>
      <c r="U45" s="85">
        <f t="shared" si="41"/>
        <v>138.38111111111115</v>
      </c>
      <c r="V45" s="111">
        <f t="shared" si="42"/>
        <v>741.33333333333337</v>
      </c>
      <c r="W45" s="467">
        <f t="shared" si="43"/>
        <v>5.353672839506185</v>
      </c>
    </row>
    <row r="46" spans="1:23" ht="12.75" customHeight="1" x14ac:dyDescent="0.2">
      <c r="B46" s="338">
        <v>80139.91</v>
      </c>
      <c r="C46" s="339">
        <v>81000</v>
      </c>
      <c r="D46" s="340" t="s">
        <v>30</v>
      </c>
      <c r="E46" s="340" t="s">
        <v>105</v>
      </c>
      <c r="F46" s="340" t="s">
        <v>106</v>
      </c>
      <c r="G46" s="103" t="str">
        <f>IF(AND($E46=$Y$2,$F46=$Y$2),$AA$2,IF(OR(AND($E46=$Y$2,$F46=$Y$3),AND($E46=$Y$3,$F46=$Y$2)),$AA$3,IF(OR(AND($E46=$Y$2,$F46=$Y$4),AND($E46=$Y$4,$F46=$Y$2)),$AA$4,IF(OR(AND($E46=$Y$3,$F46=$Y$4),AND($E46=$Y$4,$F46=$Y$3)),$AA$5,IF(AND($E46=$Y$3,$F46=$Y$3),$AA$6,IF(AND($E46=$Y$4,$F46=$Y$4),$AA$7,"-"))))))</f>
        <v>E/S - F/C</v>
      </c>
      <c r="H46" s="26">
        <f>IF(AND($E46=$Y$2,$F46=$Y$2),2*$AA$12,IF(OR(AND($E46=$Y$2, $F46=$Y$3),AND($E46=$Y$3,$F46=$Y$2)),$AA$12+$AA$13,IF(OR(AND($E46=$Y$2,$F46=$Y$4),AND($E46=$Y$4,$F46=$Y$2)),$AA$12,IF(OR(AND($E46=$Y$3,$F46=$Y$4),AND($E46=$Y$4,$F46=$Y$3)),$AA$13,IF(AND($E46=$Y$3,$F46=$Y$3),2*$AA$13,0)))))</f>
        <v>3.5</v>
      </c>
      <c r="I46" s="27">
        <f>IF(AND($E46=$Y$2,$F46=$Y$2),2*$AD$12*$K46/27,IF(OR(AND($E46=$Y$2,$F46=$Y$3),AND($E46=$Y$3,$F46=$Y$2)),($AD$12+$AD$13)*$K46/27,IF(OR(AND($E46=$Y$2,$F46=$Y$4),AND($E46=$Y$4,$F46=$Y$2)),$AD$12*$K46/27,IF(OR(AND($E46=$Y$3,$F46=$Y$4),AND($E46=$Y$4,$F46=$Y$3)),$AD$13*$K46/27,IF(AND($E46=$Y$3,$F46=$Y$3),2*$AD$13*$K46/27,0)))))</f>
        <v>47.782777777777582</v>
      </c>
      <c r="J46" s="78">
        <f>IF(OR(AND($E46=$Y$2,$F46=$Y$4),AND($E46=$Y$4,$F46=$Y$2)),$AG$14,IF(OR(AND($E46=$Y$3,$F46=$Y$4),AND($E46=$Y$4,$F46=$Y$3)),$AG$14,IF(AND($E46=$Y$4,$F46=$Y$4),2*$AG$14,0)))</f>
        <v>0</v>
      </c>
      <c r="K46" s="83">
        <f t="shared" si="13"/>
        <v>860.08999999999651</v>
      </c>
      <c r="L46" s="345">
        <v>27</v>
      </c>
      <c r="M46" s="124">
        <f t="shared" si="14"/>
        <v>23223</v>
      </c>
      <c r="N46" s="347">
        <v>0</v>
      </c>
      <c r="O46" s="123">
        <f t="shared" si="1"/>
        <v>23223</v>
      </c>
      <c r="P46" s="493">
        <f t="shared" si="38"/>
        <v>2914.8127777777763</v>
      </c>
      <c r="Q46" s="210">
        <f t="shared" si="44"/>
        <v>1.4574063888888882</v>
      </c>
      <c r="R46" s="85">
        <f>IF(A46="APP SLAB",0,S46)</f>
        <v>0</v>
      </c>
      <c r="S46" s="135">
        <f t="shared" si="40"/>
        <v>0</v>
      </c>
      <c r="T46" s="85">
        <f>IF(A46="APP SLAB",0,$S$1*S46*110*0.06*0.75/2000)</f>
        <v>0</v>
      </c>
      <c r="U46" s="85">
        <f t="shared" si="41"/>
        <v>477.83833333333314</v>
      </c>
      <c r="V46" s="111">
        <f t="shared" si="42"/>
        <v>2580.3333333333335</v>
      </c>
      <c r="W46" s="467">
        <f t="shared" si="43"/>
        <v>17.254891975308571</v>
      </c>
    </row>
    <row r="47" spans="1:23" ht="12.75" customHeight="1" x14ac:dyDescent="0.2">
      <c r="B47" s="338">
        <v>81000</v>
      </c>
      <c r="C47" s="339">
        <v>81094.539999999994</v>
      </c>
      <c r="D47" s="340" t="s">
        <v>30</v>
      </c>
      <c r="E47" s="340" t="s">
        <v>105</v>
      </c>
      <c r="F47" s="340" t="s">
        <v>106</v>
      </c>
      <c r="G47" s="103" t="str">
        <f>IF(AND($E47=$Y$2,$F47=$Y$2),$AA$2,IF(OR(AND($E47=$Y$2,$F47=$Y$3),AND($E47=$Y$3,$F47=$Y$2)),$AA$3,IF(OR(AND($E47=$Y$2,$F47=$Y$4),AND($E47=$Y$4,$F47=$Y$2)),$AA$4,IF(OR(AND($E47=$Y$3,$F47=$Y$4),AND($E47=$Y$4,$F47=$Y$3)),$AA$5,IF(AND($E47=$Y$3,$F47=$Y$3),$AA$6,IF(AND($E47=$Y$4,$F47=$Y$4),$AA$7,"-"))))))</f>
        <v>E/S - F/C</v>
      </c>
      <c r="H47" s="26">
        <f>IF(AND($E47=$Y$2,$F47=$Y$2),2*$AA$12,IF(OR(AND($E47=$Y$2, $F47=$Y$3),AND($E47=$Y$3,$F47=$Y$2)),$AA$12+$AA$13,IF(OR(AND($E47=$Y$2,$F47=$Y$4),AND($E47=$Y$4,$F47=$Y$2)),$AA$12,IF(OR(AND($E47=$Y$3,$F47=$Y$4),AND($E47=$Y$4,$F47=$Y$3)),$AA$13,IF(AND($E47=$Y$3,$F47=$Y$3),2*$AA$13,0)))))</f>
        <v>3.5</v>
      </c>
      <c r="I47" s="27">
        <f>IF(AND($E47=$Y$2,$F47=$Y$2),2*$AD$12*$K47/27,IF(OR(AND($E47=$Y$2,$F47=$Y$3),AND($E47=$Y$3,$F47=$Y$2)),($AD$12+$AD$13)*$K47/27,IF(OR(AND($E47=$Y$2,$F47=$Y$4),AND($E47=$Y$4,$F47=$Y$2)),$AD$12*$K47/27,IF(OR(AND($E47=$Y$3,$F47=$Y$4),AND($E47=$Y$4,$F47=$Y$3)),$AD$13*$K47/27,IF(AND($E47=$Y$3,$F47=$Y$3),2*$AD$13*$K47/27,0)))))</f>
        <v>5.2522222222218664</v>
      </c>
      <c r="J47" s="78">
        <f>IF(OR(AND($E47=$Y$2,$F47=$Y$4),AND($E47=$Y$4,$F47=$Y$2)),$AG$14,IF(OR(AND($E47=$Y$3,$F47=$Y$4),AND($E47=$Y$4,$F47=$Y$3)),$AG$14,IF(AND($E47=$Y$4,$F47=$Y$4),2*$AG$14,0)))</f>
        <v>0</v>
      </c>
      <c r="K47" s="492">
        <f t="shared" ref="K47" si="45">C47-B47</f>
        <v>94.539999999993597</v>
      </c>
      <c r="L47" s="345">
        <v>27</v>
      </c>
      <c r="M47" s="124">
        <f t="shared" ref="M47" si="46">IF(L47="-",0,ROUNDUP($K47*L47,0))</f>
        <v>2553</v>
      </c>
      <c r="N47" s="347">
        <v>0</v>
      </c>
      <c r="O47" s="123">
        <f t="shared" ref="O47" si="47">SUM(M47:N47)</f>
        <v>2553</v>
      </c>
      <c r="P47" s="347">
        <v>0</v>
      </c>
      <c r="Q47" s="210">
        <f t="shared" si="44"/>
        <v>0.16021611111110987</v>
      </c>
      <c r="R47" s="493">
        <f>IF(A47="APP SLAB",0,S47)</f>
        <v>320.43222222221971</v>
      </c>
      <c r="S47" s="135">
        <f t="shared" si="40"/>
        <v>320.43222222221971</v>
      </c>
      <c r="T47" s="493">
        <f>IF(A47="APP SLAB",0,$S$1*S47*110*0.06*0.75/2000)</f>
        <v>9.5168369999999243</v>
      </c>
      <c r="U47" s="493">
        <f t="shared" ref="U47" si="48">IF(O47=0,0,(O47*$U$1/12)/27+I47)</f>
        <v>52.529999999999646</v>
      </c>
      <c r="V47" s="111">
        <f t="shared" ref="V47" si="49">IF(OR(A47="APP SLAB",O47=0),0,(O47+J47*K47)/9)</f>
        <v>283.66666666666669</v>
      </c>
      <c r="W47" s="515">
        <f t="shared" si="43"/>
        <v>1.8966358024690075</v>
      </c>
    </row>
    <row r="48" spans="1:23" ht="12.75" customHeight="1" x14ac:dyDescent="0.2">
      <c r="B48" s="338">
        <v>81094.539999999994</v>
      </c>
      <c r="C48" s="339">
        <v>81185.17</v>
      </c>
      <c r="D48" s="340" t="s">
        <v>30</v>
      </c>
      <c r="E48" s="340" t="s">
        <v>105</v>
      </c>
      <c r="F48" s="340" t="s">
        <v>105</v>
      </c>
      <c r="G48" s="103" t="str">
        <f>IF(AND($E48=$Y$2,$F48=$Y$2),$AA$2,IF(OR(AND($E48=$Y$2,$F48=$Y$3),AND($E48=$Y$3,$F48=$Y$2)),$AA$3,IF(OR(AND($E48=$Y$2,$F48=$Y$4),AND($E48=$Y$4,$F48=$Y$2)),$AA$4,IF(OR(AND($E48=$Y$3,$F48=$Y$4),AND($E48=$Y$4,$F48=$Y$3)),$AA$5,IF(AND($E48=$Y$3,$F48=$Y$3),$AA$6,IF(AND($E48=$Y$4,$F48=$Y$4),$AA$7,"-"))))))</f>
        <v>E/S - E/S</v>
      </c>
      <c r="H48" s="26">
        <f>IF(AND($E48=$Y$2,$F48=$Y$2),2*$AA$12,IF(OR(AND($E48=$Y$2, $F48=$Y$3),AND($E48=$Y$3,$F48=$Y$2)),$AA$12+$AA$13,IF(OR(AND($E48=$Y$2,$F48=$Y$4),AND($E48=$Y$4,$F48=$Y$2)),$AA$12,IF(OR(AND($E48=$Y$3,$F48=$Y$4),AND($E48=$Y$4,$F48=$Y$3)),$AA$13,IF(AND($E48=$Y$3,$F48=$Y$3),2*$AA$13,0)))))</f>
        <v>3</v>
      </c>
      <c r="I48" s="27">
        <f>IF(AND($E48=$Y$2,$F48=$Y$2),2*$AD$12*$K48/27,IF(OR(AND($E48=$Y$2,$F48=$Y$3),AND($E48=$Y$3,$F48=$Y$2)),($AD$12+$AD$13)*$K48/27,IF(OR(AND($E48=$Y$2,$F48=$Y$4),AND($E48=$Y$4,$F48=$Y$2)),$AD$12*$K48/27,IF(OR(AND($E48=$Y$3,$F48=$Y$4),AND($E48=$Y$4,$F48=$Y$3)),$AD$13*$K48/27,IF(AND($E48=$Y$3,$F48=$Y$3),2*$AD$13*$K48/27,0)))))</f>
        <v>5.0350000000002586</v>
      </c>
      <c r="J48" s="78">
        <f>IF(OR(AND($E48=$Y$2,$F48=$Y$4),AND($E48=$Y$4,$F48=$Y$2)),$AG$14,IF(OR(AND($E48=$Y$3,$F48=$Y$4),AND($E48=$Y$4,$F48=$Y$3)),$AG$14,IF(AND($E48=$Y$4,$F48=$Y$4),2*$AG$14,0)))</f>
        <v>0</v>
      </c>
      <c r="K48" s="83">
        <f t="shared" si="13"/>
        <v>90.630000000004657</v>
      </c>
      <c r="L48" s="345">
        <v>25</v>
      </c>
      <c r="M48" s="124">
        <f t="shared" si="14"/>
        <v>2266</v>
      </c>
      <c r="N48" s="347">
        <v>0</v>
      </c>
      <c r="O48" s="123">
        <f t="shared" si="1"/>
        <v>2266</v>
      </c>
      <c r="P48" s="347">
        <v>0</v>
      </c>
      <c r="Q48" s="210">
        <f t="shared" si="44"/>
        <v>0.14099388888888967</v>
      </c>
      <c r="R48" s="85">
        <f>IF(A48="APP SLAB",0,S48)</f>
        <v>281.98777777777934</v>
      </c>
      <c r="S48" s="135">
        <f t="shared" si="40"/>
        <v>281.98777777777934</v>
      </c>
      <c r="T48" s="85">
        <f>IF(A48="APP SLAB",0,$S$1*S48*110*0.06*0.75/2000)</f>
        <v>8.3750370000000469</v>
      </c>
      <c r="U48" s="85">
        <f t="shared" si="41"/>
        <v>46.997962962963221</v>
      </c>
      <c r="V48" s="111">
        <f t="shared" si="42"/>
        <v>251.77777777777777</v>
      </c>
      <c r="W48" s="467">
        <f t="shared" si="43"/>
        <v>1.8181944444445379</v>
      </c>
    </row>
    <row r="49" spans="1:23" ht="12.75" customHeight="1" thickBot="1" x14ac:dyDescent="0.25">
      <c r="B49" s="107"/>
      <c r="C49" s="8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ht="12.75" customHeight="1" x14ac:dyDescent="0.2">
      <c r="B50" s="643" t="s">
        <v>63</v>
      </c>
      <c r="C50" s="644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</row>
    <row r="51" spans="1:23" ht="12.75" customHeight="1" x14ac:dyDescent="0.2">
      <c r="B51" s="338">
        <v>78838.81</v>
      </c>
      <c r="C51" s="339">
        <v>78878.34</v>
      </c>
      <c r="D51" s="340" t="s">
        <v>30</v>
      </c>
      <c r="E51" s="340" t="s">
        <v>106</v>
      </c>
      <c r="F51" s="340" t="s">
        <v>112</v>
      </c>
      <c r="G51" s="103" t="str">
        <f t="shared" ref="G51:G56" si="50">IF(AND($E51=$Y$2,$F51=$Y$2),$AA$2,IF(OR(AND($E51=$Y$2,$F51=$Y$3),AND($E51=$Y$3,$F51=$Y$2)),$AA$3,IF(OR(AND($E51=$Y$2,$F51=$Y$4),AND($E51=$Y$4,$F51=$Y$2)),$AA$4,IF(OR(AND($E51=$Y$3,$F51=$Y$4),AND($E51=$Y$4,$F51=$Y$3)),$AA$5,IF(AND($E51=$Y$3,$F51=$Y$3),$AA$6,IF(AND($E51=$Y$4,$F51=$Y$4),$AA$7,"-"))))))</f>
        <v>-</v>
      </c>
      <c r="H51" s="342">
        <v>1.5</v>
      </c>
      <c r="I51" s="341">
        <v>0.73</v>
      </c>
      <c r="J51" s="361">
        <v>0</v>
      </c>
      <c r="K51" s="83">
        <f t="shared" ref="K51:K63" si="51">C51-B51</f>
        <v>39.529999999998836</v>
      </c>
      <c r="L51" s="345" t="s">
        <v>101</v>
      </c>
      <c r="M51" s="124">
        <f t="shared" si="14"/>
        <v>0</v>
      </c>
      <c r="N51" s="347">
        <v>937</v>
      </c>
      <c r="O51" s="123">
        <f t="shared" si="1"/>
        <v>937</v>
      </c>
      <c r="P51" s="347">
        <v>0</v>
      </c>
      <c r="Q51" s="210">
        <f t="shared" ref="Q51" si="52">IF(AND(P51=0,S51=0),0,IF(S51=0,P51/2000,S51/2000))</f>
        <v>5.5349722222222127E-2</v>
      </c>
      <c r="R51" s="85">
        <f t="shared" ref="R51:R56" si="53">IF(A51="APP SLAB",0,S51)</f>
        <v>110.69944444444425</v>
      </c>
      <c r="S51" s="135">
        <f t="shared" ref="S51:S56" si="54">IF(OR(A51="APP SLAB",P51&lt;&gt;0),0,(O51+H51*K51)/9)</f>
        <v>110.69944444444425</v>
      </c>
      <c r="T51" s="85">
        <f t="shared" ref="T51:T56" si="55">IF(A51="APP SLAB",0,$S$1*S51*110*0.06*0.75/2000)</f>
        <v>3.2877734999999948</v>
      </c>
      <c r="U51" s="85">
        <f t="shared" ref="U51:U56" si="56">IF(O51=0,0,(O51*$U$1/12)/27+I51)</f>
        <v>18.081851851851852</v>
      </c>
      <c r="V51" s="111">
        <f t="shared" ref="V51:V56" si="57">IF(OR(A51="APP SLAB",O51=0),0,(O51+J51*K51)/9)</f>
        <v>104.11111111111111</v>
      </c>
      <c r="W51" s="467">
        <f t="shared" ref="W51:W56" si="58">IF(AND($E51=$F51="Uncurbed"),(2*$K51*2*$W$1/12)/27,IF(OR($E51="Uncurbed",$F51="Uncurbed"),($K51*2*$W$1/12)/27,IF(OR(AND($E51="Med. Barr.",$F51="Curbed"),AND($E51="Curbed",$F51="Med. Barr."),$E51=$F51,$E51="Unique",$F51="Unique",$E51="-",$F51="-"),0,"?")))</f>
        <v>0</v>
      </c>
    </row>
    <row r="52" spans="1:23" ht="12.75" customHeight="1" x14ac:dyDescent="0.2">
      <c r="B52" s="338">
        <v>78878.34</v>
      </c>
      <c r="C52" s="339">
        <v>78996.570000000007</v>
      </c>
      <c r="D52" s="340" t="s">
        <v>30</v>
      </c>
      <c r="E52" s="340" t="s">
        <v>106</v>
      </c>
      <c r="F52" s="340" t="s">
        <v>106</v>
      </c>
      <c r="G52" s="103" t="str">
        <f t="shared" si="50"/>
        <v>F/C - F/C</v>
      </c>
      <c r="H52" s="26">
        <f>IF(AND($E52=$Y$2,$F52=$Y$2),2*$AA$12,IF(OR(AND($E52=$Y$2, $F52=$Y$3),AND($E52=$Y$3,$F52=$Y$2)),$AA$12+$AA$13,IF(OR(AND($E52=$Y$2,$F52=$Y$4),AND($E52=$Y$4,$F52=$Y$2)),$AA$12,IF(OR(AND($E52=$Y$3,$F52=$Y$4),AND($E52=$Y$4,$F52=$Y$3)),$AA$13,IF(AND($E52=$Y$3,$F52=$Y$3),2*$AA$13,0)))))</f>
        <v>4</v>
      </c>
      <c r="I52" s="27">
        <f>IF(AND($E52=$Y$2,$F52=$Y$2),2*$AD$12*$K52/27,IF(OR(AND($E52=$Y$2,$F52=$Y$3),AND($E52=$Y$3,$F52=$Y$2)),($AD$12+$AD$13)*$K52/27,IF(OR(AND($E52=$Y$2,$F52=$Y$4),AND($E52=$Y$4,$F52=$Y$2)),$AD$12*$K52/27,IF(OR(AND($E52=$Y$3,$F52=$Y$4),AND($E52=$Y$4,$F52=$Y$3)),$AD$13*$K52/27,IF(AND($E52=$Y$3,$F52=$Y$3),2*$AD$13*$K52/27,0)))))</f>
        <v>6.5683333333339151</v>
      </c>
      <c r="J52" s="78">
        <f>IF(OR(AND($E52=$Y$2,$F52=$Y$4),AND($E52=$Y$4,$F52=$Y$2)),$AG$14,IF(OR(AND($E52=$Y$3,$F52=$Y$4),AND($E52=$Y$4,$F52=$Y$3)),$AG$14,IF(AND($E52=$Y$4,$F52=$Y$4),2*$AG$14,0)))</f>
        <v>0</v>
      </c>
      <c r="K52" s="83">
        <f t="shared" si="51"/>
        <v>118.23000000001048</v>
      </c>
      <c r="L52" s="345">
        <v>25</v>
      </c>
      <c r="M52" s="124">
        <f t="shared" si="14"/>
        <v>2956</v>
      </c>
      <c r="N52" s="347">
        <v>0</v>
      </c>
      <c r="O52" s="123">
        <f t="shared" si="1"/>
        <v>2956</v>
      </c>
      <c r="P52" s="347">
        <v>0</v>
      </c>
      <c r="Q52" s="210">
        <f t="shared" ref="Q52:Q56" si="59">IF(AND(P52=0,S52=0),0,IF(S52=0,P52/2000,S52/2000))</f>
        <v>0.19049555555555786</v>
      </c>
      <c r="R52" s="85">
        <f t="shared" si="53"/>
        <v>380.99111111111574</v>
      </c>
      <c r="S52" s="135">
        <f t="shared" si="54"/>
        <v>380.99111111111574</v>
      </c>
      <c r="T52" s="85">
        <f t="shared" si="55"/>
        <v>11.315436000000139</v>
      </c>
      <c r="U52" s="85">
        <f t="shared" si="56"/>
        <v>61.309074074074658</v>
      </c>
      <c r="V52" s="111">
        <f t="shared" si="57"/>
        <v>328.44444444444446</v>
      </c>
      <c r="W52" s="467">
        <f t="shared" si="58"/>
        <v>0</v>
      </c>
    </row>
    <row r="53" spans="1:23" ht="12.75" customHeight="1" x14ac:dyDescent="0.2">
      <c r="B53" s="338">
        <v>78996.570000000007</v>
      </c>
      <c r="C53" s="339">
        <v>79432.759999999995</v>
      </c>
      <c r="D53" s="340" t="s">
        <v>30</v>
      </c>
      <c r="E53" s="340" t="s">
        <v>105</v>
      </c>
      <c r="F53" s="340" t="s">
        <v>105</v>
      </c>
      <c r="G53" s="103" t="str">
        <f t="shared" si="50"/>
        <v>E/S - E/S</v>
      </c>
      <c r="H53" s="26">
        <f>IF(AND($E53=$Y$2,$F53=$Y$2),2*$AA$12,IF(OR(AND($E53=$Y$2, $F53=$Y$3),AND($E53=$Y$3,$F53=$Y$2)),$AA$12+$AA$13,IF(OR(AND($E53=$Y$2,$F53=$Y$4),AND($E53=$Y$4,$F53=$Y$2)),$AA$12,IF(OR(AND($E53=$Y$3,$F53=$Y$4),AND($E53=$Y$4,$F53=$Y$3)),$AA$13,IF(AND($E53=$Y$3,$F53=$Y$3),2*$AA$13,0)))))</f>
        <v>3</v>
      </c>
      <c r="I53" s="27">
        <f>IF(AND($E53=$Y$2,$F53=$Y$2),2*$AD$12*$K53/27,IF(OR(AND($E53=$Y$2,$F53=$Y$3),AND($E53=$Y$3,$F53=$Y$2)),($AD$12+$AD$13)*$K53/27,IF(OR(AND($E53=$Y$2,$F53=$Y$4),AND($E53=$Y$4,$F53=$Y$2)),$AD$12*$K53/27,IF(OR(AND($E53=$Y$3,$F53=$Y$4),AND($E53=$Y$4,$F53=$Y$3)),$AD$13*$K53/27,IF(AND($E53=$Y$3,$F53=$Y$3),2*$AD$13*$K53/27,0)))))</f>
        <v>24.232777777777098</v>
      </c>
      <c r="J53" s="78">
        <f>IF(OR(AND($E53=$Y$2,$F53=$Y$4),AND($E53=$Y$4,$F53=$Y$2)),$AG$14,IF(OR(AND($E53=$Y$3,$F53=$Y$4),AND($E53=$Y$4,$F53=$Y$3)),$AG$14,IF(AND($E53=$Y$4,$F53=$Y$4),2*$AG$14,0)))</f>
        <v>0</v>
      </c>
      <c r="K53" s="83">
        <f t="shared" si="51"/>
        <v>436.18999999998778</v>
      </c>
      <c r="L53" s="345">
        <v>25</v>
      </c>
      <c r="M53" s="124">
        <f t="shared" si="14"/>
        <v>10905</v>
      </c>
      <c r="N53" s="347">
        <v>0</v>
      </c>
      <c r="O53" s="123">
        <f t="shared" si="1"/>
        <v>10905</v>
      </c>
      <c r="P53" s="347">
        <v>0</v>
      </c>
      <c r="Q53" s="210">
        <f t="shared" si="59"/>
        <v>0.67853166666666465</v>
      </c>
      <c r="R53" s="85">
        <f t="shared" si="53"/>
        <v>1357.0633333333292</v>
      </c>
      <c r="S53" s="135">
        <f t="shared" si="54"/>
        <v>1357.0633333333292</v>
      </c>
      <c r="T53" s="85">
        <f t="shared" si="55"/>
        <v>40.304780999999871</v>
      </c>
      <c r="U53" s="85">
        <f t="shared" si="56"/>
        <v>226.17722222222156</v>
      </c>
      <c r="V53" s="111">
        <f t="shared" si="57"/>
        <v>1211.6666666666667</v>
      </c>
      <c r="W53" s="467">
        <f t="shared" si="58"/>
        <v>8.75072530864173</v>
      </c>
    </row>
    <row r="54" spans="1:23" ht="12.75" customHeight="1" x14ac:dyDescent="0.2">
      <c r="B54" s="338">
        <v>79432.759999999995</v>
      </c>
      <c r="C54" s="339">
        <v>79804.87</v>
      </c>
      <c r="D54" s="340" t="s">
        <v>30</v>
      </c>
      <c r="E54" s="340" t="s">
        <v>105</v>
      </c>
      <c r="F54" s="340" t="s">
        <v>105</v>
      </c>
      <c r="G54" s="103" t="str">
        <f t="shared" si="50"/>
        <v>E/S - E/S</v>
      </c>
      <c r="H54" s="26">
        <f>IF(AND($E54=$Y$2,$F54=$Y$2),2*$AA$12,IF(OR(AND($E54=$Y$2, $F54=$Y$3),AND($E54=$Y$3,$F54=$Y$2)),$AA$12+$AA$13,IF(OR(AND($E54=$Y$2,$F54=$Y$4),AND($E54=$Y$4,$F54=$Y$2)),$AA$12,IF(OR(AND($E54=$Y$3,$F54=$Y$4),AND($E54=$Y$4,$F54=$Y$3)),$AA$13,IF(AND($E54=$Y$3,$F54=$Y$3),2*$AA$13,0)))))</f>
        <v>3</v>
      </c>
      <c r="I54" s="341">
        <v>10.34</v>
      </c>
      <c r="J54" s="361">
        <v>0</v>
      </c>
      <c r="K54" s="83">
        <f t="shared" si="51"/>
        <v>372.11000000000058</v>
      </c>
      <c r="L54" s="345">
        <v>19</v>
      </c>
      <c r="M54" s="124">
        <f t="shared" si="14"/>
        <v>7071</v>
      </c>
      <c r="N54" s="347">
        <v>6735</v>
      </c>
      <c r="O54" s="123">
        <f t="shared" si="1"/>
        <v>13806</v>
      </c>
      <c r="P54" s="347">
        <v>0</v>
      </c>
      <c r="Q54" s="210">
        <f t="shared" si="59"/>
        <v>0.82901833333333341</v>
      </c>
      <c r="R54" s="85">
        <f t="shared" si="53"/>
        <v>1658.0366666666669</v>
      </c>
      <c r="S54" s="135">
        <f t="shared" si="54"/>
        <v>1658.0366666666669</v>
      </c>
      <c r="T54" s="85">
        <f t="shared" si="55"/>
        <v>49.243689000000003</v>
      </c>
      <c r="U54" s="85">
        <f t="shared" si="56"/>
        <v>266.00666666666666</v>
      </c>
      <c r="V54" s="111">
        <f t="shared" si="57"/>
        <v>1534</v>
      </c>
      <c r="W54" s="467">
        <f t="shared" si="58"/>
        <v>7.4651697530864318</v>
      </c>
    </row>
    <row r="55" spans="1:23" ht="12.75" customHeight="1" x14ac:dyDescent="0.2">
      <c r="B55" s="338">
        <v>79804.87</v>
      </c>
      <c r="C55" s="339">
        <v>80219.05</v>
      </c>
      <c r="D55" s="340" t="s">
        <v>30</v>
      </c>
      <c r="E55" s="340" t="s">
        <v>105</v>
      </c>
      <c r="F55" s="340" t="s">
        <v>105</v>
      </c>
      <c r="G55" s="103" t="str">
        <f t="shared" si="50"/>
        <v>E/S - E/S</v>
      </c>
      <c r="H55" s="26">
        <f>IF(AND($E55=$Y$2,$F55=$Y$2),2*$AA$12,IF(OR(AND($E55=$Y$2, $F55=$Y$3),AND($E55=$Y$3,$F55=$Y$2)),$AA$12+$AA$13,IF(OR(AND($E55=$Y$2,$F55=$Y$4),AND($E55=$Y$4,$F55=$Y$2)),$AA$12,IF(OR(AND($E55=$Y$3,$F55=$Y$4),AND($E55=$Y$4,$F55=$Y$3)),$AA$13,IF(AND($E55=$Y$3,$F55=$Y$3),2*$AA$13,0)))))</f>
        <v>3</v>
      </c>
      <c r="I55" s="27">
        <f>IF(AND($E55=$Y$2,$F55=$Y$2),2*$AD$12*$K55/27,IF(OR(AND($E55=$Y$2,$F55=$Y$3),AND($E55=$Y$3,$F55=$Y$2)),($AD$12+$AD$13)*$K55/27,IF(OR(AND($E55=$Y$2,$F55=$Y$4),AND($E55=$Y$4,$F55=$Y$2)),$AD$12*$K55/27,IF(OR(AND($E55=$Y$3,$F55=$Y$4),AND($E55=$Y$4,$F55=$Y$3)),$AD$13*$K55/27,IF(AND($E55=$Y$3,$F55=$Y$3),2*$AD$13*$K55/27,0)))))</f>
        <v>23.010000000000421</v>
      </c>
      <c r="J55" s="78">
        <f>IF(OR(AND($E55=$Y$2,$F55=$Y$4),AND($E55=$Y$4,$F55=$Y$2)),$AG$14,IF(OR(AND($E55=$Y$3,$F55=$Y$4),AND($E55=$Y$4,$F55=$Y$3)),$AG$14,IF(AND($E55=$Y$4,$F55=$Y$4),2*$AG$14,0)))</f>
        <v>0</v>
      </c>
      <c r="K55" s="83">
        <f t="shared" si="51"/>
        <v>414.18000000000757</v>
      </c>
      <c r="L55" s="345">
        <v>25</v>
      </c>
      <c r="M55" s="124">
        <f t="shared" si="14"/>
        <v>10355</v>
      </c>
      <c r="N55" s="347">
        <v>0</v>
      </c>
      <c r="O55" s="123">
        <f t="shared" si="1"/>
        <v>10355</v>
      </c>
      <c r="P55" s="493">
        <f t="shared" ref="P55:P56" si="60">IF(OR($A55="APP SLAB",O55=0),0,($O55+$H55*$K55)/9)</f>
        <v>1288.6155555555581</v>
      </c>
      <c r="Q55" s="210">
        <f t="shared" si="59"/>
        <v>0.64430777777777903</v>
      </c>
      <c r="R55" s="85">
        <f t="shared" si="53"/>
        <v>0</v>
      </c>
      <c r="S55" s="135">
        <f t="shared" si="54"/>
        <v>0</v>
      </c>
      <c r="T55" s="85">
        <f t="shared" si="55"/>
        <v>0</v>
      </c>
      <c r="U55" s="85">
        <f t="shared" si="56"/>
        <v>214.76925925925968</v>
      </c>
      <c r="V55" s="111">
        <f t="shared" si="57"/>
        <v>1150.5555555555557</v>
      </c>
      <c r="W55" s="467">
        <f t="shared" si="58"/>
        <v>8.3091666666668189</v>
      </c>
    </row>
    <row r="56" spans="1:23" ht="12.75" customHeight="1" x14ac:dyDescent="0.2">
      <c r="B56" s="338">
        <v>80219.05</v>
      </c>
      <c r="C56" s="339">
        <v>80257.89</v>
      </c>
      <c r="D56" s="340" t="s">
        <v>30</v>
      </c>
      <c r="E56" s="340" t="s">
        <v>105</v>
      </c>
      <c r="F56" s="340" t="s">
        <v>106</v>
      </c>
      <c r="G56" s="103" t="str">
        <f t="shared" si="50"/>
        <v>E/S - F/C</v>
      </c>
      <c r="H56" s="26">
        <f>IF(AND($E56=$Y$2,$F56=$Y$2),2*$AA$12,IF(OR(AND($E56=$Y$2, $F56=$Y$3),AND($E56=$Y$3,$F56=$Y$2)),$AA$12+$AA$13,IF(OR(AND($E56=$Y$2,$F56=$Y$4),AND($E56=$Y$4,$F56=$Y$2)),$AA$12,IF(OR(AND($E56=$Y$3,$F56=$Y$4),AND($E56=$Y$4,$F56=$Y$3)),$AA$13,IF(AND($E56=$Y$3,$F56=$Y$3),2*$AA$13,0)))))</f>
        <v>3.5</v>
      </c>
      <c r="I56" s="27">
        <f>IF(AND($E56=$Y$2,$F56=$Y$2),2*$AD$12*$K56/27,IF(OR(AND($E56=$Y$2,$F56=$Y$3),AND($E56=$Y$3,$F56=$Y$2)),($AD$12+$AD$13)*$K56/27,IF(OR(AND($E56=$Y$2,$F56=$Y$4),AND($E56=$Y$4,$F56=$Y$2)),$AD$12*$K56/27,IF(OR(AND($E56=$Y$3,$F56=$Y$4),AND($E56=$Y$4,$F56=$Y$3)),$AD$13*$K56/27,IF(AND($E56=$Y$3,$F56=$Y$3),2*$AD$13*$K56/27,0)))))</f>
        <v>2.1577777777775839</v>
      </c>
      <c r="J56" s="78">
        <f>IF(OR(AND($E56=$Y$2,$F56=$Y$4),AND($E56=$Y$4,$F56=$Y$2)),$AG$14,IF(OR(AND($E56=$Y$3,$F56=$Y$4),AND($E56=$Y$4,$F56=$Y$3)),$AG$14,IF(AND($E56=$Y$4,$F56=$Y$4),2*$AG$14,0)))</f>
        <v>0</v>
      </c>
      <c r="K56" s="83">
        <f t="shared" si="51"/>
        <v>38.839999999996508</v>
      </c>
      <c r="L56" s="345">
        <v>27</v>
      </c>
      <c r="M56" s="124">
        <f t="shared" si="14"/>
        <v>1049</v>
      </c>
      <c r="N56" s="347">
        <v>0</v>
      </c>
      <c r="O56" s="123">
        <f t="shared" si="1"/>
        <v>1049</v>
      </c>
      <c r="P56" s="493">
        <f t="shared" si="60"/>
        <v>131.65999999999863</v>
      </c>
      <c r="Q56" s="210">
        <f t="shared" si="59"/>
        <v>6.582999999999932E-2</v>
      </c>
      <c r="R56" s="85">
        <f t="shared" si="53"/>
        <v>0</v>
      </c>
      <c r="S56" s="135">
        <f t="shared" si="54"/>
        <v>0</v>
      </c>
      <c r="T56" s="85">
        <f t="shared" si="55"/>
        <v>0</v>
      </c>
      <c r="U56" s="85">
        <f t="shared" si="56"/>
        <v>21.583703703703513</v>
      </c>
      <c r="V56" s="111">
        <f t="shared" si="57"/>
        <v>116.55555555555556</v>
      </c>
      <c r="W56" s="467">
        <f t="shared" si="58"/>
        <v>0.77919753086412746</v>
      </c>
    </row>
    <row r="57" spans="1:23" ht="12.75" customHeight="1" thickBot="1" x14ac:dyDescent="0.25">
      <c r="A57" s="106"/>
      <c r="B57" s="107"/>
      <c r="C57" s="8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</row>
    <row r="58" spans="1:23" ht="12.75" customHeight="1" x14ac:dyDescent="0.2">
      <c r="A58" s="106"/>
      <c r="B58" s="643" t="s">
        <v>64</v>
      </c>
      <c r="C58" s="644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</row>
    <row r="59" spans="1:23" ht="12.75" customHeight="1" x14ac:dyDescent="0.2">
      <c r="B59" s="338">
        <v>6700.18</v>
      </c>
      <c r="C59" s="339">
        <v>6743.31</v>
      </c>
      <c r="D59" s="340" t="s">
        <v>30</v>
      </c>
      <c r="E59" s="340" t="s">
        <v>106</v>
      </c>
      <c r="F59" s="340" t="s">
        <v>106</v>
      </c>
      <c r="G59" s="344" t="s">
        <v>119</v>
      </c>
      <c r="H59" s="342">
        <v>0</v>
      </c>
      <c r="I59" s="341">
        <v>9.09</v>
      </c>
      <c r="J59" s="361">
        <v>0</v>
      </c>
      <c r="K59" s="346">
        <v>60</v>
      </c>
      <c r="L59" s="345" t="s">
        <v>101</v>
      </c>
      <c r="M59" s="124">
        <f t="shared" si="14"/>
        <v>0</v>
      </c>
      <c r="N59" s="347">
        <v>1080</v>
      </c>
      <c r="O59" s="123">
        <f t="shared" si="1"/>
        <v>1080</v>
      </c>
      <c r="P59" s="493">
        <f t="shared" ref="P59:P60" si="61">IF(OR($A59="APP SLAB",O59=0),0,($O59+$H59*$K59)/9)</f>
        <v>120</v>
      </c>
      <c r="Q59" s="210">
        <f t="shared" ref="Q59:Q60" si="62">IF(AND(P59=0,S59=0),0,IF(S59=0,P59/2000,S59/2000))</f>
        <v>0.06</v>
      </c>
      <c r="R59" s="493">
        <f t="shared" ref="R59:R60" si="63">IF(A59="APP SLAB",0,S59)</f>
        <v>0</v>
      </c>
      <c r="S59" s="135">
        <f t="shared" ref="S59:S60" si="64">IF(OR(A59="APP SLAB",P59&lt;&gt;0),0,(O59+H59*K59)/9)</f>
        <v>0</v>
      </c>
      <c r="T59" s="493">
        <f t="shared" ref="T59:T60" si="65">IF(A59="APP SLAB",0,$S$1*S59*110*0.06*0.75/2000)</f>
        <v>0</v>
      </c>
      <c r="U59" s="85">
        <f t="shared" ref="U59:U60" si="66">IF(O59=0,0,(O59*$U$1/12)/27+I59)</f>
        <v>29.09</v>
      </c>
      <c r="V59" s="111">
        <f t="shared" ref="V59:V60" si="67">IF(OR(A59="APP SLAB",O59=0),0,(O59+J59*K59)/9)</f>
        <v>120</v>
      </c>
      <c r="W59" s="467">
        <f t="shared" ref="W59:W60" si="68">IF(AND($E59=$F59="Uncurbed"),(2*$K59*2*$W$1/12)/27,IF(OR($E59="Uncurbed",$F59="Uncurbed"),($K59*2*$W$1/12)/27,IF(OR(AND($E59="Med. Barr.",$F59="Curbed"),AND($E59="Curbed",$F59="Med. Barr."),$E59=$F59,$E59="Unique",$F59="Unique",$E59="-",$F59="-"),0,"?")))</f>
        <v>0</v>
      </c>
    </row>
    <row r="60" spans="1:23" ht="12.75" customHeight="1" x14ac:dyDescent="0.2">
      <c r="B60" s="338">
        <v>6743.31</v>
      </c>
      <c r="C60" s="339">
        <v>7020.55</v>
      </c>
      <c r="D60" s="340" t="s">
        <v>30</v>
      </c>
      <c r="E60" s="340" t="s">
        <v>106</v>
      </c>
      <c r="F60" s="340" t="s">
        <v>106</v>
      </c>
      <c r="G60" s="344" t="s">
        <v>119</v>
      </c>
      <c r="H60" s="342">
        <v>0</v>
      </c>
      <c r="I60" s="341">
        <v>42</v>
      </c>
      <c r="J60" s="361">
        <v>0</v>
      </c>
      <c r="K60" s="83">
        <f t="shared" si="51"/>
        <v>277.23999999999978</v>
      </c>
      <c r="L60" s="345">
        <v>14</v>
      </c>
      <c r="M60" s="124">
        <f t="shared" si="14"/>
        <v>3882</v>
      </c>
      <c r="N60" s="347">
        <v>0</v>
      </c>
      <c r="O60" s="123">
        <f t="shared" si="1"/>
        <v>3882</v>
      </c>
      <c r="P60" s="493">
        <f t="shared" si="61"/>
        <v>431.33333333333331</v>
      </c>
      <c r="Q60" s="210">
        <f t="shared" si="62"/>
        <v>0.21566666666666665</v>
      </c>
      <c r="R60" s="493">
        <f t="shared" si="63"/>
        <v>0</v>
      </c>
      <c r="S60" s="135">
        <f t="shared" si="64"/>
        <v>0</v>
      </c>
      <c r="T60" s="493">
        <f t="shared" si="65"/>
        <v>0</v>
      </c>
      <c r="U60" s="85">
        <f t="shared" si="66"/>
        <v>113.88888888888889</v>
      </c>
      <c r="V60" s="111">
        <f t="shared" si="67"/>
        <v>431.33333333333331</v>
      </c>
      <c r="W60" s="467">
        <f t="shared" si="68"/>
        <v>0</v>
      </c>
    </row>
    <row r="61" spans="1:23" ht="12.75" customHeight="1" thickBot="1" x14ac:dyDescent="0.25">
      <c r="B61" s="107"/>
      <c r="C61" s="8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</row>
    <row r="62" spans="1:23" ht="12.75" customHeight="1" x14ac:dyDescent="0.2">
      <c r="B62" s="643" t="s">
        <v>65</v>
      </c>
      <c r="C62" s="644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</row>
    <row r="63" spans="1:23" ht="12.75" customHeight="1" x14ac:dyDescent="0.2">
      <c r="A63" s="106"/>
      <c r="B63" s="338">
        <v>79800.570000000007</v>
      </c>
      <c r="C63" s="339">
        <v>81039.33</v>
      </c>
      <c r="D63" s="340" t="s">
        <v>30</v>
      </c>
      <c r="E63" s="340" t="s">
        <v>105</v>
      </c>
      <c r="F63" s="340" t="s">
        <v>105</v>
      </c>
      <c r="G63" s="103" t="str">
        <f>IF(AND($E63=$Y$2,$F63=$Y$2),$AA$2,IF(OR(AND($E63=$Y$2,$F63=$Y$3),AND($E63=$Y$3,$F63=$Y$2)),$AA$3,IF(OR(AND($E63=$Y$2,$F63=$Y$4),AND($E63=$Y$4,$F63=$Y$2)),$AA$4,IF(OR(AND($E63=$Y$3,$F63=$Y$4),AND($E63=$Y$4,$F63=$Y$3)),$AA$5,IF(AND($E63=$Y$3,$F63=$Y$3),$AA$6,IF(AND($E63=$Y$4,$F63=$Y$4),$AA$7,"-"))))))</f>
        <v>E/S - E/S</v>
      </c>
      <c r="H63" s="26">
        <f>IF(AND($E63=$Y$2,$F63=$Y$2),2*$AA$12,IF(OR(AND($E63=$Y$2, $F63=$Y$3),AND($E63=$Y$3,$F63=$Y$2)),$AA$12+$AA$13,IF(OR(AND($E63=$Y$2,$F63=$Y$4),AND($E63=$Y$4,$F63=$Y$2)),$AA$12,IF(OR(AND($E63=$Y$3,$F63=$Y$4),AND($E63=$Y$4,$F63=$Y$3)),$AA$13,IF(AND($E63=$Y$3,$F63=$Y$3),2*$AA$13,0)))))</f>
        <v>3</v>
      </c>
      <c r="I63" s="27">
        <f>IF(AND($E63=$Y$2,$F63=$Y$2),2*$AD$12*$K63/27,IF(OR(AND($E63=$Y$2,$F63=$Y$3),AND($E63=$Y$3,$F63=$Y$2)),($AD$12+$AD$13)*$K63/27,IF(OR(AND($E63=$Y$2,$F63=$Y$4),AND($E63=$Y$4,$F63=$Y$2)),$AD$12*$K63/27,IF(OR(AND($E63=$Y$3,$F63=$Y$4),AND($E63=$Y$4,$F63=$Y$3)),$AD$13*$K63/27,IF(AND($E63=$Y$3,$F63=$Y$3),2*$AD$13*$K63/27,0)))))</f>
        <v>68.819999999999709</v>
      </c>
      <c r="J63" s="78">
        <f>IF(OR(AND($E63=$Y$2,$F63=$Y$4),AND($E63=$Y$4,$F63=$Y$2)),$AG$14,IF(OR(AND($E63=$Y$3,$F63=$Y$4),AND($E63=$Y$4,$F63=$Y$3)),$AG$14,IF(AND($E63=$Y$4,$F63=$Y$4),2*$AG$14,0)))</f>
        <v>0</v>
      </c>
      <c r="K63" s="83">
        <f t="shared" si="51"/>
        <v>1238.7599999999948</v>
      </c>
      <c r="L63" s="345">
        <v>25</v>
      </c>
      <c r="M63" s="124">
        <f t="shared" si="14"/>
        <v>30969</v>
      </c>
      <c r="N63" s="347">
        <v>0</v>
      </c>
      <c r="O63" s="123">
        <f t="shared" si="1"/>
        <v>30969</v>
      </c>
      <c r="P63" s="347">
        <v>0</v>
      </c>
      <c r="Q63" s="210">
        <f t="shared" ref="Q63" si="69">IF(AND(P63=0,S63=0),0,IF(S63=0,P63/2000,S63/2000))</f>
        <v>1.9269599999999991</v>
      </c>
      <c r="R63" s="85">
        <f>IF(A63="APP SLAB",0,S63)</f>
        <v>3853.9199999999983</v>
      </c>
      <c r="S63" s="135">
        <f t="shared" ref="S63" si="70">IF(OR(A63="APP SLAB",P63&lt;&gt;0),0,(O63+H63*K63)/9)</f>
        <v>3853.9199999999983</v>
      </c>
      <c r="T63" s="85">
        <f>IF(A63="APP SLAB",0,$S$1*S63*110*0.06*0.75/2000)</f>
        <v>114.46142399999994</v>
      </c>
      <c r="U63" s="85">
        <f t="shared" ref="U63" si="71">IF(O63=0,0,(O63*$U$1/12)/27+I63)</f>
        <v>642.31999999999971</v>
      </c>
      <c r="V63" s="111">
        <f t="shared" ref="V63" si="72">IF(OR(A63="APP SLAB",O63=0),0,(O63+J63*K63)/9)</f>
        <v>3441</v>
      </c>
      <c r="W63" s="467">
        <f t="shared" ref="W63" si="73">IF(AND($E63=$F63="Uncurbed"),(2*$K63*2*$W$1/12)/27,IF(OR($E63="Uncurbed",$F63="Uncurbed"),($K63*2*$W$1/12)/27,IF(OR(AND($E63="Med. Barr.",$F63="Curbed"),AND($E63="Curbed",$F63="Med. Barr."),$E63=$F63,$E63="Unique",$F63="Unique",$E63="-",$F63="-"),0,"?")))</f>
        <v>24.85166666666656</v>
      </c>
    </row>
    <row r="64" spans="1:23" ht="12.75" customHeight="1" thickBot="1" x14ac:dyDescent="0.25">
      <c r="B64" s="107"/>
      <c r="C64" s="8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</row>
    <row r="65" spans="1:23" ht="12.75" customHeight="1" x14ac:dyDescent="0.2">
      <c r="A65" s="94"/>
      <c r="B65" s="707" t="s">
        <v>269</v>
      </c>
      <c r="C65" s="708"/>
      <c r="D65" s="585" t="s">
        <v>247</v>
      </c>
      <c r="E65" s="586"/>
      <c r="F65" s="586"/>
      <c r="G65" s="586"/>
      <c r="H65" s="586"/>
      <c r="I65" s="586"/>
      <c r="J65" s="586"/>
      <c r="K65" s="586"/>
      <c r="L65" s="586"/>
      <c r="M65" s="586"/>
      <c r="N65" s="586"/>
      <c r="O65" s="587"/>
      <c r="P65" s="592">
        <f>ROUNDUP(SUM(P18:P63),0)</f>
        <v>10818</v>
      </c>
      <c r="Q65" s="592">
        <f>ROUNDUP(SUM(Q18:Q63),0)</f>
        <v>13</v>
      </c>
      <c r="R65" s="592">
        <f t="shared" ref="R65:V65" si="74">ROUNDUP(SUM(R18:R63),0)</f>
        <v>14192</v>
      </c>
      <c r="S65" s="592">
        <f t="shared" si="74"/>
        <v>14192</v>
      </c>
      <c r="T65" s="592">
        <f t="shared" si="74"/>
        <v>422</v>
      </c>
      <c r="U65" s="592">
        <f t="shared" si="74"/>
        <v>4181</v>
      </c>
      <c r="V65" s="592">
        <f t="shared" si="74"/>
        <v>22567</v>
      </c>
      <c r="W65" s="592">
        <f t="shared" ref="W65" si="75">ROUNDUP(SUM(W18:W63),0)</f>
        <v>124</v>
      </c>
    </row>
    <row r="66" spans="1:23" ht="12.75" customHeight="1" thickBot="1" x14ac:dyDescent="0.25">
      <c r="A66" s="94"/>
      <c r="B66" s="709"/>
      <c r="C66" s="710"/>
      <c r="D66" s="588"/>
      <c r="E66" s="589"/>
      <c r="F66" s="589"/>
      <c r="G66" s="589"/>
      <c r="H66" s="589"/>
      <c r="I66" s="589"/>
      <c r="J66" s="589"/>
      <c r="K66" s="589"/>
      <c r="L66" s="589"/>
      <c r="M66" s="589"/>
      <c r="N66" s="589"/>
      <c r="O66" s="590"/>
      <c r="P66" s="593"/>
      <c r="Q66" s="593"/>
      <c r="R66" s="593"/>
      <c r="S66" s="593"/>
      <c r="T66" s="593"/>
      <c r="U66" s="593"/>
      <c r="V66" s="593"/>
      <c r="W66" s="593"/>
    </row>
    <row r="67" spans="1:23" ht="12.75" customHeight="1" x14ac:dyDescent="0.2"/>
    <row r="68" spans="1:23" ht="12.75" customHeight="1" x14ac:dyDescent="0.2">
      <c r="A68" s="94"/>
      <c r="C68" s="96"/>
    </row>
    <row r="69" spans="1:23" ht="12.75" customHeight="1" x14ac:dyDescent="0.2">
      <c r="A69" s="94"/>
      <c r="C69" s="96"/>
    </row>
    <row r="70" spans="1:23" ht="12.75" customHeight="1" x14ac:dyDescent="0.25">
      <c r="C70" s="96"/>
      <c r="O70" s="184">
        <f>SUM(O18:O63)</f>
        <v>203245</v>
      </c>
      <c r="P70" s="517"/>
      <c r="Q70" s="179" t="s">
        <v>181</v>
      </c>
    </row>
    <row r="71" spans="1:23" ht="12.75" customHeight="1" x14ac:dyDescent="0.2">
      <c r="C71" s="96"/>
    </row>
    <row r="72" spans="1:23" ht="12.75" customHeight="1" x14ac:dyDescent="0.2">
      <c r="C72" s="96"/>
    </row>
    <row r="73" spans="1:23" ht="12.75" customHeight="1" x14ac:dyDescent="0.2">
      <c r="C73" s="96"/>
    </row>
    <row r="74" spans="1:23" ht="12.75" customHeight="1" x14ac:dyDescent="0.2">
      <c r="C74" s="96"/>
    </row>
    <row r="75" spans="1:23" ht="12.75" customHeight="1" x14ac:dyDescent="0.2">
      <c r="C75" s="96"/>
    </row>
    <row r="76" spans="1:23" ht="12.75" customHeight="1" x14ac:dyDescent="0.2"/>
    <row r="77" spans="1:23" ht="12.75" customHeight="1" x14ac:dyDescent="0.2"/>
    <row r="78" spans="1:23" ht="12.75" customHeight="1" x14ac:dyDescent="0.2"/>
    <row r="79" spans="1:23" ht="12.75" customHeight="1" x14ac:dyDescent="0.2"/>
    <row r="80" spans="1:23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spans="21:44" ht="12.75" customHeight="1" x14ac:dyDescent="0.2"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</row>
    <row r="114" spans="21:44" ht="12.75" customHeight="1" x14ac:dyDescent="0.2"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</row>
    <row r="115" spans="21:44" ht="12.75" customHeight="1" x14ac:dyDescent="0.2"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</row>
    <row r="116" spans="21:44" ht="12.75" customHeight="1" x14ac:dyDescent="0.2"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</row>
    <row r="117" spans="21:44" ht="12.75" customHeight="1" x14ac:dyDescent="0.2"/>
    <row r="118" spans="21:44" ht="12.75" customHeight="1" x14ac:dyDescent="0.2"/>
    <row r="119" spans="21:44" ht="12.75" customHeight="1" x14ac:dyDescent="0.2"/>
    <row r="120" spans="21:44" ht="12.75" customHeight="1" x14ac:dyDescent="0.2"/>
    <row r="121" spans="21:44" ht="12.75" customHeight="1" x14ac:dyDescent="0.2"/>
    <row r="122" spans="21:44" ht="12.75" customHeight="1" x14ac:dyDescent="0.2"/>
    <row r="123" spans="21:44" ht="12.75" customHeight="1" x14ac:dyDescent="0.2"/>
    <row r="124" spans="21:44" ht="12.75" customHeight="1" x14ac:dyDescent="0.2"/>
    <row r="125" spans="21:44" ht="12.75" customHeight="1" x14ac:dyDescent="0.2"/>
    <row r="126" spans="21:44" ht="12.75" customHeight="1" x14ac:dyDescent="0.2"/>
    <row r="127" spans="21:44" ht="12.75" customHeight="1" x14ac:dyDescent="0.2"/>
    <row r="128" spans="21:44" ht="12.75" customHeight="1" x14ac:dyDescent="0.2"/>
    <row r="129" spans="1:44" ht="12.75" customHeight="1" x14ac:dyDescent="0.2"/>
    <row r="130" spans="1:44" ht="12.75" customHeight="1" x14ac:dyDescent="0.2"/>
    <row r="131" spans="1:44" ht="12.75" customHeight="1" x14ac:dyDescent="0.2"/>
    <row r="132" spans="1:44" ht="12.75" customHeight="1" x14ac:dyDescent="0.2"/>
    <row r="133" spans="1:44" ht="12.75" customHeight="1" x14ac:dyDescent="0.2"/>
    <row r="134" spans="1:44" ht="12.75" customHeight="1" x14ac:dyDescent="0.2"/>
    <row r="135" spans="1:44" s="94" customFormat="1" ht="12.75" customHeight="1" x14ac:dyDescent="0.2">
      <c r="A135" s="81"/>
      <c r="B135" s="95"/>
      <c r="C135" s="95"/>
      <c r="D135" s="81"/>
      <c r="E135" s="81"/>
      <c r="F135" s="81"/>
      <c r="G135" s="81"/>
      <c r="H135" s="81"/>
      <c r="I135" s="81"/>
      <c r="J135" s="81"/>
      <c r="K135" s="87"/>
      <c r="L135" s="87"/>
      <c r="Q135" s="88"/>
      <c r="R135" s="81"/>
      <c r="S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</row>
    <row r="136" spans="1:44" s="94" customFormat="1" ht="12.75" customHeight="1" x14ac:dyDescent="0.2">
      <c r="A136" s="81"/>
      <c r="B136" s="95"/>
      <c r="C136" s="95"/>
      <c r="D136" s="81"/>
      <c r="E136" s="81"/>
      <c r="F136" s="81"/>
      <c r="G136" s="81"/>
      <c r="H136" s="81"/>
      <c r="I136" s="81"/>
      <c r="J136" s="81"/>
      <c r="K136" s="87"/>
      <c r="L136" s="87"/>
      <c r="Q136" s="88"/>
      <c r="R136" s="81"/>
      <c r="S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</row>
  </sheetData>
  <customSheetViews>
    <customSheetView guid="{221143F3-72E3-4C4A-9811-2F859DD19779}" fitToPage="1">
      <pane ySplit="13" topLeftCell="A38" activePane="bottomLeft" state="frozen"/>
      <selection pane="bottomLeft" activeCell="P65" sqref="P65"/>
      <pageMargins left="0.73" right="0.75" top="0.66" bottom="0.4" header="0.65" footer="0.25"/>
      <printOptions horizontalCentered="1" verticalCentered="1"/>
      <pageSetup paperSize="17" scale="63" orientation="landscape" r:id="rId1"/>
      <headerFooter alignWithMargins="0">
        <oddFooter>&amp;L&amp;D&amp;R&amp;F, &amp;A</oddFooter>
      </headerFooter>
    </customSheetView>
  </customSheetViews>
  <mergeCells count="63">
    <mergeCell ref="P6:P15"/>
    <mergeCell ref="P65:P66"/>
    <mergeCell ref="AA14:AC14"/>
    <mergeCell ref="AD14:AF14"/>
    <mergeCell ref="AG14:AI14"/>
    <mergeCell ref="AA12:AC12"/>
    <mergeCell ref="AD12:AF12"/>
    <mergeCell ref="AG12:AI12"/>
    <mergeCell ref="AA13:AC13"/>
    <mergeCell ref="AD13:AF13"/>
    <mergeCell ref="AG13:AI13"/>
    <mergeCell ref="AA16:AC16"/>
    <mergeCell ref="AD16:AF16"/>
    <mergeCell ref="AG16:AI16"/>
    <mergeCell ref="AA15:AC15"/>
    <mergeCell ref="AD15:AF15"/>
    <mergeCell ref="AG15:AI15"/>
    <mergeCell ref="Y9:AI9"/>
    <mergeCell ref="Y10:Y11"/>
    <mergeCell ref="Z10:Z11"/>
    <mergeCell ref="AA10:AC10"/>
    <mergeCell ref="AD10:AF10"/>
    <mergeCell ref="AG10:AI10"/>
    <mergeCell ref="AA11:AC11"/>
    <mergeCell ref="AD11:AF11"/>
    <mergeCell ref="AG11:AI11"/>
    <mergeCell ref="U65:U66"/>
    <mergeCell ref="V65:V66"/>
    <mergeCell ref="B17:C17"/>
    <mergeCell ref="B25:C25"/>
    <mergeCell ref="B31:C31"/>
    <mergeCell ref="B43:C43"/>
    <mergeCell ref="B58:C58"/>
    <mergeCell ref="B62:C62"/>
    <mergeCell ref="B50:C50"/>
    <mergeCell ref="B65:C66"/>
    <mergeCell ref="D65:O66"/>
    <mergeCell ref="R65:R66"/>
    <mergeCell ref="S65:S66"/>
    <mergeCell ref="T65:T66"/>
    <mergeCell ref="Q65:Q66"/>
    <mergeCell ref="Q6:Q15"/>
    <mergeCell ref="U6:U15"/>
    <mergeCell ref="V6:V15"/>
    <mergeCell ref="R6:R15"/>
    <mergeCell ref="S6:S15"/>
    <mergeCell ref="T6:T15"/>
    <mergeCell ref="W6:W15"/>
    <mergeCell ref="W65:W66"/>
    <mergeCell ref="H5:H15"/>
    <mergeCell ref="B5:C15"/>
    <mergeCell ref="D5:D16"/>
    <mergeCell ref="E5:E16"/>
    <mergeCell ref="F5:F16"/>
    <mergeCell ref="G5:G16"/>
    <mergeCell ref="M5:M15"/>
    <mergeCell ref="N5:N15"/>
    <mergeCell ref="O5:O15"/>
    <mergeCell ref="R5:T5"/>
    <mergeCell ref="I5:I15"/>
    <mergeCell ref="J5:J15"/>
    <mergeCell ref="K5:K15"/>
    <mergeCell ref="L5:L15"/>
  </mergeCells>
  <dataValidations disablePrompts="1" count="1">
    <dataValidation type="list" allowBlank="1" showInputMessage="1" showErrorMessage="1" sqref="E18:F63">
      <formula1>$Y$2:$Y$6</formula1>
    </dataValidation>
  </dataValidations>
  <printOptions horizontalCentered="1" verticalCentered="1"/>
  <pageMargins left="0.73" right="0.75" top="0.66" bottom="0.4" header="0.65" footer="0.25"/>
  <pageSetup paperSize="17" scale="88" orientation="landscape" r:id="rId2"/>
  <headerFooter scaleWithDoc="0" alignWithMargins="0">
    <oddHeader>&amp;LHAN-75-14.39</oddHeader>
    <oddFooter>&amp;R&amp;A</oddFooter>
  </headerFooter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4"/>
  <sheetViews>
    <sheetView view="pageBreakPreview" zoomScaleNormal="100" zoomScaleSheetLayoutView="100" workbookViewId="0">
      <pane ySplit="16" topLeftCell="A17" activePane="bottomLeft" state="frozen"/>
      <selection pane="bottomLeft" activeCell="Q53" sqref="Q53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7" width="9.7109375" style="81" hidden="1" customWidth="1"/>
    <col min="8" max="10" width="8.5703125" style="81" hidden="1" customWidth="1"/>
    <col min="11" max="12" width="9.28515625" style="87" customWidth="1"/>
    <col min="13" max="13" width="10.7109375" style="94" customWidth="1"/>
    <col min="14" max="14" width="10" style="94" customWidth="1"/>
    <col min="15" max="15" width="12.5703125" style="94" customWidth="1"/>
    <col min="16" max="17" width="9.28515625" style="88" customWidth="1"/>
    <col min="18" max="19" width="10.28515625" style="81" bestFit="1" customWidth="1"/>
    <col min="20" max="20" width="9.140625" style="81"/>
    <col min="21" max="21" width="11.85546875" style="81" bestFit="1" customWidth="1"/>
    <col min="22" max="22" width="9.85546875" style="81" bestFit="1" customWidth="1"/>
    <col min="23" max="24" width="9.140625" style="81"/>
    <col min="25" max="26" width="11.85546875" style="81" bestFit="1" customWidth="1"/>
    <col min="27" max="27" width="9.85546875" style="81" bestFit="1" customWidth="1"/>
    <col min="28" max="28" width="9.140625" style="81" customWidth="1"/>
    <col min="29" max="16384" width="9.140625" style="81"/>
  </cols>
  <sheetData>
    <row r="1" spans="2:36" s="90" customFormat="1" ht="13.5" thickBot="1" x14ac:dyDescent="0.25">
      <c r="B1" s="97"/>
      <c r="C1" s="97"/>
      <c r="K1" s="88"/>
      <c r="L1" s="88"/>
      <c r="M1" s="105"/>
      <c r="N1" s="105"/>
      <c r="O1" s="105"/>
      <c r="P1" s="105"/>
      <c r="Q1" s="88"/>
      <c r="R1" s="88">
        <v>12</v>
      </c>
      <c r="S1" s="88"/>
      <c r="T1" s="88"/>
      <c r="U1" s="125">
        <v>6</v>
      </c>
      <c r="X1" s="90">
        <v>3.25</v>
      </c>
    </row>
    <row r="2" spans="2:36" s="90" customFormat="1" x14ac:dyDescent="0.2">
      <c r="B2" s="97"/>
      <c r="C2" s="97"/>
      <c r="R2" s="146"/>
      <c r="S2" s="145" t="s">
        <v>36</v>
      </c>
      <c r="T2" s="168" t="s">
        <v>149</v>
      </c>
      <c r="U2" s="168"/>
      <c r="V2" s="168"/>
      <c r="W2" s="170" t="s">
        <v>35</v>
      </c>
      <c r="X2" s="211">
        <v>41920</v>
      </c>
      <c r="Z2" s="224" t="s">
        <v>105</v>
      </c>
      <c r="AA2" s="81"/>
      <c r="AB2" s="224" t="s">
        <v>107</v>
      </c>
      <c r="AC2" s="219" t="s">
        <v>212</v>
      </c>
    </row>
    <row r="3" spans="2:36" s="90" customFormat="1" ht="13.5" thickBot="1" x14ac:dyDescent="0.25">
      <c r="B3" s="97"/>
      <c r="C3" s="97"/>
      <c r="R3" s="45"/>
      <c r="S3" s="46" t="s">
        <v>37</v>
      </c>
      <c r="T3" s="169" t="s">
        <v>278</v>
      </c>
      <c r="U3" s="216"/>
      <c r="V3" s="216"/>
      <c r="W3" s="217" t="s">
        <v>35</v>
      </c>
      <c r="X3" s="472">
        <v>41926</v>
      </c>
      <c r="Z3" s="225" t="s">
        <v>106</v>
      </c>
      <c r="AA3" s="81"/>
      <c r="AB3" s="225" t="s">
        <v>108</v>
      </c>
      <c r="AC3" s="106" t="s">
        <v>213</v>
      </c>
    </row>
    <row r="4" spans="2:36" s="90" customFormat="1" ht="13.5" thickBot="1" x14ac:dyDescent="0.25">
      <c r="B4" s="97"/>
      <c r="C4" s="97"/>
      <c r="K4" s="88"/>
      <c r="L4" s="88"/>
      <c r="M4" s="105"/>
      <c r="N4" s="105"/>
      <c r="O4" s="105"/>
      <c r="P4" s="105"/>
      <c r="Q4" s="105"/>
      <c r="R4" s="88"/>
      <c r="S4" s="88"/>
      <c r="T4" s="88"/>
      <c r="U4" s="88"/>
      <c r="V4" s="125"/>
      <c r="Z4" s="225" t="s">
        <v>111</v>
      </c>
      <c r="AA4" s="81"/>
      <c r="AB4" s="225" t="s">
        <v>113</v>
      </c>
      <c r="AC4" s="106" t="s">
        <v>214</v>
      </c>
    </row>
    <row r="5" spans="2:36" s="91" customFormat="1" ht="12.75" customHeight="1" x14ac:dyDescent="0.2">
      <c r="B5" s="639" t="s">
        <v>1</v>
      </c>
      <c r="C5" s="640"/>
      <c r="D5" s="635" t="s">
        <v>0</v>
      </c>
      <c r="E5" s="649" t="s">
        <v>103</v>
      </c>
      <c r="F5" s="649" t="s">
        <v>104</v>
      </c>
      <c r="G5" s="649" t="s">
        <v>110</v>
      </c>
      <c r="H5" s="649" t="s">
        <v>200</v>
      </c>
      <c r="I5" s="649" t="s">
        <v>50</v>
      </c>
      <c r="J5" s="649" t="s">
        <v>118</v>
      </c>
      <c r="K5" s="645" t="s">
        <v>4</v>
      </c>
      <c r="L5" s="645" t="s">
        <v>21</v>
      </c>
      <c r="M5" s="699" t="s">
        <v>17</v>
      </c>
      <c r="N5" s="699" t="s">
        <v>20</v>
      </c>
      <c r="O5" s="699" t="s">
        <v>14</v>
      </c>
      <c r="P5" s="62">
        <v>202</v>
      </c>
      <c r="Q5" s="203">
        <v>204</v>
      </c>
      <c r="R5" s="526">
        <v>206</v>
      </c>
      <c r="S5" s="527"/>
      <c r="T5" s="527"/>
      <c r="U5" s="2">
        <v>252</v>
      </c>
      <c r="V5" s="2">
        <v>304</v>
      </c>
      <c r="W5" s="2">
        <v>452</v>
      </c>
      <c r="X5" s="49">
        <v>617</v>
      </c>
      <c r="Z5" s="225" t="s">
        <v>112</v>
      </c>
      <c r="AA5" s="81"/>
      <c r="AB5" s="225" t="s">
        <v>114</v>
      </c>
      <c r="AC5" s="106" t="s">
        <v>215</v>
      </c>
    </row>
    <row r="6" spans="2:36" ht="12.75" customHeight="1" thickBot="1" x14ac:dyDescent="0.25">
      <c r="B6" s="641"/>
      <c r="C6" s="642"/>
      <c r="D6" s="636"/>
      <c r="E6" s="694"/>
      <c r="F6" s="696"/>
      <c r="G6" s="696"/>
      <c r="H6" s="692"/>
      <c r="I6" s="692"/>
      <c r="J6" s="692"/>
      <c r="K6" s="646"/>
      <c r="L6" s="646"/>
      <c r="M6" s="700"/>
      <c r="N6" s="700"/>
      <c r="O6" s="700"/>
      <c r="P6" s="622" t="s">
        <v>41</v>
      </c>
      <c r="Q6" s="658" t="s">
        <v>7</v>
      </c>
      <c r="R6" s="658" t="s">
        <v>18</v>
      </c>
      <c r="S6" s="529" t="s">
        <v>19</v>
      </c>
      <c r="T6" s="537" t="s">
        <v>23</v>
      </c>
      <c r="U6" s="537" t="s">
        <v>24</v>
      </c>
      <c r="V6" s="543" t="s">
        <v>9</v>
      </c>
      <c r="W6" s="543" t="s">
        <v>29</v>
      </c>
      <c r="X6" s="657" t="s">
        <v>279</v>
      </c>
      <c r="Z6" s="226" t="s">
        <v>101</v>
      </c>
      <c r="AB6" s="225" t="s">
        <v>109</v>
      </c>
      <c r="AC6" s="220" t="s">
        <v>216</v>
      </c>
    </row>
    <row r="7" spans="2:36" ht="12.75" customHeight="1" thickBot="1" x14ac:dyDescent="0.25">
      <c r="B7" s="641"/>
      <c r="C7" s="642"/>
      <c r="D7" s="636"/>
      <c r="E7" s="694"/>
      <c r="F7" s="696"/>
      <c r="G7" s="696"/>
      <c r="H7" s="692"/>
      <c r="I7" s="692"/>
      <c r="J7" s="692"/>
      <c r="K7" s="646"/>
      <c r="L7" s="646"/>
      <c r="M7" s="700"/>
      <c r="N7" s="700"/>
      <c r="O7" s="700"/>
      <c r="P7" s="623"/>
      <c r="Q7" s="658"/>
      <c r="R7" s="658"/>
      <c r="S7" s="702"/>
      <c r="T7" s="702"/>
      <c r="U7" s="702"/>
      <c r="V7" s="544"/>
      <c r="W7" s="544"/>
      <c r="X7" s="658"/>
      <c r="AB7" s="226" t="s">
        <v>116</v>
      </c>
      <c r="AC7" s="220" t="s">
        <v>217</v>
      </c>
    </row>
    <row r="8" spans="2:36" ht="12.75" customHeight="1" thickBot="1" x14ac:dyDescent="0.25">
      <c r="B8" s="641"/>
      <c r="C8" s="642"/>
      <c r="D8" s="636"/>
      <c r="E8" s="694"/>
      <c r="F8" s="696"/>
      <c r="G8" s="696"/>
      <c r="H8" s="692"/>
      <c r="I8" s="692"/>
      <c r="J8" s="692"/>
      <c r="K8" s="646"/>
      <c r="L8" s="646"/>
      <c r="M8" s="700"/>
      <c r="N8" s="700"/>
      <c r="O8" s="700"/>
      <c r="P8" s="623"/>
      <c r="Q8" s="658"/>
      <c r="R8" s="658"/>
      <c r="S8" s="702"/>
      <c r="T8" s="702"/>
      <c r="U8" s="702"/>
      <c r="V8" s="544"/>
      <c r="W8" s="544"/>
      <c r="X8" s="658"/>
      <c r="Z8" s="116"/>
    </row>
    <row r="9" spans="2:36" ht="12.75" customHeight="1" thickBot="1" x14ac:dyDescent="0.25">
      <c r="B9" s="641"/>
      <c r="C9" s="642"/>
      <c r="D9" s="636"/>
      <c r="E9" s="694"/>
      <c r="F9" s="696"/>
      <c r="G9" s="696"/>
      <c r="H9" s="692"/>
      <c r="I9" s="692"/>
      <c r="J9" s="692"/>
      <c r="K9" s="646"/>
      <c r="L9" s="646"/>
      <c r="M9" s="700"/>
      <c r="N9" s="700"/>
      <c r="O9" s="700"/>
      <c r="P9" s="623"/>
      <c r="Q9" s="658"/>
      <c r="R9" s="658"/>
      <c r="S9" s="702"/>
      <c r="T9" s="702"/>
      <c r="U9" s="702"/>
      <c r="V9" s="544"/>
      <c r="W9" s="544"/>
      <c r="X9" s="658"/>
      <c r="Z9" s="659" t="s">
        <v>211</v>
      </c>
      <c r="AA9" s="660"/>
      <c r="AB9" s="660"/>
      <c r="AC9" s="660"/>
      <c r="AD9" s="660"/>
      <c r="AE9" s="660"/>
      <c r="AF9" s="660"/>
      <c r="AG9" s="660"/>
      <c r="AH9" s="660"/>
      <c r="AI9" s="660"/>
      <c r="AJ9" s="661"/>
    </row>
    <row r="10" spans="2:36" ht="12.75" customHeight="1" x14ac:dyDescent="0.2">
      <c r="B10" s="641"/>
      <c r="C10" s="642"/>
      <c r="D10" s="636"/>
      <c r="E10" s="694"/>
      <c r="F10" s="696"/>
      <c r="G10" s="696"/>
      <c r="H10" s="692"/>
      <c r="I10" s="692"/>
      <c r="J10" s="692"/>
      <c r="K10" s="646"/>
      <c r="L10" s="646"/>
      <c r="M10" s="700"/>
      <c r="N10" s="700"/>
      <c r="O10" s="700"/>
      <c r="P10" s="623"/>
      <c r="Q10" s="658"/>
      <c r="R10" s="658"/>
      <c r="S10" s="702"/>
      <c r="T10" s="702"/>
      <c r="U10" s="702"/>
      <c r="V10" s="544"/>
      <c r="W10" s="544"/>
      <c r="X10" s="658"/>
      <c r="Z10" s="662" t="s">
        <v>218</v>
      </c>
      <c r="AA10" s="664" t="s">
        <v>224</v>
      </c>
      <c r="AB10" s="686" t="s">
        <v>199</v>
      </c>
      <c r="AC10" s="668"/>
      <c r="AD10" s="687"/>
      <c r="AE10" s="667" t="s">
        <v>49</v>
      </c>
      <c r="AF10" s="668"/>
      <c r="AG10" s="687"/>
      <c r="AH10" s="667" t="s">
        <v>117</v>
      </c>
      <c r="AI10" s="668"/>
      <c r="AJ10" s="669"/>
    </row>
    <row r="11" spans="2:36" ht="12.75" customHeight="1" thickBot="1" x14ac:dyDescent="0.25">
      <c r="B11" s="641"/>
      <c r="C11" s="642"/>
      <c r="D11" s="636"/>
      <c r="E11" s="694"/>
      <c r="F11" s="696"/>
      <c r="G11" s="696"/>
      <c r="H11" s="692"/>
      <c r="I11" s="692"/>
      <c r="J11" s="692"/>
      <c r="K11" s="646"/>
      <c r="L11" s="646"/>
      <c r="M11" s="700"/>
      <c r="N11" s="700"/>
      <c r="O11" s="700"/>
      <c r="P11" s="623"/>
      <c r="Q11" s="658"/>
      <c r="R11" s="658"/>
      <c r="S11" s="702"/>
      <c r="T11" s="702"/>
      <c r="U11" s="702"/>
      <c r="V11" s="544"/>
      <c r="W11" s="544"/>
      <c r="X11" s="658"/>
      <c r="Z11" s="663"/>
      <c r="AA11" s="665"/>
      <c r="AB11" s="670" t="s">
        <v>219</v>
      </c>
      <c r="AC11" s="671"/>
      <c r="AD11" s="672"/>
      <c r="AE11" s="673" t="s">
        <v>220</v>
      </c>
      <c r="AF11" s="671"/>
      <c r="AG11" s="672"/>
      <c r="AH11" s="673" t="s">
        <v>227</v>
      </c>
      <c r="AI11" s="671"/>
      <c r="AJ11" s="674"/>
    </row>
    <row r="12" spans="2:36" ht="12.75" customHeight="1" x14ac:dyDescent="0.2">
      <c r="B12" s="641"/>
      <c r="C12" s="642"/>
      <c r="D12" s="636"/>
      <c r="E12" s="694"/>
      <c r="F12" s="696"/>
      <c r="G12" s="696"/>
      <c r="H12" s="692"/>
      <c r="I12" s="692"/>
      <c r="J12" s="692"/>
      <c r="K12" s="646"/>
      <c r="L12" s="646"/>
      <c r="M12" s="700"/>
      <c r="N12" s="700"/>
      <c r="O12" s="700"/>
      <c r="P12" s="623"/>
      <c r="Q12" s="658"/>
      <c r="R12" s="658"/>
      <c r="S12" s="702"/>
      <c r="T12" s="702"/>
      <c r="U12" s="702"/>
      <c r="V12" s="544"/>
      <c r="W12" s="544"/>
      <c r="X12" s="658"/>
      <c r="Z12" s="222" t="s">
        <v>105</v>
      </c>
      <c r="AA12" s="104" t="s">
        <v>221</v>
      </c>
      <c r="AB12" s="653">
        <v>1.5</v>
      </c>
      <c r="AC12" s="601"/>
      <c r="AD12" s="602"/>
      <c r="AE12" s="600">
        <v>0.75</v>
      </c>
      <c r="AF12" s="601"/>
      <c r="AG12" s="602"/>
      <c r="AH12" s="600" t="s">
        <v>101</v>
      </c>
      <c r="AI12" s="601"/>
      <c r="AJ12" s="681"/>
    </row>
    <row r="13" spans="2:36" ht="12.75" customHeight="1" x14ac:dyDescent="0.2">
      <c r="B13" s="641"/>
      <c r="C13" s="642"/>
      <c r="D13" s="636"/>
      <c r="E13" s="694"/>
      <c r="F13" s="696"/>
      <c r="G13" s="696"/>
      <c r="H13" s="692"/>
      <c r="I13" s="692"/>
      <c r="J13" s="692"/>
      <c r="K13" s="646"/>
      <c r="L13" s="646"/>
      <c r="M13" s="700"/>
      <c r="N13" s="700"/>
      <c r="O13" s="700"/>
      <c r="P13" s="623"/>
      <c r="Q13" s="658"/>
      <c r="R13" s="658"/>
      <c r="S13" s="702"/>
      <c r="T13" s="702"/>
      <c r="U13" s="702"/>
      <c r="V13" s="544"/>
      <c r="W13" s="544"/>
      <c r="X13" s="658"/>
      <c r="Z13" s="221" t="s">
        <v>106</v>
      </c>
      <c r="AA13" s="103" t="s">
        <v>222</v>
      </c>
      <c r="AB13" s="675">
        <v>2</v>
      </c>
      <c r="AC13" s="676"/>
      <c r="AD13" s="677"/>
      <c r="AE13" s="678">
        <v>0.75</v>
      </c>
      <c r="AF13" s="679"/>
      <c r="AG13" s="680"/>
      <c r="AH13" s="678" t="s">
        <v>101</v>
      </c>
      <c r="AI13" s="679"/>
      <c r="AJ13" s="711"/>
    </row>
    <row r="14" spans="2:36" ht="12.75" customHeight="1" x14ac:dyDescent="0.2">
      <c r="B14" s="641"/>
      <c r="C14" s="642"/>
      <c r="D14" s="636"/>
      <c r="E14" s="694"/>
      <c r="F14" s="696"/>
      <c r="G14" s="696"/>
      <c r="H14" s="692"/>
      <c r="I14" s="692"/>
      <c r="J14" s="692"/>
      <c r="K14" s="646"/>
      <c r="L14" s="646"/>
      <c r="M14" s="700"/>
      <c r="N14" s="700"/>
      <c r="O14" s="700"/>
      <c r="P14" s="623"/>
      <c r="Q14" s="658"/>
      <c r="R14" s="658"/>
      <c r="S14" s="702"/>
      <c r="T14" s="702"/>
      <c r="U14" s="702"/>
      <c r="V14" s="544"/>
      <c r="W14" s="544"/>
      <c r="X14" s="658"/>
      <c r="Z14" s="221" t="s">
        <v>111</v>
      </c>
      <c r="AA14" s="103" t="s">
        <v>223</v>
      </c>
      <c r="AB14" s="675" t="s">
        <v>101</v>
      </c>
      <c r="AC14" s="676"/>
      <c r="AD14" s="677"/>
      <c r="AE14" s="678" t="s">
        <v>101</v>
      </c>
      <c r="AF14" s="679"/>
      <c r="AG14" s="680"/>
      <c r="AH14" s="678">
        <v>-1.42</v>
      </c>
      <c r="AI14" s="679"/>
      <c r="AJ14" s="711"/>
    </row>
    <row r="15" spans="2:36" ht="12.75" customHeight="1" x14ac:dyDescent="0.2">
      <c r="B15" s="641"/>
      <c r="C15" s="642"/>
      <c r="D15" s="636"/>
      <c r="E15" s="694"/>
      <c r="F15" s="696"/>
      <c r="G15" s="696"/>
      <c r="H15" s="692"/>
      <c r="I15" s="692"/>
      <c r="J15" s="692"/>
      <c r="K15" s="647"/>
      <c r="L15" s="647"/>
      <c r="M15" s="701"/>
      <c r="N15" s="701"/>
      <c r="O15" s="701"/>
      <c r="P15" s="623"/>
      <c r="Q15" s="658"/>
      <c r="R15" s="658"/>
      <c r="S15" s="703"/>
      <c r="T15" s="703"/>
      <c r="U15" s="703"/>
      <c r="V15" s="545"/>
      <c r="W15" s="545"/>
      <c r="X15" s="658"/>
      <c r="Z15" s="221" t="s">
        <v>225</v>
      </c>
      <c r="AA15" s="103" t="s">
        <v>221</v>
      </c>
      <c r="AB15" s="653">
        <v>3.83</v>
      </c>
      <c r="AC15" s="601"/>
      <c r="AD15" s="602"/>
      <c r="AE15" s="600">
        <v>1.42</v>
      </c>
      <c r="AF15" s="601"/>
      <c r="AG15" s="602"/>
      <c r="AH15" s="600" t="s">
        <v>101</v>
      </c>
      <c r="AI15" s="601"/>
      <c r="AJ15" s="681"/>
    </row>
    <row r="16" spans="2:36" ht="12.75" customHeight="1" thickBot="1" x14ac:dyDescent="0.25">
      <c r="B16" s="98" t="s">
        <v>2</v>
      </c>
      <c r="C16" s="99" t="s">
        <v>3</v>
      </c>
      <c r="D16" s="693"/>
      <c r="E16" s="695"/>
      <c r="F16" s="697"/>
      <c r="G16" s="697"/>
      <c r="H16" s="5" t="s">
        <v>5</v>
      </c>
      <c r="I16" s="5" t="s">
        <v>12</v>
      </c>
      <c r="J16" s="84" t="s">
        <v>5</v>
      </c>
      <c r="K16" s="5" t="s">
        <v>5</v>
      </c>
      <c r="L16" s="5" t="s">
        <v>5</v>
      </c>
      <c r="M16" s="73" t="s">
        <v>6</v>
      </c>
      <c r="N16" s="73" t="s">
        <v>6</v>
      </c>
      <c r="O16" s="73" t="s">
        <v>6</v>
      </c>
      <c r="P16" s="119" t="s">
        <v>10</v>
      </c>
      <c r="Q16" s="5" t="s">
        <v>11</v>
      </c>
      <c r="R16" s="5" t="s">
        <v>10</v>
      </c>
      <c r="S16" s="5" t="s">
        <v>10</v>
      </c>
      <c r="T16" s="5" t="s">
        <v>22</v>
      </c>
      <c r="U16" s="5" t="s">
        <v>5</v>
      </c>
      <c r="V16" s="108" t="s">
        <v>12</v>
      </c>
      <c r="W16" s="55" t="s">
        <v>10</v>
      </c>
      <c r="X16" s="471" t="s">
        <v>12</v>
      </c>
      <c r="Z16" s="223" t="s">
        <v>226</v>
      </c>
      <c r="AA16" s="158" t="s">
        <v>221</v>
      </c>
      <c r="AB16" s="666">
        <v>3.17</v>
      </c>
      <c r="AC16" s="655"/>
      <c r="AD16" s="656"/>
      <c r="AE16" s="654">
        <v>1.0900000000000001</v>
      </c>
      <c r="AF16" s="655"/>
      <c r="AG16" s="656"/>
      <c r="AH16" s="654" t="s">
        <v>101</v>
      </c>
      <c r="AI16" s="655"/>
      <c r="AJ16" s="682"/>
    </row>
    <row r="17" spans="1:26" ht="12.75" customHeight="1" x14ac:dyDescent="0.2">
      <c r="B17" s="643" t="s">
        <v>66</v>
      </c>
      <c r="C17" s="644"/>
      <c r="D17" s="100"/>
      <c r="E17" s="100"/>
      <c r="F17" s="100"/>
      <c r="G17" s="100"/>
      <c r="H17" s="100"/>
      <c r="I17" s="100"/>
      <c r="J17" s="100"/>
      <c r="K17" s="101"/>
      <c r="L17" s="101"/>
      <c r="M17" s="118"/>
      <c r="N17" s="118"/>
      <c r="O17" s="118"/>
      <c r="P17" s="118"/>
      <c r="Q17" s="118"/>
      <c r="R17" s="101"/>
      <c r="S17" s="101"/>
      <c r="T17" s="102"/>
      <c r="U17" s="49"/>
      <c r="V17" s="110"/>
      <c r="W17" s="109"/>
      <c r="X17" s="101"/>
      <c r="Z17" s="116"/>
    </row>
    <row r="18" spans="1:26" ht="12.75" customHeight="1" x14ac:dyDescent="0.2">
      <c r="B18" s="338">
        <v>85534.63</v>
      </c>
      <c r="C18" s="339">
        <v>86043.89</v>
      </c>
      <c r="D18" s="340" t="s">
        <v>30</v>
      </c>
      <c r="E18" s="340" t="s">
        <v>105</v>
      </c>
      <c r="F18" s="340" t="s">
        <v>105</v>
      </c>
      <c r="G18" s="103" t="str">
        <f>IF(AND($E18=$Z$2,$F18=$Z$2),$AB$2,IF(OR(AND($E18=$Z$2,$F18=$Z$3),AND($E18=$Z$3,$F18=$Z$2)),$AB$3,IF(OR(AND($E18=$Z$2,$F18=$Z$4),AND($E18=$Z$4,$F18=$Z$2)),$AB$4,IF(OR(AND($E18=$Z$3,$F18=$Z$4),AND($E18=$Z$4,$F18=$Z$3)),$AB$5,IF(AND($E18=$Z$3,$F18=$Z$3),$AB$6,IF(AND($E18=$Z$4,$F18=$Z$4),$AB$7,"-"))))))</f>
        <v>E/S - E/S</v>
      </c>
      <c r="H18" s="26">
        <f>IF(AND($E18=$Z$2,$F18=$Z$2),2*$AB$12,IF(OR(AND($E18=$Z$2, $F18=$Z$3),AND($E18=$Z$3,$F18=$Z$2)),$AB$12+$AB$13,IF(OR(AND($E18=$Z$2,$F18=$Z$4),AND($E18=$Z$4,$F18=$Z$2)),$AB$12,IF(OR(AND($E18=$Z$3,$F18=$Z$4),AND($E18=$Z$4,$F18=$Z$3)),$AB$13,IF(AND($E18=$Z$3,$F18=$Z$3),2*$AB$13,0)))))</f>
        <v>3</v>
      </c>
      <c r="I18" s="27">
        <f>IF(AND($E18=$Z$2,$F18=$Z$2),2*$AE$12*$K18/27,IF(OR(AND($E18=$Z$2,$F18=$Z$3),AND($E18=$Z$3,$F18=$Z$2)),($AE$12+$AE$13)*$K18/27,IF(OR(AND($E18=$Z$2,$F18=$Z$4),AND($E18=$Z$4,$F18=$Z$2)),$AE$12*$K18/27,IF(OR(AND($E18=$Z$3,$F18=$Z$4),AND($E18=$Z$4,$F18=$Z$3)),$AE$13*$K18/27,IF(AND($E18=$Z$3,$F18=$Z$3),2*$AE$13*$K18/27,0)))))</f>
        <v>28.29222222222193</v>
      </c>
      <c r="J18" s="78">
        <f>IF(OR(AND($E18=$Z$2,$F18=$Z$4),AND($E18=$Z$4,$F18=$Z$2)),$AH$14,IF(OR(AND($E18=$Z$3,$F18=$Z$4),AND($E18=$Z$4,$F18=$Z$3)),$AH$14,IF(AND($E18=$Z$4,$F18=$Z$4),2*$AH$14,0)))</f>
        <v>0</v>
      </c>
      <c r="K18" s="83">
        <f>C18-B18</f>
        <v>509.25999999999476</v>
      </c>
      <c r="L18" s="345">
        <v>25</v>
      </c>
      <c r="M18" s="124">
        <f>IF(L18="-",0,ROUNDUP($K18*L18,0))</f>
        <v>12732</v>
      </c>
      <c r="N18" s="347">
        <v>0</v>
      </c>
      <c r="O18" s="123">
        <f t="shared" ref="O18:O36" si="0">SUM(M18:N18)</f>
        <v>12732</v>
      </c>
      <c r="P18" s="347">
        <v>0</v>
      </c>
      <c r="Q18" s="83">
        <f>S18/2000</f>
        <v>0.79220999999999908</v>
      </c>
      <c r="R18" s="85">
        <f>IF(A18="APP SLAB",0,S18)</f>
        <v>1584.4199999999983</v>
      </c>
      <c r="S18" s="85">
        <f>IF(OR(A18="APP SLAB",O18=0),0,(O18+H18*K18)/9)</f>
        <v>1584.4199999999983</v>
      </c>
      <c r="T18" s="85">
        <f>IF(A18="APP SLAB",0,$R$1*S18*110*0.06*0.75/2000)</f>
        <v>47.05727399999995</v>
      </c>
      <c r="U18" s="351">
        <v>0</v>
      </c>
      <c r="V18" s="85">
        <f>IF(O18=0,0,(O18*$U$1/12)/27+I18)</f>
        <v>264.06999999999971</v>
      </c>
      <c r="W18" s="111">
        <f>IF(OR(A18="APP SLAB",O18=0),0,(O18+J18*K18)/9)</f>
        <v>1414.6666666666667</v>
      </c>
      <c r="X18" s="467">
        <f>IF(AND($E18=$F18="Uncurbed"),(2*$K18*2*$X$1/12)/27,IF(OR($E18="Uncurbed",$F18="Uncurbed"),($K18*2*$X$1/12)/27,IF(OR(AND($E18="Med. Barr.",$F18="Curbed"),AND($E18="Curbed",$F18="Med. Barr."),$E18=$F18,$E18="Unique",$F18="Unique",$E18="-",$F18="-"),0,"?")))</f>
        <v>10.216635802469032</v>
      </c>
    </row>
    <row r="19" spans="1:26" ht="12.75" customHeight="1" x14ac:dyDescent="0.2">
      <c r="B19" s="718">
        <v>86043.89</v>
      </c>
      <c r="C19" s="719"/>
      <c r="D19" s="340" t="s">
        <v>30</v>
      </c>
      <c r="E19" s="340" t="s">
        <v>101</v>
      </c>
      <c r="F19" s="340" t="s">
        <v>101</v>
      </c>
      <c r="G19" s="103" t="str">
        <f>IF(AND($E19=$Z$2,$F19=$Z$2),$AB$2,IF(OR(AND($E19=$Z$2,$F19=$Z$3),AND($E19=$Z$3,$F19=$Z$2)),$AB$3,IF(OR(AND($E19=$Z$2,$F19=$Z$4),AND($E19=$Z$4,$F19=$Z$2)),$AB$4,IF(OR(AND($E19=$Z$3,$F19=$Z$4),AND($E19=$Z$4,$F19=$Z$3)),$AB$5,IF(AND($E19=$Z$3,$F19=$Z$3),$AB$6,IF(AND($E19=$Z$4,$F19=$Z$4),$AB$7,"-"))))))</f>
        <v>-</v>
      </c>
      <c r="H19" s="26">
        <f>IF(AND($E19=$Z$2,$F19=$Z$2),2*$AB$12,IF(OR(AND($E19=$Z$2, $F19=$Z$3),AND($E19=$Z$3,$F19=$Z$2)),$AB$12+$AB$13,IF(OR(AND($E19=$Z$2,$F19=$Z$4),AND($E19=$Z$4,$F19=$Z$2)),$AB$12,IF(OR(AND($E19=$Z$3,$F19=$Z$4),AND($E19=$Z$4,$F19=$Z$3)),$AB$13,IF(AND($E19=$Z$3,$F19=$Z$3),2*$AB$13,0)))))</f>
        <v>0</v>
      </c>
      <c r="I19" s="27">
        <f>IF(AND($E19=$Z$2,$F19=$Z$2),2*$AE$12*$K19/27,IF(OR(AND($E19=$Z$2,$F19=$Z$3),AND($E19=$Z$3,$F19=$Z$2)),($AE$12+$AE$13)*$K19/27,IF(OR(AND($E19=$Z$2,$F19=$Z$4),AND($E19=$Z$4,$F19=$Z$2)),$AE$12*$K19/27,IF(OR(AND($E19=$Z$3,$F19=$Z$4),AND($E19=$Z$4,$F19=$Z$3)),$AE$13*$K19/27,IF(AND($E19=$Z$3,$F19=$Z$3),2*$AE$13*$K19/27,0)))))</f>
        <v>0</v>
      </c>
      <c r="J19" s="78">
        <f>IF(OR(AND($E19=$Z$2,$F19=$Z$4),AND($E19=$Z$4,$F19=$Z$2)),$AH$14,IF(OR(AND($E19=$Z$3,$F19=$Z$4),AND($E19=$Z$4,$F19=$Z$3)),$AH$14,IF(AND($E19=$Z$4,$F19=$Z$4),2*$AH$14,0)))</f>
        <v>0</v>
      </c>
      <c r="K19" s="346" t="s">
        <v>101</v>
      </c>
      <c r="L19" s="345" t="s">
        <v>101</v>
      </c>
      <c r="M19" s="124">
        <f t="shared" ref="M19:M25" si="1">IF(L19="-",0,ROUNDUP($K19*L19,0))</f>
        <v>0</v>
      </c>
      <c r="N19" s="347">
        <v>0</v>
      </c>
      <c r="O19" s="123">
        <f t="shared" si="0"/>
        <v>0</v>
      </c>
      <c r="P19" s="347">
        <v>0</v>
      </c>
      <c r="Q19" s="83">
        <f>S19/2000</f>
        <v>0</v>
      </c>
      <c r="R19" s="350">
        <v>0</v>
      </c>
      <c r="S19" s="350">
        <v>0</v>
      </c>
      <c r="T19" s="350">
        <v>0</v>
      </c>
      <c r="U19" s="351">
        <v>25</v>
      </c>
      <c r="V19" s="350">
        <v>0</v>
      </c>
      <c r="W19" s="370">
        <v>0</v>
      </c>
      <c r="X19" s="467">
        <f>IF(AND($E19=$F19="Uncurbed"),(2*$K19*2*$X$1/12)/27,IF(OR($E19="Uncurbed",$F19="Uncurbed"),($K19*2*$X$1/12)/27,IF(OR(AND($E19="Med. Barr.",$F19="Curbed"),AND($E19="Curbed",$F19="Med. Barr."),$E19=$F19,$E19="Unique",$F19="Unique",$E19="-",$F19="-"),0,"?")))</f>
        <v>0</v>
      </c>
    </row>
    <row r="20" spans="1:26" ht="12.75" customHeight="1" thickBot="1" x14ac:dyDescent="0.25">
      <c r="A20" s="106"/>
      <c r="B20" s="107"/>
      <c r="C20" s="8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70"/>
      <c r="V20" s="32"/>
      <c r="W20" s="32"/>
      <c r="X20" s="32"/>
    </row>
    <row r="21" spans="1:26" ht="12.75" customHeight="1" x14ac:dyDescent="0.2">
      <c r="A21" s="106"/>
      <c r="B21" s="643" t="s">
        <v>73</v>
      </c>
      <c r="C21" s="644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49"/>
      <c r="V21" s="100"/>
      <c r="W21" s="100"/>
      <c r="X21" s="100"/>
    </row>
    <row r="22" spans="1:26" ht="12.75" customHeight="1" x14ac:dyDescent="0.2">
      <c r="B22" s="338">
        <v>85417.8</v>
      </c>
      <c r="C22" s="339">
        <v>85467.8</v>
      </c>
      <c r="D22" s="340" t="s">
        <v>30</v>
      </c>
      <c r="E22" s="340" t="s">
        <v>105</v>
      </c>
      <c r="F22" s="340" t="s">
        <v>105</v>
      </c>
      <c r="G22" s="103" t="str">
        <f>IF(AND($E22=$Z$2,$F22=$Z$2),$AB$2,IF(OR(AND($E22=$Z$2,$F22=$Z$3),AND($E22=$Z$3,$F22=$Z$2)),$AB$3,IF(OR(AND($E22=$Z$2,$F22=$Z$4),AND($E22=$Z$4,$F22=$Z$2)),$AB$4,IF(OR(AND($E22=$Z$3,$F22=$Z$4),AND($E22=$Z$4,$F22=$Z$3)),$AB$5,IF(AND($E22=$Z$3,$F22=$Z$3),$AB$6,IF(AND($E22=$Z$4,$F22=$Z$4),$AB$7,"-"))))))</f>
        <v>E/S - E/S</v>
      </c>
      <c r="H22" s="26">
        <f>IF(AND($E22=$Z$2,$F22=$Z$2),2*$AB$12,IF(OR(AND($E22=$Z$2, $F22=$Z$3),AND($E22=$Z$3,$F22=$Z$2)),$AB$12+$AB$13,IF(OR(AND($E22=$Z$2,$F22=$Z$4),AND($E22=$Z$4,$F22=$Z$2)),$AB$12,IF(OR(AND($E22=$Z$3,$F22=$Z$4),AND($E22=$Z$4,$F22=$Z$3)),$AB$13,IF(AND($E22=$Z$3,$F22=$Z$3),2*$AB$13,0)))))</f>
        <v>3</v>
      </c>
      <c r="I22" s="27">
        <f>IF(AND($E22=$Z$2,$F22=$Z$2),2*$AE$12*$K22/27,IF(OR(AND($E22=$Z$2,$F22=$Z$3),AND($E22=$Z$3,$F22=$Z$2)),($AE$12+$AE$13)*$K22/27,IF(OR(AND($E22=$Z$2,$F22=$Z$4),AND($E22=$Z$4,$F22=$Z$2)),$AE$12*$K22/27,IF(OR(AND($E22=$Z$3,$F22=$Z$4),AND($E22=$Z$4,$F22=$Z$3)),$AE$13*$K22/27,IF(AND($E22=$Z$3,$F22=$Z$3),2*$AE$13*$K22/27,0)))))</f>
        <v>2.7777777777777777</v>
      </c>
      <c r="J22" s="78">
        <f>IF(OR(AND($E22=$Z$2,$F22=$Z$4),AND($E22=$Z$4,$F22=$Z$2)),$AH$14,IF(OR(AND($E22=$Z$3,$F22=$Z$4),AND($E22=$Z$4,$F22=$Z$3)),$AH$14,IF(AND($E22=$Z$4,$F22=$Z$4),2*$AH$14,0)))</f>
        <v>0</v>
      </c>
      <c r="K22" s="83">
        <f t="shared" ref="K22" si="2">C22-B22</f>
        <v>50</v>
      </c>
      <c r="L22" s="345">
        <v>26</v>
      </c>
      <c r="M22" s="124">
        <f t="shared" si="1"/>
        <v>1300</v>
      </c>
      <c r="N22" s="347">
        <v>0</v>
      </c>
      <c r="O22" s="123">
        <f t="shared" si="0"/>
        <v>1300</v>
      </c>
      <c r="P22" s="347">
        <v>0</v>
      </c>
      <c r="Q22" s="83">
        <f>S22/2000</f>
        <v>8.0555555555555561E-2</v>
      </c>
      <c r="R22" s="85">
        <f>IF(A22="APP SLAB",0,S22)</f>
        <v>161.11111111111111</v>
      </c>
      <c r="S22" s="85">
        <f>IF(OR(A22="APP SLAB",O22=0),0,(O22+H22*K22)/9)</f>
        <v>161.11111111111111</v>
      </c>
      <c r="T22" s="85">
        <f>IF(A22="APP SLAB",0,$R$1*S22*110*0.06*0.75/2000)</f>
        <v>4.7850000000000001</v>
      </c>
      <c r="U22" s="351">
        <v>0</v>
      </c>
      <c r="V22" s="85">
        <f>IF(O22=0,0,(O22*$U$1/12)/27+I22)</f>
        <v>26.851851851851851</v>
      </c>
      <c r="W22" s="111">
        <f>IF(OR(A22="APP SLAB",O22=0),0,(O22+J22*K22)/9)</f>
        <v>144.44444444444446</v>
      </c>
      <c r="X22" s="467">
        <f>IF(AND($E22=$F22="Uncurbed"),(2*$K22*2*$X$1/12)/27,IF(OR($E22="Uncurbed",$F22="Uncurbed"),($K22*2*$X$1/12)/27,IF(OR(AND($E22="Med. Barr.",$F22="Curbed"),AND($E22="Curbed",$F22="Med. Barr."),$E22=$F22,$E22="Unique",$F22="Unique",$E22="-",$F22="-"),0,"?")))</f>
        <v>1.0030864197530864</v>
      </c>
    </row>
    <row r="23" spans="1:26" ht="12.75" customHeight="1" x14ac:dyDescent="0.2">
      <c r="B23" s="338">
        <v>85467.8</v>
      </c>
      <c r="C23" s="339">
        <v>85799.64</v>
      </c>
      <c r="D23" s="340" t="s">
        <v>30</v>
      </c>
      <c r="E23" s="340" t="s">
        <v>105</v>
      </c>
      <c r="F23" s="340" t="s">
        <v>105</v>
      </c>
      <c r="G23" s="103" t="str">
        <f>IF(AND($E23=$Z$2,$F23=$Z$2),$AB$2,IF(OR(AND($E23=$Z$2,$F23=$Z$3),AND($E23=$Z$3,$F23=$Z$2)),$AB$3,IF(OR(AND($E23=$Z$2,$F23=$Z$4),AND($E23=$Z$4,$F23=$Z$2)),$AB$4,IF(OR(AND($E23=$Z$3,$F23=$Z$4),AND($E23=$Z$4,$F23=$Z$3)),$AB$5,IF(AND($E23=$Z$3,$F23=$Z$3),$AB$6,IF(AND($E23=$Z$4,$F23=$Z$4),$AB$7,"-"))))))</f>
        <v>E/S - E/S</v>
      </c>
      <c r="H23" s="26">
        <f>IF(AND($E23=$Z$2,$F23=$Z$2),2*$AB$12,IF(OR(AND($E23=$Z$2, $F23=$Z$3),AND($E23=$Z$3,$F23=$Z$2)),$AB$12+$AB$13,IF(OR(AND($E23=$Z$2,$F23=$Z$4),AND($E23=$Z$4,$F23=$Z$2)),$AB$12,IF(OR(AND($E23=$Z$3,$F23=$Z$4),AND($E23=$Z$4,$F23=$Z$3)),$AB$13,IF(AND($E23=$Z$3,$F23=$Z$3),2*$AB$13,0)))))</f>
        <v>3</v>
      </c>
      <c r="I23" s="27">
        <f>IF(AND($E23=$Z$2,$F23=$Z$2),2*$AE$12*$K23/27,IF(OR(AND($E23=$Z$2,$F23=$Z$3),AND($E23=$Z$3,$F23=$Z$2)),($AE$12+$AE$13)*$K23/27,IF(OR(AND($E23=$Z$2,$F23=$Z$4),AND($E23=$Z$4,$F23=$Z$2)),$AE$12*$K23/27,IF(OR(AND($E23=$Z$3,$F23=$Z$4),AND($E23=$Z$4,$F23=$Z$3)),$AE$13*$K23/27,IF(AND($E23=$Z$3,$F23=$Z$3),2*$AE$13*$K23/27,0)))))</f>
        <v>18.435555555555361</v>
      </c>
      <c r="J23" s="78">
        <f>IF(OR(AND($E23=$Z$2,$F23=$Z$4),AND($E23=$Z$4,$F23=$Z$2)),$AH$14,IF(OR(AND($E23=$Z$3,$F23=$Z$4),AND($E23=$Z$4,$F23=$Z$3)),$AH$14,IF(AND($E23=$Z$4,$F23=$Z$4),2*$AH$14,0)))</f>
        <v>0</v>
      </c>
      <c r="K23" s="83">
        <f t="shared" ref="K23:K24" si="3">C23-B23</f>
        <v>331.83999999999651</v>
      </c>
      <c r="L23" s="345">
        <v>25</v>
      </c>
      <c r="M23" s="124">
        <f t="shared" si="1"/>
        <v>8296</v>
      </c>
      <c r="N23" s="347">
        <v>0</v>
      </c>
      <c r="O23" s="123">
        <f t="shared" ref="O23:O25" si="4">SUM(M23:N23)</f>
        <v>8296</v>
      </c>
      <c r="P23" s="347">
        <v>0</v>
      </c>
      <c r="Q23" s="83">
        <f t="shared" ref="Q23:Q25" si="5">S23/2000</f>
        <v>0.51619555555555496</v>
      </c>
      <c r="R23" s="85">
        <f>IF(A23="APP SLAB",0,S23)</f>
        <v>1032.3911111111099</v>
      </c>
      <c r="S23" s="85">
        <f>IF(OR(A23="APP SLAB",O23=0),0,(O23+H23*K23)/9)</f>
        <v>1032.3911111111099</v>
      </c>
      <c r="T23" s="85">
        <f>IF(A23="APP SLAB",0,$R$1*S23*110*0.06*0.75/2000)</f>
        <v>30.662015999999962</v>
      </c>
      <c r="U23" s="351">
        <v>0</v>
      </c>
      <c r="V23" s="85">
        <f>IF(O23=0,0,(O23*$U$1/12)/27+I23)</f>
        <v>172.06518518518499</v>
      </c>
      <c r="W23" s="111">
        <f>IF(OR(A23="APP SLAB",O23=0),0,(O23+J23*K23)/9)</f>
        <v>921.77777777777783</v>
      </c>
      <c r="X23" s="467">
        <f t="shared" ref="X23:X25" si="6">IF(AND($E23=$F23="Uncurbed"),(2*$K23*2*$X$1/12)/27,IF(OR($E23="Uncurbed",$F23="Uncurbed"),($K23*2*$X$1/12)/27,IF(OR(AND($E23="Med. Barr.",$F23="Curbed"),AND($E23="Curbed",$F23="Med. Barr."),$E23=$F23,$E23="Unique",$F23="Unique",$E23="-",$F23="-"),0,"?")))</f>
        <v>6.6572839506172139</v>
      </c>
    </row>
    <row r="24" spans="1:26" ht="12.75" customHeight="1" x14ac:dyDescent="0.2">
      <c r="B24" s="338">
        <v>85799.64</v>
      </c>
      <c r="C24" s="339">
        <v>86000.33</v>
      </c>
      <c r="D24" s="340" t="s">
        <v>30</v>
      </c>
      <c r="E24" s="340" t="s">
        <v>105</v>
      </c>
      <c r="F24" s="340" t="s">
        <v>105</v>
      </c>
      <c r="G24" s="103" t="str">
        <f>IF(AND($E24=$Z$2,$F24=$Z$2),$AB$2,IF(OR(AND($E24=$Z$2,$F24=$Z$3),AND($E24=$Z$3,$F24=$Z$2)),$AB$3,IF(OR(AND($E24=$Z$2,$F24=$Z$4),AND($E24=$Z$4,$F24=$Z$2)),$AB$4,IF(OR(AND($E24=$Z$3,$F24=$Z$4),AND($E24=$Z$4,$F24=$Z$3)),$AB$5,IF(AND($E24=$Z$3,$F24=$Z$3),$AB$6,IF(AND($E24=$Z$4,$F24=$Z$4),$AB$7,"-"))))))</f>
        <v>E/S - E/S</v>
      </c>
      <c r="H24" s="26">
        <f>IF(AND($E24=$Z$2,$F24=$Z$2),2*$AB$12,IF(OR(AND($E24=$Z$2, $F24=$Z$3),AND($E24=$Z$3,$F24=$Z$2)),$AB$12+$AB$13,IF(OR(AND($E24=$Z$2,$F24=$Z$4),AND($E24=$Z$4,$F24=$Z$2)),$AB$12,IF(OR(AND($E24=$Z$3,$F24=$Z$4),AND($E24=$Z$4,$F24=$Z$3)),$AB$13,IF(AND($E24=$Z$3,$F24=$Z$3),2*$AB$13,0)))))</f>
        <v>3</v>
      </c>
      <c r="I24" s="27">
        <f>IF(AND($E24=$Z$2,$F24=$Z$2),2*$AE$12*$K24/27,IF(OR(AND($E24=$Z$2,$F24=$Z$3),AND($E24=$Z$3,$F24=$Z$2)),($AE$12+$AE$13)*$K24/27,IF(OR(AND($E24=$Z$2,$F24=$Z$4),AND($E24=$Z$4,$F24=$Z$2)),$AE$12*$K24/27,IF(OR(AND($E24=$Z$3,$F24=$Z$4),AND($E24=$Z$4,$F24=$Z$3)),$AE$13*$K24/27,IF(AND($E24=$Z$3,$F24=$Z$3),2*$AE$13*$K24/27,0)))))</f>
        <v>11.149444444444574</v>
      </c>
      <c r="J24" s="78">
        <f>IF(OR(AND($E24=$Z$2,$F24=$Z$4),AND($E24=$Z$4,$F24=$Z$2)),$AH$14,IF(OR(AND($E24=$Z$3,$F24=$Z$4),AND($E24=$Z$4,$F24=$Z$3)),$AH$14,IF(AND($E24=$Z$4,$F24=$Z$4),2*$AH$14,0)))</f>
        <v>0</v>
      </c>
      <c r="K24" s="83">
        <f t="shared" si="3"/>
        <v>200.69000000000233</v>
      </c>
      <c r="L24" s="345">
        <v>28.97</v>
      </c>
      <c r="M24" s="124">
        <f t="shared" si="1"/>
        <v>5814</v>
      </c>
      <c r="N24" s="347">
        <v>0</v>
      </c>
      <c r="O24" s="123">
        <f t="shared" si="4"/>
        <v>5814</v>
      </c>
      <c r="P24" s="347">
        <v>0</v>
      </c>
      <c r="Q24" s="83">
        <f t="shared" si="5"/>
        <v>0.3564483333333337</v>
      </c>
      <c r="R24" s="85">
        <f>IF(A24="APP SLAB",0,S24)</f>
        <v>712.89666666666744</v>
      </c>
      <c r="S24" s="85">
        <f>IF(OR(A24="APP SLAB",O24=0),0,(O24+H24*K24)/9)</f>
        <v>712.89666666666744</v>
      </c>
      <c r="T24" s="85">
        <f>IF(A24="APP SLAB",0,$R$1*S24*110*0.06*0.75/2000)</f>
        <v>21.173031000000023</v>
      </c>
      <c r="U24" s="351">
        <v>0</v>
      </c>
      <c r="V24" s="85">
        <f>IF(O24=0,0,(O24*$U$1/12)/27+I24)</f>
        <v>118.81611111111124</v>
      </c>
      <c r="W24" s="111">
        <f>IF(OR(A24="APP SLAB",O24=0),0,(O24+J24*K24)/9)</f>
        <v>646</v>
      </c>
      <c r="X24" s="467">
        <f t="shared" si="6"/>
        <v>4.026188271604985</v>
      </c>
    </row>
    <row r="25" spans="1:26" ht="12.75" customHeight="1" x14ac:dyDescent="0.2">
      <c r="B25" s="718">
        <v>86000.33</v>
      </c>
      <c r="C25" s="719"/>
      <c r="D25" s="340" t="s">
        <v>30</v>
      </c>
      <c r="E25" s="340" t="s">
        <v>101</v>
      </c>
      <c r="F25" s="340" t="s">
        <v>101</v>
      </c>
      <c r="G25" s="103" t="str">
        <f>IF(AND($E25=$Z$2,$F25=$Z$2),$AB$2,IF(OR(AND($E25=$Z$2,$F25=$Z$3),AND($E25=$Z$3,$F25=$Z$2)),$AB$3,IF(OR(AND($E25=$Z$2,$F25=$Z$4),AND($E25=$Z$4,$F25=$Z$2)),$AB$4,IF(OR(AND($E25=$Z$3,$F25=$Z$4),AND($E25=$Z$4,$F25=$Z$3)),$AB$5,IF(AND($E25=$Z$3,$F25=$Z$3),$AB$6,IF(AND($E25=$Z$4,$F25=$Z$4),$AB$7,"-"))))))</f>
        <v>-</v>
      </c>
      <c r="H25" s="26">
        <f>IF(AND($E25=$Z$2,$F25=$Z$2),2*$AB$12,IF(OR(AND($E25=$Z$2, $F25=$Z$3),AND($E25=$Z$3,$F25=$Z$2)),$AB$12+$AB$13,IF(OR(AND($E25=$Z$2,$F25=$Z$4),AND($E25=$Z$4,$F25=$Z$2)),$AB$12,IF(OR(AND($E25=$Z$3,$F25=$Z$4),AND($E25=$Z$4,$F25=$Z$3)),$AB$13,IF(AND($E25=$Z$3,$F25=$Z$3),2*$AB$13,0)))))</f>
        <v>0</v>
      </c>
      <c r="I25" s="27">
        <f>IF(AND($E25=$Z$2,$F25=$Z$2),2*$AE$12*$K25/27,IF(OR(AND($E25=$Z$2,$F25=$Z$3),AND($E25=$Z$3,$F25=$Z$2)),($AE$12+$AE$13)*$K25/27,IF(OR(AND($E25=$Z$2,$F25=$Z$4),AND($E25=$Z$4,$F25=$Z$2)),$AE$12*$K25/27,IF(OR(AND($E25=$Z$3,$F25=$Z$4),AND($E25=$Z$4,$F25=$Z$3)),$AE$13*$K25/27,IF(AND($E25=$Z$3,$F25=$Z$3),2*$AE$13*$K25/27,0)))))</f>
        <v>0</v>
      </c>
      <c r="J25" s="78">
        <f>IF(OR(AND($E25=$Z$2,$F25=$Z$4),AND($E25=$Z$4,$F25=$Z$2)),$AH$14,IF(OR(AND($E25=$Z$3,$F25=$Z$4),AND($E25=$Z$4,$F25=$Z$3)),$AH$14,IF(AND($E25=$Z$4,$F25=$Z$4),2*$AH$14,0)))</f>
        <v>0</v>
      </c>
      <c r="K25" s="346" t="s">
        <v>101</v>
      </c>
      <c r="L25" s="345" t="s">
        <v>101</v>
      </c>
      <c r="M25" s="124">
        <f t="shared" si="1"/>
        <v>0</v>
      </c>
      <c r="N25" s="347">
        <v>0</v>
      </c>
      <c r="O25" s="123">
        <f t="shared" si="4"/>
        <v>0</v>
      </c>
      <c r="P25" s="347">
        <v>0</v>
      </c>
      <c r="Q25" s="83">
        <f t="shared" si="5"/>
        <v>0</v>
      </c>
      <c r="R25" s="350">
        <v>0</v>
      </c>
      <c r="S25" s="350">
        <v>0</v>
      </c>
      <c r="T25" s="350">
        <v>0</v>
      </c>
      <c r="U25" s="351">
        <v>33</v>
      </c>
      <c r="V25" s="350">
        <v>0</v>
      </c>
      <c r="W25" s="370">
        <v>0</v>
      </c>
      <c r="X25" s="467">
        <f t="shared" si="6"/>
        <v>0</v>
      </c>
    </row>
    <row r="26" spans="1:26" ht="12.75" customHeight="1" thickBot="1" x14ac:dyDescent="0.25">
      <c r="B26" s="107"/>
      <c r="C26" s="8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70"/>
      <c r="V26" s="32"/>
      <c r="W26" s="32"/>
      <c r="X26" s="32"/>
    </row>
    <row r="27" spans="1:26" ht="12.75" customHeight="1" x14ac:dyDescent="0.2">
      <c r="B27" s="643" t="s">
        <v>74</v>
      </c>
      <c r="C27" s="644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49"/>
      <c r="V27" s="100"/>
      <c r="W27" s="100"/>
      <c r="X27" s="100"/>
    </row>
    <row r="28" spans="1:26" ht="12.75" customHeight="1" x14ac:dyDescent="0.2">
      <c r="B28" s="718">
        <v>86300</v>
      </c>
      <c r="C28" s="719"/>
      <c r="D28" s="340" t="s">
        <v>30</v>
      </c>
      <c r="E28" s="340" t="s">
        <v>101</v>
      </c>
      <c r="F28" s="340" t="s">
        <v>101</v>
      </c>
      <c r="G28" s="103" t="str">
        <f>IF(AND($E28=$Z$2,$F28=$Z$2),$AB$2,IF(OR(AND($E28=$Z$2,$F28=$Z$3),AND($E28=$Z$3,$F28=$Z$2)),$AB$3,IF(OR(AND($E28=$Z$2,$F28=$Z$4),AND($E28=$Z$4,$F28=$Z$2)),$AB$4,IF(OR(AND($E28=$Z$3,$F28=$Z$4),AND($E28=$Z$4,$F28=$Z$3)),$AB$5,IF(AND($E28=$Z$3,$F28=$Z$3),$AB$6,IF(AND($E28=$Z$4,$F28=$Z$4),$AB$7,"-"))))))</f>
        <v>-</v>
      </c>
      <c r="H28" s="26">
        <f>IF(AND($E28=$Z$2,$F28=$Z$2),2*$AB$12,IF(OR(AND($E28=$Z$2, $F28=$Z$3),AND($E28=$Z$3,$F28=$Z$2)),$AB$12+$AB$13,IF(OR(AND($E28=$Z$2,$F28=$Z$4),AND($E28=$Z$4,$F28=$Z$2)),$AB$12,IF(OR(AND($E28=$Z$3,$F28=$Z$4),AND($E28=$Z$4,$F28=$Z$3)),$AB$13,IF(AND($E28=$Z$3,$F28=$Z$3),2*$AB$13,0)))))</f>
        <v>0</v>
      </c>
      <c r="I28" s="27">
        <f>IF(AND($E28=$Z$2,$F28=$Z$2),2*$AE$12*$K28/27,IF(OR(AND($E28=$Z$2,$F28=$Z$3),AND($E28=$Z$3,$F28=$Z$2)),($AE$12+$AE$13)*$K28/27,IF(OR(AND($E28=$Z$2,$F28=$Z$4),AND($E28=$Z$4,$F28=$Z$2)),$AE$12*$K28/27,IF(OR(AND($E28=$Z$3,$F28=$Z$4),AND($E28=$Z$4,$F28=$Z$3)),$AE$13*$K28/27,IF(AND($E28=$Z$3,$F28=$Z$3),2*$AE$13*$K28/27,0)))))</f>
        <v>0</v>
      </c>
      <c r="J28" s="78">
        <f>IF(OR(AND($E28=$Z$2,$F28=$Z$4),AND($E28=$Z$4,$F28=$Z$2)),$AH$14,IF(OR(AND($E28=$Z$3,$F28=$Z$4),AND($E28=$Z$4,$F28=$Z$3)),$AH$14,IF(AND($E28=$Z$4,$F28=$Z$4),2*$AH$14,0)))</f>
        <v>0</v>
      </c>
      <c r="K28" s="346" t="s">
        <v>101</v>
      </c>
      <c r="L28" s="345" t="s">
        <v>101</v>
      </c>
      <c r="M28" s="124">
        <f t="shared" ref="M28:M36" si="7">IF(L28="-",0,ROUNDUP($K28*L28,0))</f>
        <v>0</v>
      </c>
      <c r="N28" s="347">
        <v>0</v>
      </c>
      <c r="O28" s="123">
        <f t="shared" si="0"/>
        <v>0</v>
      </c>
      <c r="P28" s="347">
        <v>0</v>
      </c>
      <c r="Q28" s="83">
        <f t="shared" ref="Q28:Q32" si="8">S28/2000</f>
        <v>0</v>
      </c>
      <c r="R28" s="350">
        <v>0</v>
      </c>
      <c r="S28" s="350">
        <v>0</v>
      </c>
      <c r="T28" s="350">
        <v>0</v>
      </c>
      <c r="U28" s="351">
        <v>33</v>
      </c>
      <c r="V28" s="350">
        <v>0</v>
      </c>
      <c r="W28" s="370">
        <v>0</v>
      </c>
      <c r="X28" s="467">
        <f t="shared" ref="X28:X32" si="9">IF(AND($E28=$F28="Uncurbed"),(2*$K28*2*$X$1/12)/27,IF(OR($E28="Uncurbed",$F28="Uncurbed"),($K28*2*$X$1/12)/27,IF(OR(AND($E28="Med. Barr.",$F28="Curbed"),AND($E28="Curbed",$F28="Med. Barr."),$E28=$F28,$E28="Unique",$F28="Unique",$E28="-",$F28="-"),0,"?")))</f>
        <v>0</v>
      </c>
    </row>
    <row r="29" spans="1:26" ht="12.75" customHeight="1" x14ac:dyDescent="0.2">
      <c r="B29" s="338">
        <v>86300</v>
      </c>
      <c r="C29" s="339">
        <v>86449.64</v>
      </c>
      <c r="D29" s="340" t="s">
        <v>30</v>
      </c>
      <c r="E29" s="340" t="s">
        <v>105</v>
      </c>
      <c r="F29" s="340" t="s">
        <v>105</v>
      </c>
      <c r="G29" s="103" t="str">
        <f>IF(AND($E29=$Z$2,$F29=$Z$2),$AB$2,IF(OR(AND($E29=$Z$2,$F29=$Z$3),AND($E29=$Z$3,$F29=$Z$2)),$AB$3,IF(OR(AND($E29=$Z$2,$F29=$Z$4),AND($E29=$Z$4,$F29=$Z$2)),$AB$4,IF(OR(AND($E29=$Z$3,$F29=$Z$4),AND($E29=$Z$4,$F29=$Z$3)),$AB$5,IF(AND($E29=$Z$3,$F29=$Z$3),$AB$6,IF(AND($E29=$Z$4,$F29=$Z$4),$AB$7,"-"))))))</f>
        <v>E/S - E/S</v>
      </c>
      <c r="H29" s="26">
        <f>IF(AND($E29=$Z$2,$F29=$Z$2),2*$AB$12,IF(OR(AND($E29=$Z$2, $F29=$Z$3),AND($E29=$Z$3,$F29=$Z$2)),$AB$12+$AB$13,IF(OR(AND($E29=$Z$2,$F29=$Z$4),AND($E29=$Z$4,$F29=$Z$2)),$AB$12,IF(OR(AND($E29=$Z$3,$F29=$Z$4),AND($E29=$Z$4,$F29=$Z$3)),$AB$13,IF(AND($E29=$Z$3,$F29=$Z$3),2*$AB$13,0)))))</f>
        <v>3</v>
      </c>
      <c r="I29" s="27">
        <f>IF(AND($E29=$Z$2,$F29=$Z$2),2*$AE$12*$K29/27,IF(OR(AND($E29=$Z$2,$F29=$Z$3),AND($E29=$Z$3,$F29=$Z$2)),($AE$12+$AE$13)*$K29/27,IF(OR(AND($E29=$Z$2,$F29=$Z$4),AND($E29=$Z$4,$F29=$Z$2)),$AE$12*$K29/27,IF(OR(AND($E29=$Z$3,$F29=$Z$4),AND($E29=$Z$4,$F29=$Z$3)),$AE$13*$K29/27,IF(AND($E29=$Z$3,$F29=$Z$3),2*$AE$13*$K29/27,0)))))</f>
        <v>8.3133333333333006</v>
      </c>
      <c r="J29" s="78">
        <f>IF(OR(AND($E29=$Z$2,$F29=$Z$4),AND($E29=$Z$4,$F29=$Z$2)),$AH$14,IF(OR(AND($E29=$Z$3,$F29=$Z$4),AND($E29=$Z$4,$F29=$Z$3)),$AH$14,IF(AND($E29=$Z$4,$F29=$Z$4),2*$AH$14,0)))</f>
        <v>0</v>
      </c>
      <c r="K29" s="83">
        <f t="shared" ref="K29:K32" si="10">C29-B29</f>
        <v>149.63999999999942</v>
      </c>
      <c r="L29" s="345">
        <v>33</v>
      </c>
      <c r="M29" s="124">
        <f t="shared" si="7"/>
        <v>4939</v>
      </c>
      <c r="N29" s="347">
        <v>0</v>
      </c>
      <c r="O29" s="123">
        <f t="shared" ref="O29:O31" si="11">SUM(M29:N29)</f>
        <v>4939</v>
      </c>
      <c r="P29" s="347">
        <v>0</v>
      </c>
      <c r="Q29" s="83">
        <f t="shared" si="8"/>
        <v>0.29932888888888881</v>
      </c>
      <c r="R29" s="85">
        <f>IF(A29="APP SLAB",0,S29)</f>
        <v>598.6577777777776</v>
      </c>
      <c r="S29" s="85">
        <f>IF(OR(A29="APP SLAB",O29=0),0,(O29+H29*K29)/9)</f>
        <v>598.6577777777776</v>
      </c>
      <c r="T29" s="85">
        <f>IF(A29="APP SLAB",0,$R$1*S29*110*0.06*0.75/2000)</f>
        <v>17.780135999999995</v>
      </c>
      <c r="U29" s="351">
        <v>0</v>
      </c>
      <c r="V29" s="85">
        <f>IF(O29=0,0,(O29*$U$1/12)/27+I29)</f>
        <v>99.776296296296266</v>
      </c>
      <c r="W29" s="111">
        <f>IF(OR(A29="APP SLAB",O29=0),0,(O29+J29*K29)/9)</f>
        <v>548.77777777777783</v>
      </c>
      <c r="X29" s="467">
        <f t="shared" si="9"/>
        <v>3.0020370370370251</v>
      </c>
    </row>
    <row r="30" spans="1:26" ht="12.75" customHeight="1" x14ac:dyDescent="0.2">
      <c r="A30" s="113"/>
      <c r="B30" s="338">
        <v>86449.64</v>
      </c>
      <c r="C30" s="339">
        <v>86499.64</v>
      </c>
      <c r="D30" s="340" t="s">
        <v>30</v>
      </c>
      <c r="E30" s="340" t="s">
        <v>105</v>
      </c>
      <c r="F30" s="340" t="s">
        <v>105</v>
      </c>
      <c r="G30" s="103" t="str">
        <f>IF(AND($E30=$Z$2,$F30=$Z$2),$AB$2,IF(OR(AND($E30=$Z$2,$F30=$Z$3),AND($E30=$Z$3,$F30=$Z$2)),$AB$3,IF(OR(AND($E30=$Z$2,$F30=$Z$4),AND($E30=$Z$4,$F30=$Z$2)),$AB$4,IF(OR(AND($E30=$Z$3,$F30=$Z$4),AND($E30=$Z$4,$F30=$Z$3)),$AB$5,IF(AND($E30=$Z$3,$F30=$Z$3),$AB$6,IF(AND($E30=$Z$4,$F30=$Z$4),$AB$7,"-"))))))</f>
        <v>E/S - E/S</v>
      </c>
      <c r="H30" s="26">
        <f>IF(AND($E30=$Z$2,$F30=$Z$2),2*$AB$12,IF(OR(AND($E30=$Z$2, $F30=$Z$3),AND($E30=$Z$3,$F30=$Z$2)),$AB$12+$AB$13,IF(OR(AND($E30=$Z$2,$F30=$Z$4),AND($E30=$Z$4,$F30=$Z$2)),$AB$12,IF(OR(AND($E30=$Z$3,$F30=$Z$4),AND($E30=$Z$4,$F30=$Z$3)),$AB$13,IF(AND($E30=$Z$3,$F30=$Z$3),2*$AB$13,0)))))</f>
        <v>3</v>
      </c>
      <c r="I30" s="27">
        <f>IF(AND($E30=$Z$2,$F30=$Z$2),2*$AE$12*$K30/27,IF(OR(AND($E30=$Z$2,$F30=$Z$3),AND($E30=$Z$3,$F30=$Z$2)),($AE$12+$AE$13)*$K30/27,IF(OR(AND($E30=$Z$2,$F30=$Z$4),AND($E30=$Z$4,$F30=$Z$2)),$AE$12*$K30/27,IF(OR(AND($E30=$Z$3,$F30=$Z$4),AND($E30=$Z$4,$F30=$Z$3)),$AE$13*$K30/27,IF(AND($E30=$Z$3,$F30=$Z$3),2*$AE$13*$K30/27,0)))))</f>
        <v>2.7777777777777777</v>
      </c>
      <c r="J30" s="78">
        <f>IF(OR(AND($E30=$Z$2,$F30=$Z$4),AND($E30=$Z$4,$F30=$Z$2)),$AH$14,IF(OR(AND($E30=$Z$3,$F30=$Z$4),AND($E30=$Z$4,$F30=$Z$3)),$AH$14,IF(AND($E30=$Z$4,$F30=$Z$4),2*$AH$14,0)))</f>
        <v>0</v>
      </c>
      <c r="K30" s="83">
        <f t="shared" si="10"/>
        <v>50</v>
      </c>
      <c r="L30" s="345">
        <v>29</v>
      </c>
      <c r="M30" s="124">
        <f t="shared" si="7"/>
        <v>1450</v>
      </c>
      <c r="N30" s="347">
        <v>0</v>
      </c>
      <c r="O30" s="123">
        <f t="shared" si="11"/>
        <v>1450</v>
      </c>
      <c r="P30" s="347">
        <v>0</v>
      </c>
      <c r="Q30" s="83">
        <f t="shared" si="8"/>
        <v>8.8888888888888892E-2</v>
      </c>
      <c r="R30" s="85">
        <f>IF(A30="APP SLAB",0,S30)</f>
        <v>177.77777777777777</v>
      </c>
      <c r="S30" s="85">
        <f>IF(OR(A30="APP SLAB",O30=0),0,(O30+H30*K30)/9)</f>
        <v>177.77777777777777</v>
      </c>
      <c r="T30" s="85">
        <f>IF(A30="APP SLAB",0,$R$1*S30*110*0.06*0.75/2000)</f>
        <v>5.2799999999999985</v>
      </c>
      <c r="U30" s="351">
        <v>0</v>
      </c>
      <c r="V30" s="85">
        <f>IF(O30=0,0,(O30*$U$1/12)/27+I30)</f>
        <v>29.62962962962963</v>
      </c>
      <c r="W30" s="111">
        <f>IF(OR(A30="APP SLAB",O30=0),0,(O30+J30*K30)/9)</f>
        <v>161.11111111111111</v>
      </c>
      <c r="X30" s="467">
        <f t="shared" si="9"/>
        <v>1.0030864197530864</v>
      </c>
    </row>
    <row r="31" spans="1:26" ht="12.75" customHeight="1" x14ac:dyDescent="0.2">
      <c r="A31" s="113"/>
      <c r="B31" s="338">
        <v>86499.64</v>
      </c>
      <c r="C31" s="339">
        <v>86826.03</v>
      </c>
      <c r="D31" s="340" t="s">
        <v>30</v>
      </c>
      <c r="E31" s="340" t="s">
        <v>105</v>
      </c>
      <c r="F31" s="340" t="s">
        <v>105</v>
      </c>
      <c r="G31" s="103" t="str">
        <f>IF(AND($E31=$Z$2,$F31=$Z$2),$AB$2,IF(OR(AND($E31=$Z$2,$F31=$Z$3),AND($E31=$Z$3,$F31=$Z$2)),$AB$3,IF(OR(AND($E31=$Z$2,$F31=$Z$4),AND($E31=$Z$4,$F31=$Z$2)),$AB$4,IF(OR(AND($E31=$Z$3,$F31=$Z$4),AND($E31=$Z$4,$F31=$Z$3)),$AB$5,IF(AND($E31=$Z$3,$F31=$Z$3),$AB$6,IF(AND($E31=$Z$4,$F31=$Z$4),$AB$7,"-"))))))</f>
        <v>E/S - E/S</v>
      </c>
      <c r="H31" s="26">
        <f>IF(AND($E31=$Z$2,$F31=$Z$2),2*$AB$12,IF(OR(AND($E31=$Z$2, $F31=$Z$3),AND($E31=$Z$3,$F31=$Z$2)),$AB$12+$AB$13,IF(OR(AND($E31=$Z$2,$F31=$Z$4),AND($E31=$Z$4,$F31=$Z$2)),$AB$12,IF(OR(AND($E31=$Z$3,$F31=$Z$4),AND($E31=$Z$4,$F31=$Z$3)),$AB$13,IF(AND($E31=$Z$3,$F31=$Z$3),2*$AB$13,0)))))</f>
        <v>3</v>
      </c>
      <c r="I31" s="27">
        <f>IF(AND($E31=$Z$2,$F31=$Z$2),2*$AE$12*$K31/27,IF(OR(AND($E31=$Z$2,$F31=$Z$3),AND($E31=$Z$3,$F31=$Z$2)),($AE$12+$AE$13)*$K31/27,IF(OR(AND($E31=$Z$2,$F31=$Z$4),AND($E31=$Z$4,$F31=$Z$2)),$AE$12*$K31/27,IF(OR(AND($E31=$Z$3,$F31=$Z$4),AND($E31=$Z$4,$F31=$Z$3)),$AE$13*$K31/27,IF(AND($E31=$Z$3,$F31=$Z$3),2*$AE$13*$K31/27,0)))))</f>
        <v>18.132777777777747</v>
      </c>
      <c r="J31" s="78">
        <f>IF(OR(AND($E31=$Z$2,$F31=$Z$4),AND($E31=$Z$4,$F31=$Z$2)),$AH$14,IF(OR(AND($E31=$Z$3,$F31=$Z$4),AND($E31=$Z$4,$F31=$Z$3)),$AH$14,IF(AND($E31=$Z$4,$F31=$Z$4),2*$AH$14,0)))</f>
        <v>0</v>
      </c>
      <c r="K31" s="83">
        <f t="shared" si="10"/>
        <v>326.38999999999942</v>
      </c>
      <c r="L31" s="345">
        <v>25</v>
      </c>
      <c r="M31" s="124">
        <f t="shared" si="7"/>
        <v>8160</v>
      </c>
      <c r="N31" s="347">
        <v>0</v>
      </c>
      <c r="O31" s="123">
        <f t="shared" si="11"/>
        <v>8160</v>
      </c>
      <c r="P31" s="347">
        <v>0</v>
      </c>
      <c r="Q31" s="83">
        <f t="shared" si="8"/>
        <v>0.50773166666666658</v>
      </c>
      <c r="R31" s="85">
        <f>IF(A31="APP SLAB",0,S31)</f>
        <v>1015.4633333333331</v>
      </c>
      <c r="S31" s="85">
        <f>IF(OR(A31="APP SLAB",O31=0),0,(O31+H31*K31)/9)</f>
        <v>1015.4633333333331</v>
      </c>
      <c r="T31" s="85">
        <f>IF(A31="APP SLAB",0,$R$1*S31*110*0.06*0.75/2000)</f>
        <v>30.15926099999999</v>
      </c>
      <c r="U31" s="351">
        <v>0</v>
      </c>
      <c r="V31" s="85">
        <f>IF(O31=0,0,(O31*$U$1/12)/27+I31)</f>
        <v>169.24388888888888</v>
      </c>
      <c r="W31" s="111">
        <f>IF(OR(A31="APP SLAB",O31=0),0,(O31+J31*K31)/9)</f>
        <v>906.66666666666663</v>
      </c>
      <c r="X31" s="467">
        <f t="shared" si="9"/>
        <v>6.5479475308641852</v>
      </c>
    </row>
    <row r="32" spans="1:26" ht="12.75" customHeight="1" x14ac:dyDescent="0.2">
      <c r="A32" s="106"/>
      <c r="B32" s="338">
        <v>86826.03</v>
      </c>
      <c r="C32" s="339">
        <v>86876.03</v>
      </c>
      <c r="D32" s="340" t="s">
        <v>30</v>
      </c>
      <c r="E32" s="340" t="s">
        <v>105</v>
      </c>
      <c r="F32" s="340" t="s">
        <v>105</v>
      </c>
      <c r="G32" s="103" t="str">
        <f>IF(AND($E32=$Z$2,$F32=$Z$2),$AB$2,IF(OR(AND($E32=$Z$2,$F32=$Z$3),AND($E32=$Z$3,$F32=$Z$2)),$AB$3,IF(OR(AND($E32=$Z$2,$F32=$Z$4),AND($E32=$Z$4,$F32=$Z$2)),$AB$4,IF(OR(AND($E32=$Z$3,$F32=$Z$4),AND($E32=$Z$4,$F32=$Z$3)),$AB$5,IF(AND($E32=$Z$3,$F32=$Z$3),$AB$6,IF(AND($E32=$Z$4,$F32=$Z$4),$AB$7,"-"))))))</f>
        <v>E/S - E/S</v>
      </c>
      <c r="H32" s="26">
        <f>IF(AND($E32=$Z$2,$F32=$Z$2),2*$AB$12,IF(OR(AND($E32=$Z$2, $F32=$Z$3),AND($E32=$Z$3,$F32=$Z$2)),$AB$12+$AB$13,IF(OR(AND($E32=$Z$2,$F32=$Z$4),AND($E32=$Z$4,$F32=$Z$2)),$AB$12,IF(OR(AND($E32=$Z$3,$F32=$Z$4),AND($E32=$Z$4,$F32=$Z$3)),$AB$13,IF(AND($E32=$Z$3,$F32=$Z$3),2*$AB$13,0)))))</f>
        <v>3</v>
      </c>
      <c r="I32" s="27">
        <f>IF(AND($E32=$Z$2,$F32=$Z$2),2*$AE$12*$K32/27,IF(OR(AND($E32=$Z$2,$F32=$Z$3),AND($E32=$Z$3,$F32=$Z$2)),($AE$12+$AE$13)*$K32/27,IF(OR(AND($E32=$Z$2,$F32=$Z$4),AND($E32=$Z$4,$F32=$Z$2)),$AE$12*$K32/27,IF(OR(AND($E32=$Z$3,$F32=$Z$4),AND($E32=$Z$4,$F32=$Z$3)),$AE$13*$K32/27,IF(AND($E32=$Z$3,$F32=$Z$3),2*$AE$13*$K32/27,0)))))</f>
        <v>2.7777777777777777</v>
      </c>
      <c r="J32" s="78">
        <f>IF(OR(AND($E32=$Z$2,$F32=$Z$4),AND($E32=$Z$4,$F32=$Z$2)),$AH$14,IF(OR(AND($E32=$Z$3,$F32=$Z$4),AND($E32=$Z$4,$F32=$Z$3)),$AH$14,IF(AND($E32=$Z$4,$F32=$Z$4),2*$AH$14,0)))</f>
        <v>0</v>
      </c>
      <c r="K32" s="83">
        <f t="shared" si="10"/>
        <v>50</v>
      </c>
      <c r="L32" s="345">
        <v>26</v>
      </c>
      <c r="M32" s="124">
        <f t="shared" si="7"/>
        <v>1300</v>
      </c>
      <c r="N32" s="347">
        <v>0</v>
      </c>
      <c r="O32" s="123">
        <f t="shared" si="0"/>
        <v>1300</v>
      </c>
      <c r="P32" s="347">
        <v>0</v>
      </c>
      <c r="Q32" s="83">
        <f t="shared" si="8"/>
        <v>8.0555555555555561E-2</v>
      </c>
      <c r="R32" s="85">
        <f>IF(A32="APP SLAB",0,S32)</f>
        <v>161.11111111111111</v>
      </c>
      <c r="S32" s="85">
        <f>IF(OR(A32="APP SLAB",O32=0),0,(O32+H32*K32)/9)</f>
        <v>161.11111111111111</v>
      </c>
      <c r="T32" s="85">
        <f>IF(A32="APP SLAB",0,$R$1*S32*110*0.06*0.75/2000)</f>
        <v>4.7850000000000001</v>
      </c>
      <c r="U32" s="351">
        <v>0</v>
      </c>
      <c r="V32" s="85">
        <f>IF(O32=0,0,(O32*$U$1/12)/27+I32)</f>
        <v>26.851851851851851</v>
      </c>
      <c r="W32" s="111">
        <f>IF(OR(A32="APP SLAB",O32=0),0,(O32+J32*K32)/9)</f>
        <v>144.44444444444446</v>
      </c>
      <c r="X32" s="467">
        <f t="shared" si="9"/>
        <v>1.0030864197530864</v>
      </c>
    </row>
    <row r="33" spans="1:24" ht="12.75" customHeight="1" thickBot="1" x14ac:dyDescent="0.25">
      <c r="A33" s="106"/>
      <c r="B33" s="107"/>
      <c r="C33" s="8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70"/>
      <c r="V33" s="32"/>
      <c r="W33" s="32"/>
      <c r="X33" s="32"/>
    </row>
    <row r="34" spans="1:24" ht="12.75" customHeight="1" x14ac:dyDescent="0.2">
      <c r="A34" s="106"/>
      <c r="B34" s="643" t="s">
        <v>75</v>
      </c>
      <c r="C34" s="644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49"/>
      <c r="V34" s="100"/>
      <c r="W34" s="100"/>
      <c r="X34" s="100"/>
    </row>
    <row r="35" spans="1:24" ht="12.75" customHeight="1" x14ac:dyDescent="0.2">
      <c r="A35" s="106"/>
      <c r="B35" s="718">
        <v>86171.29</v>
      </c>
      <c r="C35" s="719"/>
      <c r="D35" s="340" t="s">
        <v>30</v>
      </c>
      <c r="E35" s="340" t="s">
        <v>101</v>
      </c>
      <c r="F35" s="340" t="s">
        <v>101</v>
      </c>
      <c r="G35" s="103" t="str">
        <f>IF(AND($E35=$Z$2,$F35=$Z$2),$AB$2,IF(OR(AND($E35=$Z$2,$F35=$Z$3),AND($E35=$Z$3,$F35=$Z$2)),$AB$3,IF(OR(AND($E35=$Z$2,$F35=$Z$4),AND($E35=$Z$4,$F35=$Z$2)),$AB$4,IF(OR(AND($E35=$Z$3,$F35=$Z$4),AND($E35=$Z$4,$F35=$Z$3)),$AB$5,IF(AND($E35=$Z$3,$F35=$Z$3),$AB$6,IF(AND($E35=$Z$4,$F35=$Z$4),$AB$7,"-"))))))</f>
        <v>-</v>
      </c>
      <c r="H35" s="26">
        <f>IF(AND($E35=$Z$2,$F35=$Z$2),2*$AB$12,IF(OR(AND($E35=$Z$2, $F35=$Z$3),AND($E35=$Z$3,$F35=$Z$2)),$AB$12+$AB$13,IF(OR(AND($E35=$Z$2,$F35=$Z$4),AND($E35=$Z$4,$F35=$Z$2)),$AB$12,IF(OR(AND($E35=$Z$3,$F35=$Z$4),AND($E35=$Z$4,$F35=$Z$3)),$AB$13,IF(AND($E35=$Z$3,$F35=$Z$3),2*$AB$13,0)))))</f>
        <v>0</v>
      </c>
      <c r="I35" s="27">
        <f>IF(AND($E35=$Z$2,$F35=$Z$2),2*$AE$12*$K35/27,IF(OR(AND($E35=$Z$2,$F35=$Z$3),AND($E35=$Z$3,$F35=$Z$2)),($AE$12+$AE$13)*$K35/27,IF(OR(AND($E35=$Z$2,$F35=$Z$4),AND($E35=$Z$4,$F35=$Z$2)),$AE$12*$K35/27,IF(OR(AND($E35=$Z$3,$F35=$Z$4),AND($E35=$Z$4,$F35=$Z$3)),$AE$13*$K35/27,IF(AND($E35=$Z$3,$F35=$Z$3),2*$AE$13*$K35/27,0)))))</f>
        <v>0</v>
      </c>
      <c r="J35" s="78">
        <f>IF(OR(AND($E35=$Z$2,$F35=$Z$4),AND($E35=$Z$4,$F35=$Z$2)),$AH$14,IF(OR(AND($E35=$Z$3,$F35=$Z$4),AND($E35=$Z$4,$F35=$Z$3)),$AH$14,IF(AND($E35=$Z$4,$F35=$Z$4),2*$AH$14,0)))</f>
        <v>0</v>
      </c>
      <c r="K35" s="346" t="s">
        <v>101</v>
      </c>
      <c r="L35" s="345" t="s">
        <v>101</v>
      </c>
      <c r="M35" s="124">
        <f t="shared" si="7"/>
        <v>0</v>
      </c>
      <c r="N35" s="347">
        <v>0</v>
      </c>
      <c r="O35" s="123">
        <f t="shared" si="0"/>
        <v>0</v>
      </c>
      <c r="P35" s="347">
        <v>0</v>
      </c>
      <c r="Q35" s="83">
        <f t="shared" ref="Q35:Q36" si="12">S35/2000</f>
        <v>0</v>
      </c>
      <c r="R35" s="350">
        <v>0</v>
      </c>
      <c r="S35" s="350">
        <v>0</v>
      </c>
      <c r="T35" s="350">
        <v>0</v>
      </c>
      <c r="U35" s="351">
        <v>25</v>
      </c>
      <c r="V35" s="350">
        <v>0</v>
      </c>
      <c r="W35" s="370">
        <v>0</v>
      </c>
      <c r="X35" s="467">
        <f t="shared" ref="X35:X36" si="13">IF(AND($E35=$F35="Uncurbed"),(2*$K35*2*$X$1/12)/27,IF(OR($E35="Uncurbed",$F35="Uncurbed"),($K35*2*$X$1/12)/27,IF(OR(AND($E35="Med. Barr.",$F35="Curbed"),AND($E35="Curbed",$F35="Med. Barr."),$E35=$F35,$E35="Unique",$F35="Unique",$E35="-",$F35="-"),0,"?")))</f>
        <v>0</v>
      </c>
    </row>
    <row r="36" spans="1:24" ht="12.75" customHeight="1" x14ac:dyDescent="0.2">
      <c r="A36" s="106"/>
      <c r="B36" s="338">
        <v>86171.29</v>
      </c>
      <c r="C36" s="339">
        <v>86937.47</v>
      </c>
      <c r="D36" s="340" t="s">
        <v>30</v>
      </c>
      <c r="E36" s="340" t="s">
        <v>105</v>
      </c>
      <c r="F36" s="340" t="s">
        <v>105</v>
      </c>
      <c r="G36" s="103" t="str">
        <f>IF(AND($E36=$Z$2,$F36=$Z$2),$AB$2,IF(OR(AND($E36=$Z$2,$F36=$Z$3),AND($E36=$Z$3,$F36=$Z$2)),$AB$3,IF(OR(AND($E36=$Z$2,$F36=$Z$4),AND($E36=$Z$4,$F36=$Z$2)),$AB$4,IF(OR(AND($E36=$Z$3,$F36=$Z$4),AND($E36=$Z$4,$F36=$Z$3)),$AB$5,IF(AND($E36=$Z$3,$F36=$Z$3),$AB$6,IF(AND($E36=$Z$4,$F36=$Z$4),$AB$7,"-"))))))</f>
        <v>E/S - E/S</v>
      </c>
      <c r="H36" s="26">
        <f>IF(AND($E36=$Z$2,$F36=$Z$2),2*$AB$12,IF(OR(AND($E36=$Z$2, $F36=$Z$3),AND($E36=$Z$3,$F36=$Z$2)),$AB$12+$AB$13,IF(OR(AND($E36=$Z$2,$F36=$Z$4),AND($E36=$Z$4,$F36=$Z$2)),$AB$12,IF(OR(AND($E36=$Z$3,$F36=$Z$4),AND($E36=$Z$4,$F36=$Z$3)),$AB$13,IF(AND($E36=$Z$3,$F36=$Z$3),2*$AB$13,0)))))</f>
        <v>3</v>
      </c>
      <c r="I36" s="27">
        <f>IF(AND($E36=$Z$2,$F36=$Z$2),2*$AE$12*$K36/27,IF(OR(AND($E36=$Z$2,$F36=$Z$3),AND($E36=$Z$3,$F36=$Z$2)),($AE$12+$AE$13)*$K36/27,IF(OR(AND($E36=$Z$2,$F36=$Z$4),AND($E36=$Z$4,$F36=$Z$2)),$AE$12*$K36/27,IF(OR(AND($E36=$Z$3,$F36=$Z$4),AND($E36=$Z$4,$F36=$Z$3)),$AE$13*$K36/27,IF(AND($E36=$Z$3,$F36=$Z$3),2*$AE$13*$K36/27,0)))))</f>
        <v>42.565555555555974</v>
      </c>
      <c r="J36" s="78">
        <f>IF(OR(AND($E36=$Z$2,$F36=$Z$4),AND($E36=$Z$4,$F36=$Z$2)),$AH$14,IF(OR(AND($E36=$Z$3,$F36=$Z$4),AND($E36=$Z$4,$F36=$Z$3)),$AH$14,IF(AND($E36=$Z$4,$F36=$Z$4),2*$AH$14,0)))</f>
        <v>0</v>
      </c>
      <c r="K36" s="83">
        <f t="shared" ref="K36" si="14">C36-B36</f>
        <v>766.18000000000757</v>
      </c>
      <c r="L36" s="345">
        <v>25</v>
      </c>
      <c r="M36" s="124">
        <f t="shared" si="7"/>
        <v>19155</v>
      </c>
      <c r="N36" s="347">
        <v>0</v>
      </c>
      <c r="O36" s="123">
        <f t="shared" si="0"/>
        <v>19155</v>
      </c>
      <c r="P36" s="347">
        <v>0</v>
      </c>
      <c r="Q36" s="83">
        <f t="shared" si="12"/>
        <v>1.1918633333333346</v>
      </c>
      <c r="R36" s="85">
        <f>IF(A36="APP SLAB",0,S36)</f>
        <v>2383.7266666666692</v>
      </c>
      <c r="S36" s="85">
        <f>IF(OR(A36="APP SLAB",O36=0),0,(O36+H36*K36)/9)</f>
        <v>2383.7266666666692</v>
      </c>
      <c r="T36" s="85">
        <f>IF(A36="APP SLAB",0,$R$1*S36*110*0.06*0.75/2000)</f>
        <v>70.796682000000075</v>
      </c>
      <c r="U36" s="351">
        <v>0</v>
      </c>
      <c r="V36" s="85">
        <f>IF(O36=0,0,(O36*$U$1/12)/27+I36)</f>
        <v>397.28777777777822</v>
      </c>
      <c r="W36" s="111">
        <f>IF(OR(A36="APP SLAB",O36=0),0,(O36+J36*K36)/9)</f>
        <v>2128.3333333333335</v>
      </c>
      <c r="X36" s="467">
        <f t="shared" si="13"/>
        <v>15.370895061728547</v>
      </c>
    </row>
    <row r="37" spans="1:24" ht="12.75" customHeight="1" thickBot="1" x14ac:dyDescent="0.25">
      <c r="A37" s="106"/>
      <c r="B37" s="107"/>
      <c r="C37" s="82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70"/>
      <c r="V37" s="104"/>
      <c r="W37" s="104"/>
      <c r="X37" s="104"/>
    </row>
    <row r="38" spans="1:24" ht="12.75" customHeight="1" x14ac:dyDescent="0.2">
      <c r="B38" s="643" t="s">
        <v>76</v>
      </c>
      <c r="C38" s="644"/>
      <c r="D38" s="100"/>
      <c r="E38" s="100"/>
      <c r="F38" s="100"/>
      <c r="G38" s="100"/>
      <c r="H38" s="100"/>
      <c r="I38" s="100"/>
      <c r="J38" s="100"/>
      <c r="K38" s="101"/>
      <c r="L38" s="101"/>
      <c r="M38" s="118"/>
      <c r="N38" s="118"/>
      <c r="O38" s="118"/>
      <c r="P38" s="118"/>
      <c r="Q38" s="118"/>
      <c r="R38" s="101"/>
      <c r="S38" s="101"/>
      <c r="T38" s="102"/>
      <c r="U38" s="49"/>
      <c r="V38" s="110"/>
      <c r="W38" s="109"/>
      <c r="X38" s="109"/>
    </row>
    <row r="39" spans="1:24" ht="12.75" customHeight="1" x14ac:dyDescent="0.2">
      <c r="B39" s="338">
        <v>91744.72</v>
      </c>
      <c r="C39" s="339">
        <v>92200</v>
      </c>
      <c r="D39" s="340" t="s">
        <v>30</v>
      </c>
      <c r="E39" s="340" t="s">
        <v>106</v>
      </c>
      <c r="F39" s="340" t="s">
        <v>105</v>
      </c>
      <c r="G39" s="103" t="str">
        <f>IF(AND($E39=$Z$2,$F39=$Z$2),$AB$2,IF(OR(AND($E39=$Z$2,$F39=$Z$3),AND($E39=$Z$3,$F39=$Z$2)),$AB$3,IF(OR(AND($E39=$Z$2,$F39=$Z$4),AND($E39=$Z$4,$F39=$Z$2)),$AB$4,IF(OR(AND($E39=$Z$3,$F39=$Z$4),AND($E39=$Z$4,$F39=$Z$3)),$AB$5,IF(AND($E39=$Z$3,$F39=$Z$3),$AB$6,IF(AND($E39=$Z$4,$F39=$Z$4),$AB$7,"-"))))))</f>
        <v>E/S - F/C</v>
      </c>
      <c r="H39" s="26">
        <f>IF(AND($E39=$Z$2,$F39=$Z$2),2*$AB$12,IF(OR(AND($E39=$Z$2, $F39=$Z$3),AND($E39=$Z$3,$F39=$Z$2)),$AB$12+$AB$13,IF(OR(AND($E39=$Z$2,$F39=$Z$4),AND($E39=$Z$4,$F39=$Z$2)),$AB$12,IF(OR(AND($E39=$Z$3,$F39=$Z$4),AND($E39=$Z$4,$F39=$Z$3)),$AB$13,IF(AND($E39=$Z$3,$F39=$Z$3),2*$AB$13,0)))))</f>
        <v>3.5</v>
      </c>
      <c r="I39" s="27">
        <f>IF(AND($E39=$Z$2,$F39=$Z$2),2*$AE$12*$K39/27,IF(OR(AND($E39=$Z$2,$F39=$Z$3),AND($E39=$Z$3,$F39=$Z$2)),($AE$12+$AE$13)*$K39/27,IF(OR(AND($E39=$Z$2,$F39=$Z$4),AND($E39=$Z$4,$F39=$Z$2)),$AE$12*$K39/27,IF(OR(AND($E39=$Z$3,$F39=$Z$4),AND($E39=$Z$4,$F39=$Z$3)),$AE$13*$K39/27,IF(AND($E39=$Z$3,$F39=$Z$3),2*$AE$13*$K39/27,0)))))</f>
        <v>25.293333333333269</v>
      </c>
      <c r="J39" s="78">
        <f>IF(OR(AND($E39=$Z$2,$F39=$Z$4),AND($E39=$Z$4,$F39=$Z$2)),$AH$14,IF(OR(AND($E39=$Z$3,$F39=$Z$4),AND($E39=$Z$4,$F39=$Z$3)),$AH$14,IF(AND($E39=$Z$4,$F39=$Z$4),2*$AH$14,0)))</f>
        <v>0</v>
      </c>
      <c r="K39" s="83">
        <f>C39-B39</f>
        <v>455.27999999999884</v>
      </c>
      <c r="L39" s="345">
        <v>27</v>
      </c>
      <c r="M39" s="124">
        <f>IF(L39="-",0,ROUNDUP($K39*L39,0))</f>
        <v>12293</v>
      </c>
      <c r="N39" s="347">
        <v>0</v>
      </c>
      <c r="O39" s="123">
        <f t="shared" ref="O39:O57" si="15">SUM(M39:N39)</f>
        <v>12293</v>
      </c>
      <c r="P39" s="347">
        <v>0</v>
      </c>
      <c r="Q39" s="83">
        <f t="shared" ref="Q39:Q40" si="16">S39/2000</f>
        <v>0.77147111111111089</v>
      </c>
      <c r="R39" s="85">
        <f>IF(A39="APP SLAB",0,S39)</f>
        <v>1542.9422222222217</v>
      </c>
      <c r="S39" s="85">
        <f>IF(OR(A39="APP SLAB",O39=0),0,(O39+H39*K39)/9)</f>
        <v>1542.9422222222217</v>
      </c>
      <c r="T39" s="85">
        <f>IF(A39="APP SLAB",0,$R$1*S39*110*0.06*0.75/2000)</f>
        <v>45.825383999999985</v>
      </c>
      <c r="U39" s="351">
        <v>0</v>
      </c>
      <c r="V39" s="85">
        <f>IF(O39=0,0,(O39*$U$1/12)/27+I39)</f>
        <v>252.94148148148142</v>
      </c>
      <c r="W39" s="111">
        <f>IF(OR(A39="APP SLAB",O39=0),0,(O39+J39*K39)/9)</f>
        <v>1365.8888888888889</v>
      </c>
      <c r="X39" s="467">
        <f t="shared" ref="X39:X40" si="17">IF(AND($E39=$F39="Uncurbed"),(2*$K39*2*$X$1/12)/27,IF(OR($E39="Uncurbed",$F39="Uncurbed"),($K39*2*$X$1/12)/27,IF(OR(AND($E39="Med. Barr.",$F39="Curbed"),AND($E39="Curbed",$F39="Med. Barr."),$E39=$F39,$E39="Unique",$F39="Unique",$E39="-",$F39="-"),0,"?")))</f>
        <v>9.1337037037036808</v>
      </c>
    </row>
    <row r="40" spans="1:24" ht="12.75" customHeight="1" x14ac:dyDescent="0.2">
      <c r="B40" s="718">
        <v>92200</v>
      </c>
      <c r="C40" s="719"/>
      <c r="D40" s="340" t="s">
        <v>30</v>
      </c>
      <c r="E40" s="340" t="s">
        <v>101</v>
      </c>
      <c r="F40" s="340" t="s">
        <v>101</v>
      </c>
      <c r="G40" s="103" t="str">
        <f>IF(AND($E40=$Z$2,$F40=$Z$2),$AB$2,IF(OR(AND($E40=$Z$2,$F40=$Z$3),AND($E40=$Z$3,$F40=$Z$2)),$AB$3,IF(OR(AND($E40=$Z$2,$F40=$Z$4),AND($E40=$Z$4,$F40=$Z$2)),$AB$4,IF(OR(AND($E40=$Z$3,$F40=$Z$4),AND($E40=$Z$4,$F40=$Z$3)),$AB$5,IF(AND($E40=$Z$3,$F40=$Z$3),$AB$6,IF(AND($E40=$Z$4,$F40=$Z$4),$AB$7,"-"))))))</f>
        <v>-</v>
      </c>
      <c r="H40" s="26">
        <f>IF(AND($E40=$Z$2,$F40=$Z$2),2*$AB$12,IF(OR(AND($E40=$Z$2, $F40=$Z$3),AND($E40=$Z$3,$F40=$Z$2)),$AB$12+$AB$13,IF(OR(AND($E40=$Z$2,$F40=$Z$4),AND($E40=$Z$4,$F40=$Z$2)),$AB$12,IF(OR(AND($E40=$Z$3,$F40=$Z$4),AND($E40=$Z$4,$F40=$Z$3)),$AB$13,IF(AND($E40=$Z$3,$F40=$Z$3),2*$AB$13,0)))))</f>
        <v>0</v>
      </c>
      <c r="I40" s="27">
        <f>IF(AND($E40=$Z$2,$F40=$Z$2),2*$AE$12*$K40/27,IF(OR(AND($E40=$Z$2,$F40=$Z$3),AND($E40=$Z$3,$F40=$Z$2)),($AE$12+$AE$13)*$K40/27,IF(OR(AND($E40=$Z$2,$F40=$Z$4),AND($E40=$Z$4,$F40=$Z$2)),$AE$12*$K40/27,IF(OR(AND($E40=$Z$3,$F40=$Z$4),AND($E40=$Z$4,$F40=$Z$3)),$AE$13*$K40/27,IF(AND($E40=$Z$3,$F40=$Z$3),2*$AE$13*$K40/27,0)))))</f>
        <v>0</v>
      </c>
      <c r="J40" s="78">
        <f>IF(OR(AND($E40=$Z$2,$F40=$Z$4),AND($E40=$Z$4,$F40=$Z$2)),$AH$14,IF(OR(AND($E40=$Z$3,$F40=$Z$4),AND($E40=$Z$4,$F40=$Z$3)),$AH$14,IF(AND($E40=$Z$4,$F40=$Z$4),2*$AH$14,0)))</f>
        <v>0</v>
      </c>
      <c r="K40" s="346" t="s">
        <v>101</v>
      </c>
      <c r="L40" s="345" t="s">
        <v>101</v>
      </c>
      <c r="M40" s="124">
        <f t="shared" ref="M40:M46" si="18">IF(L40="-",0,ROUNDUP($K40*L40,0))</f>
        <v>0</v>
      </c>
      <c r="N40" s="347">
        <v>0</v>
      </c>
      <c r="O40" s="123">
        <f t="shared" si="15"/>
        <v>0</v>
      </c>
      <c r="P40" s="347">
        <v>0</v>
      </c>
      <c r="Q40" s="83">
        <f t="shared" si="16"/>
        <v>0</v>
      </c>
      <c r="R40" s="350">
        <v>0</v>
      </c>
      <c r="S40" s="350">
        <v>0</v>
      </c>
      <c r="T40" s="350">
        <v>0</v>
      </c>
      <c r="U40" s="351">
        <v>27</v>
      </c>
      <c r="V40" s="350">
        <v>0</v>
      </c>
      <c r="W40" s="370">
        <v>0</v>
      </c>
      <c r="X40" s="467">
        <f t="shared" si="17"/>
        <v>0</v>
      </c>
    </row>
    <row r="41" spans="1:24" ht="12.75" customHeight="1" thickBot="1" x14ac:dyDescent="0.25">
      <c r="A41" s="106"/>
      <c r="B41" s="107"/>
      <c r="C41" s="8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70"/>
      <c r="V41" s="32"/>
      <c r="W41" s="32"/>
      <c r="X41" s="32"/>
    </row>
    <row r="42" spans="1:24" ht="12.75" customHeight="1" x14ac:dyDescent="0.2">
      <c r="A42" s="106"/>
      <c r="B42" s="643" t="s">
        <v>77</v>
      </c>
      <c r="C42" s="644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49"/>
      <c r="V42" s="100"/>
      <c r="W42" s="100"/>
      <c r="X42" s="100"/>
    </row>
    <row r="43" spans="1:24" ht="12.75" customHeight="1" x14ac:dyDescent="0.2">
      <c r="B43" s="338">
        <v>91676.03</v>
      </c>
      <c r="C43" s="339">
        <v>91814.59</v>
      </c>
      <c r="D43" s="340" t="s">
        <v>30</v>
      </c>
      <c r="E43" s="340" t="s">
        <v>105</v>
      </c>
      <c r="F43" s="340" t="s">
        <v>106</v>
      </c>
      <c r="G43" s="103" t="str">
        <f>IF(AND($E43=$Z$2,$F43=$Z$2),$AB$2,IF(OR(AND($E43=$Z$2,$F43=$Z$3),AND($E43=$Z$3,$F43=$Z$2)),$AB$3,IF(OR(AND($E43=$Z$2,$F43=$Z$4),AND($E43=$Z$4,$F43=$Z$2)),$AB$4,IF(OR(AND($E43=$Z$3,$F43=$Z$4),AND($E43=$Z$4,$F43=$Z$3)),$AB$5,IF(AND($E43=$Z$3,$F43=$Z$3),$AB$6,IF(AND($E43=$Z$4,$F43=$Z$4),$AB$7,"-"))))))</f>
        <v>E/S - F/C</v>
      </c>
      <c r="H43" s="26">
        <f>IF(AND($E43=$Z$2,$F43=$Z$2),2*$AB$12,IF(OR(AND($E43=$Z$2, $F43=$Z$3),AND($E43=$Z$3,$F43=$Z$2)),$AB$12+$AB$13,IF(OR(AND($E43=$Z$2,$F43=$Z$4),AND($E43=$Z$4,$F43=$Z$2)),$AB$12,IF(OR(AND($E43=$Z$3,$F43=$Z$4),AND($E43=$Z$4,$F43=$Z$3)),$AB$13,IF(AND($E43=$Z$3,$F43=$Z$3),2*$AB$13,0)))))</f>
        <v>3.5</v>
      </c>
      <c r="I43" s="27">
        <f>IF(AND($E43=$Z$2,$F43=$Z$2),2*$AE$12*$K43/27,IF(OR(AND($E43=$Z$2,$F43=$Z$3),AND($E43=$Z$3,$F43=$Z$2)),($AE$12+$AE$13)*$K43/27,IF(OR(AND($E43=$Z$2,$F43=$Z$4),AND($E43=$Z$4,$F43=$Z$2)),$AE$12*$K43/27,IF(OR(AND($E43=$Z$3,$F43=$Z$4),AND($E43=$Z$4,$F43=$Z$3)),$AE$13*$K43/27,IF(AND($E43=$Z$3,$F43=$Z$3),2*$AE$13*$K43/27,0)))))</f>
        <v>7.6977777777776488</v>
      </c>
      <c r="J43" s="78">
        <f>IF(OR(AND($E43=$Z$2,$F43=$Z$4),AND($E43=$Z$4,$F43=$Z$2)),$AH$14,IF(OR(AND($E43=$Z$3,$F43=$Z$4),AND($E43=$Z$4,$F43=$Z$3)),$AH$14,IF(AND($E43=$Z$4,$F43=$Z$4),2*$AH$14,0)))</f>
        <v>0</v>
      </c>
      <c r="K43" s="83">
        <f t="shared" ref="K43:K45" si="19">C43-B43</f>
        <v>138.55999999999767</v>
      </c>
      <c r="L43" s="345">
        <v>29</v>
      </c>
      <c r="M43" s="124">
        <f t="shared" si="18"/>
        <v>4019</v>
      </c>
      <c r="N43" s="347">
        <v>0</v>
      </c>
      <c r="O43" s="123">
        <f t="shared" si="15"/>
        <v>4019</v>
      </c>
      <c r="P43" s="347">
        <v>0</v>
      </c>
      <c r="Q43" s="83">
        <f t="shared" ref="Q43:Q46" si="20">S43/2000</f>
        <v>0.25021999999999955</v>
      </c>
      <c r="R43" s="85">
        <f>IF(A43="APP SLAB",0,S43)</f>
        <v>500.43999999999909</v>
      </c>
      <c r="S43" s="85">
        <f>IF(OR(A43="APP SLAB",O43=0),0,(O43+H43*K43)/9)</f>
        <v>500.43999999999909</v>
      </c>
      <c r="T43" s="85">
        <f>IF(A43="APP SLAB",0,$R$1*S43*110*0.06*0.75/2000)</f>
        <v>14.863067999999972</v>
      </c>
      <c r="U43" s="351">
        <v>0</v>
      </c>
      <c r="V43" s="85">
        <f>IF(O43=0,0,(O43*$U$1/12)/27+I43)</f>
        <v>82.123703703703569</v>
      </c>
      <c r="W43" s="111">
        <f>IF(OR(A43="APP SLAB",O43=0),0,(O43+J43*K43)/9)</f>
        <v>446.55555555555554</v>
      </c>
      <c r="X43" s="467">
        <f t="shared" ref="X43:X46" si="21">IF(AND($E43=$F43="Uncurbed"),(2*$K43*2*$X$1/12)/27,IF(OR($E43="Uncurbed",$F43="Uncurbed"),($K43*2*$X$1/12)/27,IF(OR(AND($E43="Med. Barr.",$F43="Curbed"),AND($E43="Curbed",$F43="Med. Barr."),$E43=$F43,$E43="Unique",$F43="Unique",$E43="-",$F43="-"),0,"?")))</f>
        <v>2.7797530864197064</v>
      </c>
    </row>
    <row r="44" spans="1:24" ht="12.75" customHeight="1" x14ac:dyDescent="0.2">
      <c r="B44" s="338">
        <v>91814.59</v>
      </c>
      <c r="C44" s="339">
        <v>91864.639999999999</v>
      </c>
      <c r="D44" s="340" t="s">
        <v>30</v>
      </c>
      <c r="E44" s="340" t="s">
        <v>105</v>
      </c>
      <c r="F44" s="340" t="s">
        <v>106</v>
      </c>
      <c r="G44" s="103" t="str">
        <f>IF(AND($E44=$Z$2,$F44=$Z$2),$AB$2,IF(OR(AND($E44=$Z$2,$F44=$Z$3),AND($E44=$Z$3,$F44=$Z$2)),$AB$3,IF(OR(AND($E44=$Z$2,$F44=$Z$4),AND($E44=$Z$4,$F44=$Z$2)),$AB$4,IF(OR(AND($E44=$Z$3,$F44=$Z$4),AND($E44=$Z$4,$F44=$Z$3)),$AB$5,IF(AND($E44=$Z$3,$F44=$Z$3),$AB$6,IF(AND($E44=$Z$4,$F44=$Z$4),$AB$7,"-"))))))</f>
        <v>E/S - F/C</v>
      </c>
      <c r="H44" s="26">
        <f>IF(AND($E44=$Z$2,$F44=$Z$2),2*$AB$12,IF(OR(AND($E44=$Z$2, $F44=$Z$3),AND($E44=$Z$3,$F44=$Z$2)),$AB$12+$AB$13,IF(OR(AND($E44=$Z$2,$F44=$Z$4),AND($E44=$Z$4,$F44=$Z$2)),$AB$12,IF(OR(AND($E44=$Z$3,$F44=$Z$4),AND($E44=$Z$4,$F44=$Z$3)),$AB$13,IF(AND($E44=$Z$3,$F44=$Z$3),2*$AB$13,0)))))</f>
        <v>3.5</v>
      </c>
      <c r="I44" s="27">
        <f>IF(AND($E44=$Z$2,$F44=$Z$2),2*$AE$12*$K44/27,IF(OR(AND($E44=$Z$2,$F44=$Z$3),AND($E44=$Z$3,$F44=$Z$2)),($AE$12+$AE$13)*$K44/27,IF(OR(AND($E44=$Z$2,$F44=$Z$4),AND($E44=$Z$4,$F44=$Z$2)),$AE$12*$K44/27,IF(OR(AND($E44=$Z$3,$F44=$Z$4),AND($E44=$Z$4,$F44=$Z$3)),$AE$13*$K44/27,IF(AND($E44=$Z$3,$F44=$Z$3),2*$AE$13*$K44/27,0)))))</f>
        <v>2.7805555555557171</v>
      </c>
      <c r="J44" s="78">
        <f>IF(OR(AND($E44=$Z$2,$F44=$Z$4),AND($E44=$Z$4,$F44=$Z$2)),$AH$14,IF(OR(AND($E44=$Z$3,$F44=$Z$4),AND($E44=$Z$4,$F44=$Z$3)),$AH$14,IF(AND($E44=$Z$4,$F44=$Z$4),2*$AH$14,0)))</f>
        <v>0</v>
      </c>
      <c r="K44" s="83">
        <f t="shared" si="19"/>
        <v>50.05000000000291</v>
      </c>
      <c r="L44" s="345">
        <v>38</v>
      </c>
      <c r="M44" s="124">
        <f t="shared" si="18"/>
        <v>1902</v>
      </c>
      <c r="N44" s="347">
        <v>0</v>
      </c>
      <c r="O44" s="123">
        <f t="shared" si="15"/>
        <v>1902</v>
      </c>
      <c r="P44" s="347">
        <v>0</v>
      </c>
      <c r="Q44" s="83">
        <f t="shared" si="20"/>
        <v>0.11539861111111167</v>
      </c>
      <c r="R44" s="85">
        <f>IF(A44="APP SLAB",0,S44)</f>
        <v>230.79722222222335</v>
      </c>
      <c r="S44" s="85">
        <f>IF(OR(A44="APP SLAB",O44=0),0,(O44+H44*K44)/9)</f>
        <v>230.79722222222335</v>
      </c>
      <c r="T44" s="85">
        <f>IF(A44="APP SLAB",0,$R$1*S44*110*0.06*0.75/2000)</f>
        <v>6.854677500000034</v>
      </c>
      <c r="U44" s="351">
        <v>0</v>
      </c>
      <c r="V44" s="85">
        <f>IF(O44=0,0,(O44*$U$1/12)/27+I44)</f>
        <v>38.002777777777936</v>
      </c>
      <c r="W44" s="111">
        <f>IF(OR(A44="APP SLAB",O44=0),0,(O44+J44*K44)/9)</f>
        <v>211.33333333333334</v>
      </c>
      <c r="X44" s="467">
        <f t="shared" si="21"/>
        <v>1.0040895061728978</v>
      </c>
    </row>
    <row r="45" spans="1:24" ht="12.75" customHeight="1" x14ac:dyDescent="0.2">
      <c r="B45" s="338">
        <v>91864.639999999999</v>
      </c>
      <c r="C45" s="339">
        <v>92367.96</v>
      </c>
      <c r="D45" s="340" t="s">
        <v>30</v>
      </c>
      <c r="E45" s="340" t="s">
        <v>105</v>
      </c>
      <c r="F45" s="340" t="s">
        <v>106</v>
      </c>
      <c r="G45" s="103" t="str">
        <f>IF(AND($E45=$Z$2,$F45=$Z$2),$AB$2,IF(OR(AND($E45=$Z$2,$F45=$Z$3),AND($E45=$Z$3,$F45=$Z$2)),$AB$3,IF(OR(AND($E45=$Z$2,$F45=$Z$4),AND($E45=$Z$4,$F45=$Z$2)),$AB$4,IF(OR(AND($E45=$Z$3,$F45=$Z$4),AND($E45=$Z$4,$F45=$Z$3)),$AB$5,IF(AND($E45=$Z$3,$F45=$Z$3),$AB$6,IF(AND($E45=$Z$4,$F45=$Z$4),$AB$7,"-"))))))</f>
        <v>E/S - F/C</v>
      </c>
      <c r="H45" s="26">
        <f>IF(AND($E45=$Z$2,$F45=$Z$2),2*$AB$12,IF(OR(AND($E45=$Z$2, $F45=$Z$3),AND($E45=$Z$3,$F45=$Z$2)),$AB$12+$AB$13,IF(OR(AND($E45=$Z$2,$F45=$Z$4),AND($E45=$Z$4,$F45=$Z$2)),$AB$12,IF(OR(AND($E45=$Z$3,$F45=$Z$4),AND($E45=$Z$4,$F45=$Z$3)),$AB$13,IF(AND($E45=$Z$3,$F45=$Z$3),2*$AB$13,0)))))</f>
        <v>3.5</v>
      </c>
      <c r="I45" s="27">
        <f>IF(AND($E45=$Z$2,$F45=$Z$2),2*$AE$12*$K45/27,IF(OR(AND($E45=$Z$2,$F45=$Z$3),AND($E45=$Z$3,$F45=$Z$2)),($AE$12+$AE$13)*$K45/27,IF(OR(AND($E45=$Z$2,$F45=$Z$4),AND($E45=$Z$4,$F45=$Z$2)),$AE$12*$K45/27,IF(OR(AND($E45=$Z$3,$F45=$Z$4),AND($E45=$Z$4,$F45=$Z$3)),$AE$13*$K45/27,IF(AND($E45=$Z$3,$F45=$Z$3),2*$AE$13*$K45/27,0)))))</f>
        <v>27.962222222222611</v>
      </c>
      <c r="J45" s="78">
        <f>IF(OR(AND($E45=$Z$2,$F45=$Z$4),AND($E45=$Z$4,$F45=$Z$2)),$AH$14,IF(OR(AND($E45=$Z$3,$F45=$Z$4),AND($E45=$Z$4,$F45=$Z$3)),$AH$14,IF(AND($E45=$Z$4,$F45=$Z$4),2*$AH$14,0)))</f>
        <v>0</v>
      </c>
      <c r="K45" s="83">
        <f t="shared" si="19"/>
        <v>503.32000000000698</v>
      </c>
      <c r="L45" s="345">
        <v>47</v>
      </c>
      <c r="M45" s="124">
        <f t="shared" si="18"/>
        <v>23657</v>
      </c>
      <c r="N45" s="347">
        <v>0</v>
      </c>
      <c r="O45" s="123">
        <f t="shared" si="15"/>
        <v>23657</v>
      </c>
      <c r="P45" s="347">
        <v>0</v>
      </c>
      <c r="Q45" s="83">
        <f t="shared" si="20"/>
        <v>1.4121455555555569</v>
      </c>
      <c r="R45" s="85">
        <f>IF(A45="APP SLAB",0,S45)</f>
        <v>2824.2911111111139</v>
      </c>
      <c r="S45" s="85">
        <f>IF(OR(A45="APP SLAB",O45=0),0,(O45+H45*K45)/9)</f>
        <v>2824.2911111111139</v>
      </c>
      <c r="T45" s="85">
        <f>IF(A45="APP SLAB",0,$R$1*S45*110*0.06*0.75/2000)</f>
        <v>83.881446000000082</v>
      </c>
      <c r="U45" s="351">
        <v>0</v>
      </c>
      <c r="V45" s="85">
        <f>IF(O45=0,0,(O45*$U$1/12)/27+I45)</f>
        <v>466.05481481481524</v>
      </c>
      <c r="W45" s="111">
        <f>IF(OR(A45="APP SLAB",O45=0),0,(O45+J45*K45)/9)</f>
        <v>2628.5555555555557</v>
      </c>
      <c r="X45" s="467">
        <f t="shared" si="21"/>
        <v>10.09746913580261</v>
      </c>
    </row>
    <row r="46" spans="1:24" ht="12.75" customHeight="1" x14ac:dyDescent="0.2">
      <c r="B46" s="718">
        <v>92367.96</v>
      </c>
      <c r="C46" s="719"/>
      <c r="D46" s="340" t="s">
        <v>30</v>
      </c>
      <c r="E46" s="340" t="s">
        <v>101</v>
      </c>
      <c r="F46" s="340" t="s">
        <v>101</v>
      </c>
      <c r="G46" s="103" t="str">
        <f>IF(AND($E46=$Z$2,$F46=$Z$2),$AB$2,IF(OR(AND($E46=$Z$2,$F46=$Z$3),AND($E46=$Z$3,$F46=$Z$2)),$AB$3,IF(OR(AND($E46=$Z$2,$F46=$Z$4),AND($E46=$Z$4,$F46=$Z$2)),$AB$4,IF(OR(AND($E46=$Z$3,$F46=$Z$4),AND($E46=$Z$4,$F46=$Z$3)),$AB$5,IF(AND($E46=$Z$3,$F46=$Z$3),$AB$6,IF(AND($E46=$Z$4,$F46=$Z$4),$AB$7,"-"))))))</f>
        <v>-</v>
      </c>
      <c r="H46" s="26">
        <f>IF(AND($E46=$Z$2,$F46=$Z$2),2*$AB$12,IF(OR(AND($E46=$Z$2, $F46=$Z$3),AND($E46=$Z$3,$F46=$Z$2)),$AB$12+$AB$13,IF(OR(AND($E46=$Z$2,$F46=$Z$4),AND($E46=$Z$4,$F46=$Z$2)),$AB$12,IF(OR(AND($E46=$Z$3,$F46=$Z$4),AND($E46=$Z$4,$F46=$Z$3)),$AB$13,IF(AND($E46=$Z$3,$F46=$Z$3),2*$AB$13,0)))))</f>
        <v>0</v>
      </c>
      <c r="I46" s="27">
        <f>IF(AND($E46=$Z$2,$F46=$Z$2),2*$AE$12*$K46/27,IF(OR(AND($E46=$Z$2,$F46=$Z$3),AND($E46=$Z$3,$F46=$Z$2)),($AE$12+$AE$13)*$K46/27,IF(OR(AND($E46=$Z$2,$F46=$Z$4),AND($E46=$Z$4,$F46=$Z$2)),$AE$12*$K46/27,IF(OR(AND($E46=$Z$3,$F46=$Z$4),AND($E46=$Z$4,$F46=$Z$3)),$AE$13*$K46/27,IF(AND($E46=$Z$3,$F46=$Z$3),2*$AE$13*$K46/27,0)))))</f>
        <v>0</v>
      </c>
      <c r="J46" s="78">
        <f>IF(OR(AND($E46=$Z$2,$F46=$Z$4),AND($E46=$Z$4,$F46=$Z$2)),$AH$14,IF(OR(AND($E46=$Z$3,$F46=$Z$4),AND($E46=$Z$4,$F46=$Z$3)),$AH$14,IF(AND($E46=$Z$4,$F46=$Z$4),2*$AH$14,0)))</f>
        <v>0</v>
      </c>
      <c r="K46" s="346" t="s">
        <v>101</v>
      </c>
      <c r="L46" s="345" t="s">
        <v>101</v>
      </c>
      <c r="M46" s="124">
        <f t="shared" si="18"/>
        <v>0</v>
      </c>
      <c r="N46" s="347">
        <v>0</v>
      </c>
      <c r="O46" s="123">
        <f t="shared" si="15"/>
        <v>0</v>
      </c>
      <c r="P46" s="347">
        <v>0</v>
      </c>
      <c r="Q46" s="83">
        <f t="shared" si="20"/>
        <v>0</v>
      </c>
      <c r="R46" s="350">
        <v>0</v>
      </c>
      <c r="S46" s="350">
        <v>0</v>
      </c>
      <c r="T46" s="350">
        <v>0</v>
      </c>
      <c r="U46" s="351">
        <v>47</v>
      </c>
      <c r="V46" s="350">
        <v>0</v>
      </c>
      <c r="W46" s="370">
        <v>0</v>
      </c>
      <c r="X46" s="467">
        <f t="shared" si="21"/>
        <v>0</v>
      </c>
    </row>
    <row r="47" spans="1:24" ht="12.75" customHeight="1" thickBot="1" x14ac:dyDescent="0.25">
      <c r="B47" s="107"/>
      <c r="C47" s="8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67"/>
      <c r="V47" s="32"/>
      <c r="W47" s="32"/>
      <c r="X47" s="32"/>
    </row>
    <row r="48" spans="1:24" ht="12.75" customHeight="1" x14ac:dyDescent="0.2">
      <c r="B48" s="643" t="s">
        <v>78</v>
      </c>
      <c r="C48" s="644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49"/>
      <c r="V48" s="100"/>
      <c r="W48" s="100"/>
      <c r="X48" s="100"/>
    </row>
    <row r="49" spans="1:37" ht="12.75" customHeight="1" x14ac:dyDescent="0.2">
      <c r="B49" s="718">
        <v>93025.83</v>
      </c>
      <c r="C49" s="719"/>
      <c r="D49" s="340" t="s">
        <v>30</v>
      </c>
      <c r="E49" s="340" t="s">
        <v>101</v>
      </c>
      <c r="F49" s="340" t="s">
        <v>101</v>
      </c>
      <c r="G49" s="103" t="str">
        <f>IF(AND($E49=$Z$2,$F49=$Z$2),$AB$2,IF(OR(AND($E49=$Z$2,$F49=$Z$3),AND($E49=$Z$3,$F49=$Z$2)),$AB$3,IF(OR(AND($E49=$Z$2,$F49=$Z$4),AND($E49=$Z$4,$F49=$Z$2)),$AB$4,IF(OR(AND($E49=$Z$3,$F49=$Z$4),AND($E49=$Z$4,$F49=$Z$3)),$AB$5,IF(AND($E49=$Z$3,$F49=$Z$3),$AB$6,IF(AND($E49=$Z$4,$F49=$Z$4),$AB$7,"-"))))))</f>
        <v>-</v>
      </c>
      <c r="H49" s="26">
        <f>IF(AND($E49=$Z$2,$F49=$Z$2),2*$AB$12,IF(OR(AND($E49=$Z$2, $F49=$Z$3),AND($E49=$Z$3,$F49=$Z$2)),$AB$12+$AB$13,IF(OR(AND($E49=$Z$2,$F49=$Z$4),AND($E49=$Z$4,$F49=$Z$2)),$AB$12,IF(OR(AND($E49=$Z$3,$F49=$Z$4),AND($E49=$Z$4,$F49=$Z$3)),$AB$13,IF(AND($E49=$Z$3,$F49=$Z$3),2*$AB$13,0)))))</f>
        <v>0</v>
      </c>
      <c r="I49" s="27">
        <f>IF(AND($E49=$Z$2,$F49=$Z$2),2*$AE$12*$K49/27,IF(OR(AND($E49=$Z$2,$F49=$Z$3),AND($E49=$Z$3,$F49=$Z$2)),($AE$12+$AE$13)*$K49/27,IF(OR(AND($E49=$Z$2,$F49=$Z$4),AND($E49=$Z$4,$F49=$Z$2)),$AE$12*$K49/27,IF(OR(AND($E49=$Z$3,$F49=$Z$4),AND($E49=$Z$4,$F49=$Z$3)),$AE$13*$K49/27,IF(AND($E49=$Z$3,$F49=$Z$3),2*$AE$13*$K49/27,0)))))</f>
        <v>0</v>
      </c>
      <c r="J49" s="78">
        <f>IF(OR(AND($E49=$Z$2,$F49=$Z$4),AND($E49=$Z$4,$F49=$Z$2)),$AH$14,IF(OR(AND($E49=$Z$3,$F49=$Z$4),AND($E49=$Z$4,$F49=$Z$3)),$AH$14,IF(AND($E49=$Z$4,$F49=$Z$4),2*$AH$14,0)))</f>
        <v>0</v>
      </c>
      <c r="K49" s="346" t="s">
        <v>101</v>
      </c>
      <c r="L49" s="345" t="s">
        <v>101</v>
      </c>
      <c r="M49" s="124">
        <f t="shared" ref="M49:M57" si="22">IF(L49="-",0,ROUNDUP($K49*L49,0))</f>
        <v>0</v>
      </c>
      <c r="N49" s="347">
        <v>0</v>
      </c>
      <c r="O49" s="123">
        <f t="shared" si="15"/>
        <v>0</v>
      </c>
      <c r="P49" s="347">
        <v>0</v>
      </c>
      <c r="Q49" s="83">
        <f t="shared" ref="Q49:Q53" si="23">S49/2000</f>
        <v>0</v>
      </c>
      <c r="R49" s="350">
        <v>0</v>
      </c>
      <c r="S49" s="350">
        <v>0</v>
      </c>
      <c r="T49" s="350">
        <v>0</v>
      </c>
      <c r="U49" s="351">
        <v>35</v>
      </c>
      <c r="V49" s="350">
        <v>0</v>
      </c>
      <c r="W49" s="370">
        <v>0</v>
      </c>
      <c r="X49" s="467">
        <f t="shared" ref="X49:X53" si="24">IF(AND($E49=$F49="Uncurbed"),(2*$K49*2*$X$1/12)/27,IF(OR($E49="Uncurbed",$F49="Uncurbed"),($K49*2*$X$1/12)/27,IF(OR(AND($E49="Med. Barr.",$F49="Curbed"),AND($E49="Curbed",$F49="Med. Barr."),$E49=$F49,$E49="Unique",$F49="Unique",$E49="-",$F49="-"),0,"?")))</f>
        <v>0</v>
      </c>
      <c r="AG49" s="93"/>
      <c r="AH49" s="93"/>
      <c r="AI49" s="93"/>
      <c r="AJ49" s="93"/>
      <c r="AK49" s="93"/>
    </row>
    <row r="50" spans="1:37" ht="12.75" customHeight="1" x14ac:dyDescent="0.2">
      <c r="B50" s="338">
        <v>93025.83</v>
      </c>
      <c r="C50" s="339">
        <v>93093.38</v>
      </c>
      <c r="D50" s="340" t="s">
        <v>30</v>
      </c>
      <c r="E50" s="340" t="s">
        <v>105</v>
      </c>
      <c r="F50" s="340" t="s">
        <v>105</v>
      </c>
      <c r="G50" s="103" t="str">
        <f>IF(AND($E50=$Z$2,$F50=$Z$2),$AB$2,IF(OR(AND($E50=$Z$2,$F50=$Z$3),AND($E50=$Z$3,$F50=$Z$2)),$AB$3,IF(OR(AND($E50=$Z$2,$F50=$Z$4),AND($E50=$Z$4,$F50=$Z$2)),$AB$4,IF(OR(AND($E50=$Z$3,$F50=$Z$4),AND($E50=$Z$4,$F50=$Z$3)),$AB$5,IF(AND($E50=$Z$3,$F50=$Z$3),$AB$6,IF(AND($E50=$Z$4,$F50=$Z$4),$AB$7,"-"))))))</f>
        <v>E/S - E/S</v>
      </c>
      <c r="H50" s="26">
        <f>IF(AND($E50=$Z$2,$F50=$Z$2),2*$AB$12,IF(OR(AND($E50=$Z$2, $F50=$Z$3),AND($E50=$Z$3,$F50=$Z$2)),$AB$12+$AB$13,IF(OR(AND($E50=$Z$2,$F50=$Z$4),AND($E50=$Z$4,$F50=$Z$2)),$AB$12,IF(OR(AND($E50=$Z$3,$F50=$Z$4),AND($E50=$Z$4,$F50=$Z$3)),$AB$13,IF(AND($E50=$Z$3,$F50=$Z$3),2*$AB$13,0)))))</f>
        <v>3</v>
      </c>
      <c r="I50" s="27">
        <f>IF(AND($E50=$Z$2,$F50=$Z$2),2*$AE$12*$K50/27,IF(OR(AND($E50=$Z$2,$F50=$Z$3),AND($E50=$Z$3,$F50=$Z$2)),($AE$12+$AE$13)*$K50/27,IF(OR(AND($E50=$Z$2,$F50=$Z$4),AND($E50=$Z$4,$F50=$Z$2)),$AE$12*$K50/27,IF(OR(AND($E50=$Z$3,$F50=$Z$4),AND($E50=$Z$4,$F50=$Z$3)),$AE$13*$K50/27,IF(AND($E50=$Z$3,$F50=$Z$3),2*$AE$13*$K50/27,0)))))</f>
        <v>3.7527777777779394</v>
      </c>
      <c r="J50" s="78">
        <f>IF(OR(AND($E50=$Z$2,$F50=$Z$4),AND($E50=$Z$4,$F50=$Z$2)),$AH$14,IF(OR(AND($E50=$Z$3,$F50=$Z$4),AND($E50=$Z$4,$F50=$Z$3)),$AH$14,IF(AND($E50=$Z$4,$F50=$Z$4),2*$AH$14,0)))</f>
        <v>0</v>
      </c>
      <c r="K50" s="83">
        <f t="shared" ref="K50:K53" si="25">C50-B50</f>
        <v>67.55000000000291</v>
      </c>
      <c r="L50" s="345">
        <v>35</v>
      </c>
      <c r="M50" s="124">
        <f t="shared" si="22"/>
        <v>2365</v>
      </c>
      <c r="N50" s="347">
        <v>0</v>
      </c>
      <c r="O50" s="123">
        <f t="shared" si="15"/>
        <v>2365</v>
      </c>
      <c r="P50" s="347">
        <v>0</v>
      </c>
      <c r="Q50" s="83">
        <f t="shared" si="23"/>
        <v>0.1426472222222227</v>
      </c>
      <c r="R50" s="85">
        <f>IF(A50="APP SLAB",0,S50)</f>
        <v>285.29444444444539</v>
      </c>
      <c r="S50" s="85">
        <f>IF(OR(A50="APP SLAB",O50=0),0,(O50+H50*K50)/9)</f>
        <v>285.29444444444539</v>
      </c>
      <c r="T50" s="85">
        <f>IF(A50="APP SLAB",0,$R$1*S50*110*0.06*0.75/2000)</f>
        <v>8.4732450000000288</v>
      </c>
      <c r="U50" s="351">
        <v>0</v>
      </c>
      <c r="V50" s="85">
        <f>IF(O50=0,0,(O50*$U$1/12)/27+I50)</f>
        <v>47.549074074074234</v>
      </c>
      <c r="W50" s="111">
        <f>IF(OR(A50="APP SLAB",O50=0),0,(O50+J50*K50)/9)</f>
        <v>262.77777777777777</v>
      </c>
      <c r="X50" s="467">
        <f t="shared" si="24"/>
        <v>1.3551697530864781</v>
      </c>
    </row>
    <row r="51" spans="1:37" ht="12.75" customHeight="1" x14ac:dyDescent="0.2">
      <c r="A51" s="113"/>
      <c r="B51" s="338">
        <v>93093.38</v>
      </c>
      <c r="C51" s="339">
        <v>93143.05</v>
      </c>
      <c r="D51" s="340" t="s">
        <v>30</v>
      </c>
      <c r="E51" s="340" t="s">
        <v>105</v>
      </c>
      <c r="F51" s="340" t="s">
        <v>105</v>
      </c>
      <c r="G51" s="103" t="str">
        <f>IF(AND($E51=$Z$2,$F51=$Z$2),$AB$2,IF(OR(AND($E51=$Z$2,$F51=$Z$3),AND($E51=$Z$3,$F51=$Z$2)),$AB$3,IF(OR(AND($E51=$Z$2,$F51=$Z$4),AND($E51=$Z$4,$F51=$Z$2)),$AB$4,IF(OR(AND($E51=$Z$3,$F51=$Z$4),AND($E51=$Z$4,$F51=$Z$3)),$AB$5,IF(AND($E51=$Z$3,$F51=$Z$3),$AB$6,IF(AND($E51=$Z$4,$F51=$Z$4),$AB$7,"-"))))))</f>
        <v>E/S - E/S</v>
      </c>
      <c r="H51" s="26">
        <f>IF(AND($E51=$Z$2,$F51=$Z$2),2*$AB$12,IF(OR(AND($E51=$Z$2, $F51=$Z$3),AND($E51=$Z$3,$F51=$Z$2)),$AB$12+$AB$13,IF(OR(AND($E51=$Z$2,$F51=$Z$4),AND($E51=$Z$4,$F51=$Z$2)),$AB$12,IF(OR(AND($E51=$Z$3,$F51=$Z$4),AND($E51=$Z$4,$F51=$Z$3)),$AB$13,IF(AND($E51=$Z$3,$F51=$Z$3),2*$AB$13,0)))))</f>
        <v>3</v>
      </c>
      <c r="I51" s="27">
        <f>IF(AND($E51=$Z$2,$F51=$Z$2),2*$AE$12*$K51/27,IF(OR(AND($E51=$Z$2,$F51=$Z$3),AND($E51=$Z$3,$F51=$Z$2)),($AE$12+$AE$13)*$K51/27,IF(OR(AND($E51=$Z$2,$F51=$Z$4),AND($E51=$Z$4,$F51=$Z$2)),$AE$12*$K51/27,IF(OR(AND($E51=$Z$3,$F51=$Z$4),AND($E51=$Z$4,$F51=$Z$3)),$AE$13*$K51/27,IF(AND($E51=$Z$3,$F51=$Z$3),2*$AE$13*$K51/27,0)))))</f>
        <v>2.7594444444443473</v>
      </c>
      <c r="J51" s="78">
        <f>IF(OR(AND($E51=$Z$2,$F51=$Z$4),AND($E51=$Z$4,$F51=$Z$2)),$AH$14,IF(OR(AND($E51=$Z$3,$F51=$Z$4),AND($E51=$Z$4,$F51=$Z$3)),$AH$14,IF(AND($E51=$Z$4,$F51=$Z$4),2*$AH$14,0)))</f>
        <v>0</v>
      </c>
      <c r="K51" s="83">
        <f t="shared" si="25"/>
        <v>49.669999999998254</v>
      </c>
      <c r="L51" s="345">
        <v>30</v>
      </c>
      <c r="M51" s="124">
        <f t="shared" si="22"/>
        <v>1491</v>
      </c>
      <c r="N51" s="347">
        <v>0</v>
      </c>
      <c r="O51" s="123">
        <f t="shared" si="15"/>
        <v>1491</v>
      </c>
      <c r="P51" s="347">
        <v>0</v>
      </c>
      <c r="Q51" s="83">
        <f t="shared" si="23"/>
        <v>9.1111666666666383E-2</v>
      </c>
      <c r="R51" s="85">
        <f>IF(A51="APP SLAB",0,S51)</f>
        <v>182.22333333333276</v>
      </c>
      <c r="S51" s="85">
        <f>IF(OR(A51="APP SLAB",O51=0),0,(O51+H51*K51)/9)</f>
        <v>182.22333333333276</v>
      </c>
      <c r="T51" s="85">
        <f>IF(A51="APP SLAB",0,$R$1*S51*110*0.06*0.75/2000)</f>
        <v>5.4120329999999832</v>
      </c>
      <c r="U51" s="351">
        <v>0</v>
      </c>
      <c r="V51" s="85">
        <f>IF(O51=0,0,(O51*$U$1/12)/27+I51)</f>
        <v>30.370555555555459</v>
      </c>
      <c r="W51" s="111">
        <f>IF(OR(A51="APP SLAB",O51=0),0,(O51+J51*K51)/9)</f>
        <v>165.66666666666666</v>
      </c>
      <c r="X51" s="467">
        <f t="shared" si="24"/>
        <v>0.99646604938268102</v>
      </c>
    </row>
    <row r="52" spans="1:37" ht="12.75" customHeight="1" x14ac:dyDescent="0.2">
      <c r="A52" s="113"/>
      <c r="B52" s="338">
        <v>93143.05</v>
      </c>
      <c r="C52" s="339">
        <v>93209.63</v>
      </c>
      <c r="D52" s="340" t="s">
        <v>30</v>
      </c>
      <c r="E52" s="340" t="s">
        <v>105</v>
      </c>
      <c r="F52" s="340" t="s">
        <v>105</v>
      </c>
      <c r="G52" s="103" t="str">
        <f>IF(AND($E52=$Z$2,$F52=$Z$2),$AB$2,IF(OR(AND($E52=$Z$2,$F52=$Z$3),AND($E52=$Z$3,$F52=$Z$2)),$AB$3,IF(OR(AND($E52=$Z$2,$F52=$Z$4),AND($E52=$Z$4,$F52=$Z$2)),$AB$4,IF(OR(AND($E52=$Z$3,$F52=$Z$4),AND($E52=$Z$4,$F52=$Z$3)),$AB$5,IF(AND($E52=$Z$3,$F52=$Z$3),$AB$6,IF(AND($E52=$Z$4,$F52=$Z$4),$AB$7,"-"))))))</f>
        <v>E/S - E/S</v>
      </c>
      <c r="H52" s="26">
        <f>IF(AND($E52=$Z$2,$F52=$Z$2),2*$AB$12,IF(OR(AND($E52=$Z$2, $F52=$Z$3),AND($E52=$Z$3,$F52=$Z$2)),$AB$12+$AB$13,IF(OR(AND($E52=$Z$2,$F52=$Z$4),AND($E52=$Z$4,$F52=$Z$2)),$AB$12,IF(OR(AND($E52=$Z$3,$F52=$Z$4),AND($E52=$Z$4,$F52=$Z$3)),$AB$13,IF(AND($E52=$Z$3,$F52=$Z$3),2*$AB$13,0)))))</f>
        <v>3</v>
      </c>
      <c r="I52" s="27">
        <f>IF(AND($E52=$Z$2,$F52=$Z$2),2*$AE$12*$K52/27,IF(OR(AND($E52=$Z$2,$F52=$Z$3),AND($E52=$Z$3,$F52=$Z$2)),($AE$12+$AE$13)*$K52/27,IF(OR(AND($E52=$Z$2,$F52=$Z$4),AND($E52=$Z$4,$F52=$Z$2)),$AE$12*$K52/27,IF(OR(AND($E52=$Z$3,$F52=$Z$4),AND($E52=$Z$4,$F52=$Z$3)),$AE$13*$K52/27,IF(AND($E52=$Z$3,$F52=$Z$3),2*$AE$13*$K52/27,0)))))</f>
        <v>3.6988888888889857</v>
      </c>
      <c r="J52" s="78">
        <f>IF(OR(AND($E52=$Z$2,$F52=$Z$4),AND($E52=$Z$4,$F52=$Z$2)),$AH$14,IF(OR(AND($E52=$Z$3,$F52=$Z$4),AND($E52=$Z$4,$F52=$Z$3)),$AH$14,IF(AND($E52=$Z$4,$F52=$Z$4),2*$AH$14,0)))</f>
        <v>0</v>
      </c>
      <c r="K52" s="83">
        <f t="shared" si="25"/>
        <v>66.580000000001746</v>
      </c>
      <c r="L52" s="345">
        <v>25</v>
      </c>
      <c r="M52" s="124">
        <f t="shared" si="22"/>
        <v>1665</v>
      </c>
      <c r="N52" s="347">
        <v>0</v>
      </c>
      <c r="O52" s="123">
        <f t="shared" si="15"/>
        <v>1665</v>
      </c>
      <c r="P52" s="347">
        <v>0</v>
      </c>
      <c r="Q52" s="83">
        <f t="shared" si="23"/>
        <v>0.10359666666666696</v>
      </c>
      <c r="R52" s="85">
        <f>IF(A52="APP SLAB",0,S52)</f>
        <v>207.19333333333392</v>
      </c>
      <c r="S52" s="85">
        <f>IF(OR(A52="APP SLAB",O52=0),0,(O52+H52*K52)/9)</f>
        <v>207.19333333333392</v>
      </c>
      <c r="T52" s="85">
        <f>IF(A52="APP SLAB",0,$R$1*S52*110*0.06*0.75/2000)</f>
        <v>6.1536420000000183</v>
      </c>
      <c r="U52" s="351">
        <v>0</v>
      </c>
      <c r="V52" s="85">
        <f>IF(O52=0,0,(O52*$U$1/12)/27+I52)</f>
        <v>34.532222222222316</v>
      </c>
      <c r="W52" s="111">
        <f>IF(OR(A52="APP SLAB",O52=0),0,(O52+J52*K52)/9)</f>
        <v>185</v>
      </c>
      <c r="X52" s="467">
        <f t="shared" si="24"/>
        <v>1.3357098765432449</v>
      </c>
    </row>
    <row r="53" spans="1:37" ht="12.75" customHeight="1" x14ac:dyDescent="0.2">
      <c r="A53" s="106"/>
      <c r="B53" s="338">
        <v>93209.63</v>
      </c>
      <c r="C53" s="339">
        <v>93259.63</v>
      </c>
      <c r="D53" s="340" t="s">
        <v>30</v>
      </c>
      <c r="E53" s="340" t="s">
        <v>105</v>
      </c>
      <c r="F53" s="340" t="s">
        <v>105</v>
      </c>
      <c r="G53" s="103" t="str">
        <f>IF(AND($E53=$Z$2,$F53=$Z$2),$AB$2,IF(OR(AND($E53=$Z$2,$F53=$Z$3),AND($E53=$Z$3,$F53=$Z$2)),$AB$3,IF(OR(AND($E53=$Z$2,$F53=$Z$4),AND($E53=$Z$4,$F53=$Z$2)),$AB$4,IF(OR(AND($E53=$Z$3,$F53=$Z$4),AND($E53=$Z$4,$F53=$Z$3)),$AB$5,IF(AND($E53=$Z$3,$F53=$Z$3),$AB$6,IF(AND($E53=$Z$4,$F53=$Z$4),$AB$7,"-"))))))</f>
        <v>E/S - E/S</v>
      </c>
      <c r="H53" s="26">
        <f>IF(AND($E53=$Z$2,$F53=$Z$2),2*$AB$12,IF(OR(AND($E53=$Z$2, $F53=$Z$3),AND($E53=$Z$3,$F53=$Z$2)),$AB$12+$AB$13,IF(OR(AND($E53=$Z$2,$F53=$Z$4),AND($E53=$Z$4,$F53=$Z$2)),$AB$12,IF(OR(AND($E53=$Z$3,$F53=$Z$4),AND($E53=$Z$4,$F53=$Z$3)),$AB$13,IF(AND($E53=$Z$3,$F53=$Z$3),2*$AB$13,0)))))</f>
        <v>3</v>
      </c>
      <c r="I53" s="27">
        <f>IF(AND($E53=$Z$2,$F53=$Z$2),2*$AE$12*$K53/27,IF(OR(AND($E53=$Z$2,$F53=$Z$3),AND($E53=$Z$3,$F53=$Z$2)),($AE$12+$AE$13)*$K53/27,IF(OR(AND($E53=$Z$2,$F53=$Z$4),AND($E53=$Z$4,$F53=$Z$2)),$AE$12*$K53/27,IF(OR(AND($E53=$Z$3,$F53=$Z$4),AND($E53=$Z$4,$F53=$Z$3)),$AE$13*$K53/27,IF(AND($E53=$Z$3,$F53=$Z$3),2*$AE$13*$K53/27,0)))))</f>
        <v>2.7777777777777777</v>
      </c>
      <c r="J53" s="78">
        <f>IF(OR(AND($E53=$Z$2,$F53=$Z$4),AND($E53=$Z$4,$F53=$Z$2)),$AH$14,IF(OR(AND($E53=$Z$3,$F53=$Z$4),AND($E53=$Z$4,$F53=$Z$3)),$AH$14,IF(AND($E53=$Z$4,$F53=$Z$4),2*$AH$14,0)))</f>
        <v>0</v>
      </c>
      <c r="K53" s="83">
        <f t="shared" si="25"/>
        <v>50</v>
      </c>
      <c r="L53" s="345">
        <v>26</v>
      </c>
      <c r="M53" s="124">
        <f t="shared" si="22"/>
        <v>1300</v>
      </c>
      <c r="N53" s="347">
        <v>0</v>
      </c>
      <c r="O53" s="123">
        <f t="shared" si="15"/>
        <v>1300</v>
      </c>
      <c r="P53" s="347">
        <v>0</v>
      </c>
      <c r="Q53" s="83">
        <f t="shared" si="23"/>
        <v>8.0555555555555561E-2</v>
      </c>
      <c r="R53" s="85">
        <f>IF(A53="APP SLAB",0,S53)</f>
        <v>161.11111111111111</v>
      </c>
      <c r="S53" s="85">
        <f>IF(OR(A53="APP SLAB",O53=0),0,(O53+H53*K53)/9)</f>
        <v>161.11111111111111</v>
      </c>
      <c r="T53" s="85">
        <f>IF(A53="APP SLAB",0,$R$1*S53*110*0.06*0.75/2000)</f>
        <v>4.7850000000000001</v>
      </c>
      <c r="U53" s="351">
        <v>0</v>
      </c>
      <c r="V53" s="85">
        <f>IF(O53=0,0,(O53*$U$1/12)/27+I53)</f>
        <v>26.851851851851851</v>
      </c>
      <c r="W53" s="111">
        <f>IF(OR(A53="APP SLAB",O53=0),0,(O53+J53*K53)/9)</f>
        <v>144.44444444444446</v>
      </c>
      <c r="X53" s="467">
        <f t="shared" si="24"/>
        <v>1.0030864197530864</v>
      </c>
    </row>
    <row r="54" spans="1:37" ht="12.75" customHeight="1" thickBot="1" x14ac:dyDescent="0.25">
      <c r="A54" s="106"/>
      <c r="B54" s="107"/>
      <c r="C54" s="8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67"/>
      <c r="V54" s="32"/>
      <c r="W54" s="32"/>
      <c r="X54" s="32"/>
    </row>
    <row r="55" spans="1:37" ht="12.75" customHeight="1" x14ac:dyDescent="0.2">
      <c r="A55" s="106"/>
      <c r="B55" s="643" t="s">
        <v>79</v>
      </c>
      <c r="C55" s="644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49"/>
      <c r="V55" s="100"/>
      <c r="W55" s="100"/>
      <c r="X55" s="100"/>
    </row>
    <row r="56" spans="1:37" ht="12.75" customHeight="1" x14ac:dyDescent="0.2">
      <c r="A56" s="106"/>
      <c r="B56" s="718">
        <v>92900</v>
      </c>
      <c r="C56" s="719"/>
      <c r="D56" s="340" t="s">
        <v>30</v>
      </c>
      <c r="E56" s="340" t="s">
        <v>101</v>
      </c>
      <c r="F56" s="340" t="s">
        <v>101</v>
      </c>
      <c r="G56" s="103" t="str">
        <f>IF(AND($E56=$Z$2,$F56=$Z$2),$AB$2,IF(OR(AND($E56=$Z$2,$F56=$Z$3),AND($E56=$Z$3,$F56=$Z$2)),$AB$3,IF(OR(AND($E56=$Z$2,$F56=$Z$4),AND($E56=$Z$4,$F56=$Z$2)),$AB$4,IF(OR(AND($E56=$Z$3,$F56=$Z$4),AND($E56=$Z$4,$F56=$Z$3)),$AB$5,IF(AND($E56=$Z$3,$F56=$Z$3),$AB$6,IF(AND($E56=$Z$4,$F56=$Z$4),$AB$7,"-"))))))</f>
        <v>-</v>
      </c>
      <c r="H56" s="26">
        <f>IF(AND($E56=$Z$2,$F56=$Z$2),2*$AB$12,IF(OR(AND($E56=$Z$2, $F56=$Z$3),AND($E56=$Z$3,$F56=$Z$2)),$AB$12+$AB$13,IF(OR(AND($E56=$Z$2,$F56=$Z$4),AND($E56=$Z$4,$F56=$Z$2)),$AB$12,IF(OR(AND($E56=$Z$3,$F56=$Z$4),AND($E56=$Z$4,$F56=$Z$3)),$AB$13,IF(AND($E56=$Z$3,$F56=$Z$3),2*$AB$13,0)))))</f>
        <v>0</v>
      </c>
      <c r="I56" s="27">
        <f>IF(AND($E56=$Z$2,$F56=$Z$2),2*$AE$12*$K56/27,IF(OR(AND($E56=$Z$2,$F56=$Z$3),AND($E56=$Z$3,$F56=$Z$2)),($AE$12+$AE$13)*$K56/27,IF(OR(AND($E56=$Z$2,$F56=$Z$4),AND($E56=$Z$4,$F56=$Z$2)),$AE$12*$K56/27,IF(OR(AND($E56=$Z$3,$F56=$Z$4),AND($E56=$Z$4,$F56=$Z$3)),$AE$13*$K56/27,IF(AND($E56=$Z$3,$F56=$Z$3),2*$AE$13*$K56/27,0)))))</f>
        <v>0</v>
      </c>
      <c r="J56" s="78">
        <f>IF(OR(AND($E56=$Z$2,$F56=$Z$4),AND($E56=$Z$4,$F56=$Z$2)),$AH$14,IF(OR(AND($E56=$Z$3,$F56=$Z$4),AND($E56=$Z$4,$F56=$Z$3)),$AH$14,IF(AND($E56=$Z$4,$F56=$Z$4),2*$AH$14,0)))</f>
        <v>0</v>
      </c>
      <c r="K56" s="346" t="s">
        <v>101</v>
      </c>
      <c r="L56" s="345" t="s">
        <v>101</v>
      </c>
      <c r="M56" s="124">
        <f t="shared" si="22"/>
        <v>0</v>
      </c>
      <c r="N56" s="347">
        <v>0</v>
      </c>
      <c r="O56" s="123">
        <f t="shared" si="15"/>
        <v>0</v>
      </c>
      <c r="P56" s="347">
        <v>0</v>
      </c>
      <c r="Q56" s="83">
        <f t="shared" ref="Q56:Q57" si="26">S56/2000</f>
        <v>0</v>
      </c>
      <c r="R56" s="350">
        <v>0</v>
      </c>
      <c r="S56" s="350">
        <v>0</v>
      </c>
      <c r="T56" s="350">
        <v>0</v>
      </c>
      <c r="U56" s="351">
        <v>25</v>
      </c>
      <c r="V56" s="350">
        <v>0</v>
      </c>
      <c r="W56" s="370">
        <v>0</v>
      </c>
      <c r="X56" s="467">
        <f t="shared" ref="X56:X57" si="27">IF(AND($E56=$F56="Uncurbed"),(2*$K56*2*$X$1/12)/27,IF(OR($E56="Uncurbed",$F56="Uncurbed"),($K56*2*$X$1/12)/27,IF(OR(AND($E56="Med. Barr.",$F56="Curbed"),AND($E56="Curbed",$F56="Med. Barr."),$E56=$F56,$E56="Unique",$F56="Unique",$E56="-",$F56="-"),0,"?")))</f>
        <v>0</v>
      </c>
    </row>
    <row r="57" spans="1:37" ht="12.75" customHeight="1" x14ac:dyDescent="0.2">
      <c r="A57" s="106"/>
      <c r="B57" s="338">
        <v>92900</v>
      </c>
      <c r="C57" s="339">
        <v>93267.61</v>
      </c>
      <c r="D57" s="340" t="s">
        <v>30</v>
      </c>
      <c r="E57" s="340" t="s">
        <v>105</v>
      </c>
      <c r="F57" s="340" t="s">
        <v>105</v>
      </c>
      <c r="G57" s="103" t="str">
        <f>IF(AND($E57=$Z$2,$F57=$Z$2),$AB$2,IF(OR(AND($E57=$Z$2,$F57=$Z$3),AND($E57=$Z$3,$F57=$Z$2)),$AB$3,IF(OR(AND($E57=$Z$2,$F57=$Z$4),AND($E57=$Z$4,$F57=$Z$2)),$AB$4,IF(OR(AND($E57=$Z$3,$F57=$Z$4),AND($E57=$Z$4,$F57=$Z$3)),$AB$5,IF(AND($E57=$Z$3,$F57=$Z$3),$AB$6,IF(AND($E57=$Z$4,$F57=$Z$4),$AB$7,"-"))))))</f>
        <v>E/S - E/S</v>
      </c>
      <c r="H57" s="26">
        <f>IF(AND($E57=$Z$2,$F57=$Z$2),2*$AB$12,IF(OR(AND($E57=$Z$2, $F57=$Z$3),AND($E57=$Z$3,$F57=$Z$2)),$AB$12+$AB$13,IF(OR(AND($E57=$Z$2,$F57=$Z$4),AND($E57=$Z$4,$F57=$Z$2)),$AB$12,IF(OR(AND($E57=$Z$3,$F57=$Z$4),AND($E57=$Z$4,$F57=$Z$3)),$AB$13,IF(AND($E57=$Z$3,$F57=$Z$3),2*$AB$13,0)))))</f>
        <v>3</v>
      </c>
      <c r="I57" s="27">
        <f>IF(AND($E57=$Z$2,$F57=$Z$2),2*$AE$12*$K57/27,IF(OR(AND($E57=$Z$2,$F57=$Z$3),AND($E57=$Z$3,$F57=$Z$2)),($AE$12+$AE$13)*$K57/27,IF(OR(AND($E57=$Z$2,$F57=$Z$4),AND($E57=$Z$4,$F57=$Z$2)),$AE$12*$K57/27,IF(OR(AND($E57=$Z$3,$F57=$Z$4),AND($E57=$Z$4,$F57=$Z$3)),$AE$13*$K57/27,IF(AND($E57=$Z$3,$F57=$Z$3),2*$AE$13*$K57/27,0)))))</f>
        <v>20.42277777777781</v>
      </c>
      <c r="J57" s="78">
        <f>IF(OR(AND($E57=$Z$2,$F57=$Z$4),AND($E57=$Z$4,$F57=$Z$2)),$AH$14,IF(OR(AND($E57=$Z$3,$F57=$Z$4),AND($E57=$Z$4,$F57=$Z$3)),$AH$14,IF(AND($E57=$Z$4,$F57=$Z$4),2*$AH$14,0)))</f>
        <v>0</v>
      </c>
      <c r="K57" s="83">
        <f t="shared" ref="K57" si="28">C57-B57</f>
        <v>367.61000000000058</v>
      </c>
      <c r="L57" s="345">
        <v>25</v>
      </c>
      <c r="M57" s="124">
        <f t="shared" si="22"/>
        <v>9191</v>
      </c>
      <c r="N57" s="347">
        <v>0</v>
      </c>
      <c r="O57" s="123">
        <f t="shared" si="15"/>
        <v>9191</v>
      </c>
      <c r="P57" s="347">
        <v>0</v>
      </c>
      <c r="Q57" s="83">
        <f t="shared" si="26"/>
        <v>0.5718794444444445</v>
      </c>
      <c r="R57" s="85">
        <f>IF(A57="APP SLAB",0,S57)</f>
        <v>1143.758888888889</v>
      </c>
      <c r="S57" s="85">
        <f>IF(OR(A57="APP SLAB",O57=0),0,(O57+H57*K57)/9)</f>
        <v>1143.758888888889</v>
      </c>
      <c r="T57" s="85">
        <f>IF(A57="APP SLAB",0,$R$1*S57*110*0.06*0.75/2000)</f>
        <v>33.969639000000001</v>
      </c>
      <c r="U57" s="351">
        <v>0</v>
      </c>
      <c r="V57" s="85">
        <f>IF(O57=0,0,(O57*$U$1/12)/27+I57)</f>
        <v>190.62648148148151</v>
      </c>
      <c r="W57" s="111">
        <f>IF(A57="APP SLAB",0,(O57+J57*K57)/9)</f>
        <v>1021.2222222222222</v>
      </c>
      <c r="X57" s="467">
        <f t="shared" si="27"/>
        <v>7.3748919753086533</v>
      </c>
    </row>
    <row r="58" spans="1:37" ht="12.75" customHeight="1" thickBot="1" x14ac:dyDescent="0.25">
      <c r="A58" s="106"/>
      <c r="B58" s="358"/>
      <c r="C58" s="359"/>
      <c r="D58" s="360"/>
      <c r="E58" s="360"/>
      <c r="F58" s="360"/>
      <c r="G58" s="484"/>
      <c r="H58" s="485"/>
      <c r="I58" s="256"/>
      <c r="J58" s="256"/>
      <c r="K58" s="154"/>
      <c r="L58" s="486"/>
      <c r="M58" s="487"/>
      <c r="N58" s="488"/>
      <c r="O58" s="487"/>
      <c r="P58" s="369"/>
      <c r="Q58" s="367"/>
      <c r="R58" s="483"/>
      <c r="S58" s="483"/>
      <c r="T58" s="483"/>
      <c r="U58" s="351"/>
      <c r="V58" s="483"/>
      <c r="W58" s="483"/>
      <c r="X58" s="367"/>
    </row>
    <row r="59" spans="1:37" ht="12.75" customHeight="1" x14ac:dyDescent="0.2">
      <c r="A59" s="106"/>
      <c r="B59" s="585" t="s">
        <v>284</v>
      </c>
      <c r="C59" s="586"/>
      <c r="D59" s="586"/>
      <c r="E59" s="586"/>
      <c r="F59" s="586"/>
      <c r="G59" s="586"/>
      <c r="H59" s="586"/>
      <c r="I59" s="586"/>
      <c r="J59" s="586"/>
      <c r="K59" s="586"/>
      <c r="L59" s="586"/>
      <c r="M59" s="586"/>
      <c r="N59" s="586"/>
      <c r="O59" s="587"/>
      <c r="P59" s="592">
        <f>ROUNDUP(SUM(P17:P58),0)</f>
        <v>0</v>
      </c>
      <c r="Q59" s="592">
        <f t="shared" ref="Q59:X59" si="29">ROUNDUP(SUM(Q17:Q58),0)</f>
        <v>8</v>
      </c>
      <c r="R59" s="592">
        <f t="shared" si="29"/>
        <v>14906</v>
      </c>
      <c r="S59" s="592">
        <f t="shared" si="29"/>
        <v>14906</v>
      </c>
      <c r="T59" s="592">
        <f t="shared" si="29"/>
        <v>443</v>
      </c>
      <c r="U59" s="592">
        <f t="shared" si="29"/>
        <v>250</v>
      </c>
      <c r="V59" s="592">
        <f t="shared" si="29"/>
        <v>2474</v>
      </c>
      <c r="W59" s="592">
        <f t="shared" si="29"/>
        <v>13448</v>
      </c>
      <c r="X59" s="592">
        <f t="shared" si="29"/>
        <v>84</v>
      </c>
    </row>
    <row r="60" spans="1:37" ht="12.75" customHeight="1" thickBot="1" x14ac:dyDescent="0.25">
      <c r="A60" s="106"/>
      <c r="B60" s="588"/>
      <c r="C60" s="589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90"/>
      <c r="P60" s="593"/>
      <c r="Q60" s="593"/>
      <c r="R60" s="593"/>
      <c r="S60" s="593"/>
      <c r="T60" s="593"/>
      <c r="U60" s="593"/>
      <c r="V60" s="593"/>
      <c r="W60" s="593"/>
      <c r="X60" s="593"/>
    </row>
    <row r="61" spans="1:37" customFormat="1" x14ac:dyDescent="0.2">
      <c r="B61" s="643" t="s">
        <v>244</v>
      </c>
      <c r="C61" s="644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49"/>
      <c r="V61" s="100"/>
      <c r="W61" s="112"/>
      <c r="X61" s="112"/>
      <c r="Y61" s="234"/>
    </row>
    <row r="62" spans="1:37" customFormat="1" x14ac:dyDescent="0.2">
      <c r="B62" s="338" t="s">
        <v>121</v>
      </c>
      <c r="C62" s="339" t="s">
        <v>120</v>
      </c>
      <c r="D62" s="344" t="s">
        <v>30</v>
      </c>
      <c r="E62" s="239"/>
      <c r="F62" s="240"/>
      <c r="G62" s="241"/>
      <c r="H62" s="242"/>
      <c r="I62" s="242"/>
      <c r="J62" s="242"/>
      <c r="K62" s="242"/>
      <c r="L62" s="242"/>
      <c r="M62" s="242"/>
      <c r="N62" s="347">
        <v>6435</v>
      </c>
      <c r="O62" s="123">
        <f t="shared" ref="O62" si="30">SUM(M62:N62)</f>
        <v>6435</v>
      </c>
      <c r="P62" s="348">
        <v>715</v>
      </c>
      <c r="Q62" s="242"/>
      <c r="R62" s="242"/>
      <c r="S62" s="242"/>
      <c r="T62" s="242"/>
      <c r="U62" s="245"/>
      <c r="V62" s="242"/>
      <c r="W62" s="242"/>
      <c r="X62" s="242"/>
      <c r="Y62" s="234"/>
    </row>
    <row r="63" spans="1:37" customFormat="1" ht="13.5" thickBot="1" x14ac:dyDescent="0.25">
      <c r="B63" s="131"/>
      <c r="C63" s="132"/>
      <c r="D63" s="237"/>
      <c r="E63" s="104"/>
      <c r="F63" s="243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6"/>
      <c r="V63" s="244"/>
      <c r="W63" s="244"/>
      <c r="X63" s="244"/>
      <c r="Y63" s="234"/>
    </row>
    <row r="64" spans="1:37" customFormat="1" x14ac:dyDescent="0.2">
      <c r="B64" s="643" t="s">
        <v>245</v>
      </c>
      <c r="C64" s="644"/>
      <c r="D64" s="100"/>
      <c r="E64" s="100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49"/>
      <c r="V64" s="112"/>
      <c r="W64" s="112"/>
      <c r="X64" s="112"/>
      <c r="Y64" s="234"/>
    </row>
    <row r="65" spans="1:25" customFormat="1" x14ac:dyDescent="0.2">
      <c r="B65" s="338" t="s">
        <v>122</v>
      </c>
      <c r="C65" s="339" t="s">
        <v>123</v>
      </c>
      <c r="D65" s="344" t="s">
        <v>30</v>
      </c>
      <c r="E65" s="121"/>
      <c r="F65" s="235"/>
      <c r="G65" s="236"/>
      <c r="H65" s="233"/>
      <c r="I65" s="233"/>
      <c r="J65" s="233"/>
      <c r="K65" s="233"/>
      <c r="L65" s="233"/>
      <c r="M65" s="233"/>
      <c r="N65" s="347">
        <v>8694</v>
      </c>
      <c r="O65" s="123">
        <f t="shared" ref="O65" si="31">SUM(M65:N65)</f>
        <v>8694</v>
      </c>
      <c r="P65" s="348">
        <v>966</v>
      </c>
      <c r="Q65" s="233"/>
      <c r="R65" s="233"/>
      <c r="S65" s="233"/>
      <c r="T65" s="233"/>
      <c r="U65" s="247"/>
      <c r="V65" s="233"/>
      <c r="W65" s="233"/>
      <c r="X65" s="233"/>
      <c r="Y65" s="234"/>
    </row>
    <row r="66" spans="1:25" customFormat="1" ht="13.5" thickBot="1" x14ac:dyDescent="0.25">
      <c r="B66" s="131"/>
      <c r="C66" s="132"/>
      <c r="D66" s="237"/>
      <c r="E66" s="237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48"/>
      <c r="V66" s="238"/>
      <c r="W66" s="238"/>
      <c r="X66" s="238"/>
      <c r="Y66" s="234"/>
    </row>
    <row r="67" spans="1:25" ht="12.75" customHeight="1" x14ac:dyDescent="0.2">
      <c r="A67" s="106"/>
      <c r="B67" s="712" t="s">
        <v>270</v>
      </c>
      <c r="C67" s="713"/>
      <c r="D67" s="585" t="s">
        <v>262</v>
      </c>
      <c r="E67" s="586"/>
      <c r="F67" s="586"/>
      <c r="G67" s="586"/>
      <c r="H67" s="586"/>
      <c r="I67" s="586"/>
      <c r="J67" s="586"/>
      <c r="K67" s="586"/>
      <c r="L67" s="586"/>
      <c r="M67" s="586"/>
      <c r="N67" s="586"/>
      <c r="O67" s="587"/>
      <c r="P67" s="592">
        <f>ROUNDUP(SUM(P62:P65),0)</f>
        <v>1681</v>
      </c>
      <c r="Q67" s="592">
        <f t="shared" ref="Q67:W67" si="32">ROUNDUP(SUM(Q62:Q65),0)</f>
        <v>0</v>
      </c>
      <c r="R67" s="592">
        <f t="shared" si="32"/>
        <v>0</v>
      </c>
      <c r="S67" s="592">
        <f t="shared" si="32"/>
        <v>0</v>
      </c>
      <c r="T67" s="592">
        <f t="shared" si="32"/>
        <v>0</v>
      </c>
      <c r="U67" s="592">
        <f t="shared" si="32"/>
        <v>0</v>
      </c>
      <c r="V67" s="592">
        <f t="shared" si="32"/>
        <v>0</v>
      </c>
      <c r="W67" s="592">
        <f t="shared" si="32"/>
        <v>0</v>
      </c>
      <c r="X67" s="592">
        <f t="shared" ref="X67" si="33">ROUNDUP(SUM(X62:X65),0)</f>
        <v>0</v>
      </c>
    </row>
    <row r="68" spans="1:25" ht="12.75" customHeight="1" thickBot="1" x14ac:dyDescent="0.25">
      <c r="A68" s="106"/>
      <c r="B68" s="714"/>
      <c r="C68" s="715"/>
      <c r="D68" s="588"/>
      <c r="E68" s="589"/>
      <c r="F68" s="589"/>
      <c r="G68" s="589"/>
      <c r="H68" s="589"/>
      <c r="I68" s="589"/>
      <c r="J68" s="589"/>
      <c r="K68" s="589"/>
      <c r="L68" s="589"/>
      <c r="M68" s="589"/>
      <c r="N68" s="589"/>
      <c r="O68" s="590"/>
      <c r="P68" s="593"/>
      <c r="Q68" s="593"/>
      <c r="R68" s="593"/>
      <c r="S68" s="593"/>
      <c r="T68" s="593"/>
      <c r="U68" s="593"/>
      <c r="V68" s="593"/>
      <c r="W68" s="593"/>
      <c r="X68" s="593"/>
    </row>
    <row r="69" spans="1:25" ht="12.75" customHeight="1" x14ac:dyDescent="0.2">
      <c r="A69" s="106"/>
      <c r="B69" s="714"/>
      <c r="C69" s="715"/>
      <c r="D69" s="585" t="s">
        <v>283</v>
      </c>
      <c r="E69" s="586"/>
      <c r="F69" s="586"/>
      <c r="G69" s="586"/>
      <c r="H69" s="586"/>
      <c r="I69" s="586"/>
      <c r="J69" s="586"/>
      <c r="K69" s="586"/>
      <c r="L69" s="586"/>
      <c r="M69" s="586"/>
      <c r="N69" s="586"/>
      <c r="O69" s="587"/>
      <c r="P69" s="592">
        <f>P59+P67</f>
        <v>1681</v>
      </c>
      <c r="Q69" s="592">
        <f t="shared" ref="Q69:X69" si="34">Q59+Q67</f>
        <v>8</v>
      </c>
      <c r="R69" s="592">
        <f t="shared" si="34"/>
        <v>14906</v>
      </c>
      <c r="S69" s="592">
        <f t="shared" si="34"/>
        <v>14906</v>
      </c>
      <c r="T69" s="592">
        <f t="shared" si="34"/>
        <v>443</v>
      </c>
      <c r="U69" s="592">
        <f t="shared" si="34"/>
        <v>250</v>
      </c>
      <c r="V69" s="592">
        <f t="shared" si="34"/>
        <v>2474</v>
      </c>
      <c r="W69" s="592">
        <f t="shared" si="34"/>
        <v>13448</v>
      </c>
      <c r="X69" s="592">
        <f t="shared" si="34"/>
        <v>84</v>
      </c>
    </row>
    <row r="70" spans="1:25" ht="12.75" customHeight="1" thickBot="1" x14ac:dyDescent="0.25">
      <c r="A70" s="106"/>
      <c r="B70" s="716"/>
      <c r="C70" s="717"/>
      <c r="D70" s="588"/>
      <c r="E70" s="589"/>
      <c r="F70" s="589"/>
      <c r="G70" s="589"/>
      <c r="H70" s="589"/>
      <c r="I70" s="589"/>
      <c r="J70" s="589"/>
      <c r="K70" s="589"/>
      <c r="L70" s="589"/>
      <c r="M70" s="589"/>
      <c r="N70" s="589"/>
      <c r="O70" s="590"/>
      <c r="P70" s="593"/>
      <c r="Q70" s="593"/>
      <c r="R70" s="593"/>
      <c r="S70" s="593"/>
      <c r="T70" s="593"/>
      <c r="U70" s="593"/>
      <c r="V70" s="593"/>
      <c r="W70" s="593"/>
      <c r="X70" s="593"/>
    </row>
    <row r="71" spans="1:25" ht="12.75" customHeight="1" x14ac:dyDescent="0.2">
      <c r="A71" s="94"/>
    </row>
    <row r="72" spans="1:25" ht="12.75" customHeight="1" x14ac:dyDescent="0.2">
      <c r="A72" s="94"/>
      <c r="C72" s="96"/>
    </row>
    <row r="73" spans="1:25" ht="12.75" customHeight="1" x14ac:dyDescent="0.2">
      <c r="C73" s="96"/>
    </row>
    <row r="74" spans="1:25" ht="12.75" customHeight="1" x14ac:dyDescent="0.25">
      <c r="A74" s="94"/>
      <c r="C74" s="96"/>
      <c r="O74" s="184">
        <f>SUM(O18:O57)</f>
        <v>121029</v>
      </c>
      <c r="P74" s="179" t="s">
        <v>181</v>
      </c>
    </row>
    <row r="75" spans="1:25" ht="12.75" customHeight="1" x14ac:dyDescent="0.2">
      <c r="A75" s="94"/>
      <c r="C75" s="96"/>
    </row>
    <row r="76" spans="1:25" ht="12.75" customHeight="1" x14ac:dyDescent="0.2">
      <c r="C76" s="96"/>
    </row>
    <row r="77" spans="1:25" ht="12.75" customHeight="1" x14ac:dyDescent="0.2">
      <c r="C77" s="96"/>
    </row>
    <row r="78" spans="1:25" ht="12.75" customHeight="1" x14ac:dyDescent="0.2">
      <c r="C78" s="96"/>
    </row>
    <row r="79" spans="1:25" ht="12.75" customHeight="1" x14ac:dyDescent="0.2">
      <c r="C79" s="96"/>
    </row>
    <row r="80" spans="1:2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9" ht="12.75" customHeight="1" x14ac:dyDescent="0.2"/>
    <row r="130" spans="1:19" ht="12.75" customHeight="1" x14ac:dyDescent="0.2"/>
    <row r="131" spans="1:19" ht="12.75" customHeight="1" x14ac:dyDescent="0.2"/>
    <row r="132" spans="1:19" ht="12.75" customHeight="1" x14ac:dyDescent="0.2"/>
    <row r="133" spans="1:19" ht="12.75" customHeight="1" x14ac:dyDescent="0.2"/>
    <row r="134" spans="1:19" ht="12.75" customHeight="1" x14ac:dyDescent="0.2"/>
    <row r="135" spans="1:19" ht="12.75" customHeight="1" x14ac:dyDescent="0.2"/>
    <row r="136" spans="1:19" ht="12.75" customHeight="1" x14ac:dyDescent="0.2"/>
    <row r="137" spans="1:19" ht="12.75" customHeight="1" x14ac:dyDescent="0.2"/>
    <row r="138" spans="1:19" ht="12.75" customHeight="1" x14ac:dyDescent="0.2"/>
    <row r="139" spans="1:19" ht="12.75" customHeight="1" x14ac:dyDescent="0.2"/>
    <row r="140" spans="1:19" ht="12.75" customHeight="1" x14ac:dyDescent="0.2"/>
    <row r="141" spans="1:19" ht="12.75" customHeight="1" x14ac:dyDescent="0.2"/>
    <row r="142" spans="1:19" ht="12.75" customHeight="1" x14ac:dyDescent="0.2"/>
    <row r="143" spans="1:19" s="94" customFormat="1" ht="12.75" customHeight="1" x14ac:dyDescent="0.2">
      <c r="A143" s="81"/>
      <c r="B143" s="95"/>
      <c r="C143" s="95"/>
      <c r="D143" s="81"/>
      <c r="E143" s="81"/>
      <c r="F143" s="81"/>
      <c r="G143" s="81"/>
      <c r="H143" s="81"/>
      <c r="I143" s="81"/>
      <c r="J143" s="81"/>
      <c r="K143" s="87"/>
      <c r="L143" s="87"/>
      <c r="P143" s="88"/>
      <c r="Q143" s="88"/>
      <c r="R143" s="81"/>
      <c r="S143" s="81"/>
    </row>
    <row r="144" spans="1:19" s="94" customFormat="1" ht="12.75" customHeight="1" x14ac:dyDescent="0.2">
      <c r="A144" s="81"/>
      <c r="B144" s="95"/>
      <c r="C144" s="95"/>
      <c r="D144" s="81"/>
      <c r="E144" s="81"/>
      <c r="F144" s="81"/>
      <c r="G144" s="81"/>
      <c r="H144" s="81"/>
      <c r="I144" s="81"/>
      <c r="J144" s="81"/>
      <c r="K144" s="87"/>
      <c r="L144" s="87"/>
      <c r="P144" s="88"/>
      <c r="Q144" s="88"/>
      <c r="R144" s="81"/>
      <c r="S144" s="81"/>
    </row>
  </sheetData>
  <customSheetViews>
    <customSheetView guid="{221143F3-72E3-4C4A-9811-2F859DD19779}" fitToPage="1">
      <pane ySplit="13" topLeftCell="A14" activePane="bottomLeft" state="frozen"/>
      <selection pane="bottomLeft" activeCell="P40" sqref="P40"/>
      <pageMargins left="0.73" right="0.75" top="0.66" bottom="0.4" header="0.65" footer="0.25"/>
      <printOptions horizontalCentered="1" verticalCentered="1"/>
      <pageSetup paperSize="17" scale="63" orientation="landscape" r:id="rId1"/>
      <headerFooter alignWithMargins="0">
        <oddFooter>&amp;L&amp;D&amp;R&amp;F, &amp;A</oddFooter>
      </headerFooter>
    </customSheetView>
  </customSheetViews>
  <mergeCells count="96">
    <mergeCell ref="Z9:AJ9"/>
    <mergeCell ref="Z10:Z11"/>
    <mergeCell ref="AA10:AA11"/>
    <mergeCell ref="AB10:AD10"/>
    <mergeCell ref="AE10:AG10"/>
    <mergeCell ref="AH10:AJ10"/>
    <mergeCell ref="AB11:AD11"/>
    <mergeCell ref="AE11:AG11"/>
    <mergeCell ref="AH11:AJ11"/>
    <mergeCell ref="AB16:AD16"/>
    <mergeCell ref="AE16:AG16"/>
    <mergeCell ref="AH16:AJ16"/>
    <mergeCell ref="AB12:AD12"/>
    <mergeCell ref="AE12:AG12"/>
    <mergeCell ref="AH12:AJ12"/>
    <mergeCell ref="AB13:AD13"/>
    <mergeCell ref="AE13:AG13"/>
    <mergeCell ref="AH13:AJ13"/>
    <mergeCell ref="AB14:AD14"/>
    <mergeCell ref="AE14:AG14"/>
    <mergeCell ref="AH14:AJ14"/>
    <mergeCell ref="AB15:AD15"/>
    <mergeCell ref="AE15:AG15"/>
    <mergeCell ref="AH15:AJ15"/>
    <mergeCell ref="T6:T15"/>
    <mergeCell ref="I5:I15"/>
    <mergeCell ref="J5:J15"/>
    <mergeCell ref="K5:K15"/>
    <mergeCell ref="L5:L15"/>
    <mergeCell ref="M5:M15"/>
    <mergeCell ref="N5:N15"/>
    <mergeCell ref="B28:C28"/>
    <mergeCell ref="B34:C34"/>
    <mergeCell ref="B25:C25"/>
    <mergeCell ref="B19:C19"/>
    <mergeCell ref="B21:C21"/>
    <mergeCell ref="B5:C15"/>
    <mergeCell ref="D5:D16"/>
    <mergeCell ref="V6:V15"/>
    <mergeCell ref="W6:W15"/>
    <mergeCell ref="B27:C27"/>
    <mergeCell ref="H5:H15"/>
    <mergeCell ref="U6:U15"/>
    <mergeCell ref="Q6:Q15"/>
    <mergeCell ref="E5:E16"/>
    <mergeCell ref="F5:F16"/>
    <mergeCell ref="G5:G16"/>
    <mergeCell ref="B17:C17"/>
    <mergeCell ref="O5:O15"/>
    <mergeCell ref="R5:T5"/>
    <mergeCell ref="R6:R15"/>
    <mergeCell ref="S6:S15"/>
    <mergeCell ref="W69:W70"/>
    <mergeCell ref="V69:V70"/>
    <mergeCell ref="B61:C61"/>
    <mergeCell ref="B64:C64"/>
    <mergeCell ref="P6:P15"/>
    <mergeCell ref="P69:P70"/>
    <mergeCell ref="P67:P68"/>
    <mergeCell ref="B35:C35"/>
    <mergeCell ref="B42:C42"/>
    <mergeCell ref="B46:C46"/>
    <mergeCell ref="B48:C48"/>
    <mergeCell ref="B49:C49"/>
    <mergeCell ref="B55:C55"/>
    <mergeCell ref="B56:C56"/>
    <mergeCell ref="B38:C38"/>
    <mergeCell ref="B40:C40"/>
    <mergeCell ref="U67:U68"/>
    <mergeCell ref="D67:O68"/>
    <mergeCell ref="R69:R70"/>
    <mergeCell ref="S69:S70"/>
    <mergeCell ref="T69:T70"/>
    <mergeCell ref="U69:U70"/>
    <mergeCell ref="Q69:Q70"/>
    <mergeCell ref="D69:O70"/>
    <mergeCell ref="Q67:Q68"/>
    <mergeCell ref="R67:R68"/>
    <mergeCell ref="S67:S68"/>
    <mergeCell ref="T67:T68"/>
    <mergeCell ref="B59:O60"/>
    <mergeCell ref="X6:X15"/>
    <mergeCell ref="X67:X68"/>
    <mergeCell ref="X69:X70"/>
    <mergeCell ref="P59:P60"/>
    <mergeCell ref="Q59:Q60"/>
    <mergeCell ref="R59:R60"/>
    <mergeCell ref="S59:S60"/>
    <mergeCell ref="T59:T60"/>
    <mergeCell ref="U59:U60"/>
    <mergeCell ref="V59:V60"/>
    <mergeCell ref="W59:W60"/>
    <mergeCell ref="X59:X60"/>
    <mergeCell ref="V67:V68"/>
    <mergeCell ref="W67:W68"/>
    <mergeCell ref="B67:C70"/>
  </mergeCells>
  <dataValidations count="2">
    <dataValidation type="list" allowBlank="1" showInputMessage="1" showErrorMessage="1" sqref="E18:F37">
      <formula1>$Z$2:$Z$6</formula1>
    </dataValidation>
    <dataValidation type="list" allowBlank="1" showInputMessage="1" showErrorMessage="1" sqref="E39:F58">
      <formula1>$AA$3:$AA$7</formula1>
    </dataValidation>
  </dataValidations>
  <printOptions horizontalCentered="1" verticalCentered="1"/>
  <pageMargins left="0.73" right="0.75" top="0.66" bottom="0.4" header="0.65" footer="0.25"/>
  <pageSetup paperSize="17" scale="83" orientation="landscape" r:id="rId2"/>
  <headerFooter scaleWithDoc="0" alignWithMargins="0">
    <oddHeader>&amp;LHAN-75-14.39</oddHead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58"/>
  <sheetViews>
    <sheetView view="pageBreakPreview" zoomScaleNormal="100" zoomScaleSheetLayoutView="100" workbookViewId="0">
      <pane ySplit="16" topLeftCell="A17" activePane="bottomLeft" state="frozen"/>
      <selection pane="bottomLeft" activeCell="B44" sqref="B44"/>
    </sheetView>
  </sheetViews>
  <sheetFormatPr defaultRowHeight="12.75" x14ac:dyDescent="0.2"/>
  <cols>
    <col min="1" max="1" width="10.42578125" style="1" bestFit="1" customWidth="1"/>
    <col min="2" max="3" width="17.7109375" style="21" customWidth="1"/>
    <col min="4" max="4" width="8.5703125" style="1" customWidth="1"/>
    <col min="5" max="7" width="8.5703125" style="1" hidden="1" customWidth="1"/>
    <col min="8" max="9" width="9.28515625" style="8" customWidth="1"/>
    <col min="10" max="10" width="13.85546875" style="16" customWidth="1"/>
    <col min="11" max="11" width="10" style="16" customWidth="1"/>
    <col min="12" max="12" width="13.42578125" style="16" customWidth="1"/>
    <col min="13" max="13" width="9.7109375" style="91" customWidth="1"/>
    <col min="14" max="14" width="9.7109375" style="8" customWidth="1"/>
    <col min="15" max="15" width="9.7109375" style="17" customWidth="1"/>
    <col min="16" max="16" width="9.7109375" style="13" customWidth="1"/>
    <col min="17" max="18" width="9.7109375" style="8" customWidth="1"/>
    <col min="19" max="19" width="9.7109375" style="87" customWidth="1"/>
    <col min="20" max="21" width="9.7109375" style="8" customWidth="1"/>
    <col min="22" max="23" width="9.7109375" style="91" customWidth="1"/>
    <col min="24" max="24" width="9.140625" style="91"/>
    <col min="25" max="25" width="11.85546875" style="1" bestFit="1" customWidth="1"/>
    <col min="26" max="26" width="9.85546875" style="1" bestFit="1" customWidth="1"/>
    <col min="27" max="27" width="9.140625" style="1"/>
    <col min="28" max="28" width="9.140625" style="1" customWidth="1"/>
    <col min="29" max="16384" width="9.140625" style="1"/>
  </cols>
  <sheetData>
    <row r="1" spans="2:35" s="15" customFormat="1" ht="13.5" thickBot="1" x14ac:dyDescent="0.25">
      <c r="B1" s="23"/>
      <c r="C1" s="23"/>
      <c r="H1" s="11"/>
      <c r="I1" s="11"/>
      <c r="J1" s="40"/>
      <c r="K1" s="40"/>
      <c r="L1" s="40"/>
      <c r="M1" s="40"/>
      <c r="N1" s="11"/>
      <c r="O1" s="68"/>
      <c r="P1" s="10">
        <v>6</v>
      </c>
      <c r="Q1" s="11">
        <v>6</v>
      </c>
      <c r="R1" s="11">
        <v>0.04</v>
      </c>
      <c r="S1" s="88">
        <v>2</v>
      </c>
      <c r="T1" s="11">
        <v>1.75</v>
      </c>
      <c r="U1" s="11">
        <v>1.25</v>
      </c>
      <c r="V1" s="40"/>
      <c r="W1" s="40"/>
      <c r="X1" s="40"/>
      <c r="AB1" s="114"/>
      <c r="AC1" s="59"/>
      <c r="AD1" s="59"/>
      <c r="AE1" s="59"/>
    </row>
    <row r="2" spans="2:35" s="90" customFormat="1" x14ac:dyDescent="0.2">
      <c r="B2" s="97"/>
      <c r="C2" s="97"/>
      <c r="H2" s="88"/>
      <c r="I2" s="88"/>
      <c r="J2" s="40"/>
      <c r="R2" s="146"/>
      <c r="S2" s="145" t="s">
        <v>36</v>
      </c>
      <c r="T2" s="168" t="s">
        <v>149</v>
      </c>
      <c r="U2" s="168"/>
      <c r="V2" s="170" t="s">
        <v>35</v>
      </c>
      <c r="W2" s="211">
        <v>41920</v>
      </c>
      <c r="X2" s="40"/>
      <c r="Y2" s="227" t="s">
        <v>99</v>
      </c>
      <c r="Z2" s="114"/>
      <c r="AB2" s="114"/>
      <c r="AC2" s="114"/>
      <c r="AD2" s="114"/>
      <c r="AE2" s="114"/>
    </row>
    <row r="3" spans="2:35" s="90" customFormat="1" ht="13.5" thickBot="1" x14ac:dyDescent="0.25">
      <c r="B3" s="97"/>
      <c r="C3" s="97"/>
      <c r="H3" s="88"/>
      <c r="I3" s="88"/>
      <c r="J3" s="40"/>
      <c r="R3" s="45"/>
      <c r="S3" s="46" t="s">
        <v>37</v>
      </c>
      <c r="T3" s="169" t="s">
        <v>278</v>
      </c>
      <c r="U3" s="216"/>
      <c r="V3" s="217" t="s">
        <v>35</v>
      </c>
      <c r="W3" s="472">
        <v>41926</v>
      </c>
      <c r="X3" s="40"/>
      <c r="Y3" s="201" t="s">
        <v>100</v>
      </c>
      <c r="Z3" s="114"/>
      <c r="AB3" s="114"/>
      <c r="AC3" s="114"/>
      <c r="AD3" s="114"/>
      <c r="AE3" s="114"/>
    </row>
    <row r="4" spans="2:35" s="90" customFormat="1" ht="13.5" thickBot="1" x14ac:dyDescent="0.25">
      <c r="B4" s="97"/>
      <c r="C4" s="97"/>
      <c r="H4" s="88"/>
      <c r="I4" s="88"/>
      <c r="J4" s="40"/>
      <c r="K4" s="40"/>
      <c r="L4" s="40"/>
      <c r="M4" s="40"/>
      <c r="N4" s="88"/>
      <c r="O4" s="68"/>
      <c r="P4" s="10"/>
      <c r="Q4" s="88"/>
      <c r="R4" s="88"/>
      <c r="S4" s="88"/>
      <c r="T4" s="88"/>
      <c r="U4" s="88"/>
      <c r="V4" s="40"/>
      <c r="W4" s="40"/>
      <c r="X4" s="40"/>
      <c r="Y4" s="214" t="s">
        <v>101</v>
      </c>
      <c r="AC4" s="114"/>
      <c r="AD4" s="114"/>
      <c r="AE4" s="114"/>
    </row>
    <row r="5" spans="2:35" s="16" customFormat="1" ht="12.75" customHeight="1" thickBot="1" x14ac:dyDescent="0.25">
      <c r="B5" s="639" t="s">
        <v>1</v>
      </c>
      <c r="C5" s="640"/>
      <c r="D5" s="635" t="s">
        <v>0</v>
      </c>
      <c r="E5" s="649" t="s">
        <v>27</v>
      </c>
      <c r="F5" s="649" t="s">
        <v>98</v>
      </c>
      <c r="G5" s="649" t="s">
        <v>50</v>
      </c>
      <c r="H5" s="645" t="s">
        <v>4</v>
      </c>
      <c r="I5" s="645" t="s">
        <v>21</v>
      </c>
      <c r="J5" s="725" t="s">
        <v>17</v>
      </c>
      <c r="K5" s="725" t="s">
        <v>20</v>
      </c>
      <c r="L5" s="725" t="s">
        <v>14</v>
      </c>
      <c r="M5" s="624">
        <v>204</v>
      </c>
      <c r="N5" s="626"/>
      <c r="O5" s="2">
        <v>252</v>
      </c>
      <c r="P5" s="57">
        <v>301</v>
      </c>
      <c r="Q5" s="57">
        <v>304</v>
      </c>
      <c r="R5" s="2">
        <v>407</v>
      </c>
      <c r="S5" s="526">
        <v>441</v>
      </c>
      <c r="T5" s="528"/>
      <c r="U5" s="2">
        <v>442</v>
      </c>
      <c r="V5" s="526">
        <v>452</v>
      </c>
      <c r="W5" s="528"/>
      <c r="X5" s="176"/>
    </row>
    <row r="6" spans="2:35" ht="12.75" customHeight="1" thickBot="1" x14ac:dyDescent="0.25">
      <c r="B6" s="641"/>
      <c r="C6" s="642"/>
      <c r="D6" s="636"/>
      <c r="E6" s="694"/>
      <c r="F6" s="694"/>
      <c r="G6" s="692"/>
      <c r="H6" s="646"/>
      <c r="I6" s="646"/>
      <c r="J6" s="726"/>
      <c r="K6" s="726"/>
      <c r="L6" s="726"/>
      <c r="M6" s="657" t="s">
        <v>8</v>
      </c>
      <c r="N6" s="658" t="s">
        <v>7</v>
      </c>
      <c r="O6" s="722" t="s">
        <v>24</v>
      </c>
      <c r="P6" s="657" t="s">
        <v>56</v>
      </c>
      <c r="Q6" s="658" t="s">
        <v>9</v>
      </c>
      <c r="R6" s="657" t="s">
        <v>45</v>
      </c>
      <c r="S6" s="543" t="s">
        <v>133</v>
      </c>
      <c r="T6" s="543" t="s">
        <v>134</v>
      </c>
      <c r="U6" s="543" t="s">
        <v>102</v>
      </c>
      <c r="V6" s="720" t="s">
        <v>139</v>
      </c>
      <c r="W6" s="720" t="s">
        <v>124</v>
      </c>
      <c r="X6" s="177"/>
      <c r="Y6" s="659" t="s">
        <v>211</v>
      </c>
      <c r="Z6" s="660"/>
      <c r="AA6" s="660"/>
      <c r="AB6" s="660"/>
      <c r="AC6" s="660"/>
      <c r="AD6" s="660"/>
      <c r="AE6" s="660"/>
      <c r="AF6" s="660"/>
      <c r="AG6" s="660"/>
      <c r="AH6" s="660"/>
      <c r="AI6" s="661"/>
    </row>
    <row r="7" spans="2:35" ht="12.75" customHeight="1" x14ac:dyDescent="0.2">
      <c r="B7" s="641"/>
      <c r="C7" s="642"/>
      <c r="D7" s="636"/>
      <c r="E7" s="694"/>
      <c r="F7" s="694"/>
      <c r="G7" s="692"/>
      <c r="H7" s="646"/>
      <c r="I7" s="646"/>
      <c r="J7" s="726"/>
      <c r="K7" s="726"/>
      <c r="L7" s="726"/>
      <c r="M7" s="658"/>
      <c r="N7" s="658"/>
      <c r="O7" s="723"/>
      <c r="P7" s="658"/>
      <c r="Q7" s="658"/>
      <c r="R7" s="658"/>
      <c r="S7" s="544"/>
      <c r="T7" s="544"/>
      <c r="U7" s="544"/>
      <c r="V7" s="721"/>
      <c r="W7" s="721"/>
      <c r="X7" s="178"/>
      <c r="Y7" s="662" t="s">
        <v>218</v>
      </c>
      <c r="Z7" s="664" t="s">
        <v>224</v>
      </c>
      <c r="AA7" s="686" t="s">
        <v>49</v>
      </c>
      <c r="AB7" s="668"/>
      <c r="AC7" s="687"/>
      <c r="AD7" s="667" t="s">
        <v>49</v>
      </c>
      <c r="AE7" s="668"/>
      <c r="AF7" s="687"/>
      <c r="AG7" s="667" t="s">
        <v>49</v>
      </c>
      <c r="AH7" s="668"/>
      <c r="AI7" s="669"/>
    </row>
    <row r="8" spans="2:35" ht="12.75" customHeight="1" thickBot="1" x14ac:dyDescent="0.25">
      <c r="B8" s="641"/>
      <c r="C8" s="642"/>
      <c r="D8" s="636"/>
      <c r="E8" s="694"/>
      <c r="F8" s="694"/>
      <c r="G8" s="692"/>
      <c r="H8" s="646"/>
      <c r="I8" s="646"/>
      <c r="J8" s="726"/>
      <c r="K8" s="726"/>
      <c r="L8" s="726"/>
      <c r="M8" s="658"/>
      <c r="N8" s="658"/>
      <c r="O8" s="723"/>
      <c r="P8" s="658"/>
      <c r="Q8" s="658"/>
      <c r="R8" s="658"/>
      <c r="S8" s="544"/>
      <c r="T8" s="544"/>
      <c r="U8" s="544"/>
      <c r="V8" s="721"/>
      <c r="W8" s="721"/>
      <c r="X8" s="178"/>
      <c r="Y8" s="663"/>
      <c r="Z8" s="665"/>
      <c r="AA8" s="673" t="s">
        <v>220</v>
      </c>
      <c r="AB8" s="671"/>
      <c r="AC8" s="672"/>
      <c r="AD8" s="673" t="s">
        <v>233</v>
      </c>
      <c r="AE8" s="671"/>
      <c r="AF8" s="672"/>
      <c r="AG8" s="673" t="s">
        <v>234</v>
      </c>
      <c r="AH8" s="671"/>
      <c r="AI8" s="674"/>
    </row>
    <row r="9" spans="2:35" ht="12.75" customHeight="1" x14ac:dyDescent="0.2">
      <c r="B9" s="641"/>
      <c r="C9" s="642"/>
      <c r="D9" s="636"/>
      <c r="E9" s="694"/>
      <c r="F9" s="694"/>
      <c r="G9" s="692"/>
      <c r="H9" s="646"/>
      <c r="I9" s="646"/>
      <c r="J9" s="726"/>
      <c r="K9" s="726"/>
      <c r="L9" s="726"/>
      <c r="M9" s="658"/>
      <c r="N9" s="658"/>
      <c r="O9" s="723"/>
      <c r="P9" s="658"/>
      <c r="Q9" s="658"/>
      <c r="R9" s="658"/>
      <c r="S9" s="544"/>
      <c r="T9" s="544"/>
      <c r="U9" s="544"/>
      <c r="V9" s="721"/>
      <c r="W9" s="721"/>
      <c r="X9" s="178"/>
      <c r="Y9" s="222" t="s">
        <v>228</v>
      </c>
      <c r="Z9" s="104" t="s">
        <v>230</v>
      </c>
      <c r="AA9" s="653">
        <v>1.42</v>
      </c>
      <c r="AB9" s="601"/>
      <c r="AC9" s="602"/>
      <c r="AD9" s="600" t="s">
        <v>101</v>
      </c>
      <c r="AE9" s="601"/>
      <c r="AF9" s="602"/>
      <c r="AG9" s="600" t="s">
        <v>101</v>
      </c>
      <c r="AH9" s="601"/>
      <c r="AI9" s="681"/>
    </row>
    <row r="10" spans="2:35" ht="12.75" customHeight="1" x14ac:dyDescent="0.2">
      <c r="B10" s="641"/>
      <c r="C10" s="642"/>
      <c r="D10" s="636"/>
      <c r="E10" s="694"/>
      <c r="F10" s="694"/>
      <c r="G10" s="692"/>
      <c r="H10" s="646"/>
      <c r="I10" s="646"/>
      <c r="J10" s="726"/>
      <c r="K10" s="726"/>
      <c r="L10" s="726"/>
      <c r="M10" s="658"/>
      <c r="N10" s="658"/>
      <c r="O10" s="723"/>
      <c r="P10" s="658"/>
      <c r="Q10" s="658"/>
      <c r="R10" s="658"/>
      <c r="S10" s="544"/>
      <c r="T10" s="544"/>
      <c r="U10" s="544"/>
      <c r="V10" s="721"/>
      <c r="W10" s="721"/>
      <c r="X10" s="178"/>
      <c r="Y10" s="221" t="s">
        <v>229</v>
      </c>
      <c r="Z10" s="103" t="s">
        <v>230</v>
      </c>
      <c r="AA10" s="675">
        <v>2.67</v>
      </c>
      <c r="AB10" s="676"/>
      <c r="AC10" s="677"/>
      <c r="AD10" s="678" t="s">
        <v>101</v>
      </c>
      <c r="AE10" s="679"/>
      <c r="AF10" s="680"/>
      <c r="AG10" s="678" t="s">
        <v>101</v>
      </c>
      <c r="AH10" s="679"/>
      <c r="AI10" s="711"/>
    </row>
    <row r="11" spans="2:35" ht="12.75" customHeight="1" x14ac:dyDescent="0.2">
      <c r="B11" s="641"/>
      <c r="C11" s="642"/>
      <c r="D11" s="636"/>
      <c r="E11" s="694"/>
      <c r="F11" s="694"/>
      <c r="G11" s="692"/>
      <c r="H11" s="646"/>
      <c r="I11" s="646"/>
      <c r="J11" s="726"/>
      <c r="K11" s="726"/>
      <c r="L11" s="726"/>
      <c r="M11" s="658"/>
      <c r="N11" s="658"/>
      <c r="O11" s="723"/>
      <c r="P11" s="658"/>
      <c r="Q11" s="658"/>
      <c r="R11" s="658"/>
      <c r="S11" s="544"/>
      <c r="T11" s="544"/>
      <c r="U11" s="544"/>
      <c r="V11" s="721"/>
      <c r="W11" s="721"/>
      <c r="X11" s="178"/>
      <c r="Y11" s="221" t="s">
        <v>231</v>
      </c>
      <c r="Z11" s="103" t="s">
        <v>235</v>
      </c>
      <c r="AA11" s="675" t="s">
        <v>101</v>
      </c>
      <c r="AB11" s="676"/>
      <c r="AC11" s="677"/>
      <c r="AD11" s="732">
        <v>2397</v>
      </c>
      <c r="AE11" s="733"/>
      <c r="AF11" s="734"/>
      <c r="AG11" s="732">
        <v>160</v>
      </c>
      <c r="AH11" s="733"/>
      <c r="AI11" s="735"/>
    </row>
    <row r="12" spans="2:35" ht="12.75" customHeight="1" thickBot="1" x14ac:dyDescent="0.25">
      <c r="B12" s="641"/>
      <c r="C12" s="642"/>
      <c r="D12" s="636"/>
      <c r="E12" s="694"/>
      <c r="F12" s="694"/>
      <c r="G12" s="692"/>
      <c r="H12" s="646"/>
      <c r="I12" s="646"/>
      <c r="J12" s="726"/>
      <c r="K12" s="726"/>
      <c r="L12" s="726"/>
      <c r="M12" s="658"/>
      <c r="N12" s="658"/>
      <c r="O12" s="723"/>
      <c r="P12" s="658"/>
      <c r="Q12" s="658"/>
      <c r="R12" s="658"/>
      <c r="S12" s="544"/>
      <c r="T12" s="544"/>
      <c r="U12" s="544"/>
      <c r="V12" s="721"/>
      <c r="W12" s="721"/>
      <c r="X12" s="178"/>
      <c r="Y12" s="223" t="s">
        <v>232</v>
      </c>
      <c r="Z12" s="158" t="s">
        <v>235</v>
      </c>
      <c r="AA12" s="666" t="s">
        <v>101</v>
      </c>
      <c r="AB12" s="655"/>
      <c r="AC12" s="656"/>
      <c r="AD12" s="728">
        <v>2189</v>
      </c>
      <c r="AE12" s="729"/>
      <c r="AF12" s="730"/>
      <c r="AG12" s="728">
        <v>167</v>
      </c>
      <c r="AH12" s="729"/>
      <c r="AI12" s="731"/>
    </row>
    <row r="13" spans="2:35" ht="12.75" customHeight="1" x14ac:dyDescent="0.2">
      <c r="B13" s="641"/>
      <c r="C13" s="642"/>
      <c r="D13" s="636"/>
      <c r="E13" s="694"/>
      <c r="F13" s="694"/>
      <c r="G13" s="692"/>
      <c r="H13" s="646"/>
      <c r="I13" s="646"/>
      <c r="J13" s="726"/>
      <c r="K13" s="726"/>
      <c r="L13" s="726"/>
      <c r="M13" s="658"/>
      <c r="N13" s="658"/>
      <c r="O13" s="723"/>
      <c r="P13" s="658"/>
      <c r="Q13" s="658"/>
      <c r="R13" s="658"/>
      <c r="S13" s="544"/>
      <c r="T13" s="544"/>
      <c r="U13" s="544"/>
      <c r="V13" s="721"/>
      <c r="W13" s="721"/>
      <c r="X13" s="178"/>
    </row>
    <row r="14" spans="2:35" ht="12.75" customHeight="1" x14ac:dyDescent="0.2">
      <c r="B14" s="641"/>
      <c r="C14" s="642"/>
      <c r="D14" s="636"/>
      <c r="E14" s="694"/>
      <c r="F14" s="694"/>
      <c r="G14" s="692"/>
      <c r="H14" s="646"/>
      <c r="I14" s="646"/>
      <c r="J14" s="726"/>
      <c r="K14" s="726"/>
      <c r="L14" s="726"/>
      <c r="M14" s="658"/>
      <c r="N14" s="658"/>
      <c r="O14" s="723"/>
      <c r="P14" s="658"/>
      <c r="Q14" s="658"/>
      <c r="R14" s="658"/>
      <c r="S14" s="544"/>
      <c r="T14" s="544"/>
      <c r="U14" s="544"/>
      <c r="V14" s="721"/>
      <c r="W14" s="721"/>
      <c r="X14" s="178"/>
    </row>
    <row r="15" spans="2:35" ht="12.75" customHeight="1" x14ac:dyDescent="0.2">
      <c r="B15" s="641"/>
      <c r="C15" s="642"/>
      <c r="D15" s="636"/>
      <c r="E15" s="694"/>
      <c r="F15" s="694"/>
      <c r="G15" s="692"/>
      <c r="H15" s="647"/>
      <c r="I15" s="647"/>
      <c r="J15" s="727"/>
      <c r="K15" s="727"/>
      <c r="L15" s="727"/>
      <c r="M15" s="658"/>
      <c r="N15" s="658"/>
      <c r="O15" s="724"/>
      <c r="P15" s="658"/>
      <c r="Q15" s="658"/>
      <c r="R15" s="658"/>
      <c r="S15" s="545"/>
      <c r="T15" s="545"/>
      <c r="U15" s="545"/>
      <c r="V15" s="721"/>
      <c r="W15" s="721"/>
      <c r="X15" s="178"/>
    </row>
    <row r="16" spans="2:35" ht="12.75" customHeight="1" thickBot="1" x14ac:dyDescent="0.25">
      <c r="B16" s="24" t="s">
        <v>2</v>
      </c>
      <c r="C16" s="25" t="s">
        <v>3</v>
      </c>
      <c r="D16" s="693"/>
      <c r="E16" s="695"/>
      <c r="F16" s="695"/>
      <c r="G16" s="5" t="s">
        <v>12</v>
      </c>
      <c r="H16" s="5" t="s">
        <v>5</v>
      </c>
      <c r="I16" s="5" t="s">
        <v>5</v>
      </c>
      <c r="J16" s="63" t="s">
        <v>6</v>
      </c>
      <c r="K16" s="63" t="s">
        <v>6</v>
      </c>
      <c r="L16" s="63" t="s">
        <v>6</v>
      </c>
      <c r="M16" s="128" t="s">
        <v>10</v>
      </c>
      <c r="N16" s="5" t="s">
        <v>11</v>
      </c>
      <c r="O16" s="63" t="s">
        <v>5</v>
      </c>
      <c r="P16" s="5" t="s">
        <v>12</v>
      </c>
      <c r="Q16" s="5" t="s">
        <v>12</v>
      </c>
      <c r="R16" s="5" t="s">
        <v>13</v>
      </c>
      <c r="S16" s="5" t="s">
        <v>12</v>
      </c>
      <c r="T16" s="5" t="s">
        <v>12</v>
      </c>
      <c r="U16" s="5" t="s">
        <v>12</v>
      </c>
      <c r="V16" s="128" t="s">
        <v>10</v>
      </c>
      <c r="W16" s="128" t="s">
        <v>10</v>
      </c>
      <c r="X16" s="164"/>
    </row>
    <row r="17" spans="1:30" ht="12.75" customHeight="1" x14ac:dyDescent="0.2">
      <c r="B17" s="643" t="s">
        <v>57</v>
      </c>
      <c r="C17" s="644"/>
      <c r="D17" s="28"/>
      <c r="E17" s="28"/>
      <c r="F17" s="28"/>
      <c r="G17" s="28"/>
      <c r="H17" s="29"/>
      <c r="I17" s="29"/>
      <c r="J17" s="64"/>
      <c r="K17" s="64"/>
      <c r="L17" s="64"/>
      <c r="M17" s="64"/>
      <c r="N17" s="29"/>
      <c r="O17" s="49"/>
      <c r="P17" s="30"/>
      <c r="Q17" s="29"/>
      <c r="R17" s="29"/>
      <c r="S17" s="101"/>
      <c r="T17" s="29"/>
      <c r="U17" s="29"/>
      <c r="V17" s="64"/>
      <c r="W17" s="64"/>
      <c r="X17" s="164"/>
    </row>
    <row r="18" spans="1:30" ht="12.75" customHeight="1" x14ac:dyDescent="0.2">
      <c r="B18" s="338">
        <v>5187.43</v>
      </c>
      <c r="C18" s="339">
        <v>5251.38</v>
      </c>
      <c r="D18" s="340" t="s">
        <v>30</v>
      </c>
      <c r="E18" s="340" t="s">
        <v>101</v>
      </c>
      <c r="F18" s="340" t="s">
        <v>101</v>
      </c>
      <c r="G18" s="27">
        <f t="shared" ref="G18:G26" si="0">IF(F18=$Y$2,E18*$AA$9*H18/27,IF(F18=$Y$3,E18*$AA$10*H18/27,0))</f>
        <v>0</v>
      </c>
      <c r="H18" s="4">
        <f t="shared" ref="H18:H27" si="1">C18-B18</f>
        <v>63.949999999999818</v>
      </c>
      <c r="I18" s="345">
        <v>37.47</v>
      </c>
      <c r="J18" s="71">
        <f>IF(I18="-","-",ROUNDUP(H18*I18,0))</f>
        <v>2397</v>
      </c>
      <c r="K18" s="351">
        <v>0</v>
      </c>
      <c r="L18" s="67">
        <f t="shared" ref="L18" si="2">SUM(J18:K18)</f>
        <v>2397</v>
      </c>
      <c r="M18" s="85">
        <f>((Q18*27)/0.5)/9</f>
        <v>266.33333333333331</v>
      </c>
      <c r="N18" s="6">
        <f>(M18)/2000</f>
        <v>0.13316666666666666</v>
      </c>
      <c r="O18" s="351">
        <v>99</v>
      </c>
      <c r="P18" s="34">
        <f t="shared" ref="P18:P27" si="3">(L18*$P$1/12)/27</f>
        <v>44.388888888888886</v>
      </c>
      <c r="Q18" s="4">
        <f t="shared" ref="Q18:Q27" si="4">(L18*$Q$1/12)/27+G18</f>
        <v>44.388888888888886</v>
      </c>
      <c r="R18" s="6">
        <f t="shared" ref="R18:R26" si="5">($L18/9)*$R$1</f>
        <v>10.653333333333332</v>
      </c>
      <c r="S18" s="346">
        <v>0</v>
      </c>
      <c r="T18" s="4">
        <f t="shared" ref="T18:T26" si="6">(L18*$T$1/12)/27</f>
        <v>12.94675925925926</v>
      </c>
      <c r="U18" s="4">
        <f t="shared" ref="U18:U26" si="7">($L18*($U$1/12))/27</f>
        <v>9.2476851851851851</v>
      </c>
      <c r="V18" s="373">
        <v>0</v>
      </c>
      <c r="W18" s="373">
        <v>0</v>
      </c>
      <c r="X18" s="72"/>
    </row>
    <row r="19" spans="1:30" ht="12.75" customHeight="1" x14ac:dyDescent="0.2">
      <c r="B19" s="338">
        <v>5251.38</v>
      </c>
      <c r="C19" s="339">
        <v>5327.84</v>
      </c>
      <c r="D19" s="340" t="s">
        <v>30</v>
      </c>
      <c r="E19" s="340">
        <v>1</v>
      </c>
      <c r="F19" s="340" t="s">
        <v>99</v>
      </c>
      <c r="G19" s="27">
        <f t="shared" si="0"/>
        <v>4.021229629629631</v>
      </c>
      <c r="H19" s="4">
        <f t="shared" si="1"/>
        <v>76.460000000000036</v>
      </c>
      <c r="I19" s="345" t="s">
        <v>101</v>
      </c>
      <c r="J19" s="71" t="str">
        <f t="shared" ref="J19:J45" si="8">IF(I19="-","-",ROUNDUP(H19*I19,0))</f>
        <v>-</v>
      </c>
      <c r="K19" s="351">
        <v>3145.99</v>
      </c>
      <c r="L19" s="67">
        <f t="shared" ref="L19" si="9">SUM(J19:K19)</f>
        <v>3145.99</v>
      </c>
      <c r="M19" s="85">
        <f t="shared" ref="M19:M44" si="10">((Q19*27)/0.5)/9</f>
        <v>373.68182222222219</v>
      </c>
      <c r="N19" s="85">
        <f t="shared" ref="N19:N44" si="11">(M19)/2000</f>
        <v>0.18684091111111109</v>
      </c>
      <c r="O19" s="351">
        <v>25</v>
      </c>
      <c r="P19" s="34">
        <f t="shared" si="3"/>
        <v>58.259074074074071</v>
      </c>
      <c r="Q19" s="4">
        <f t="shared" si="4"/>
        <v>62.280303703703702</v>
      </c>
      <c r="R19" s="6">
        <f t="shared" si="5"/>
        <v>13.982177777777776</v>
      </c>
      <c r="S19" s="346">
        <v>0</v>
      </c>
      <c r="T19" s="4">
        <f t="shared" si="6"/>
        <v>16.992229938271606</v>
      </c>
      <c r="U19" s="4">
        <f t="shared" si="7"/>
        <v>12.137307098765431</v>
      </c>
      <c r="V19" s="373">
        <v>0</v>
      </c>
      <c r="W19" s="373">
        <v>0</v>
      </c>
      <c r="X19" s="72"/>
    </row>
    <row r="20" spans="1:30" ht="12.75" customHeight="1" x14ac:dyDescent="0.2">
      <c r="B20" s="338">
        <v>5327.84</v>
      </c>
      <c r="C20" s="339">
        <v>5347.43</v>
      </c>
      <c r="D20" s="340" t="s">
        <v>30</v>
      </c>
      <c r="E20" s="340">
        <v>2</v>
      </c>
      <c r="F20" s="340" t="s">
        <v>99</v>
      </c>
      <c r="G20" s="27">
        <f t="shared" si="0"/>
        <v>2.0605777777777927</v>
      </c>
      <c r="H20" s="4">
        <f t="shared" si="1"/>
        <v>19.590000000000146</v>
      </c>
      <c r="I20" s="345">
        <v>35.35</v>
      </c>
      <c r="J20" s="71">
        <f t="shared" si="8"/>
        <v>693</v>
      </c>
      <c r="K20" s="351">
        <v>0</v>
      </c>
      <c r="L20" s="67">
        <f t="shared" ref="L20" si="12">SUM(J20:K20)</f>
        <v>693</v>
      </c>
      <c r="M20" s="85">
        <f t="shared" si="10"/>
        <v>89.363466666666753</v>
      </c>
      <c r="N20" s="85">
        <f t="shared" si="11"/>
        <v>4.4681733333333376E-2</v>
      </c>
      <c r="O20" s="351">
        <v>0</v>
      </c>
      <c r="P20" s="34">
        <f t="shared" si="3"/>
        <v>12.833333333333334</v>
      </c>
      <c r="Q20" s="4">
        <f t="shared" si="4"/>
        <v>14.893911111111127</v>
      </c>
      <c r="R20" s="6">
        <f t="shared" si="5"/>
        <v>3.08</v>
      </c>
      <c r="S20" s="346">
        <v>0</v>
      </c>
      <c r="T20" s="4">
        <f t="shared" si="6"/>
        <v>3.7430555555555554</v>
      </c>
      <c r="U20" s="4">
        <f t="shared" si="7"/>
        <v>2.6736111111111112</v>
      </c>
      <c r="V20" s="373">
        <v>0</v>
      </c>
      <c r="W20" s="373">
        <v>0</v>
      </c>
      <c r="X20" s="72"/>
    </row>
    <row r="21" spans="1:30" ht="12.75" customHeight="1" x14ac:dyDescent="0.2">
      <c r="A21" s="48"/>
      <c r="B21" s="338">
        <v>5347.43</v>
      </c>
      <c r="C21" s="339">
        <v>5418.77</v>
      </c>
      <c r="D21" s="340" t="s">
        <v>30</v>
      </c>
      <c r="E21" s="340">
        <v>2</v>
      </c>
      <c r="F21" s="340" t="s">
        <v>99</v>
      </c>
      <c r="G21" s="27">
        <f t="shared" si="0"/>
        <v>7.5039111111111261</v>
      </c>
      <c r="H21" s="4">
        <f t="shared" si="1"/>
        <v>71.340000000000146</v>
      </c>
      <c r="I21" s="345">
        <v>36</v>
      </c>
      <c r="J21" s="71">
        <f t="shared" si="8"/>
        <v>2569</v>
      </c>
      <c r="K21" s="351">
        <v>0</v>
      </c>
      <c r="L21" s="67">
        <f t="shared" ref="L21:L26" si="13">SUM(J21:K21)</f>
        <v>2569</v>
      </c>
      <c r="M21" s="85">
        <f t="shared" si="10"/>
        <v>330.46791111111116</v>
      </c>
      <c r="N21" s="85">
        <f t="shared" si="11"/>
        <v>0.16523395555555559</v>
      </c>
      <c r="O21" s="351">
        <v>0</v>
      </c>
      <c r="P21" s="34">
        <f t="shared" si="3"/>
        <v>47.574074074074076</v>
      </c>
      <c r="Q21" s="4">
        <f t="shared" si="4"/>
        <v>55.077985185185199</v>
      </c>
      <c r="R21" s="6">
        <f t="shared" si="5"/>
        <v>11.417777777777779</v>
      </c>
      <c r="S21" s="346">
        <v>0</v>
      </c>
      <c r="T21" s="4">
        <f t="shared" si="6"/>
        <v>13.87577160493827</v>
      </c>
      <c r="U21" s="4">
        <f t="shared" si="7"/>
        <v>9.9112654320987659</v>
      </c>
      <c r="V21" s="373">
        <v>0</v>
      </c>
      <c r="W21" s="373">
        <v>0</v>
      </c>
      <c r="X21" s="72"/>
    </row>
    <row r="22" spans="1:30" ht="12.75" customHeight="1" x14ac:dyDescent="0.2">
      <c r="A22" s="48"/>
      <c r="B22" s="338">
        <v>5418.77</v>
      </c>
      <c r="C22" s="339">
        <v>5458.6</v>
      </c>
      <c r="D22" s="340" t="s">
        <v>30</v>
      </c>
      <c r="E22" s="340">
        <v>1</v>
      </c>
      <c r="F22" s="340" t="s">
        <v>99</v>
      </c>
      <c r="G22" s="27">
        <f t="shared" si="0"/>
        <v>2.0947629629629589</v>
      </c>
      <c r="H22" s="4">
        <f t="shared" si="1"/>
        <v>39.829999999999927</v>
      </c>
      <c r="I22" s="345">
        <v>36</v>
      </c>
      <c r="J22" s="71">
        <f t="shared" si="8"/>
        <v>1434</v>
      </c>
      <c r="K22" s="351">
        <v>0</v>
      </c>
      <c r="L22" s="67">
        <f t="shared" si="13"/>
        <v>1434</v>
      </c>
      <c r="M22" s="85">
        <f t="shared" si="10"/>
        <v>171.9019111111111</v>
      </c>
      <c r="N22" s="85">
        <f t="shared" si="11"/>
        <v>8.5950955555555555E-2</v>
      </c>
      <c r="O22" s="351">
        <v>0</v>
      </c>
      <c r="P22" s="12">
        <f t="shared" si="3"/>
        <v>26.555555555555557</v>
      </c>
      <c r="Q22" s="4">
        <f t="shared" si="4"/>
        <v>28.650318518518517</v>
      </c>
      <c r="R22" s="4">
        <f t="shared" si="5"/>
        <v>6.373333333333334</v>
      </c>
      <c r="S22" s="346">
        <v>0</v>
      </c>
      <c r="T22" s="4">
        <f t="shared" si="6"/>
        <v>7.7453703703703702</v>
      </c>
      <c r="U22" s="4">
        <f t="shared" si="7"/>
        <v>5.5324074074074074</v>
      </c>
      <c r="V22" s="373">
        <v>0</v>
      </c>
      <c r="W22" s="373">
        <v>0</v>
      </c>
      <c r="X22" s="72"/>
      <c r="AD22" s="59"/>
    </row>
    <row r="23" spans="1:30" ht="12.75" customHeight="1" x14ac:dyDescent="0.2">
      <c r="B23" s="338">
        <v>5458.6</v>
      </c>
      <c r="C23" s="339">
        <v>5527.27</v>
      </c>
      <c r="D23" s="340" t="s">
        <v>30</v>
      </c>
      <c r="E23" s="340" t="s">
        <v>101</v>
      </c>
      <c r="F23" s="340" t="s">
        <v>101</v>
      </c>
      <c r="G23" s="27">
        <f t="shared" si="0"/>
        <v>0</v>
      </c>
      <c r="H23" s="4">
        <f t="shared" si="1"/>
        <v>68.670000000000073</v>
      </c>
      <c r="I23" s="345">
        <v>36</v>
      </c>
      <c r="J23" s="71">
        <f t="shared" si="8"/>
        <v>2473</v>
      </c>
      <c r="K23" s="351">
        <v>0</v>
      </c>
      <c r="L23" s="67">
        <f t="shared" si="13"/>
        <v>2473</v>
      </c>
      <c r="M23" s="85">
        <f t="shared" si="10"/>
        <v>274.77777777777777</v>
      </c>
      <c r="N23" s="85">
        <f t="shared" si="11"/>
        <v>0.13738888888888889</v>
      </c>
      <c r="O23" s="351">
        <v>0</v>
      </c>
      <c r="P23" s="12">
        <f t="shared" si="3"/>
        <v>45.796296296296298</v>
      </c>
      <c r="Q23" s="4">
        <f t="shared" si="4"/>
        <v>45.796296296296298</v>
      </c>
      <c r="R23" s="4">
        <f t="shared" si="5"/>
        <v>10.991111111111111</v>
      </c>
      <c r="S23" s="346">
        <v>0</v>
      </c>
      <c r="T23" s="4">
        <f t="shared" si="6"/>
        <v>13.357253086419753</v>
      </c>
      <c r="U23" s="4">
        <f t="shared" si="7"/>
        <v>9.5408950617283956</v>
      </c>
      <c r="V23" s="373">
        <v>0</v>
      </c>
      <c r="W23" s="373">
        <v>0</v>
      </c>
      <c r="X23" s="72"/>
    </row>
    <row r="24" spans="1:30" ht="12.75" customHeight="1" x14ac:dyDescent="0.2">
      <c r="B24" s="338">
        <v>5527.27</v>
      </c>
      <c r="C24" s="339">
        <v>5599.21</v>
      </c>
      <c r="D24" s="340" t="s">
        <v>30</v>
      </c>
      <c r="E24" s="340">
        <v>1</v>
      </c>
      <c r="F24" s="340" t="s">
        <v>99</v>
      </c>
      <c r="G24" s="27">
        <f t="shared" si="0"/>
        <v>3.78351111111109</v>
      </c>
      <c r="H24" s="4">
        <f t="shared" si="1"/>
        <v>71.9399999999996</v>
      </c>
      <c r="I24" s="345">
        <v>36</v>
      </c>
      <c r="J24" s="71">
        <f t="shared" si="8"/>
        <v>2590</v>
      </c>
      <c r="K24" s="351">
        <v>0</v>
      </c>
      <c r="L24" s="67">
        <f t="shared" si="13"/>
        <v>2590</v>
      </c>
      <c r="M24" s="85">
        <f t="shared" si="10"/>
        <v>310.47884444444429</v>
      </c>
      <c r="N24" s="85">
        <f t="shared" si="11"/>
        <v>0.15523942222222215</v>
      </c>
      <c r="O24" s="351">
        <v>0</v>
      </c>
      <c r="P24" s="12">
        <f t="shared" si="3"/>
        <v>47.962962962962962</v>
      </c>
      <c r="Q24" s="4">
        <f t="shared" si="4"/>
        <v>51.746474074074051</v>
      </c>
      <c r="R24" s="4">
        <f t="shared" si="5"/>
        <v>11.511111111111111</v>
      </c>
      <c r="S24" s="346">
        <v>0</v>
      </c>
      <c r="T24" s="4">
        <f t="shared" si="6"/>
        <v>13.989197530864196</v>
      </c>
      <c r="U24" s="4">
        <f t="shared" si="7"/>
        <v>9.9922839506172849</v>
      </c>
      <c r="V24" s="373">
        <v>0</v>
      </c>
      <c r="W24" s="373">
        <v>0</v>
      </c>
      <c r="X24" s="72"/>
    </row>
    <row r="25" spans="1:30" ht="12.75" customHeight="1" x14ac:dyDescent="0.2">
      <c r="B25" s="338">
        <v>5599.21</v>
      </c>
      <c r="C25" s="339">
        <v>5849.98</v>
      </c>
      <c r="D25" s="340" t="s">
        <v>30</v>
      </c>
      <c r="E25" s="340">
        <v>2</v>
      </c>
      <c r="F25" s="340" t="s">
        <v>99</v>
      </c>
      <c r="G25" s="27">
        <f t="shared" si="0"/>
        <v>26.377288888888838</v>
      </c>
      <c r="H25" s="4">
        <f t="shared" si="1"/>
        <v>250.76999999999953</v>
      </c>
      <c r="I25" s="345">
        <v>36</v>
      </c>
      <c r="J25" s="71">
        <f t="shared" si="8"/>
        <v>9028</v>
      </c>
      <c r="K25" s="351">
        <v>0</v>
      </c>
      <c r="L25" s="67">
        <f t="shared" si="13"/>
        <v>9028</v>
      </c>
      <c r="M25" s="85">
        <f t="shared" si="10"/>
        <v>1161.3748444444441</v>
      </c>
      <c r="N25" s="85">
        <f t="shared" si="11"/>
        <v>0.58068742222222203</v>
      </c>
      <c r="O25" s="351">
        <v>0</v>
      </c>
      <c r="P25" s="12">
        <f t="shared" si="3"/>
        <v>167.18518518518519</v>
      </c>
      <c r="Q25" s="4">
        <f t="shared" si="4"/>
        <v>193.56247407407403</v>
      </c>
      <c r="R25" s="4">
        <f t="shared" si="5"/>
        <v>40.124444444444443</v>
      </c>
      <c r="S25" s="346">
        <v>0</v>
      </c>
      <c r="T25" s="4">
        <f t="shared" si="6"/>
        <v>48.762345679012341</v>
      </c>
      <c r="U25" s="4">
        <f t="shared" si="7"/>
        <v>34.830246913580247</v>
      </c>
      <c r="V25" s="373">
        <v>0</v>
      </c>
      <c r="W25" s="373">
        <v>0</v>
      </c>
      <c r="X25" s="72"/>
      <c r="AD25" s="200"/>
    </row>
    <row r="26" spans="1:30" ht="12.75" customHeight="1" x14ac:dyDescent="0.2">
      <c r="B26" s="338">
        <v>5849.98</v>
      </c>
      <c r="C26" s="339">
        <v>5925</v>
      </c>
      <c r="D26" s="340" t="s">
        <v>30</v>
      </c>
      <c r="E26" s="340">
        <v>2</v>
      </c>
      <c r="F26" s="340" t="s">
        <v>99</v>
      </c>
      <c r="G26" s="27">
        <f t="shared" si="0"/>
        <v>7.8909925925926379</v>
      </c>
      <c r="H26" s="4">
        <f t="shared" si="1"/>
        <v>75.020000000000437</v>
      </c>
      <c r="I26" s="345">
        <v>36.9</v>
      </c>
      <c r="J26" s="71">
        <f t="shared" si="8"/>
        <v>2769</v>
      </c>
      <c r="K26" s="351">
        <v>0</v>
      </c>
      <c r="L26" s="67">
        <f t="shared" si="13"/>
        <v>2769</v>
      </c>
      <c r="M26" s="85">
        <f t="shared" si="10"/>
        <v>355.01262222222249</v>
      </c>
      <c r="N26" s="85">
        <f t="shared" si="11"/>
        <v>0.17750631111111123</v>
      </c>
      <c r="O26" s="351">
        <v>0</v>
      </c>
      <c r="P26" s="12">
        <f t="shared" si="3"/>
        <v>51.277777777777779</v>
      </c>
      <c r="Q26" s="4">
        <f t="shared" si="4"/>
        <v>59.168770370370417</v>
      </c>
      <c r="R26" s="4">
        <f t="shared" si="5"/>
        <v>12.306666666666668</v>
      </c>
      <c r="S26" s="346">
        <v>0</v>
      </c>
      <c r="T26" s="4">
        <f t="shared" si="6"/>
        <v>14.956018518518519</v>
      </c>
      <c r="U26" s="4">
        <f t="shared" si="7"/>
        <v>10.68287037037037</v>
      </c>
      <c r="V26" s="373">
        <v>0</v>
      </c>
      <c r="W26" s="373">
        <v>0</v>
      </c>
      <c r="X26" s="72"/>
    </row>
    <row r="27" spans="1:30" ht="12.75" customHeight="1" x14ac:dyDescent="0.2">
      <c r="A27" s="81"/>
      <c r="B27" s="338">
        <v>5925</v>
      </c>
      <c r="C27" s="339">
        <v>6352.78</v>
      </c>
      <c r="D27" s="340" t="s">
        <v>30</v>
      </c>
      <c r="E27" s="340" t="s">
        <v>101</v>
      </c>
      <c r="F27" s="340" t="s">
        <v>101</v>
      </c>
      <c r="G27" s="27">
        <f>(AD11+AG11)/27</f>
        <v>94.703703703703709</v>
      </c>
      <c r="H27" s="4">
        <f t="shared" si="1"/>
        <v>427.77999999999975</v>
      </c>
      <c r="I27" s="345" t="s">
        <v>101</v>
      </c>
      <c r="J27" s="71" t="str">
        <f t="shared" si="8"/>
        <v>-</v>
      </c>
      <c r="K27" s="351">
        <v>24800</v>
      </c>
      <c r="L27" s="67">
        <f t="shared" ref="L27" si="14">SUM(J27:K27)</f>
        <v>24800</v>
      </c>
      <c r="M27" s="85">
        <f t="shared" si="10"/>
        <v>3323.7777777777778</v>
      </c>
      <c r="N27" s="85">
        <f t="shared" si="11"/>
        <v>1.661888888888889</v>
      </c>
      <c r="O27" s="351">
        <v>0</v>
      </c>
      <c r="P27" s="12">
        <f t="shared" si="3"/>
        <v>459.25925925925924</v>
      </c>
      <c r="Q27" s="4">
        <f t="shared" si="4"/>
        <v>553.96296296296293</v>
      </c>
      <c r="R27" s="346">
        <v>0</v>
      </c>
      <c r="S27" s="346">
        <v>0</v>
      </c>
      <c r="T27" s="346">
        <v>0</v>
      </c>
      <c r="U27" s="346">
        <v>0</v>
      </c>
      <c r="V27" s="373">
        <v>0</v>
      </c>
      <c r="W27" s="373">
        <v>0</v>
      </c>
      <c r="X27" s="72"/>
    </row>
    <row r="28" spans="1:30" ht="12.75" customHeight="1" x14ac:dyDescent="0.2">
      <c r="A28" s="81"/>
      <c r="B28" s="338">
        <v>5925</v>
      </c>
      <c r="C28" s="339">
        <v>6352.78</v>
      </c>
      <c r="D28" s="340" t="s">
        <v>30</v>
      </c>
      <c r="E28" s="340" t="s">
        <v>101</v>
      </c>
      <c r="F28" s="340" t="s">
        <v>101</v>
      </c>
      <c r="G28" s="27">
        <f>IF(F28=$Y$2,E28*$AA$9*H28/27,IF(F28=$Y$3,E28*$AA$10*H28/27,0))</f>
        <v>0</v>
      </c>
      <c r="H28" s="4">
        <f t="shared" ref="H28:H31" si="15">C28-B28</f>
        <v>427.77999999999975</v>
      </c>
      <c r="I28" s="345" t="s">
        <v>101</v>
      </c>
      <c r="J28" s="71" t="str">
        <f t="shared" si="8"/>
        <v>-</v>
      </c>
      <c r="K28" s="351">
        <v>20172</v>
      </c>
      <c r="L28" s="67">
        <f t="shared" ref="L28" si="16">SUM(J28:K28)</f>
        <v>20172</v>
      </c>
      <c r="M28" s="349">
        <v>0</v>
      </c>
      <c r="N28" s="349">
        <v>0</v>
      </c>
      <c r="O28" s="351">
        <v>0</v>
      </c>
      <c r="P28" s="345">
        <v>0</v>
      </c>
      <c r="Q28" s="346">
        <v>0</v>
      </c>
      <c r="R28" s="4">
        <f>($L28/9)*$R$1</f>
        <v>89.653333333333336</v>
      </c>
      <c r="S28" s="346">
        <v>0</v>
      </c>
      <c r="T28" s="4">
        <f>(L28*$T$1/12)/27</f>
        <v>108.95370370370371</v>
      </c>
      <c r="U28" s="4">
        <f>($L28*($U$1/12))/27</f>
        <v>77.824074074074076</v>
      </c>
      <c r="V28" s="373">
        <v>0</v>
      </c>
      <c r="W28" s="373">
        <v>0</v>
      </c>
      <c r="X28" s="72"/>
    </row>
    <row r="29" spans="1:30" ht="12.75" customHeight="1" x14ac:dyDescent="0.2">
      <c r="A29" s="81"/>
      <c r="B29" s="338">
        <v>5979.44</v>
      </c>
      <c r="C29" s="339">
        <v>6028.36</v>
      </c>
      <c r="D29" s="340" t="s">
        <v>30</v>
      </c>
      <c r="E29" s="340" t="s">
        <v>101</v>
      </c>
      <c r="F29" s="340" t="s">
        <v>101</v>
      </c>
      <c r="G29" s="27">
        <f>IF(F29=$Y$2,E29*$AA$9*H29/27,IF(F29=$Y$3,E29*$AA$10*H29/27,0))</f>
        <v>0</v>
      </c>
      <c r="H29" s="4">
        <f t="shared" si="15"/>
        <v>48.920000000000073</v>
      </c>
      <c r="I29" s="345" t="s">
        <v>101</v>
      </c>
      <c r="J29" s="71" t="str">
        <f t="shared" si="8"/>
        <v>-</v>
      </c>
      <c r="K29" s="351">
        <v>645</v>
      </c>
      <c r="L29" s="67">
        <f t="shared" ref="L29:L30" si="17">SUM(J29:K29)</f>
        <v>645</v>
      </c>
      <c r="M29" s="349">
        <v>0</v>
      </c>
      <c r="N29" s="349">
        <v>0</v>
      </c>
      <c r="O29" s="351">
        <v>0</v>
      </c>
      <c r="P29" s="345">
        <v>0</v>
      </c>
      <c r="Q29" s="346">
        <v>0</v>
      </c>
      <c r="R29" s="346">
        <v>0</v>
      </c>
      <c r="S29" s="346">
        <v>0</v>
      </c>
      <c r="T29" s="346">
        <v>0</v>
      </c>
      <c r="U29" s="346">
        <v>0</v>
      </c>
      <c r="V29" s="373">
        <v>0</v>
      </c>
      <c r="W29" s="218">
        <f>L29/9</f>
        <v>71.666666666666671</v>
      </c>
      <c r="X29" s="72"/>
    </row>
    <row r="30" spans="1:30" s="81" customFormat="1" ht="12.75" customHeight="1" x14ac:dyDescent="0.2">
      <c r="B30" s="358">
        <v>6053.36</v>
      </c>
      <c r="C30" s="359">
        <v>6188.47</v>
      </c>
      <c r="D30" s="340" t="s">
        <v>30</v>
      </c>
      <c r="E30" s="340"/>
      <c r="F30" s="340"/>
      <c r="G30" s="27">
        <f>IF(F30=$Y$2,E30*$AA$9*H30/27,IF(F30=$Y$3,E30*$AA$10*H30/27,0))</f>
        <v>0</v>
      </c>
      <c r="H30" s="83">
        <f t="shared" si="15"/>
        <v>135.11000000000058</v>
      </c>
      <c r="I30" s="345" t="s">
        <v>101</v>
      </c>
      <c r="J30" s="71" t="str">
        <f t="shared" si="8"/>
        <v>-</v>
      </c>
      <c r="K30" s="351">
        <v>2593</v>
      </c>
      <c r="L30" s="67">
        <f t="shared" si="17"/>
        <v>2593</v>
      </c>
      <c r="M30" s="349">
        <v>0</v>
      </c>
      <c r="N30" s="349">
        <v>0</v>
      </c>
      <c r="O30" s="351">
        <v>0</v>
      </c>
      <c r="P30" s="345">
        <v>0</v>
      </c>
      <c r="Q30" s="346">
        <v>0</v>
      </c>
      <c r="R30" s="346">
        <v>0</v>
      </c>
      <c r="S30" s="346">
        <v>0</v>
      </c>
      <c r="T30" s="346">
        <v>0</v>
      </c>
      <c r="U30" s="346">
        <v>0</v>
      </c>
      <c r="V30" s="69">
        <f>L30/9</f>
        <v>288.11111111111109</v>
      </c>
      <c r="W30" s="373">
        <v>0</v>
      </c>
      <c r="X30" s="72"/>
    </row>
    <row r="31" spans="1:30" ht="12.75" customHeight="1" x14ac:dyDescent="0.2">
      <c r="B31" s="358">
        <v>6352.78</v>
      </c>
      <c r="C31" s="359">
        <v>6482.44</v>
      </c>
      <c r="D31" s="340" t="s">
        <v>30</v>
      </c>
      <c r="E31" s="340">
        <v>2</v>
      </c>
      <c r="F31" s="340" t="s">
        <v>100</v>
      </c>
      <c r="G31" s="27">
        <f>IF(F31=$Y$2,E31*$AA$9*H31/27,IF(F31=$Y$3,E31*$AA$10*H31/27,0))</f>
        <v>25.643866666666639</v>
      </c>
      <c r="H31" s="4">
        <f t="shared" si="15"/>
        <v>129.65999999999985</v>
      </c>
      <c r="I31" s="345">
        <v>37</v>
      </c>
      <c r="J31" s="71">
        <f t="shared" si="8"/>
        <v>4798</v>
      </c>
      <c r="K31" s="351">
        <v>0</v>
      </c>
      <c r="L31" s="67">
        <f t="shared" ref="L31:L32" si="18">SUM(J31:K31)</f>
        <v>4798</v>
      </c>
      <c r="M31" s="85">
        <f t="shared" si="10"/>
        <v>686.97431111111086</v>
      </c>
      <c r="N31" s="85">
        <f t="shared" si="11"/>
        <v>0.34348715555555542</v>
      </c>
      <c r="O31" s="351">
        <v>0</v>
      </c>
      <c r="P31" s="12">
        <f>(L31*$P$1/12)/27</f>
        <v>88.851851851851848</v>
      </c>
      <c r="Q31" s="4">
        <f>(L31*$Q$1/12)/27+G31</f>
        <v>114.49571851851849</v>
      </c>
      <c r="R31" s="346">
        <v>0</v>
      </c>
      <c r="S31" s="346">
        <v>0</v>
      </c>
      <c r="T31" s="346">
        <v>0</v>
      </c>
      <c r="U31" s="346">
        <v>0</v>
      </c>
      <c r="V31" s="373">
        <v>0</v>
      </c>
      <c r="W31" s="373">
        <v>0</v>
      </c>
      <c r="X31" s="72"/>
    </row>
    <row r="32" spans="1:30" ht="12.75" customHeight="1" x14ac:dyDescent="0.2">
      <c r="B32" s="358">
        <v>6352.78</v>
      </c>
      <c r="C32" s="359">
        <v>6482.44</v>
      </c>
      <c r="D32" s="340" t="s">
        <v>30</v>
      </c>
      <c r="E32" s="340" t="s">
        <v>101</v>
      </c>
      <c r="F32" s="340" t="s">
        <v>101</v>
      </c>
      <c r="G32" s="27">
        <f>IF(F32=$Y$2,E32*$AA$9*H32/27,IF(F32=$Y$3,E32*$AA$10*H32/27,0))</f>
        <v>0</v>
      </c>
      <c r="H32" s="4">
        <f t="shared" ref="H32:H33" si="19">C32-B32</f>
        <v>129.65999999999985</v>
      </c>
      <c r="I32" s="368">
        <v>28</v>
      </c>
      <c r="J32" s="71">
        <f t="shared" si="8"/>
        <v>3631</v>
      </c>
      <c r="K32" s="351">
        <v>0</v>
      </c>
      <c r="L32" s="67">
        <f t="shared" si="18"/>
        <v>3631</v>
      </c>
      <c r="M32" s="349">
        <v>0</v>
      </c>
      <c r="N32" s="349">
        <v>0</v>
      </c>
      <c r="O32" s="351">
        <v>0</v>
      </c>
      <c r="P32" s="345">
        <v>0</v>
      </c>
      <c r="Q32" s="346">
        <v>0</v>
      </c>
      <c r="R32" s="4">
        <f>($L32/9)*$R$1</f>
        <v>16.137777777777778</v>
      </c>
      <c r="S32" s="346">
        <v>0</v>
      </c>
      <c r="T32" s="4">
        <f>(L32*$T$1/12)/27</f>
        <v>19.611882716049383</v>
      </c>
      <c r="U32" s="4">
        <f>($L32*($U$1/12))/27</f>
        <v>14.008487654320989</v>
      </c>
      <c r="V32" s="373">
        <v>0</v>
      </c>
      <c r="W32" s="373">
        <v>0</v>
      </c>
      <c r="X32" s="72"/>
    </row>
    <row r="33" spans="1:24" ht="12.75" customHeight="1" x14ac:dyDescent="0.2">
      <c r="B33" s="358">
        <v>6482.44</v>
      </c>
      <c r="C33" s="359">
        <v>6862.41</v>
      </c>
      <c r="D33" s="340" t="s">
        <v>30</v>
      </c>
      <c r="E33" s="340" t="s">
        <v>101</v>
      </c>
      <c r="F33" s="340" t="s">
        <v>101</v>
      </c>
      <c r="G33" s="27">
        <f>(AD12+AG12)/27</f>
        <v>87.259259259259252</v>
      </c>
      <c r="H33" s="60">
        <f t="shared" si="19"/>
        <v>379.97000000000025</v>
      </c>
      <c r="I33" s="368" t="s">
        <v>101</v>
      </c>
      <c r="J33" s="71" t="str">
        <f t="shared" si="8"/>
        <v>-</v>
      </c>
      <c r="K33" s="372">
        <v>22903</v>
      </c>
      <c r="L33" s="67">
        <f t="shared" ref="L33:L35" si="20">SUM(J33:K33)</f>
        <v>22903</v>
      </c>
      <c r="M33" s="85">
        <f t="shared" si="10"/>
        <v>3068.3333333333335</v>
      </c>
      <c r="N33" s="85">
        <f t="shared" si="11"/>
        <v>1.5341666666666667</v>
      </c>
      <c r="O33" s="351">
        <v>0</v>
      </c>
      <c r="P33" s="12">
        <f>(L33*$P$1/12)/27</f>
        <v>424.12962962962962</v>
      </c>
      <c r="Q33" s="4">
        <f>(L33*$Q$1/12)/27+G33</f>
        <v>511.38888888888886</v>
      </c>
      <c r="R33" s="346">
        <v>0</v>
      </c>
      <c r="S33" s="346">
        <v>0</v>
      </c>
      <c r="T33" s="346">
        <v>0</v>
      </c>
      <c r="U33" s="346">
        <v>0</v>
      </c>
      <c r="V33" s="373">
        <v>0</v>
      </c>
      <c r="W33" s="373">
        <v>0</v>
      </c>
      <c r="X33" s="72"/>
    </row>
    <row r="34" spans="1:24" ht="12.75" customHeight="1" x14ac:dyDescent="0.2">
      <c r="B34" s="358">
        <v>6482.44</v>
      </c>
      <c r="C34" s="359">
        <v>6862.41</v>
      </c>
      <c r="D34" s="340" t="s">
        <v>30</v>
      </c>
      <c r="E34" s="340" t="s">
        <v>101</v>
      </c>
      <c r="F34" s="340" t="s">
        <v>101</v>
      </c>
      <c r="G34" s="27">
        <f t="shared" ref="G34:G45" si="21">IF(F34=$Y$2,E34*$AA$9*H34/27,IF(F34=$Y$3,E34*$AA$10*H34/27,0))</f>
        <v>0</v>
      </c>
      <c r="H34" s="4">
        <f t="shared" ref="H34" si="22">C34-B34</f>
        <v>379.97000000000025</v>
      </c>
      <c r="I34" s="368" t="s">
        <v>101</v>
      </c>
      <c r="J34" s="71" t="str">
        <f t="shared" si="8"/>
        <v>-</v>
      </c>
      <c r="K34" s="372">
        <v>18031</v>
      </c>
      <c r="L34" s="67">
        <f t="shared" si="20"/>
        <v>18031</v>
      </c>
      <c r="M34" s="349">
        <v>0</v>
      </c>
      <c r="N34" s="349">
        <v>0</v>
      </c>
      <c r="O34" s="351">
        <v>0</v>
      </c>
      <c r="P34" s="345">
        <v>0</v>
      </c>
      <c r="Q34" s="346">
        <v>0</v>
      </c>
      <c r="R34" s="4">
        <f>($L34/9)*$R$1</f>
        <v>80.137777777777771</v>
      </c>
      <c r="S34" s="346">
        <v>0</v>
      </c>
      <c r="T34" s="4">
        <f>(L34*$T$1/12)/27</f>
        <v>97.389660493827165</v>
      </c>
      <c r="U34" s="4">
        <f>($L34*($U$1/12))/27</f>
        <v>69.564043209876544</v>
      </c>
      <c r="V34" s="373">
        <v>0</v>
      </c>
      <c r="W34" s="373">
        <v>0</v>
      </c>
      <c r="X34" s="72"/>
    </row>
    <row r="35" spans="1:24" ht="12.75" customHeight="1" x14ac:dyDescent="0.2">
      <c r="B35" s="358">
        <v>6588.87</v>
      </c>
      <c r="C35" s="359">
        <v>6725.19</v>
      </c>
      <c r="D35" s="340" t="s">
        <v>30</v>
      </c>
      <c r="E35" s="340" t="s">
        <v>101</v>
      </c>
      <c r="F35" s="340" t="s">
        <v>101</v>
      </c>
      <c r="G35" s="27">
        <f t="shared" si="21"/>
        <v>0</v>
      </c>
      <c r="H35" s="4">
        <f t="shared" ref="H35:H37" si="23">C35-B35</f>
        <v>136.31999999999971</v>
      </c>
      <c r="I35" s="368" t="s">
        <v>101</v>
      </c>
      <c r="J35" s="71" t="str">
        <f t="shared" si="8"/>
        <v>-</v>
      </c>
      <c r="K35" s="372">
        <v>2751</v>
      </c>
      <c r="L35" s="67">
        <f t="shared" si="20"/>
        <v>2751</v>
      </c>
      <c r="M35" s="349">
        <v>0</v>
      </c>
      <c r="N35" s="349">
        <v>0</v>
      </c>
      <c r="O35" s="351">
        <v>0</v>
      </c>
      <c r="P35" s="345">
        <v>0</v>
      </c>
      <c r="Q35" s="346">
        <v>0</v>
      </c>
      <c r="R35" s="346">
        <v>0</v>
      </c>
      <c r="S35" s="346">
        <v>0</v>
      </c>
      <c r="T35" s="346">
        <v>0</v>
      </c>
      <c r="U35" s="346">
        <v>0</v>
      </c>
      <c r="V35" s="69">
        <f>L35/9</f>
        <v>305.66666666666669</v>
      </c>
      <c r="W35" s="373">
        <v>0</v>
      </c>
      <c r="X35" s="72"/>
    </row>
    <row r="36" spans="1:24" ht="12.75" customHeight="1" x14ac:dyDescent="0.2">
      <c r="A36" s="81"/>
      <c r="B36" s="358">
        <v>6749.77</v>
      </c>
      <c r="C36" s="359">
        <v>6798.14</v>
      </c>
      <c r="D36" s="340" t="s">
        <v>30</v>
      </c>
      <c r="E36" s="340" t="s">
        <v>101</v>
      </c>
      <c r="F36" s="340" t="s">
        <v>101</v>
      </c>
      <c r="G36" s="27">
        <f t="shared" si="21"/>
        <v>0</v>
      </c>
      <c r="H36" s="115">
        <f t="shared" si="23"/>
        <v>48.369999999999891</v>
      </c>
      <c r="I36" s="368" t="s">
        <v>101</v>
      </c>
      <c r="J36" s="71" t="str">
        <f t="shared" si="8"/>
        <v>-</v>
      </c>
      <c r="K36" s="372">
        <v>725</v>
      </c>
      <c r="L36" s="67">
        <f t="shared" ref="L36" si="24">SUM(J36:K36)</f>
        <v>725</v>
      </c>
      <c r="M36" s="349">
        <v>0</v>
      </c>
      <c r="N36" s="349">
        <v>0</v>
      </c>
      <c r="O36" s="351">
        <v>0</v>
      </c>
      <c r="P36" s="345">
        <v>0</v>
      </c>
      <c r="Q36" s="346">
        <v>0</v>
      </c>
      <c r="R36" s="346">
        <v>0</v>
      </c>
      <c r="S36" s="346">
        <v>0</v>
      </c>
      <c r="T36" s="346">
        <v>0</v>
      </c>
      <c r="U36" s="346">
        <v>0</v>
      </c>
      <c r="V36" s="373">
        <v>0</v>
      </c>
      <c r="W36" s="218">
        <f>L36/9</f>
        <v>80.555555555555557</v>
      </c>
      <c r="X36" s="72"/>
    </row>
    <row r="37" spans="1:24" ht="12.75" customHeight="1" x14ac:dyDescent="0.2">
      <c r="B37" s="358">
        <v>6862.41</v>
      </c>
      <c r="C37" s="359">
        <v>6923.34</v>
      </c>
      <c r="D37" s="340" t="s">
        <v>30</v>
      </c>
      <c r="E37" s="340">
        <v>2</v>
      </c>
      <c r="F37" s="340" t="s">
        <v>100</v>
      </c>
      <c r="G37" s="27">
        <f t="shared" si="21"/>
        <v>12.050600000000056</v>
      </c>
      <c r="H37" s="60">
        <f t="shared" si="23"/>
        <v>60.930000000000291</v>
      </c>
      <c r="I37" s="368">
        <v>40</v>
      </c>
      <c r="J37" s="71">
        <f t="shared" si="8"/>
        <v>2438</v>
      </c>
      <c r="K37" s="372">
        <v>0</v>
      </c>
      <c r="L37" s="67">
        <f t="shared" ref="L37:L42" si="25">SUM(J37:K37)</f>
        <v>2438</v>
      </c>
      <c r="M37" s="85">
        <f t="shared" si="10"/>
        <v>343.19248888888916</v>
      </c>
      <c r="N37" s="85">
        <f t="shared" si="11"/>
        <v>0.17159624444444457</v>
      </c>
      <c r="O37" s="351">
        <v>0</v>
      </c>
      <c r="P37" s="12">
        <f>(L37*$P$1/12)/27</f>
        <v>45.148148148148145</v>
      </c>
      <c r="Q37" s="4">
        <f>(L37*$Q$1/12)/27+G37</f>
        <v>57.198748148148198</v>
      </c>
      <c r="R37" s="346">
        <v>0</v>
      </c>
      <c r="S37" s="346">
        <v>0</v>
      </c>
      <c r="T37" s="346">
        <v>0</v>
      </c>
      <c r="U37" s="346">
        <v>0</v>
      </c>
      <c r="V37" s="373">
        <v>0</v>
      </c>
      <c r="W37" s="373">
        <v>0</v>
      </c>
      <c r="X37" s="72"/>
    </row>
    <row r="38" spans="1:24" ht="12.75" customHeight="1" x14ac:dyDescent="0.2">
      <c r="B38" s="358">
        <v>6862.41</v>
      </c>
      <c r="C38" s="359">
        <v>6923.34</v>
      </c>
      <c r="D38" s="340" t="s">
        <v>30</v>
      </c>
      <c r="E38" s="340" t="s">
        <v>101</v>
      </c>
      <c r="F38" s="340" t="s">
        <v>101</v>
      </c>
      <c r="G38" s="27">
        <f t="shared" si="21"/>
        <v>0</v>
      </c>
      <c r="H38" s="60">
        <f t="shared" ref="H38:H40" si="26">C38-B38</f>
        <v>60.930000000000291</v>
      </c>
      <c r="I38" s="368">
        <v>34</v>
      </c>
      <c r="J38" s="71">
        <f t="shared" si="8"/>
        <v>2072</v>
      </c>
      <c r="K38" s="372">
        <v>0</v>
      </c>
      <c r="L38" s="67">
        <f t="shared" si="25"/>
        <v>2072</v>
      </c>
      <c r="M38" s="349">
        <v>0</v>
      </c>
      <c r="N38" s="349">
        <v>0</v>
      </c>
      <c r="O38" s="351">
        <v>0</v>
      </c>
      <c r="P38" s="345">
        <v>0</v>
      </c>
      <c r="Q38" s="346">
        <v>0</v>
      </c>
      <c r="R38" s="4">
        <f t="shared" ref="R38:R44" si="27">($L38/9)*$R$1</f>
        <v>9.2088888888888896</v>
      </c>
      <c r="S38" s="346">
        <v>0</v>
      </c>
      <c r="T38" s="4">
        <f t="shared" ref="T38:T44" si="28">(L38*$T$1/12)/27</f>
        <v>11.191358024691359</v>
      </c>
      <c r="U38" s="4">
        <f t="shared" ref="U38:U44" si="29">($L38*($U$1/12))/27</f>
        <v>7.9938271604938276</v>
      </c>
      <c r="V38" s="373">
        <v>0</v>
      </c>
      <c r="W38" s="373">
        <v>0</v>
      </c>
      <c r="X38" s="72"/>
    </row>
    <row r="39" spans="1:24" ht="12.75" customHeight="1" x14ac:dyDescent="0.2">
      <c r="B39" s="358">
        <v>6923.34</v>
      </c>
      <c r="C39" s="359">
        <v>6973.34</v>
      </c>
      <c r="D39" s="340" t="s">
        <v>30</v>
      </c>
      <c r="E39" s="340">
        <v>2</v>
      </c>
      <c r="F39" s="340" t="s">
        <v>100</v>
      </c>
      <c r="G39" s="27">
        <f t="shared" si="21"/>
        <v>9.8888888888888893</v>
      </c>
      <c r="H39" s="60">
        <f t="shared" si="26"/>
        <v>50</v>
      </c>
      <c r="I39" s="368">
        <v>45</v>
      </c>
      <c r="J39" s="71">
        <f t="shared" si="8"/>
        <v>2250</v>
      </c>
      <c r="K39" s="372">
        <v>0</v>
      </c>
      <c r="L39" s="67">
        <f t="shared" si="25"/>
        <v>2250</v>
      </c>
      <c r="M39" s="85">
        <f t="shared" si="10"/>
        <v>309.33333333333331</v>
      </c>
      <c r="N39" s="85">
        <f t="shared" si="11"/>
        <v>0.15466666666666665</v>
      </c>
      <c r="O39" s="351">
        <v>0</v>
      </c>
      <c r="P39" s="12">
        <f t="shared" ref="P39:P44" si="30">(L39*$P$1/12)/27</f>
        <v>41.666666666666664</v>
      </c>
      <c r="Q39" s="4">
        <f t="shared" ref="Q39:Q44" si="31">(L39*$Q$1/12)/27+G39</f>
        <v>51.555555555555557</v>
      </c>
      <c r="R39" s="4">
        <f t="shared" si="27"/>
        <v>10</v>
      </c>
      <c r="S39" s="346">
        <v>0</v>
      </c>
      <c r="T39" s="4">
        <f t="shared" si="28"/>
        <v>12.152777777777779</v>
      </c>
      <c r="U39" s="4">
        <f t="shared" si="29"/>
        <v>8.6805555555555554</v>
      </c>
      <c r="V39" s="373">
        <v>0</v>
      </c>
      <c r="W39" s="373">
        <v>0</v>
      </c>
      <c r="X39" s="72"/>
    </row>
    <row r="40" spans="1:24" ht="12.75" customHeight="1" x14ac:dyDescent="0.2">
      <c r="B40" s="358">
        <v>6973.34</v>
      </c>
      <c r="C40" s="359">
        <v>7013.64</v>
      </c>
      <c r="D40" s="340" t="s">
        <v>16</v>
      </c>
      <c r="E40" s="340">
        <v>1</v>
      </c>
      <c r="F40" s="340" t="s">
        <v>99</v>
      </c>
      <c r="G40" s="27">
        <f t="shared" si="21"/>
        <v>2.1194814814814911</v>
      </c>
      <c r="H40" s="60">
        <f t="shared" si="26"/>
        <v>40.300000000000182</v>
      </c>
      <c r="I40" s="368">
        <v>30</v>
      </c>
      <c r="J40" s="71">
        <f t="shared" si="8"/>
        <v>1210</v>
      </c>
      <c r="K40" s="372">
        <v>0</v>
      </c>
      <c r="L40" s="67">
        <f t="shared" si="25"/>
        <v>1210</v>
      </c>
      <c r="M40" s="85">
        <f>((Q40*27)/0.5)/9</f>
        <v>147.16133333333337</v>
      </c>
      <c r="N40" s="85">
        <f t="shared" si="11"/>
        <v>7.3580666666666683E-2</v>
      </c>
      <c r="O40" s="351">
        <v>0</v>
      </c>
      <c r="P40" s="12">
        <f t="shared" si="30"/>
        <v>22.407407407407408</v>
      </c>
      <c r="Q40" s="4">
        <f t="shared" si="31"/>
        <v>24.526888888888898</v>
      </c>
      <c r="R40" s="4">
        <f t="shared" si="27"/>
        <v>5.3777777777777782</v>
      </c>
      <c r="S40" s="346">
        <v>0</v>
      </c>
      <c r="T40" s="4">
        <f t="shared" si="28"/>
        <v>6.5354938271604945</v>
      </c>
      <c r="U40" s="4">
        <f t="shared" si="29"/>
        <v>4.6682098765432096</v>
      </c>
      <c r="V40" s="373">
        <v>0</v>
      </c>
      <c r="W40" s="373">
        <v>0</v>
      </c>
      <c r="X40" s="72"/>
    </row>
    <row r="41" spans="1:24" ht="12.75" customHeight="1" x14ac:dyDescent="0.2">
      <c r="B41" s="358">
        <v>6973.34</v>
      </c>
      <c r="C41" s="359">
        <v>7013.64</v>
      </c>
      <c r="D41" s="340" t="s">
        <v>15</v>
      </c>
      <c r="E41" s="340">
        <v>1</v>
      </c>
      <c r="F41" s="340" t="s">
        <v>100</v>
      </c>
      <c r="G41" s="27">
        <f t="shared" si="21"/>
        <v>3.98522222222224</v>
      </c>
      <c r="H41" s="60">
        <f t="shared" ref="H41:H42" si="32">C41-B41</f>
        <v>40.300000000000182</v>
      </c>
      <c r="I41" s="368">
        <v>20</v>
      </c>
      <c r="J41" s="71">
        <f t="shared" si="8"/>
        <v>807</v>
      </c>
      <c r="K41" s="372">
        <v>0</v>
      </c>
      <c r="L41" s="67">
        <f t="shared" si="25"/>
        <v>807</v>
      </c>
      <c r="M41" s="85">
        <f t="shared" si="10"/>
        <v>113.5780000000001</v>
      </c>
      <c r="N41" s="85">
        <f t="shared" si="11"/>
        <v>5.6789000000000048E-2</v>
      </c>
      <c r="O41" s="351">
        <v>0</v>
      </c>
      <c r="P41" s="12">
        <f t="shared" si="30"/>
        <v>14.944444444444445</v>
      </c>
      <c r="Q41" s="4">
        <f t="shared" si="31"/>
        <v>18.929666666666684</v>
      </c>
      <c r="R41" s="4">
        <f t="shared" si="27"/>
        <v>3.5866666666666669</v>
      </c>
      <c r="S41" s="346">
        <v>0</v>
      </c>
      <c r="T41" s="4">
        <f t="shared" si="28"/>
        <v>4.3587962962962967</v>
      </c>
      <c r="U41" s="4">
        <f t="shared" si="29"/>
        <v>3.113425925925926</v>
      </c>
      <c r="V41" s="373">
        <v>0</v>
      </c>
      <c r="W41" s="373">
        <v>0</v>
      </c>
      <c r="X41" s="72"/>
    </row>
    <row r="42" spans="1:24" ht="12.75" customHeight="1" x14ac:dyDescent="0.2">
      <c r="B42" s="358">
        <v>7013.64</v>
      </c>
      <c r="C42" s="359">
        <v>7232.55</v>
      </c>
      <c r="D42" s="340" t="s">
        <v>16</v>
      </c>
      <c r="E42" s="340">
        <v>1</v>
      </c>
      <c r="F42" s="340" t="s">
        <v>99</v>
      </c>
      <c r="G42" s="27">
        <f t="shared" si="21"/>
        <v>11.513044444444436</v>
      </c>
      <c r="H42" s="60">
        <f t="shared" si="32"/>
        <v>218.90999999999985</v>
      </c>
      <c r="I42" s="368">
        <v>30</v>
      </c>
      <c r="J42" s="71">
        <f t="shared" si="8"/>
        <v>6568</v>
      </c>
      <c r="K42" s="372">
        <v>0</v>
      </c>
      <c r="L42" s="67">
        <f t="shared" si="25"/>
        <v>6568</v>
      </c>
      <c r="M42" s="85">
        <f t="shared" si="10"/>
        <v>798.85604444444448</v>
      </c>
      <c r="N42" s="85">
        <f t="shared" si="11"/>
        <v>0.39942802222222223</v>
      </c>
      <c r="O42" s="351">
        <v>0</v>
      </c>
      <c r="P42" s="12">
        <f t="shared" si="30"/>
        <v>121.62962962962963</v>
      </c>
      <c r="Q42" s="4">
        <f t="shared" si="31"/>
        <v>133.14267407407408</v>
      </c>
      <c r="R42" s="4">
        <f t="shared" si="27"/>
        <v>29.191111111111113</v>
      </c>
      <c r="S42" s="346">
        <v>0</v>
      </c>
      <c r="T42" s="4">
        <f t="shared" si="28"/>
        <v>35.47530864197531</v>
      </c>
      <c r="U42" s="4">
        <f t="shared" si="29"/>
        <v>25.33950617283951</v>
      </c>
      <c r="V42" s="373">
        <v>0</v>
      </c>
      <c r="W42" s="373">
        <v>0</v>
      </c>
      <c r="X42" s="72"/>
    </row>
    <row r="43" spans="1:24" ht="12.75" customHeight="1" x14ac:dyDescent="0.2">
      <c r="B43" s="358">
        <v>7013.64</v>
      </c>
      <c r="C43" s="359">
        <v>7307.33</v>
      </c>
      <c r="D43" s="340" t="s">
        <v>15</v>
      </c>
      <c r="E43" s="340">
        <v>1</v>
      </c>
      <c r="F43" s="340" t="s">
        <v>99</v>
      </c>
      <c r="G43" s="27">
        <f t="shared" si="21"/>
        <v>14.357777777777777</v>
      </c>
      <c r="H43" s="371">
        <v>273</v>
      </c>
      <c r="I43" s="368" t="s">
        <v>101</v>
      </c>
      <c r="J43" s="71" t="str">
        <f t="shared" si="8"/>
        <v>-</v>
      </c>
      <c r="K43" s="372">
        <v>7740</v>
      </c>
      <c r="L43" s="67">
        <f t="shared" ref="L43:L44" si="33">SUM(J43:K43)</f>
        <v>7740</v>
      </c>
      <c r="M43" s="85">
        <f t="shared" si="10"/>
        <v>946.14666666666687</v>
      </c>
      <c r="N43" s="85">
        <f t="shared" si="11"/>
        <v>0.47307333333333346</v>
      </c>
      <c r="O43" s="351">
        <v>0</v>
      </c>
      <c r="P43" s="12">
        <f t="shared" si="30"/>
        <v>143.33333333333334</v>
      </c>
      <c r="Q43" s="4">
        <f t="shared" si="31"/>
        <v>157.69111111111113</v>
      </c>
      <c r="R43" s="4">
        <f t="shared" si="27"/>
        <v>34.4</v>
      </c>
      <c r="S43" s="346">
        <v>0</v>
      </c>
      <c r="T43" s="4">
        <f t="shared" si="28"/>
        <v>41.805555555555557</v>
      </c>
      <c r="U43" s="4">
        <f t="shared" si="29"/>
        <v>29.861111111111111</v>
      </c>
      <c r="V43" s="373">
        <v>0</v>
      </c>
      <c r="W43" s="373">
        <v>0</v>
      </c>
      <c r="X43" s="72"/>
    </row>
    <row r="44" spans="1:24" ht="12.75" customHeight="1" x14ac:dyDescent="0.2">
      <c r="B44" s="358">
        <v>7232.55</v>
      </c>
      <c r="C44" s="359">
        <v>7307.33</v>
      </c>
      <c r="D44" s="340" t="s">
        <v>16</v>
      </c>
      <c r="E44" s="340">
        <v>1</v>
      </c>
      <c r="F44" s="340" t="s">
        <v>99</v>
      </c>
      <c r="G44" s="27">
        <f t="shared" si="21"/>
        <v>8.3096296296296295</v>
      </c>
      <c r="H44" s="371">
        <v>158</v>
      </c>
      <c r="I44" s="368" t="s">
        <v>101</v>
      </c>
      <c r="J44" s="71" t="str">
        <f t="shared" si="8"/>
        <v>-</v>
      </c>
      <c r="K44" s="372">
        <v>3496</v>
      </c>
      <c r="L44" s="67">
        <f t="shared" si="33"/>
        <v>3496</v>
      </c>
      <c r="M44" s="85">
        <f t="shared" si="10"/>
        <v>438.30222222222227</v>
      </c>
      <c r="N44" s="85">
        <f t="shared" si="11"/>
        <v>0.21915111111111113</v>
      </c>
      <c r="O44" s="351">
        <v>0</v>
      </c>
      <c r="P44" s="12">
        <f t="shared" si="30"/>
        <v>64.740740740740748</v>
      </c>
      <c r="Q44" s="4">
        <f t="shared" si="31"/>
        <v>73.050370370370374</v>
      </c>
      <c r="R44" s="4">
        <f t="shared" si="27"/>
        <v>15.537777777777778</v>
      </c>
      <c r="S44" s="346">
        <v>0</v>
      </c>
      <c r="T44" s="4">
        <f t="shared" si="28"/>
        <v>18.882716049382715</v>
      </c>
      <c r="U44" s="4">
        <f t="shared" si="29"/>
        <v>13.487654320987655</v>
      </c>
      <c r="V44" s="373">
        <v>0</v>
      </c>
      <c r="W44" s="373">
        <v>0</v>
      </c>
      <c r="X44" s="72"/>
    </row>
    <row r="45" spans="1:24" ht="12.75" customHeight="1" x14ac:dyDescent="0.2">
      <c r="B45" s="358">
        <v>2865.59</v>
      </c>
      <c r="C45" s="359">
        <v>7450.58</v>
      </c>
      <c r="D45" s="340" t="s">
        <v>30</v>
      </c>
      <c r="E45" s="340" t="s">
        <v>101</v>
      </c>
      <c r="F45" s="340" t="s">
        <v>101</v>
      </c>
      <c r="G45" s="27">
        <f t="shared" si="21"/>
        <v>0</v>
      </c>
      <c r="H45" s="371" t="s">
        <v>101</v>
      </c>
      <c r="I45" s="368" t="s">
        <v>101</v>
      </c>
      <c r="J45" s="71" t="str">
        <f t="shared" si="8"/>
        <v>-</v>
      </c>
      <c r="K45" s="372">
        <v>0</v>
      </c>
      <c r="L45" s="67">
        <f t="shared" ref="L45" si="34">SUM(J45:K45)</f>
        <v>0</v>
      </c>
      <c r="M45" s="349">
        <v>0</v>
      </c>
      <c r="N45" s="349">
        <v>0</v>
      </c>
      <c r="O45" s="351">
        <v>306</v>
      </c>
      <c r="P45" s="345">
        <v>0</v>
      </c>
      <c r="Q45" s="346">
        <v>0</v>
      </c>
      <c r="R45" s="346">
        <v>0</v>
      </c>
      <c r="S45" s="346">
        <v>0</v>
      </c>
      <c r="T45" s="346">
        <v>0</v>
      </c>
      <c r="U45" s="346">
        <v>0</v>
      </c>
      <c r="V45" s="373">
        <v>0</v>
      </c>
      <c r="W45" s="373">
        <v>0</v>
      </c>
      <c r="X45" s="72"/>
    </row>
    <row r="46" spans="1:24" ht="12.75" customHeight="1" thickBot="1" x14ac:dyDescent="0.25">
      <c r="B46" s="54"/>
      <c r="C46" s="3"/>
      <c r="D46" s="32"/>
      <c r="E46" s="32"/>
      <c r="F46" s="32"/>
      <c r="G46" s="32"/>
      <c r="H46" s="26"/>
      <c r="I46" s="27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164"/>
    </row>
    <row r="47" spans="1:24" ht="12.75" customHeight="1" x14ac:dyDescent="0.2">
      <c r="B47" s="643" t="s">
        <v>236</v>
      </c>
      <c r="C47" s="644"/>
      <c r="D47" s="28"/>
      <c r="E47" s="29"/>
      <c r="F47" s="29"/>
      <c r="G47" s="64"/>
      <c r="H47" s="64"/>
      <c r="I47" s="64"/>
      <c r="J47" s="29"/>
      <c r="K47" s="29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"/>
    </row>
    <row r="48" spans="1:24" ht="12.75" customHeight="1" x14ac:dyDescent="0.2">
      <c r="B48" s="338">
        <v>5583.2</v>
      </c>
      <c r="C48" s="339">
        <v>5849.99</v>
      </c>
      <c r="D48" s="340" t="s">
        <v>15</v>
      </c>
      <c r="E48" s="340" t="s">
        <v>101</v>
      </c>
      <c r="F48" s="340" t="s">
        <v>101</v>
      </c>
      <c r="G48" s="27">
        <f t="shared" ref="G48:G55" si="35">IF(F48=$Y$2,E48*$AA$9*H48/27,IF(F48=$Y$3,E48*$AA$10*H48/27,0))</f>
        <v>0</v>
      </c>
      <c r="H48" s="4">
        <f>C48-B48</f>
        <v>266.78999999999996</v>
      </c>
      <c r="I48" s="345">
        <v>10</v>
      </c>
      <c r="J48" s="71">
        <f t="shared" ref="J48:J55" si="36">IF(I48="-","-",ROUNDUP(H48*I48,0))</f>
        <v>2668</v>
      </c>
      <c r="K48" s="351">
        <v>0</v>
      </c>
      <c r="L48" s="67">
        <f t="shared" ref="L48:L55" si="37">SUM(J48:K48)</f>
        <v>2668</v>
      </c>
      <c r="M48" s="349">
        <v>0</v>
      </c>
      <c r="N48" s="349">
        <v>0</v>
      </c>
      <c r="O48" s="351">
        <v>0</v>
      </c>
      <c r="P48" s="345">
        <v>0</v>
      </c>
      <c r="Q48" s="4">
        <f t="shared" ref="Q48:Q55" si="38">(L48*$Q$1/12)/27</f>
        <v>49.407407407407405</v>
      </c>
      <c r="R48" s="346">
        <v>0</v>
      </c>
      <c r="S48" s="4">
        <f t="shared" ref="S48:S55" si="39">(L48*$S$1/12)/27</f>
        <v>16.469135802469136</v>
      </c>
      <c r="T48" s="346">
        <v>0</v>
      </c>
      <c r="U48" s="346">
        <v>0</v>
      </c>
      <c r="V48" s="373">
        <v>0</v>
      </c>
      <c r="W48" s="373">
        <v>0</v>
      </c>
      <c r="X48" s="1"/>
    </row>
    <row r="49" spans="2:25" ht="12.75" customHeight="1" x14ac:dyDescent="0.2">
      <c r="B49" s="338">
        <v>5849.99</v>
      </c>
      <c r="C49" s="339">
        <v>77835.509999999995</v>
      </c>
      <c r="D49" s="340" t="s">
        <v>15</v>
      </c>
      <c r="E49" s="340" t="s">
        <v>101</v>
      </c>
      <c r="F49" s="340" t="s">
        <v>101</v>
      </c>
      <c r="G49" s="27">
        <f t="shared" si="35"/>
        <v>0</v>
      </c>
      <c r="H49" s="346">
        <v>397</v>
      </c>
      <c r="I49" s="345">
        <v>10</v>
      </c>
      <c r="J49" s="71">
        <f t="shared" si="36"/>
        <v>3970</v>
      </c>
      <c r="K49" s="351">
        <v>0</v>
      </c>
      <c r="L49" s="67">
        <f t="shared" si="37"/>
        <v>3970</v>
      </c>
      <c r="M49" s="349">
        <v>0</v>
      </c>
      <c r="N49" s="349">
        <v>0</v>
      </c>
      <c r="O49" s="351">
        <v>0</v>
      </c>
      <c r="P49" s="345">
        <v>0</v>
      </c>
      <c r="Q49" s="83">
        <f t="shared" si="38"/>
        <v>73.518518518518519</v>
      </c>
      <c r="R49" s="346">
        <v>0</v>
      </c>
      <c r="S49" s="83">
        <f t="shared" si="39"/>
        <v>24.506172839506171</v>
      </c>
      <c r="T49" s="346">
        <v>0</v>
      </c>
      <c r="U49" s="346">
        <v>0</v>
      </c>
      <c r="V49" s="373">
        <v>0</v>
      </c>
      <c r="W49" s="373">
        <v>0</v>
      </c>
      <c r="X49" s="1"/>
    </row>
    <row r="50" spans="2:25" ht="12.75" customHeight="1" x14ac:dyDescent="0.2">
      <c r="B50" s="338">
        <v>77835.509999999995</v>
      </c>
      <c r="C50" s="339">
        <v>6327.13</v>
      </c>
      <c r="D50" s="340" t="s">
        <v>15</v>
      </c>
      <c r="E50" s="340" t="s">
        <v>101</v>
      </c>
      <c r="F50" s="340" t="s">
        <v>101</v>
      </c>
      <c r="G50" s="27">
        <f t="shared" si="35"/>
        <v>0</v>
      </c>
      <c r="H50" s="346">
        <v>176</v>
      </c>
      <c r="I50" s="345">
        <v>10</v>
      </c>
      <c r="J50" s="71">
        <f t="shared" si="36"/>
        <v>1760</v>
      </c>
      <c r="K50" s="351">
        <v>0</v>
      </c>
      <c r="L50" s="67">
        <f t="shared" si="37"/>
        <v>1760</v>
      </c>
      <c r="M50" s="349">
        <v>0</v>
      </c>
      <c r="N50" s="349">
        <v>0</v>
      </c>
      <c r="O50" s="351">
        <v>0</v>
      </c>
      <c r="P50" s="345">
        <v>0</v>
      </c>
      <c r="Q50" s="83">
        <f t="shared" si="38"/>
        <v>32.592592592592595</v>
      </c>
      <c r="R50" s="346">
        <v>0</v>
      </c>
      <c r="S50" s="83">
        <f t="shared" si="39"/>
        <v>10.864197530864196</v>
      </c>
      <c r="T50" s="346">
        <v>0</v>
      </c>
      <c r="U50" s="346">
        <v>0</v>
      </c>
      <c r="V50" s="373">
        <v>0</v>
      </c>
      <c r="W50" s="373">
        <v>0</v>
      </c>
      <c r="X50" s="1"/>
    </row>
    <row r="51" spans="2:25" ht="12.75" customHeight="1" x14ac:dyDescent="0.2">
      <c r="B51" s="338">
        <v>6327.13</v>
      </c>
      <c r="C51" s="339">
        <v>6441.16</v>
      </c>
      <c r="D51" s="340" t="s">
        <v>15</v>
      </c>
      <c r="E51" s="340" t="s">
        <v>101</v>
      </c>
      <c r="F51" s="340" t="s">
        <v>101</v>
      </c>
      <c r="G51" s="27">
        <f t="shared" si="35"/>
        <v>0</v>
      </c>
      <c r="H51" s="4">
        <f>C51-B51</f>
        <v>114.02999999999975</v>
      </c>
      <c r="I51" s="345" t="s">
        <v>101</v>
      </c>
      <c r="J51" s="71" t="str">
        <f t="shared" si="36"/>
        <v>-</v>
      </c>
      <c r="K51" s="351">
        <v>1468</v>
      </c>
      <c r="L51" s="67">
        <f t="shared" si="37"/>
        <v>1468</v>
      </c>
      <c r="M51" s="349">
        <v>0</v>
      </c>
      <c r="N51" s="349">
        <v>0</v>
      </c>
      <c r="O51" s="351">
        <v>0</v>
      </c>
      <c r="P51" s="345">
        <v>0</v>
      </c>
      <c r="Q51" s="83">
        <f t="shared" si="38"/>
        <v>27.185185185185187</v>
      </c>
      <c r="R51" s="346">
        <v>0</v>
      </c>
      <c r="S51" s="83">
        <f t="shared" si="39"/>
        <v>9.0617283950617278</v>
      </c>
      <c r="T51" s="346">
        <v>0</v>
      </c>
      <c r="U51" s="346">
        <v>0</v>
      </c>
      <c r="V51" s="373">
        <v>0</v>
      </c>
      <c r="W51" s="373">
        <v>0</v>
      </c>
      <c r="X51" s="1"/>
    </row>
    <row r="52" spans="2:25" ht="12.75" customHeight="1" x14ac:dyDescent="0.2">
      <c r="B52" s="338">
        <v>6441.16</v>
      </c>
      <c r="C52" s="339">
        <v>78929.3</v>
      </c>
      <c r="D52" s="340" t="s">
        <v>15</v>
      </c>
      <c r="E52" s="340" t="s">
        <v>101</v>
      </c>
      <c r="F52" s="340" t="s">
        <v>101</v>
      </c>
      <c r="G52" s="27">
        <f t="shared" si="35"/>
        <v>0</v>
      </c>
      <c r="H52" s="346">
        <v>275</v>
      </c>
      <c r="I52" s="345">
        <v>10</v>
      </c>
      <c r="J52" s="71">
        <f t="shared" si="36"/>
        <v>2750</v>
      </c>
      <c r="K52" s="351">
        <v>0</v>
      </c>
      <c r="L52" s="67">
        <f t="shared" si="37"/>
        <v>2750</v>
      </c>
      <c r="M52" s="349">
        <v>0</v>
      </c>
      <c r="N52" s="349">
        <v>0</v>
      </c>
      <c r="O52" s="351">
        <v>0</v>
      </c>
      <c r="P52" s="345">
        <v>0</v>
      </c>
      <c r="Q52" s="83">
        <f t="shared" si="38"/>
        <v>50.925925925925924</v>
      </c>
      <c r="R52" s="346">
        <v>0</v>
      </c>
      <c r="S52" s="83">
        <f t="shared" si="39"/>
        <v>16.975308641975307</v>
      </c>
      <c r="T52" s="346">
        <v>0</v>
      </c>
      <c r="U52" s="346">
        <v>0</v>
      </c>
      <c r="V52" s="373">
        <v>0</v>
      </c>
      <c r="W52" s="373">
        <v>0</v>
      </c>
      <c r="X52" s="1"/>
    </row>
    <row r="53" spans="2:25" ht="12.75" customHeight="1" x14ac:dyDescent="0.2">
      <c r="B53" s="338">
        <v>78929.009999999995</v>
      </c>
      <c r="C53" s="339">
        <v>6774.24</v>
      </c>
      <c r="D53" s="340" t="s">
        <v>15</v>
      </c>
      <c r="E53" s="340" t="s">
        <v>101</v>
      </c>
      <c r="F53" s="340" t="s">
        <v>101</v>
      </c>
      <c r="G53" s="27">
        <f t="shared" si="35"/>
        <v>0</v>
      </c>
      <c r="H53" s="346">
        <v>144</v>
      </c>
      <c r="I53" s="345">
        <v>10</v>
      </c>
      <c r="J53" s="71">
        <f t="shared" si="36"/>
        <v>1440</v>
      </c>
      <c r="K53" s="351">
        <v>0</v>
      </c>
      <c r="L53" s="67">
        <f t="shared" si="37"/>
        <v>1440</v>
      </c>
      <c r="M53" s="349">
        <v>0</v>
      </c>
      <c r="N53" s="349">
        <v>0</v>
      </c>
      <c r="O53" s="351">
        <v>0</v>
      </c>
      <c r="P53" s="345">
        <v>0</v>
      </c>
      <c r="Q53" s="83">
        <f t="shared" si="38"/>
        <v>26.666666666666668</v>
      </c>
      <c r="R53" s="346">
        <v>0</v>
      </c>
      <c r="S53" s="83">
        <f t="shared" si="39"/>
        <v>8.8888888888888893</v>
      </c>
      <c r="T53" s="346">
        <v>0</v>
      </c>
      <c r="U53" s="346">
        <v>0</v>
      </c>
      <c r="V53" s="373">
        <v>0</v>
      </c>
      <c r="W53" s="373">
        <v>0</v>
      </c>
      <c r="X53" s="1"/>
    </row>
    <row r="54" spans="2:25" ht="12.75" customHeight="1" x14ac:dyDescent="0.2">
      <c r="B54" s="338">
        <v>6774.24</v>
      </c>
      <c r="C54" s="339">
        <v>7168.42</v>
      </c>
      <c r="D54" s="340" t="s">
        <v>15</v>
      </c>
      <c r="E54" s="340" t="s">
        <v>101</v>
      </c>
      <c r="F54" s="340" t="s">
        <v>101</v>
      </c>
      <c r="G54" s="27">
        <f t="shared" si="35"/>
        <v>0</v>
      </c>
      <c r="H54" s="4">
        <f>C54-B54</f>
        <v>394.18000000000029</v>
      </c>
      <c r="I54" s="345">
        <v>10</v>
      </c>
      <c r="J54" s="71">
        <f t="shared" si="36"/>
        <v>3942</v>
      </c>
      <c r="K54" s="351">
        <v>0</v>
      </c>
      <c r="L54" s="67">
        <f t="shared" si="37"/>
        <v>3942</v>
      </c>
      <c r="M54" s="349">
        <v>0</v>
      </c>
      <c r="N54" s="349">
        <v>0</v>
      </c>
      <c r="O54" s="351">
        <v>0</v>
      </c>
      <c r="P54" s="345">
        <v>0</v>
      </c>
      <c r="Q54" s="83">
        <f t="shared" si="38"/>
        <v>73</v>
      </c>
      <c r="R54" s="346">
        <v>0</v>
      </c>
      <c r="S54" s="83">
        <f t="shared" si="39"/>
        <v>24.333333333333332</v>
      </c>
      <c r="T54" s="346">
        <v>0</v>
      </c>
      <c r="U54" s="346">
        <v>0</v>
      </c>
      <c r="V54" s="373">
        <v>0</v>
      </c>
      <c r="W54" s="373">
        <v>0</v>
      </c>
      <c r="X54" s="1"/>
    </row>
    <row r="55" spans="2:25" ht="12.75" customHeight="1" x14ac:dyDescent="0.2">
      <c r="B55" s="338">
        <v>7168.42</v>
      </c>
      <c r="C55" s="339">
        <v>7300.52</v>
      </c>
      <c r="D55" s="340" t="s">
        <v>15</v>
      </c>
      <c r="E55" s="340" t="s">
        <v>101</v>
      </c>
      <c r="F55" s="340" t="s">
        <v>101</v>
      </c>
      <c r="G55" s="27">
        <f t="shared" si="35"/>
        <v>0</v>
      </c>
      <c r="H55" s="4">
        <f>C55-B55</f>
        <v>132.10000000000036</v>
      </c>
      <c r="I55" s="345" t="s">
        <v>101</v>
      </c>
      <c r="J55" s="71" t="str">
        <f t="shared" si="36"/>
        <v>-</v>
      </c>
      <c r="K55" s="351">
        <v>1411</v>
      </c>
      <c r="L55" s="67">
        <f t="shared" si="37"/>
        <v>1411</v>
      </c>
      <c r="M55" s="349">
        <v>0</v>
      </c>
      <c r="N55" s="349">
        <v>0</v>
      </c>
      <c r="O55" s="351">
        <v>0</v>
      </c>
      <c r="P55" s="345">
        <v>0</v>
      </c>
      <c r="Q55" s="83">
        <f t="shared" si="38"/>
        <v>26.12962962962963</v>
      </c>
      <c r="R55" s="346">
        <v>0</v>
      </c>
      <c r="S55" s="83">
        <f t="shared" si="39"/>
        <v>8.7098765432098766</v>
      </c>
      <c r="T55" s="346">
        <v>0</v>
      </c>
      <c r="U55" s="346">
        <v>0</v>
      </c>
      <c r="V55" s="373">
        <v>0</v>
      </c>
      <c r="W55" s="373">
        <v>0</v>
      </c>
      <c r="X55" s="1"/>
    </row>
    <row r="56" spans="2:25" s="81" customFormat="1" ht="12.75" customHeight="1" thickBot="1" x14ac:dyDescent="0.25">
      <c r="B56" s="107"/>
      <c r="C56" s="82"/>
      <c r="D56" s="32"/>
      <c r="E56" s="32"/>
      <c r="F56" s="32"/>
      <c r="G56" s="32"/>
      <c r="H56" s="26"/>
      <c r="I56" s="27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2:25" ht="12.75" customHeight="1" x14ac:dyDescent="0.2">
      <c r="B57" s="643" t="s">
        <v>43</v>
      </c>
      <c r="C57" s="644"/>
      <c r="D57" s="28"/>
      <c r="E57" s="28"/>
      <c r="F57" s="28"/>
      <c r="G57" s="28"/>
      <c r="H57" s="28"/>
      <c r="I57" s="28"/>
      <c r="J57" s="66"/>
      <c r="K57" s="66"/>
      <c r="L57" s="64"/>
      <c r="M57" s="64"/>
      <c r="N57" s="29"/>
      <c r="O57" s="64"/>
      <c r="P57" s="29"/>
      <c r="Q57" s="29"/>
      <c r="R57" s="30"/>
      <c r="S57" s="101"/>
      <c r="T57" s="29"/>
      <c r="U57" s="30"/>
      <c r="V57" s="64"/>
      <c r="W57" s="64"/>
      <c r="X57" s="164"/>
    </row>
    <row r="58" spans="2:25" ht="12.75" customHeight="1" x14ac:dyDescent="0.2">
      <c r="B58" s="718">
        <v>865</v>
      </c>
      <c r="C58" s="719"/>
      <c r="D58" s="340" t="s">
        <v>30</v>
      </c>
      <c r="E58" s="340" t="s">
        <v>101</v>
      </c>
      <c r="F58" s="340" t="s">
        <v>101</v>
      </c>
      <c r="G58" s="341">
        <v>0</v>
      </c>
      <c r="H58" s="346" t="s">
        <v>101</v>
      </c>
      <c r="I58" s="345" t="s">
        <v>101</v>
      </c>
      <c r="J58" s="71" t="str">
        <f t="shared" ref="J58:J61" si="40">IF(I58="-","-",ROUNDUP(H58*I58,0))</f>
        <v>-</v>
      </c>
      <c r="K58" s="372">
        <v>0</v>
      </c>
      <c r="L58" s="67">
        <f t="shared" ref="L58:L61" si="41">SUM(J58:K58)</f>
        <v>0</v>
      </c>
      <c r="M58" s="349">
        <v>0</v>
      </c>
      <c r="N58" s="349">
        <v>0</v>
      </c>
      <c r="O58" s="351">
        <v>21</v>
      </c>
      <c r="P58" s="345">
        <v>0</v>
      </c>
      <c r="Q58" s="346">
        <v>0</v>
      </c>
      <c r="R58" s="346">
        <v>0</v>
      </c>
      <c r="S58" s="346">
        <v>0</v>
      </c>
      <c r="T58" s="346">
        <v>0</v>
      </c>
      <c r="U58" s="346">
        <v>0</v>
      </c>
      <c r="V58" s="373">
        <v>0</v>
      </c>
      <c r="W58" s="373">
        <v>0</v>
      </c>
      <c r="X58" s="72"/>
    </row>
    <row r="59" spans="2:25" ht="12.75" customHeight="1" x14ac:dyDescent="0.2">
      <c r="B59" s="338">
        <v>865</v>
      </c>
      <c r="C59" s="339">
        <v>900</v>
      </c>
      <c r="D59" s="340" t="s">
        <v>30</v>
      </c>
      <c r="E59" s="340">
        <v>2</v>
      </c>
      <c r="F59" s="340" t="s">
        <v>101</v>
      </c>
      <c r="G59" s="27">
        <f>E59*$AA$9*H59/27</f>
        <v>3.6814814814814811</v>
      </c>
      <c r="H59" s="4">
        <f>C59-B59</f>
        <v>35</v>
      </c>
      <c r="I59" s="345">
        <v>21.48</v>
      </c>
      <c r="J59" s="71">
        <f t="shared" si="40"/>
        <v>752</v>
      </c>
      <c r="K59" s="372">
        <v>0</v>
      </c>
      <c r="L59" s="67">
        <f t="shared" si="41"/>
        <v>752</v>
      </c>
      <c r="M59" s="85">
        <f t="shared" ref="M59:M61" si="42">((Q59*27)/0.5)/9</f>
        <v>105.64444444444445</v>
      </c>
      <c r="N59" s="85">
        <f t="shared" ref="N59:N61" si="43">(M59)/2000</f>
        <v>5.2822222222222222E-2</v>
      </c>
      <c r="O59" s="351">
        <v>0</v>
      </c>
      <c r="P59" s="12">
        <f>(L59*$P$1/12)/27</f>
        <v>13.925925925925926</v>
      </c>
      <c r="Q59" s="4">
        <f>(L59*$Q$1/12)/27+G59</f>
        <v>17.607407407407408</v>
      </c>
      <c r="R59" s="4">
        <f>($L59/9)*$R$1</f>
        <v>3.3422222222222224</v>
      </c>
      <c r="S59" s="346">
        <v>0</v>
      </c>
      <c r="T59" s="4">
        <f>(L59*$T$1/12)/27</f>
        <v>4.0617283950617287</v>
      </c>
      <c r="U59" s="4">
        <f>($L59*($U$1/12))/27</f>
        <v>2.901234567901235</v>
      </c>
      <c r="V59" s="373">
        <v>0</v>
      </c>
      <c r="W59" s="373">
        <v>0</v>
      </c>
      <c r="X59" s="72"/>
    </row>
    <row r="60" spans="2:25" ht="12.75" customHeight="1" x14ac:dyDescent="0.2">
      <c r="B60" s="338">
        <v>900</v>
      </c>
      <c r="C60" s="339">
        <v>915.61</v>
      </c>
      <c r="D60" s="340" t="s">
        <v>30</v>
      </c>
      <c r="E60" s="340">
        <v>2</v>
      </c>
      <c r="F60" s="340" t="s">
        <v>101</v>
      </c>
      <c r="G60" s="27">
        <f>E60*$AA$9*H60/27</f>
        <v>1.641940740740742</v>
      </c>
      <c r="H60" s="4">
        <f>C60-B60</f>
        <v>15.610000000000014</v>
      </c>
      <c r="I60" s="345">
        <v>22</v>
      </c>
      <c r="J60" s="71">
        <f t="shared" si="40"/>
        <v>344</v>
      </c>
      <c r="K60" s="372">
        <v>0</v>
      </c>
      <c r="L60" s="67">
        <f t="shared" si="41"/>
        <v>344</v>
      </c>
      <c r="M60" s="85">
        <f t="shared" si="42"/>
        <v>48.073866666666667</v>
      </c>
      <c r="N60" s="85">
        <f t="shared" si="43"/>
        <v>2.4036933333333333E-2</v>
      </c>
      <c r="O60" s="351">
        <v>0</v>
      </c>
      <c r="P60" s="12">
        <f>(L60*$P$1/12)/27</f>
        <v>6.3703703703703702</v>
      </c>
      <c r="Q60" s="4">
        <f>(L60*$Q$1/12)/27+G60</f>
        <v>8.0123111111111118</v>
      </c>
      <c r="R60" s="4">
        <f>($L60/9)*$R$1</f>
        <v>1.528888888888889</v>
      </c>
      <c r="S60" s="346">
        <v>0</v>
      </c>
      <c r="T60" s="4">
        <f>(L60*$T$1/12)/27</f>
        <v>1.8580246913580245</v>
      </c>
      <c r="U60" s="4">
        <f>($L60*($U$1/12))/27</f>
        <v>1.3271604938271606</v>
      </c>
      <c r="V60" s="373">
        <v>0</v>
      </c>
      <c r="W60" s="373">
        <v>0</v>
      </c>
      <c r="X60" s="72"/>
    </row>
    <row r="61" spans="2:25" ht="12.75" customHeight="1" x14ac:dyDescent="0.2">
      <c r="B61" s="338">
        <v>915.61</v>
      </c>
      <c r="C61" s="339">
        <v>976.89</v>
      </c>
      <c r="D61" s="340" t="s">
        <v>30</v>
      </c>
      <c r="E61" s="340">
        <v>2</v>
      </c>
      <c r="F61" s="340" t="s">
        <v>101</v>
      </c>
      <c r="G61" s="27">
        <f>E61*$AA$9*H61/27</f>
        <v>6.4457481481481453</v>
      </c>
      <c r="H61" s="4">
        <f>C61-B61</f>
        <v>61.279999999999973</v>
      </c>
      <c r="I61" s="345" t="s">
        <v>101</v>
      </c>
      <c r="J61" s="71" t="str">
        <f t="shared" si="40"/>
        <v>-</v>
      </c>
      <c r="K61" s="351">
        <v>2069.39</v>
      </c>
      <c r="L61" s="67">
        <f t="shared" si="41"/>
        <v>2069.39</v>
      </c>
      <c r="M61" s="85">
        <f t="shared" si="42"/>
        <v>268.60671111111111</v>
      </c>
      <c r="N61" s="85">
        <f t="shared" si="43"/>
        <v>0.13430335555555556</v>
      </c>
      <c r="O61" s="351">
        <v>0</v>
      </c>
      <c r="P61" s="12">
        <f>(L61*$P$1/12)/27</f>
        <v>38.322037037037035</v>
      </c>
      <c r="Q61" s="4">
        <f>(L61*$Q$1/12)/27+G61</f>
        <v>44.767785185185183</v>
      </c>
      <c r="R61" s="4">
        <f>($L61/9)*$R$1</f>
        <v>9.1972888888888882</v>
      </c>
      <c r="S61" s="346">
        <v>0</v>
      </c>
      <c r="T61" s="4">
        <f>(L61*$T$1/12)/27</f>
        <v>11.177260802469137</v>
      </c>
      <c r="U61" s="4">
        <f>($L61*($U$1/12))/27</f>
        <v>7.9837577160493822</v>
      </c>
      <c r="V61" s="373">
        <v>0</v>
      </c>
      <c r="W61" s="373">
        <v>0</v>
      </c>
      <c r="X61" s="72"/>
    </row>
    <row r="62" spans="2:25" ht="12.75" customHeight="1" thickBot="1" x14ac:dyDescent="0.25">
      <c r="B62" s="54"/>
      <c r="C62" s="3"/>
      <c r="D62" s="32"/>
      <c r="E62" s="32"/>
      <c r="F62" s="32"/>
      <c r="G62" s="32"/>
      <c r="H62" s="26"/>
      <c r="I62" s="27"/>
      <c r="J62" s="65"/>
      <c r="K62" s="65"/>
      <c r="L62" s="67"/>
      <c r="M62" s="67"/>
      <c r="N62" s="4"/>
      <c r="O62" s="69"/>
      <c r="P62" s="6"/>
      <c r="Q62" s="6"/>
      <c r="R62" s="6"/>
      <c r="S62" s="34"/>
      <c r="T62" s="34"/>
      <c r="U62" s="7"/>
      <c r="V62" s="67"/>
      <c r="W62" s="67"/>
      <c r="X62" s="164"/>
      <c r="Y62" s="48"/>
    </row>
    <row r="63" spans="2:25" ht="12.75" customHeight="1" x14ac:dyDescent="0.2">
      <c r="B63" s="643" t="s">
        <v>58</v>
      </c>
      <c r="C63" s="644"/>
      <c r="D63" s="28"/>
      <c r="E63" s="28"/>
      <c r="F63" s="28"/>
      <c r="G63" s="28"/>
      <c r="H63" s="28"/>
      <c r="I63" s="28"/>
      <c r="J63" s="66"/>
      <c r="K63" s="66"/>
      <c r="L63" s="64"/>
      <c r="M63" s="64"/>
      <c r="N63" s="29"/>
      <c r="O63" s="64"/>
      <c r="P63" s="29"/>
      <c r="Q63" s="29"/>
      <c r="R63" s="30"/>
      <c r="S63" s="101"/>
      <c r="T63" s="29"/>
      <c r="U63" s="30"/>
      <c r="V63" s="64"/>
      <c r="W63" s="64"/>
      <c r="X63" s="164"/>
    </row>
    <row r="64" spans="2:25" ht="12.75" customHeight="1" x14ac:dyDescent="0.2">
      <c r="B64" s="338">
        <v>1019.16</v>
      </c>
      <c r="C64" s="339">
        <v>1200</v>
      </c>
      <c r="D64" s="340" t="s">
        <v>30</v>
      </c>
      <c r="E64" s="340">
        <v>2</v>
      </c>
      <c r="F64" s="340" t="s">
        <v>101</v>
      </c>
      <c r="G64" s="27">
        <f>E64*$AA$9*H64/27</f>
        <v>19.021688888888892</v>
      </c>
      <c r="H64" s="4">
        <f>C64-B64</f>
        <v>180.84000000000003</v>
      </c>
      <c r="I64" s="345" t="s">
        <v>101</v>
      </c>
      <c r="J64" s="71" t="str">
        <f t="shared" ref="J64:J65" si="44">IF(I64="-","-",ROUNDUP(H64*I64,0))</f>
        <v>-</v>
      </c>
      <c r="K64" s="351">
        <v>5951.57</v>
      </c>
      <c r="L64" s="67">
        <f t="shared" ref="L64" si="45">SUM(J64:K64)</f>
        <v>5951.57</v>
      </c>
      <c r="M64" s="85">
        <f t="shared" ref="M64" si="46">((Q64*27)/0.5)/9</f>
        <v>775.41568888888878</v>
      </c>
      <c r="N64" s="85">
        <f t="shared" ref="N64" si="47">(M64)/2000</f>
        <v>0.38770784444444439</v>
      </c>
      <c r="O64" s="351">
        <v>0</v>
      </c>
      <c r="P64" s="12">
        <f>(L64*$P$1/12)/27</f>
        <v>110.21425925925925</v>
      </c>
      <c r="Q64" s="4">
        <f>(L64*$Q$1/12)/27+G64</f>
        <v>129.23594814814814</v>
      </c>
      <c r="R64" s="4">
        <f>($L64/9)*$R$1</f>
        <v>26.451422222222224</v>
      </c>
      <c r="S64" s="346">
        <v>0</v>
      </c>
      <c r="T64" s="4">
        <f>(L64*$T$1/12)/27</f>
        <v>32.145825617283947</v>
      </c>
      <c r="U64" s="4">
        <f>($L64*($U$1/12))/27</f>
        <v>22.961304012345678</v>
      </c>
      <c r="V64" s="373">
        <v>0</v>
      </c>
      <c r="W64" s="373">
        <v>0</v>
      </c>
      <c r="X64" s="72"/>
    </row>
    <row r="65" spans="2:24" ht="12.75" customHeight="1" x14ac:dyDescent="0.2">
      <c r="B65" s="718">
        <v>1200</v>
      </c>
      <c r="C65" s="719"/>
      <c r="D65" s="340" t="s">
        <v>30</v>
      </c>
      <c r="E65" s="340" t="s">
        <v>101</v>
      </c>
      <c r="F65" s="340" t="s">
        <v>101</v>
      </c>
      <c r="G65" s="341">
        <v>0</v>
      </c>
      <c r="H65" s="60" t="s">
        <v>101</v>
      </c>
      <c r="I65" s="345" t="s">
        <v>101</v>
      </c>
      <c r="J65" s="71" t="str">
        <f t="shared" si="44"/>
        <v>-</v>
      </c>
      <c r="K65" s="372">
        <v>0</v>
      </c>
      <c r="L65" s="67">
        <f t="shared" ref="L65" si="48">SUM(J65:K65)</f>
        <v>0</v>
      </c>
      <c r="M65" s="349">
        <v>0</v>
      </c>
      <c r="N65" s="349">
        <v>0</v>
      </c>
      <c r="O65" s="351">
        <v>20</v>
      </c>
      <c r="P65" s="345">
        <v>0</v>
      </c>
      <c r="Q65" s="346">
        <v>0</v>
      </c>
      <c r="R65" s="346">
        <v>0</v>
      </c>
      <c r="S65" s="346">
        <v>0</v>
      </c>
      <c r="T65" s="346">
        <v>0</v>
      </c>
      <c r="U65" s="346">
        <v>0</v>
      </c>
      <c r="V65" s="373">
        <v>0</v>
      </c>
      <c r="W65" s="373">
        <v>0</v>
      </c>
      <c r="X65" s="72"/>
    </row>
    <row r="66" spans="2:24" ht="12.75" customHeight="1" thickBot="1" x14ac:dyDescent="0.25">
      <c r="B66" s="54"/>
      <c r="C66" s="3"/>
      <c r="D66" s="32"/>
      <c r="G66" s="27"/>
      <c r="H66" s="4"/>
      <c r="I66" s="4"/>
      <c r="J66" s="71"/>
      <c r="K66" s="67"/>
      <c r="L66" s="67"/>
      <c r="M66" s="67"/>
      <c r="N66" s="6"/>
      <c r="O66" s="70"/>
      <c r="P66" s="7"/>
      <c r="Q66" s="4"/>
      <c r="R66" s="4"/>
      <c r="S66" s="83"/>
      <c r="T66" s="4"/>
      <c r="U66" s="4"/>
      <c r="V66" s="69"/>
      <c r="W66" s="69"/>
      <c r="X66" s="68"/>
    </row>
    <row r="67" spans="2:24" ht="12.75" customHeight="1" x14ac:dyDescent="0.2">
      <c r="B67" s="707" t="s">
        <v>271</v>
      </c>
      <c r="C67" s="708"/>
      <c r="D67" s="585" t="s">
        <v>247</v>
      </c>
      <c r="E67" s="586"/>
      <c r="F67" s="586"/>
      <c r="G67" s="586"/>
      <c r="H67" s="586"/>
      <c r="I67" s="586"/>
      <c r="J67" s="586"/>
      <c r="K67" s="586"/>
      <c r="L67" s="587"/>
      <c r="M67" s="592">
        <f t="shared" ref="M67:W67" si="49">ROUNDUP(SUM(M18:M65),0)</f>
        <v>14707</v>
      </c>
      <c r="N67" s="592">
        <f t="shared" si="49"/>
        <v>8</v>
      </c>
      <c r="O67" s="592">
        <f t="shared" si="49"/>
        <v>471</v>
      </c>
      <c r="P67" s="592">
        <f t="shared" si="49"/>
        <v>2097</v>
      </c>
      <c r="Q67" s="592">
        <f t="shared" si="49"/>
        <v>2811</v>
      </c>
      <c r="R67" s="592">
        <f t="shared" si="49"/>
        <v>455</v>
      </c>
      <c r="S67" s="592">
        <f t="shared" si="49"/>
        <v>120</v>
      </c>
      <c r="T67" s="592">
        <f t="shared" si="49"/>
        <v>552</v>
      </c>
      <c r="U67" s="592">
        <f t="shared" si="49"/>
        <v>395</v>
      </c>
      <c r="V67" s="592">
        <f t="shared" si="49"/>
        <v>594</v>
      </c>
      <c r="W67" s="592">
        <f t="shared" si="49"/>
        <v>153</v>
      </c>
      <c r="X67" s="176"/>
    </row>
    <row r="68" spans="2:24" ht="12.75" customHeight="1" thickBot="1" x14ac:dyDescent="0.25">
      <c r="B68" s="709"/>
      <c r="C68" s="710"/>
      <c r="D68" s="588"/>
      <c r="E68" s="589"/>
      <c r="F68" s="589"/>
      <c r="G68" s="589"/>
      <c r="H68" s="589"/>
      <c r="I68" s="589"/>
      <c r="J68" s="589"/>
      <c r="K68" s="589"/>
      <c r="L68" s="590"/>
      <c r="M68" s="593"/>
      <c r="N68" s="593"/>
      <c r="O68" s="593"/>
      <c r="P68" s="593"/>
      <c r="Q68" s="593"/>
      <c r="R68" s="593"/>
      <c r="S68" s="593"/>
      <c r="T68" s="593"/>
      <c r="U68" s="593"/>
      <c r="V68" s="593"/>
      <c r="W68" s="593"/>
      <c r="X68" s="141"/>
    </row>
    <row r="69" spans="2:24" ht="12.75" customHeight="1" x14ac:dyDescent="0.2"/>
    <row r="70" spans="2:24" ht="12.75" customHeight="1" x14ac:dyDescent="0.2"/>
    <row r="71" spans="2:24" ht="12.75" customHeight="1" x14ac:dyDescent="0.2">
      <c r="C71" s="22"/>
    </row>
    <row r="72" spans="2:24" ht="12.75" customHeight="1" x14ac:dyDescent="0.2">
      <c r="C72" s="22"/>
    </row>
    <row r="73" spans="2:24" ht="12.75" customHeight="1" x14ac:dyDescent="0.25">
      <c r="C73" s="22"/>
      <c r="L73" s="184">
        <f>SUM(L18:L65)</f>
        <v>183254.95</v>
      </c>
      <c r="M73" s="179" t="s">
        <v>181</v>
      </c>
    </row>
    <row r="74" spans="2:24" ht="12.75" customHeight="1" x14ac:dyDescent="0.2">
      <c r="C74" s="22"/>
    </row>
    <row r="75" spans="2:24" ht="12.75" customHeight="1" x14ac:dyDescent="0.2">
      <c r="C75" s="22"/>
    </row>
    <row r="76" spans="2:24" ht="12.75" customHeight="1" x14ac:dyDescent="0.2">
      <c r="C76" s="22"/>
    </row>
    <row r="77" spans="2:24" ht="12.75" customHeight="1" x14ac:dyDescent="0.2">
      <c r="C77" s="22"/>
    </row>
    <row r="78" spans="2:24" ht="12.75" customHeight="1" x14ac:dyDescent="0.2">
      <c r="C78" s="22"/>
    </row>
    <row r="79" spans="2:24" ht="12.75" customHeight="1" x14ac:dyDescent="0.2"/>
    <row r="80" spans="2:24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spans="1:1" ht="12.75" customHeight="1" x14ac:dyDescent="0.2"/>
    <row r="98" spans="1:1" ht="12.75" customHeight="1" x14ac:dyDescent="0.2"/>
    <row r="99" spans="1:1" ht="12.75" customHeight="1" x14ac:dyDescent="0.2"/>
    <row r="100" spans="1:1" ht="12.75" customHeight="1" x14ac:dyDescent="0.2"/>
    <row r="101" spans="1:1" ht="12.75" customHeight="1" x14ac:dyDescent="0.2"/>
    <row r="102" spans="1:1" ht="12.75" customHeight="1" x14ac:dyDescent="0.2"/>
    <row r="103" spans="1:1" ht="12.75" customHeight="1" x14ac:dyDescent="0.2">
      <c r="A103" s="48"/>
    </row>
    <row r="104" spans="1:1" ht="12.75" customHeight="1" x14ac:dyDescent="0.2">
      <c r="A104" s="48"/>
    </row>
    <row r="105" spans="1:1" ht="12.75" customHeight="1" x14ac:dyDescent="0.2"/>
    <row r="106" spans="1:1" ht="12.75" customHeight="1" x14ac:dyDescent="0.2"/>
    <row r="107" spans="1:1" ht="12.75" customHeight="1" x14ac:dyDescent="0.2"/>
    <row r="108" spans="1:1" ht="12.75" customHeight="1" x14ac:dyDescent="0.2"/>
    <row r="109" spans="1:1" ht="12.75" customHeight="1" x14ac:dyDescent="0.2"/>
    <row r="110" spans="1:1" ht="12.75" customHeight="1" x14ac:dyDescent="0.2"/>
    <row r="111" spans="1:1" ht="12.75" customHeight="1" x14ac:dyDescent="0.2"/>
    <row r="112" spans="1:1" ht="12.75" customHeight="1" x14ac:dyDescent="0.2"/>
    <row r="113" spans="1:28" ht="12.75" customHeight="1" x14ac:dyDescent="0.2">
      <c r="A113" s="48"/>
    </row>
    <row r="114" spans="1:28" ht="12.75" customHeight="1" x14ac:dyDescent="0.2">
      <c r="A114" s="48"/>
    </row>
    <row r="115" spans="1:28" ht="12.75" customHeight="1" x14ac:dyDescent="0.2"/>
    <row r="116" spans="1:28" ht="12.75" customHeight="1" x14ac:dyDescent="0.2"/>
    <row r="117" spans="1:28" ht="12.75" customHeight="1" x14ac:dyDescent="0.2"/>
    <row r="118" spans="1:28" ht="12.75" customHeight="1" x14ac:dyDescent="0.2">
      <c r="A118" s="48"/>
      <c r="Z118" s="20"/>
      <c r="AA118" s="20"/>
      <c r="AB118" s="20"/>
    </row>
    <row r="119" spans="1:28" ht="12.75" customHeight="1" x14ac:dyDescent="0.2">
      <c r="A119" s="48"/>
      <c r="Z119" s="20"/>
      <c r="AA119" s="20"/>
      <c r="AB119" s="20"/>
    </row>
    <row r="120" spans="1:28" ht="12.75" customHeight="1" x14ac:dyDescent="0.2"/>
    <row r="121" spans="1:28" ht="12.75" customHeight="1" x14ac:dyDescent="0.2"/>
    <row r="122" spans="1:28" ht="12.75" customHeight="1" x14ac:dyDescent="0.2"/>
    <row r="123" spans="1:28" ht="12.75" customHeight="1" x14ac:dyDescent="0.2"/>
    <row r="124" spans="1:28" ht="12.75" customHeight="1" x14ac:dyDescent="0.2"/>
    <row r="125" spans="1:28" ht="12.75" customHeight="1" x14ac:dyDescent="0.2"/>
    <row r="126" spans="1:28" ht="12.75" customHeight="1" x14ac:dyDescent="0.2"/>
    <row r="127" spans="1:28" ht="12.75" customHeight="1" x14ac:dyDescent="0.2"/>
    <row r="128" spans="1:28" ht="12.75" customHeight="1" x14ac:dyDescent="0.2"/>
    <row r="129" spans="1:34" ht="12.75" customHeight="1" x14ac:dyDescent="0.2"/>
    <row r="130" spans="1:34" ht="12.75" customHeight="1" x14ac:dyDescent="0.2"/>
    <row r="131" spans="1:34" ht="12.75" customHeight="1" x14ac:dyDescent="0.2"/>
    <row r="132" spans="1:34" ht="12.75" customHeight="1" x14ac:dyDescent="0.2"/>
    <row r="133" spans="1:34" ht="12.75" customHeight="1" x14ac:dyDescent="0.2"/>
    <row r="134" spans="1:34" ht="12.75" customHeight="1" x14ac:dyDescent="0.2"/>
    <row r="135" spans="1:34" ht="12.75" customHeight="1" x14ac:dyDescent="0.2"/>
    <row r="136" spans="1:34" ht="12.75" customHeight="1" x14ac:dyDescent="0.2">
      <c r="A136" s="48"/>
    </row>
    <row r="137" spans="1:34" ht="12.75" customHeight="1" x14ac:dyDescent="0.2">
      <c r="A137" s="48"/>
    </row>
    <row r="138" spans="1:34" ht="12.75" customHeight="1" x14ac:dyDescent="0.2"/>
    <row r="139" spans="1:34" ht="12.75" customHeight="1" x14ac:dyDescent="0.2"/>
    <row r="140" spans="1:34" ht="12.75" customHeight="1" x14ac:dyDescent="0.2"/>
    <row r="141" spans="1:34" ht="12.75" customHeight="1" x14ac:dyDescent="0.2"/>
    <row r="142" spans="1:34" ht="12.75" customHeight="1" x14ac:dyDescent="0.2"/>
    <row r="143" spans="1:34" ht="12.75" customHeight="1" x14ac:dyDescent="0.2"/>
    <row r="144" spans="1:34" ht="12.75" customHeight="1" x14ac:dyDescent="0.2">
      <c r="AC144" s="20"/>
      <c r="AD144" s="20"/>
      <c r="AE144" s="20"/>
      <c r="AF144" s="20"/>
      <c r="AG144" s="20"/>
      <c r="AH144" s="20"/>
    </row>
    <row r="145" spans="1:35" ht="12.75" customHeight="1" x14ac:dyDescent="0.2">
      <c r="AC145" s="20"/>
      <c r="AD145" s="20"/>
      <c r="AE145" s="20"/>
      <c r="AF145" s="20"/>
      <c r="AG145" s="20"/>
      <c r="AH145" s="20"/>
    </row>
    <row r="146" spans="1:35" ht="12.75" customHeight="1" x14ac:dyDescent="0.2"/>
    <row r="147" spans="1:35" ht="12.75" customHeight="1" x14ac:dyDescent="0.2"/>
    <row r="148" spans="1:35" ht="12.75" customHeight="1" x14ac:dyDescent="0.2"/>
    <row r="149" spans="1:35" ht="12.75" customHeight="1" x14ac:dyDescent="0.2"/>
    <row r="150" spans="1:35" ht="12.75" customHeight="1" x14ac:dyDescent="0.2"/>
    <row r="151" spans="1:35" ht="12.75" customHeight="1" x14ac:dyDescent="0.2"/>
    <row r="152" spans="1:35" ht="12.75" customHeight="1" x14ac:dyDescent="0.2"/>
    <row r="153" spans="1:35" ht="12.75" customHeight="1" x14ac:dyDescent="0.2"/>
    <row r="154" spans="1:35" ht="12.75" customHeight="1" x14ac:dyDescent="0.2">
      <c r="Y154" s="20"/>
      <c r="AI154" s="20"/>
    </row>
    <row r="155" spans="1:35" s="20" customFormat="1" ht="12.75" customHeight="1" x14ac:dyDescent="0.2">
      <c r="A155" s="1"/>
      <c r="B155" s="21"/>
      <c r="C155" s="21"/>
      <c r="D155" s="1"/>
      <c r="E155" s="1"/>
      <c r="F155" s="1"/>
      <c r="G155" s="1"/>
      <c r="H155" s="8"/>
      <c r="I155" s="8"/>
      <c r="J155" s="16"/>
      <c r="K155" s="16"/>
      <c r="L155" s="16"/>
      <c r="M155" s="91"/>
      <c r="N155" s="8"/>
      <c r="O155" s="17"/>
      <c r="P155" s="13"/>
      <c r="Q155" s="8"/>
      <c r="R155" s="8"/>
      <c r="S155" s="87"/>
      <c r="T155" s="8"/>
      <c r="U155" s="8"/>
      <c r="V155" s="91"/>
      <c r="W155" s="91"/>
      <c r="X155" s="9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5" s="20" customFormat="1" ht="12.75" customHeight="1" x14ac:dyDescent="0.2">
      <c r="A156" s="1"/>
      <c r="B156" s="21"/>
      <c r="C156" s="21"/>
      <c r="D156" s="1"/>
      <c r="E156" s="1"/>
      <c r="F156" s="1"/>
      <c r="G156" s="1"/>
      <c r="H156" s="8"/>
      <c r="I156" s="8"/>
      <c r="J156" s="16"/>
      <c r="K156" s="16"/>
      <c r="L156" s="16"/>
      <c r="M156" s="91"/>
      <c r="N156" s="8"/>
      <c r="O156" s="17"/>
      <c r="P156" s="13"/>
      <c r="Q156" s="8"/>
      <c r="R156" s="8"/>
      <c r="S156" s="87"/>
      <c r="T156" s="8"/>
      <c r="U156" s="8"/>
      <c r="V156" s="91"/>
      <c r="W156" s="91"/>
      <c r="X156" s="9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x14ac:dyDescent="0.2">
      <c r="A157" s="20"/>
    </row>
    <row r="158" spans="1:35" x14ac:dyDescent="0.2">
      <c r="A158" s="20"/>
    </row>
  </sheetData>
  <customSheetViews>
    <customSheetView guid="{221143F3-72E3-4C4A-9811-2F859DD19779}" fitToPage="1">
      <pane ySplit="13" topLeftCell="A35" activePane="bottomLeft" state="frozen"/>
      <selection pane="bottomLeft" activeCell="M60" sqref="M60"/>
      <pageMargins left="0.73" right="0.75" top="0.66" bottom="0.4" header="0.65" footer="0.25"/>
      <printOptions horizontalCentered="1" verticalCentered="1"/>
      <pageSetup paperSize="17" scale="63" orientation="landscape" r:id="rId1"/>
      <headerFooter alignWithMargins="0">
        <oddFooter>&amp;L&amp;D&amp;R&amp;F, &amp;A</oddFooter>
      </headerFooter>
    </customSheetView>
  </customSheetViews>
  <mergeCells count="64">
    <mergeCell ref="N67:N68"/>
    <mergeCell ref="B67:C68"/>
    <mergeCell ref="D67:L68"/>
    <mergeCell ref="B57:C57"/>
    <mergeCell ref="B58:C58"/>
    <mergeCell ref="B63:C63"/>
    <mergeCell ref="B65:C65"/>
    <mergeCell ref="M67:M68"/>
    <mergeCell ref="AG8:AI8"/>
    <mergeCell ref="AA9:AC9"/>
    <mergeCell ref="AD9:AF9"/>
    <mergeCell ref="AG9:AI9"/>
    <mergeCell ref="B47:C47"/>
    <mergeCell ref="AD12:AF12"/>
    <mergeCell ref="AG12:AI12"/>
    <mergeCell ref="AD10:AF10"/>
    <mergeCell ref="AG10:AI10"/>
    <mergeCell ref="AA11:AC11"/>
    <mergeCell ref="AD11:AF11"/>
    <mergeCell ref="AG11:AI11"/>
    <mergeCell ref="D5:D16"/>
    <mergeCell ref="E5:E16"/>
    <mergeCell ref="G5:G15"/>
    <mergeCell ref="K5:K15"/>
    <mergeCell ref="L5:L15"/>
    <mergeCell ref="M6:M15"/>
    <mergeCell ref="B17:C17"/>
    <mergeCell ref="S5:T5"/>
    <mergeCell ref="M5:N5"/>
    <mergeCell ref="B5:C15"/>
    <mergeCell ref="F5:F16"/>
    <mergeCell ref="H5:H15"/>
    <mergeCell ref="I5:I15"/>
    <mergeCell ref="J5:J15"/>
    <mergeCell ref="V5:W5"/>
    <mergeCell ref="T6:T15"/>
    <mergeCell ref="O6:O15"/>
    <mergeCell ref="N6:N15"/>
    <mergeCell ref="P6:P15"/>
    <mergeCell ref="Q6:Q15"/>
    <mergeCell ref="Q67:Q68"/>
    <mergeCell ref="V67:V68"/>
    <mergeCell ref="O67:O68"/>
    <mergeCell ref="P67:P68"/>
    <mergeCell ref="R67:R68"/>
    <mergeCell ref="U67:U68"/>
    <mergeCell ref="T67:T68"/>
    <mergeCell ref="S67:S68"/>
    <mergeCell ref="W67:W68"/>
    <mergeCell ref="R6:R15"/>
    <mergeCell ref="U6:U15"/>
    <mergeCell ref="W6:W15"/>
    <mergeCell ref="AA8:AC8"/>
    <mergeCell ref="AA10:AC10"/>
    <mergeCell ref="AA12:AC12"/>
    <mergeCell ref="S6:S15"/>
    <mergeCell ref="V6:V15"/>
    <mergeCell ref="Y6:AI6"/>
    <mergeCell ref="Y7:Y8"/>
    <mergeCell ref="Z7:Z8"/>
    <mergeCell ref="AA7:AC7"/>
    <mergeCell ref="AD7:AF7"/>
    <mergeCell ref="AG7:AI7"/>
    <mergeCell ref="AD8:AF8"/>
  </mergeCells>
  <dataValidations count="1">
    <dataValidation type="list" allowBlank="1" showInputMessage="1" showErrorMessage="1" sqref="F48:F56 F18:F45">
      <formula1>$Y$2:$Y$4</formula1>
    </dataValidation>
  </dataValidations>
  <printOptions horizontalCentered="1" verticalCentered="1"/>
  <pageMargins left="0.73" right="0.75" top="0.66" bottom="0.4" header="0.65" footer="0.25"/>
  <pageSetup paperSize="17" scale="85" orientation="landscape" r:id="rId2"/>
  <headerFooter scaleWithDoc="0" alignWithMargins="0">
    <oddHeader>&amp;LHAN-75-14.39</oddHeader>
    <oddFooter>&amp;R&amp;A</oddFooter>
  </headerFooter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zoomScale="75" zoomScaleNormal="75" zoomScaleSheetLayoutView="100" workbookViewId="0">
      <pane ySplit="16" topLeftCell="A17" activePane="bottomLeft" state="frozen"/>
      <selection pane="bottomLeft" activeCell="E1" sqref="E1:K1048576"/>
    </sheetView>
  </sheetViews>
  <sheetFormatPr defaultColWidth="9.140625"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10" width="8.5703125" style="81" hidden="1" customWidth="1"/>
    <col min="11" max="11" width="9.28515625" style="87" hidden="1" customWidth="1"/>
    <col min="12" max="12" width="9.28515625" style="87" customWidth="1"/>
    <col min="13" max="13" width="13.85546875" style="87" customWidth="1"/>
    <col min="14" max="14" width="10" style="87" customWidth="1"/>
    <col min="15" max="15" width="13.42578125" style="87" customWidth="1"/>
    <col min="16" max="16" width="9.7109375" style="87" customWidth="1"/>
    <col min="17" max="20" width="9.7109375" style="13" customWidth="1"/>
    <col min="21" max="25" width="9.7109375" style="87" customWidth="1"/>
    <col min="26" max="27" width="9.7109375" style="81" customWidth="1"/>
    <col min="28" max="29" width="9.140625" style="81"/>
    <col min="30" max="30" width="9.85546875" style="81" bestFit="1" customWidth="1"/>
    <col min="31" max="32" width="9.140625" style="81"/>
    <col min="33" max="33" width="9.140625" style="81" customWidth="1"/>
    <col min="34" max="16384" width="9.140625" style="81"/>
  </cols>
  <sheetData>
    <row r="1" spans="2:39" s="90" customFormat="1" ht="13.5" thickBot="1" x14ac:dyDescent="0.25">
      <c r="B1" s="97"/>
      <c r="C1" s="97"/>
      <c r="L1" s="88"/>
      <c r="M1" s="88"/>
      <c r="N1" s="88"/>
      <c r="O1" s="88"/>
      <c r="P1" s="88"/>
      <c r="Q1" s="10"/>
      <c r="R1" s="10"/>
      <c r="S1" s="10"/>
      <c r="T1" s="88"/>
      <c r="U1" s="10"/>
      <c r="V1" s="88">
        <v>3</v>
      </c>
      <c r="W1" s="88">
        <v>6</v>
      </c>
      <c r="X1" s="88">
        <v>6</v>
      </c>
      <c r="Y1" s="88">
        <v>0.04</v>
      </c>
      <c r="Z1" s="88">
        <v>1.25</v>
      </c>
      <c r="AA1" s="88">
        <v>1.75</v>
      </c>
    </row>
    <row r="2" spans="2:39" s="90" customFormat="1" x14ac:dyDescent="0.2">
      <c r="B2" s="97"/>
      <c r="C2" s="97"/>
      <c r="L2" s="88"/>
      <c r="M2" s="88"/>
      <c r="N2" s="88"/>
      <c r="O2" s="88"/>
      <c r="P2" s="88"/>
      <c r="V2" s="146"/>
      <c r="W2" s="145" t="s">
        <v>36</v>
      </c>
      <c r="X2" s="168" t="s">
        <v>285</v>
      </c>
      <c r="Y2" s="168"/>
      <c r="Z2" s="170" t="s">
        <v>35</v>
      </c>
      <c r="AA2" s="211">
        <v>41920</v>
      </c>
    </row>
    <row r="3" spans="2:39" s="90" customFormat="1" ht="13.5" thickBot="1" x14ac:dyDescent="0.25">
      <c r="B3" s="97"/>
      <c r="C3" s="97"/>
      <c r="L3" s="88"/>
      <c r="M3" s="88"/>
      <c r="N3" s="88"/>
      <c r="O3" s="88"/>
      <c r="P3" s="88"/>
      <c r="V3" s="45"/>
      <c r="W3" s="46" t="s">
        <v>37</v>
      </c>
      <c r="X3" s="169" t="s">
        <v>278</v>
      </c>
      <c r="Y3" s="216"/>
      <c r="Z3" s="217" t="s">
        <v>35</v>
      </c>
      <c r="AA3" s="472">
        <v>41926</v>
      </c>
    </row>
    <row r="4" spans="2:39" s="90" customFormat="1" ht="13.5" thickBot="1" x14ac:dyDescent="0.25">
      <c r="B4" s="97"/>
      <c r="C4" s="97"/>
      <c r="L4" s="88"/>
      <c r="M4" s="88"/>
      <c r="N4" s="88"/>
      <c r="O4" s="88"/>
      <c r="P4" s="88"/>
      <c r="Q4" s="10"/>
      <c r="R4" s="10"/>
      <c r="S4" s="10"/>
      <c r="T4" s="88"/>
      <c r="U4" s="10"/>
      <c r="V4" s="88"/>
      <c r="W4" s="88"/>
      <c r="X4" s="88"/>
      <c r="Y4" s="88"/>
      <c r="Z4" s="88"/>
      <c r="AA4" s="88"/>
    </row>
    <row r="5" spans="2:39" s="91" customFormat="1" ht="12.75" customHeight="1" thickBot="1" x14ac:dyDescent="0.25">
      <c r="B5" s="639" t="s">
        <v>1</v>
      </c>
      <c r="C5" s="640"/>
      <c r="D5" s="635" t="s">
        <v>0</v>
      </c>
      <c r="E5" s="649" t="s">
        <v>125</v>
      </c>
      <c r="F5" s="649" t="s">
        <v>27</v>
      </c>
      <c r="G5" s="745" t="s">
        <v>126</v>
      </c>
      <c r="H5" s="649" t="s">
        <v>127</v>
      </c>
      <c r="I5" s="649" t="s">
        <v>31</v>
      </c>
      <c r="J5" s="649" t="s">
        <v>50</v>
      </c>
      <c r="K5" s="649" t="s">
        <v>51</v>
      </c>
      <c r="L5" s="749" t="s">
        <v>4</v>
      </c>
      <c r="M5" s="749" t="s">
        <v>21</v>
      </c>
      <c r="N5" s="741" t="s">
        <v>17</v>
      </c>
      <c r="O5" s="741" t="s">
        <v>20</v>
      </c>
      <c r="P5" s="741" t="s">
        <v>14</v>
      </c>
      <c r="Q5" s="64">
        <v>204</v>
      </c>
      <c r="R5" s="737">
        <v>206</v>
      </c>
      <c r="S5" s="738"/>
      <c r="T5" s="739"/>
      <c r="U5" s="64">
        <v>252</v>
      </c>
      <c r="V5" s="608">
        <v>301</v>
      </c>
      <c r="W5" s="609"/>
      <c r="X5" s="134">
        <v>304</v>
      </c>
      <c r="Y5" s="64">
        <v>407</v>
      </c>
      <c r="Z5" s="742">
        <v>441</v>
      </c>
      <c r="AA5" s="743"/>
      <c r="AC5" s="92"/>
    </row>
    <row r="6" spans="2:39" ht="12.75" customHeight="1" thickBot="1" x14ac:dyDescent="0.25">
      <c r="B6" s="641"/>
      <c r="C6" s="642"/>
      <c r="D6" s="636"/>
      <c r="E6" s="650"/>
      <c r="F6" s="650"/>
      <c r="G6" s="746"/>
      <c r="H6" s="650"/>
      <c r="I6" s="650"/>
      <c r="J6" s="650"/>
      <c r="K6" s="650"/>
      <c r="L6" s="750"/>
      <c r="M6" s="750"/>
      <c r="N6" s="546"/>
      <c r="O6" s="546"/>
      <c r="P6" s="546"/>
      <c r="Q6" s="657" t="s">
        <v>7</v>
      </c>
      <c r="R6" s="529" t="s">
        <v>18</v>
      </c>
      <c r="S6" s="529" t="s">
        <v>19</v>
      </c>
      <c r="T6" s="529" t="s">
        <v>23</v>
      </c>
      <c r="U6" s="529" t="s">
        <v>24</v>
      </c>
      <c r="V6" s="657" t="s">
        <v>33</v>
      </c>
      <c r="W6" s="657" t="s">
        <v>129</v>
      </c>
      <c r="X6" s="657" t="s">
        <v>130</v>
      </c>
      <c r="Y6" s="657" t="s">
        <v>45</v>
      </c>
      <c r="Z6" s="543" t="s">
        <v>135</v>
      </c>
      <c r="AA6" s="543" t="s">
        <v>136</v>
      </c>
      <c r="AC6" s="659" t="s">
        <v>211</v>
      </c>
      <c r="AD6" s="660"/>
      <c r="AE6" s="660"/>
      <c r="AF6" s="660"/>
      <c r="AG6" s="660"/>
      <c r="AH6" s="660"/>
      <c r="AI6" s="660"/>
      <c r="AJ6" s="660"/>
      <c r="AK6" s="660"/>
      <c r="AL6" s="660"/>
      <c r="AM6" s="661"/>
    </row>
    <row r="7" spans="2:39" ht="12.75" customHeight="1" x14ac:dyDescent="0.2">
      <c r="B7" s="641"/>
      <c r="C7" s="642"/>
      <c r="D7" s="636"/>
      <c r="E7" s="650"/>
      <c r="F7" s="650"/>
      <c r="G7" s="746"/>
      <c r="H7" s="650"/>
      <c r="I7" s="650"/>
      <c r="J7" s="650"/>
      <c r="K7" s="650"/>
      <c r="L7" s="750"/>
      <c r="M7" s="750"/>
      <c r="N7" s="546"/>
      <c r="O7" s="546"/>
      <c r="P7" s="546"/>
      <c r="Q7" s="657"/>
      <c r="R7" s="702"/>
      <c r="S7" s="702"/>
      <c r="T7" s="702"/>
      <c r="U7" s="702"/>
      <c r="V7" s="657"/>
      <c r="W7" s="657"/>
      <c r="X7" s="657"/>
      <c r="Y7" s="657"/>
      <c r="Z7" s="546"/>
      <c r="AA7" s="546"/>
      <c r="AC7" s="662" t="s">
        <v>218</v>
      </c>
      <c r="AD7" s="664" t="s">
        <v>224</v>
      </c>
      <c r="AE7" s="686" t="s">
        <v>287</v>
      </c>
      <c r="AF7" s="668"/>
      <c r="AG7" s="687"/>
      <c r="AH7" s="667" t="s">
        <v>128</v>
      </c>
      <c r="AI7" s="668"/>
      <c r="AJ7" s="687"/>
      <c r="AK7" s="667" t="s">
        <v>49</v>
      </c>
      <c r="AL7" s="668"/>
      <c r="AM7" s="669"/>
    </row>
    <row r="8" spans="2:39" ht="12.75" customHeight="1" thickBot="1" x14ac:dyDescent="0.25">
      <c r="B8" s="641"/>
      <c r="C8" s="642"/>
      <c r="D8" s="636"/>
      <c r="E8" s="650"/>
      <c r="F8" s="650"/>
      <c r="G8" s="746"/>
      <c r="H8" s="650"/>
      <c r="I8" s="650"/>
      <c r="J8" s="650"/>
      <c r="K8" s="650"/>
      <c r="L8" s="750"/>
      <c r="M8" s="750"/>
      <c r="N8" s="546"/>
      <c r="O8" s="546"/>
      <c r="P8" s="546"/>
      <c r="Q8" s="657"/>
      <c r="R8" s="702"/>
      <c r="S8" s="702"/>
      <c r="T8" s="702"/>
      <c r="U8" s="702"/>
      <c r="V8" s="657"/>
      <c r="W8" s="657"/>
      <c r="X8" s="657"/>
      <c r="Y8" s="657"/>
      <c r="Z8" s="546"/>
      <c r="AA8" s="546"/>
      <c r="AC8" s="663"/>
      <c r="AD8" s="665"/>
      <c r="AE8" s="670" t="s">
        <v>219</v>
      </c>
      <c r="AF8" s="671"/>
      <c r="AG8" s="672"/>
      <c r="AH8" s="673" t="s">
        <v>220</v>
      </c>
      <c r="AI8" s="671"/>
      <c r="AJ8" s="672"/>
      <c r="AK8" s="673" t="s">
        <v>220</v>
      </c>
      <c r="AL8" s="671"/>
      <c r="AM8" s="674"/>
    </row>
    <row r="9" spans="2:39" ht="12.75" customHeight="1" x14ac:dyDescent="0.2">
      <c r="B9" s="641"/>
      <c r="C9" s="642"/>
      <c r="D9" s="636"/>
      <c r="E9" s="650"/>
      <c r="F9" s="650"/>
      <c r="G9" s="746"/>
      <c r="H9" s="650"/>
      <c r="I9" s="650"/>
      <c r="J9" s="650"/>
      <c r="K9" s="650"/>
      <c r="L9" s="750"/>
      <c r="M9" s="750"/>
      <c r="N9" s="546"/>
      <c r="O9" s="546"/>
      <c r="P9" s="546"/>
      <c r="Q9" s="657"/>
      <c r="R9" s="702"/>
      <c r="S9" s="702"/>
      <c r="T9" s="702"/>
      <c r="U9" s="702"/>
      <c r="V9" s="657"/>
      <c r="W9" s="657"/>
      <c r="X9" s="657"/>
      <c r="Y9" s="657"/>
      <c r="Z9" s="546"/>
      <c r="AA9" s="546"/>
      <c r="AB9" s="752" t="s">
        <v>238</v>
      </c>
      <c r="AC9" s="222" t="s">
        <v>105</v>
      </c>
      <c r="AD9" s="104" t="s">
        <v>221</v>
      </c>
      <c r="AE9" s="653">
        <v>1.5</v>
      </c>
      <c r="AF9" s="601"/>
      <c r="AG9" s="602"/>
      <c r="AH9" s="600">
        <v>0.08</v>
      </c>
      <c r="AI9" s="601"/>
      <c r="AJ9" s="602"/>
      <c r="AK9" s="600">
        <v>0.42</v>
      </c>
      <c r="AL9" s="601"/>
      <c r="AM9" s="681"/>
    </row>
    <row r="10" spans="2:39" ht="12.75" customHeight="1" thickBot="1" x14ac:dyDescent="0.25">
      <c r="B10" s="641"/>
      <c r="C10" s="642"/>
      <c r="D10" s="636"/>
      <c r="E10" s="650"/>
      <c r="F10" s="650"/>
      <c r="G10" s="746"/>
      <c r="H10" s="650"/>
      <c r="I10" s="650"/>
      <c r="J10" s="650"/>
      <c r="K10" s="650"/>
      <c r="L10" s="750"/>
      <c r="M10" s="750"/>
      <c r="N10" s="546"/>
      <c r="O10" s="546"/>
      <c r="P10" s="546"/>
      <c r="Q10" s="657"/>
      <c r="R10" s="702"/>
      <c r="S10" s="702"/>
      <c r="T10" s="702"/>
      <c r="U10" s="702"/>
      <c r="V10" s="657"/>
      <c r="W10" s="657"/>
      <c r="X10" s="657"/>
      <c r="Y10" s="657"/>
      <c r="Z10" s="546"/>
      <c r="AA10" s="546"/>
      <c r="AB10" s="753"/>
      <c r="AC10" s="221" t="s">
        <v>106</v>
      </c>
      <c r="AD10" s="103" t="s">
        <v>222</v>
      </c>
      <c r="AE10" s="754">
        <v>2</v>
      </c>
      <c r="AF10" s="679"/>
      <c r="AG10" s="680"/>
      <c r="AH10" s="678">
        <v>0</v>
      </c>
      <c r="AI10" s="679"/>
      <c r="AJ10" s="680"/>
      <c r="AK10" s="678">
        <v>0.75</v>
      </c>
      <c r="AL10" s="679"/>
      <c r="AM10" s="711"/>
    </row>
    <row r="11" spans="2:39" ht="12.75" customHeight="1" x14ac:dyDescent="0.2">
      <c r="B11" s="641"/>
      <c r="C11" s="642"/>
      <c r="D11" s="636"/>
      <c r="E11" s="650"/>
      <c r="F11" s="650"/>
      <c r="G11" s="746"/>
      <c r="H11" s="650"/>
      <c r="I11" s="650"/>
      <c r="J11" s="650"/>
      <c r="K11" s="650"/>
      <c r="L11" s="750"/>
      <c r="M11" s="750"/>
      <c r="N11" s="546"/>
      <c r="O11" s="546"/>
      <c r="P11" s="546"/>
      <c r="Q11" s="657"/>
      <c r="R11" s="702"/>
      <c r="S11" s="702"/>
      <c r="T11" s="702"/>
      <c r="U11" s="702"/>
      <c r="V11" s="657"/>
      <c r="W11" s="657"/>
      <c r="X11" s="657"/>
      <c r="Y11" s="657"/>
      <c r="Z11" s="546"/>
      <c r="AA11" s="546"/>
      <c r="AB11" s="752" t="s">
        <v>239</v>
      </c>
      <c r="AC11" s="221" t="s">
        <v>237</v>
      </c>
      <c r="AD11" s="103" t="s">
        <v>230</v>
      </c>
      <c r="AE11" s="754">
        <v>4</v>
      </c>
      <c r="AF11" s="679"/>
      <c r="AG11" s="680"/>
      <c r="AH11" s="678">
        <v>0</v>
      </c>
      <c r="AI11" s="679"/>
      <c r="AJ11" s="680"/>
      <c r="AK11" s="678">
        <v>1.5</v>
      </c>
      <c r="AL11" s="679"/>
      <c r="AM11" s="711"/>
    </row>
    <row r="12" spans="2:39" ht="12.75" customHeight="1" thickBot="1" x14ac:dyDescent="0.25">
      <c r="B12" s="641"/>
      <c r="C12" s="642"/>
      <c r="D12" s="636"/>
      <c r="E12" s="650"/>
      <c r="F12" s="650"/>
      <c r="G12" s="746"/>
      <c r="H12" s="650"/>
      <c r="I12" s="650"/>
      <c r="J12" s="650"/>
      <c r="K12" s="650"/>
      <c r="L12" s="750"/>
      <c r="M12" s="750"/>
      <c r="N12" s="546"/>
      <c r="O12" s="546"/>
      <c r="P12" s="546"/>
      <c r="Q12" s="657"/>
      <c r="R12" s="702"/>
      <c r="S12" s="702"/>
      <c r="T12" s="702"/>
      <c r="U12" s="702"/>
      <c r="V12" s="657"/>
      <c r="W12" s="657"/>
      <c r="X12" s="657"/>
      <c r="Y12" s="657"/>
      <c r="Z12" s="546"/>
      <c r="AA12" s="546"/>
      <c r="AB12" s="753"/>
      <c r="AC12" s="223" t="s">
        <v>105</v>
      </c>
      <c r="AD12" s="158" t="s">
        <v>221</v>
      </c>
      <c r="AE12" s="666">
        <v>1.5</v>
      </c>
      <c r="AF12" s="655"/>
      <c r="AG12" s="656"/>
      <c r="AH12" s="654">
        <v>0.17</v>
      </c>
      <c r="AI12" s="655"/>
      <c r="AJ12" s="656"/>
      <c r="AK12" s="654">
        <v>0.42</v>
      </c>
      <c r="AL12" s="655"/>
      <c r="AM12" s="682"/>
    </row>
    <row r="13" spans="2:39" ht="12.75" customHeight="1" x14ac:dyDescent="0.2">
      <c r="B13" s="641"/>
      <c r="C13" s="642"/>
      <c r="D13" s="636"/>
      <c r="E13" s="650"/>
      <c r="F13" s="650"/>
      <c r="G13" s="746"/>
      <c r="H13" s="650"/>
      <c r="I13" s="650"/>
      <c r="J13" s="650"/>
      <c r="K13" s="650"/>
      <c r="L13" s="750"/>
      <c r="M13" s="750"/>
      <c r="N13" s="546"/>
      <c r="O13" s="546"/>
      <c r="P13" s="546"/>
      <c r="Q13" s="657"/>
      <c r="R13" s="702"/>
      <c r="S13" s="702"/>
      <c r="T13" s="702"/>
      <c r="U13" s="702"/>
      <c r="V13" s="657"/>
      <c r="W13" s="657"/>
      <c r="X13" s="657"/>
      <c r="Y13" s="657"/>
      <c r="Z13" s="546"/>
      <c r="AA13" s="546"/>
    </row>
    <row r="14" spans="2:39" ht="12.75" customHeight="1" x14ac:dyDescent="0.2">
      <c r="B14" s="641"/>
      <c r="C14" s="642"/>
      <c r="D14" s="636"/>
      <c r="E14" s="650"/>
      <c r="F14" s="650"/>
      <c r="G14" s="746"/>
      <c r="H14" s="650"/>
      <c r="I14" s="650"/>
      <c r="J14" s="650"/>
      <c r="K14" s="650"/>
      <c r="L14" s="750"/>
      <c r="M14" s="750"/>
      <c r="N14" s="546"/>
      <c r="O14" s="546"/>
      <c r="P14" s="546"/>
      <c r="Q14" s="657"/>
      <c r="R14" s="702"/>
      <c r="S14" s="702"/>
      <c r="T14" s="702"/>
      <c r="U14" s="702"/>
      <c r="V14" s="657"/>
      <c r="W14" s="657"/>
      <c r="X14" s="657"/>
      <c r="Y14" s="657"/>
      <c r="Z14" s="546"/>
      <c r="AA14" s="546"/>
    </row>
    <row r="15" spans="2:39" ht="12.75" customHeight="1" x14ac:dyDescent="0.2">
      <c r="B15" s="641"/>
      <c r="C15" s="642"/>
      <c r="D15" s="636"/>
      <c r="E15" s="650"/>
      <c r="F15" s="650"/>
      <c r="G15" s="746"/>
      <c r="H15" s="748"/>
      <c r="I15" s="748"/>
      <c r="J15" s="748"/>
      <c r="K15" s="748"/>
      <c r="L15" s="751"/>
      <c r="M15" s="751"/>
      <c r="N15" s="547"/>
      <c r="O15" s="547"/>
      <c r="P15" s="547"/>
      <c r="Q15" s="657"/>
      <c r="R15" s="703"/>
      <c r="S15" s="703"/>
      <c r="T15" s="703"/>
      <c r="U15" s="703"/>
      <c r="V15" s="657"/>
      <c r="W15" s="657"/>
      <c r="X15" s="657"/>
      <c r="Y15" s="657"/>
      <c r="Z15" s="547"/>
      <c r="AA15" s="547"/>
    </row>
    <row r="16" spans="2:39" ht="12.75" customHeight="1" thickBot="1" x14ac:dyDescent="0.25">
      <c r="B16" s="98" t="s">
        <v>2</v>
      </c>
      <c r="C16" s="99" t="s">
        <v>3</v>
      </c>
      <c r="D16" s="693"/>
      <c r="E16" s="744"/>
      <c r="F16" s="744"/>
      <c r="G16" s="747"/>
      <c r="H16" s="84" t="s">
        <v>5</v>
      </c>
      <c r="I16" s="84" t="s">
        <v>12</v>
      </c>
      <c r="J16" s="84" t="s">
        <v>12</v>
      </c>
      <c r="K16" s="84" t="s">
        <v>12</v>
      </c>
      <c r="L16" s="84" t="s">
        <v>5</v>
      </c>
      <c r="M16" s="84" t="s">
        <v>5</v>
      </c>
      <c r="N16" s="84" t="s">
        <v>6</v>
      </c>
      <c r="O16" s="84" t="s">
        <v>6</v>
      </c>
      <c r="P16" s="84" t="s">
        <v>6</v>
      </c>
      <c r="Q16" s="84" t="s">
        <v>11</v>
      </c>
      <c r="R16" s="84" t="s">
        <v>10</v>
      </c>
      <c r="S16" s="84" t="s">
        <v>10</v>
      </c>
      <c r="T16" s="84" t="s">
        <v>22</v>
      </c>
      <c r="U16" s="84" t="s">
        <v>5</v>
      </c>
      <c r="V16" s="84" t="s">
        <v>12</v>
      </c>
      <c r="W16" s="84" t="s">
        <v>12</v>
      </c>
      <c r="X16" s="84" t="s">
        <v>12</v>
      </c>
      <c r="Y16" s="84" t="s">
        <v>13</v>
      </c>
      <c r="Z16" s="84" t="s">
        <v>12</v>
      </c>
      <c r="AA16" s="84" t="s">
        <v>12</v>
      </c>
      <c r="AC16" s="93"/>
    </row>
    <row r="17" spans="1:35" ht="12.75" customHeight="1" x14ac:dyDescent="0.2">
      <c r="B17" s="643" t="s">
        <v>131</v>
      </c>
      <c r="C17" s="644"/>
      <c r="D17" s="100"/>
      <c r="E17" s="100"/>
      <c r="F17" s="100"/>
      <c r="G17" s="100"/>
      <c r="H17" s="100"/>
      <c r="I17" s="100"/>
      <c r="J17" s="100"/>
      <c r="K17" s="100"/>
      <c r="L17" s="101"/>
      <c r="M17" s="101"/>
      <c r="N17" s="101"/>
      <c r="O17" s="101"/>
      <c r="P17" s="101"/>
      <c r="Q17" s="102"/>
      <c r="R17" s="102"/>
      <c r="S17" s="102"/>
      <c r="T17" s="101"/>
      <c r="U17" s="254"/>
      <c r="V17" s="101"/>
      <c r="W17" s="101"/>
      <c r="X17" s="101"/>
      <c r="Y17" s="101"/>
      <c r="Z17" s="101"/>
      <c r="AA17" s="101"/>
      <c r="AB17" s="122"/>
      <c r="AC17" s="93"/>
    </row>
    <row r="18" spans="1:35" ht="12.75" customHeight="1" x14ac:dyDescent="0.2">
      <c r="B18" s="374">
        <v>10450</v>
      </c>
      <c r="C18" s="375">
        <v>10460</v>
      </c>
      <c r="D18" s="340" t="s">
        <v>30</v>
      </c>
      <c r="E18" s="340">
        <v>0</v>
      </c>
      <c r="F18" s="344">
        <v>2</v>
      </c>
      <c r="G18" s="344">
        <v>0</v>
      </c>
      <c r="H18" s="79">
        <v>4</v>
      </c>
      <c r="I18" s="79">
        <v>0</v>
      </c>
      <c r="J18" s="79">
        <v>0.55555555555555558</v>
      </c>
      <c r="K18" s="341">
        <v>0</v>
      </c>
      <c r="L18" s="83">
        <v>10</v>
      </c>
      <c r="M18" s="345">
        <v>29</v>
      </c>
      <c r="N18" s="89">
        <v>290</v>
      </c>
      <c r="O18" s="345"/>
      <c r="P18" s="83">
        <v>290</v>
      </c>
      <c r="Q18" s="494">
        <v>1.8333333333333333E-2</v>
      </c>
      <c r="R18" s="494">
        <v>36.666666666666664</v>
      </c>
      <c r="S18" s="494">
        <v>36.666666666666664</v>
      </c>
      <c r="T18" s="85">
        <v>1.089</v>
      </c>
      <c r="U18" s="347">
        <v>29</v>
      </c>
      <c r="V18" s="492">
        <v>2.6851851851851851</v>
      </c>
      <c r="W18" s="346"/>
      <c r="X18" s="492">
        <v>5.9259259259259256</v>
      </c>
      <c r="Y18" s="493">
        <v>1.288888888888889</v>
      </c>
      <c r="Z18" s="492">
        <v>1.1188271604938274</v>
      </c>
      <c r="AA18" s="492">
        <v>1.566358024691358</v>
      </c>
      <c r="AC18" s="93"/>
    </row>
    <row r="19" spans="1:35" ht="12.75" customHeight="1" x14ac:dyDescent="0.2">
      <c r="B19" s="376">
        <v>10460</v>
      </c>
      <c r="C19" s="377">
        <v>10531.16</v>
      </c>
      <c r="D19" s="340" t="s">
        <v>30</v>
      </c>
      <c r="E19" s="340">
        <v>0</v>
      </c>
      <c r="F19" s="344">
        <v>2</v>
      </c>
      <c r="G19" s="344">
        <v>0</v>
      </c>
      <c r="H19" s="79">
        <v>4</v>
      </c>
      <c r="I19" s="79">
        <v>0</v>
      </c>
      <c r="J19" s="79">
        <v>3.9533333333333252</v>
      </c>
      <c r="K19" s="341">
        <v>0</v>
      </c>
      <c r="L19" s="83">
        <v>71.159999999999854</v>
      </c>
      <c r="M19" s="345">
        <v>28</v>
      </c>
      <c r="N19" s="89">
        <v>1992.4799999999959</v>
      </c>
      <c r="O19" s="345"/>
      <c r="P19" s="83">
        <v>1992.4799999999959</v>
      </c>
      <c r="Q19" s="494">
        <v>0.12650666666666641</v>
      </c>
      <c r="R19" s="494">
        <v>253.01333333333281</v>
      </c>
      <c r="S19" s="494">
        <v>253.01333333333281</v>
      </c>
      <c r="T19" s="85">
        <v>7.5144959999999825</v>
      </c>
      <c r="U19" s="347"/>
      <c r="V19" s="492">
        <v>18.448888888888852</v>
      </c>
      <c r="W19" s="346"/>
      <c r="X19" s="492">
        <v>40.851111111111031</v>
      </c>
      <c r="Y19" s="493">
        <v>8.8554666666666488</v>
      </c>
      <c r="Z19" s="492">
        <v>7.6870370370370216</v>
      </c>
      <c r="AA19" s="492">
        <v>10.76185185185183</v>
      </c>
      <c r="AC19" s="93"/>
    </row>
    <row r="20" spans="1:35" ht="12.75" customHeight="1" x14ac:dyDescent="0.2">
      <c r="A20" s="106" t="s">
        <v>28</v>
      </c>
      <c r="B20" s="376">
        <v>10531.16</v>
      </c>
      <c r="C20" s="377">
        <v>10561.16</v>
      </c>
      <c r="D20" s="340" t="s">
        <v>30</v>
      </c>
      <c r="E20" s="340">
        <v>0</v>
      </c>
      <c r="F20" s="344">
        <v>2</v>
      </c>
      <c r="G20" s="344">
        <v>0</v>
      </c>
      <c r="H20" s="341">
        <v>6</v>
      </c>
      <c r="I20" s="79">
        <v>0</v>
      </c>
      <c r="J20" s="79">
        <v>1.6666666666666667</v>
      </c>
      <c r="K20" s="341">
        <v>0</v>
      </c>
      <c r="L20" s="83">
        <v>30</v>
      </c>
      <c r="M20" s="345">
        <v>36.5</v>
      </c>
      <c r="N20" s="89">
        <v>1095</v>
      </c>
      <c r="O20" s="345"/>
      <c r="P20" s="83">
        <v>1095</v>
      </c>
      <c r="Q20" s="495">
        <v>0</v>
      </c>
      <c r="R20" s="495">
        <v>0</v>
      </c>
      <c r="S20" s="495">
        <v>0</v>
      </c>
      <c r="T20" s="180">
        <v>0</v>
      </c>
      <c r="U20" s="347"/>
      <c r="V20" s="492"/>
      <c r="W20" s="346"/>
      <c r="X20" s="492">
        <v>21.944444444444446</v>
      </c>
      <c r="Y20" s="180"/>
      <c r="Z20" s="492"/>
      <c r="AA20" s="492"/>
    </row>
    <row r="21" spans="1:35" ht="12.75" customHeight="1" x14ac:dyDescent="0.2">
      <c r="A21" s="106" t="s">
        <v>28</v>
      </c>
      <c r="B21" s="376">
        <v>11039.66</v>
      </c>
      <c r="C21" s="377">
        <v>11069.66</v>
      </c>
      <c r="D21" s="340" t="s">
        <v>30</v>
      </c>
      <c r="E21" s="340">
        <v>0</v>
      </c>
      <c r="F21" s="344">
        <v>2</v>
      </c>
      <c r="G21" s="344">
        <v>0</v>
      </c>
      <c r="H21" s="341">
        <v>6</v>
      </c>
      <c r="I21" s="79">
        <v>0</v>
      </c>
      <c r="J21" s="79">
        <v>1.6666666666666667</v>
      </c>
      <c r="K21" s="341">
        <v>0</v>
      </c>
      <c r="L21" s="83">
        <v>30</v>
      </c>
      <c r="M21" s="345">
        <v>36.5</v>
      </c>
      <c r="N21" s="89">
        <v>1095</v>
      </c>
      <c r="O21" s="345"/>
      <c r="P21" s="83">
        <v>1095</v>
      </c>
      <c r="Q21" s="495">
        <v>0</v>
      </c>
      <c r="R21" s="495">
        <v>0</v>
      </c>
      <c r="S21" s="495">
        <v>0</v>
      </c>
      <c r="T21" s="180">
        <v>0</v>
      </c>
      <c r="U21" s="347"/>
      <c r="V21" s="492"/>
      <c r="W21" s="346"/>
      <c r="X21" s="492">
        <v>21.944444444444446</v>
      </c>
      <c r="Y21" s="180"/>
      <c r="Z21" s="492"/>
      <c r="AA21" s="492"/>
    </row>
    <row r="22" spans="1:35" ht="12.75" customHeight="1" x14ac:dyDescent="0.2">
      <c r="A22" s="106"/>
      <c r="B22" s="376">
        <v>11069.66</v>
      </c>
      <c r="C22" s="377">
        <v>11200</v>
      </c>
      <c r="D22" s="340" t="s">
        <v>30</v>
      </c>
      <c r="E22" s="340">
        <v>0</v>
      </c>
      <c r="F22" s="344">
        <v>2</v>
      </c>
      <c r="G22" s="344">
        <v>0</v>
      </c>
      <c r="H22" s="79">
        <v>4</v>
      </c>
      <c r="I22" s="79">
        <v>0</v>
      </c>
      <c r="J22" s="79">
        <v>7.2411111111111195</v>
      </c>
      <c r="K22" s="341">
        <v>0</v>
      </c>
      <c r="L22" s="83">
        <v>130.34000000000015</v>
      </c>
      <c r="M22" s="345">
        <v>28</v>
      </c>
      <c r="N22" s="89">
        <v>3649.5200000000041</v>
      </c>
      <c r="O22" s="345"/>
      <c r="P22" s="83">
        <v>3649.5200000000041</v>
      </c>
      <c r="Q22" s="494">
        <v>0.23171555555555581</v>
      </c>
      <c r="R22" s="494">
        <v>463.43111111111165</v>
      </c>
      <c r="S22" s="494">
        <v>463.43111111111165</v>
      </c>
      <c r="T22" s="85">
        <v>13.763904000000016</v>
      </c>
      <c r="U22" s="347"/>
      <c r="V22" s="492">
        <v>33.791851851851888</v>
      </c>
      <c r="W22" s="346"/>
      <c r="X22" s="492">
        <v>74.8248148148149</v>
      </c>
      <c r="Y22" s="493">
        <v>16.220088888888906</v>
      </c>
      <c r="Z22" s="492">
        <v>14.079938271604954</v>
      </c>
      <c r="AA22" s="492">
        <v>19.711913580246936</v>
      </c>
    </row>
    <row r="23" spans="1:35" ht="12.75" customHeight="1" x14ac:dyDescent="0.2">
      <c r="B23" s="376">
        <v>11200</v>
      </c>
      <c r="C23" s="377">
        <v>11202</v>
      </c>
      <c r="D23" s="340" t="s">
        <v>15</v>
      </c>
      <c r="E23" s="340">
        <v>0</v>
      </c>
      <c r="F23" s="344">
        <v>1</v>
      </c>
      <c r="G23" s="344">
        <v>0</v>
      </c>
      <c r="H23" s="79">
        <v>2</v>
      </c>
      <c r="I23" s="79">
        <v>0</v>
      </c>
      <c r="J23" s="79">
        <v>5.5555555555555552E-2</v>
      </c>
      <c r="K23" s="341">
        <v>0</v>
      </c>
      <c r="L23" s="83">
        <v>2</v>
      </c>
      <c r="M23" s="345">
        <v>13</v>
      </c>
      <c r="N23" s="89">
        <v>26</v>
      </c>
      <c r="O23" s="345"/>
      <c r="P23" s="83">
        <v>26</v>
      </c>
      <c r="Q23" s="494">
        <v>1.6666666666666668E-3</v>
      </c>
      <c r="R23" s="494">
        <v>3.3333333333333335</v>
      </c>
      <c r="S23" s="494">
        <v>3.3333333333333335</v>
      </c>
      <c r="T23" s="85">
        <v>9.9000000000000005E-2</v>
      </c>
      <c r="U23" s="347"/>
      <c r="V23" s="492">
        <v>0.24074074074074073</v>
      </c>
      <c r="W23" s="346"/>
      <c r="X23" s="492">
        <v>0.53703703703703698</v>
      </c>
      <c r="Y23" s="493">
        <v>0.11555555555555555</v>
      </c>
      <c r="Z23" s="492">
        <v>0.10030864197530864</v>
      </c>
      <c r="AA23" s="492">
        <v>0.14043209876543208</v>
      </c>
    </row>
    <row r="24" spans="1:35" ht="12.75" customHeight="1" x14ac:dyDescent="0.2">
      <c r="B24" s="376">
        <v>11202</v>
      </c>
      <c r="C24" s="377">
        <v>11212</v>
      </c>
      <c r="D24" s="340" t="s">
        <v>15</v>
      </c>
      <c r="E24" s="340">
        <v>0</v>
      </c>
      <c r="F24" s="344">
        <v>1</v>
      </c>
      <c r="G24" s="344">
        <v>0</v>
      </c>
      <c r="H24" s="79">
        <v>2</v>
      </c>
      <c r="I24" s="79">
        <v>0</v>
      </c>
      <c r="J24" s="79">
        <v>0.27777777777777779</v>
      </c>
      <c r="K24" s="341">
        <v>0</v>
      </c>
      <c r="L24" s="83">
        <v>10</v>
      </c>
      <c r="M24" s="345">
        <v>14</v>
      </c>
      <c r="N24" s="89">
        <v>140</v>
      </c>
      <c r="O24" s="345"/>
      <c r="P24" s="83">
        <v>140</v>
      </c>
      <c r="Q24" s="494">
        <v>8.8888888888888889E-3</v>
      </c>
      <c r="R24" s="494">
        <v>17.777777777777779</v>
      </c>
      <c r="S24" s="494">
        <v>17.777777777777779</v>
      </c>
      <c r="T24" s="85">
        <v>0.52800000000000002</v>
      </c>
      <c r="U24" s="347"/>
      <c r="V24" s="492">
        <v>1.2962962962962963</v>
      </c>
      <c r="W24" s="346"/>
      <c r="X24" s="492">
        <v>2.8703703703703702</v>
      </c>
      <c r="Y24" s="493">
        <v>0.62222222222222223</v>
      </c>
      <c r="Z24" s="492">
        <v>0.54012345679012352</v>
      </c>
      <c r="AA24" s="492">
        <v>0.75617283950617287</v>
      </c>
    </row>
    <row r="25" spans="1:35" ht="12.75" customHeight="1" x14ac:dyDescent="0.2">
      <c r="B25" s="376">
        <v>11200</v>
      </c>
      <c r="C25" s="377">
        <v>11212</v>
      </c>
      <c r="D25" s="340" t="s">
        <v>16</v>
      </c>
      <c r="E25" s="340">
        <v>1</v>
      </c>
      <c r="F25" s="344">
        <v>0</v>
      </c>
      <c r="G25" s="344">
        <v>0</v>
      </c>
      <c r="H25" s="79">
        <v>1.5</v>
      </c>
      <c r="I25" s="79">
        <v>3.7022222222222227E-2</v>
      </c>
      <c r="J25" s="79">
        <v>0.1852</v>
      </c>
      <c r="K25" s="341">
        <v>0</v>
      </c>
      <c r="L25" s="83">
        <v>12</v>
      </c>
      <c r="M25" s="345">
        <v>15</v>
      </c>
      <c r="N25" s="89">
        <v>180</v>
      </c>
      <c r="O25" s="345"/>
      <c r="P25" s="83">
        <v>180</v>
      </c>
      <c r="Q25" s="494">
        <v>1.0999999999999999E-2</v>
      </c>
      <c r="R25" s="494">
        <v>22</v>
      </c>
      <c r="S25" s="494">
        <v>22</v>
      </c>
      <c r="T25" s="85">
        <v>0.65339999999999998</v>
      </c>
      <c r="U25" s="347"/>
      <c r="V25" s="492">
        <v>1.703688888888889</v>
      </c>
      <c r="W25" s="346"/>
      <c r="X25" s="492">
        <v>3.5185333333333335</v>
      </c>
      <c r="Y25" s="493">
        <v>0.8</v>
      </c>
      <c r="Z25" s="492">
        <v>0.69444444444444442</v>
      </c>
      <c r="AA25" s="492">
        <v>0.97222222222222221</v>
      </c>
    </row>
    <row r="26" spans="1:35" ht="12.75" customHeight="1" x14ac:dyDescent="0.2">
      <c r="B26" s="376">
        <v>11212</v>
      </c>
      <c r="C26" s="377">
        <v>11250</v>
      </c>
      <c r="D26" s="340" t="s">
        <v>30</v>
      </c>
      <c r="E26" s="340">
        <v>2</v>
      </c>
      <c r="F26" s="344">
        <v>0</v>
      </c>
      <c r="G26" s="344">
        <v>0</v>
      </c>
      <c r="H26" s="79">
        <v>3</v>
      </c>
      <c r="I26" s="79">
        <v>0.23447407407407408</v>
      </c>
      <c r="J26" s="79">
        <v>1.1729333333333334</v>
      </c>
      <c r="K26" s="341">
        <v>0</v>
      </c>
      <c r="L26" s="83">
        <v>38</v>
      </c>
      <c r="M26" s="345">
        <v>30</v>
      </c>
      <c r="N26" s="89">
        <v>1140</v>
      </c>
      <c r="O26" s="345"/>
      <c r="P26" s="83">
        <v>1140</v>
      </c>
      <c r="Q26" s="494">
        <v>6.9666666666666668E-2</v>
      </c>
      <c r="R26" s="494">
        <v>139.33333333333334</v>
      </c>
      <c r="S26" s="494">
        <v>139.33333333333334</v>
      </c>
      <c r="T26" s="85">
        <v>4.1381999999999994</v>
      </c>
      <c r="U26" s="347">
        <v>30</v>
      </c>
      <c r="V26" s="492">
        <v>10.790029629629629</v>
      </c>
      <c r="W26" s="346"/>
      <c r="X26" s="492">
        <v>22.284044444444444</v>
      </c>
      <c r="Y26" s="493">
        <v>5.0666666666666673</v>
      </c>
      <c r="Z26" s="492">
        <v>4.3981481481481479</v>
      </c>
      <c r="AA26" s="492">
        <v>6.1574074074074074</v>
      </c>
    </row>
    <row r="27" spans="1:35" ht="12.75" customHeight="1" thickBot="1" x14ac:dyDescent="0.25">
      <c r="B27" s="107"/>
      <c r="C27" s="82"/>
      <c r="D27" s="103"/>
      <c r="E27" s="103"/>
      <c r="F27" s="103"/>
      <c r="G27" s="103"/>
      <c r="H27" s="79"/>
      <c r="I27" s="79"/>
      <c r="J27" s="79"/>
      <c r="K27" s="79"/>
      <c r="L27" s="83"/>
      <c r="M27" s="83"/>
      <c r="N27" s="89"/>
      <c r="O27" s="83"/>
      <c r="P27" s="83"/>
      <c r="Q27" s="86"/>
      <c r="R27" s="86"/>
      <c r="S27" s="86"/>
      <c r="T27" s="85"/>
      <c r="U27" s="255"/>
      <c r="V27" s="83"/>
      <c r="W27" s="83"/>
      <c r="X27" s="83"/>
      <c r="Y27" s="85"/>
      <c r="Z27" s="83"/>
      <c r="AA27" s="83"/>
      <c r="AF27" s="116"/>
      <c r="AG27" s="130"/>
      <c r="AH27" s="130"/>
      <c r="AI27" s="130"/>
    </row>
    <row r="28" spans="1:35" ht="12.75" customHeight="1" x14ac:dyDescent="0.2">
      <c r="B28" s="643" t="s">
        <v>132</v>
      </c>
      <c r="C28" s="644"/>
      <c r="D28" s="112"/>
      <c r="E28" s="100"/>
      <c r="F28" s="100"/>
      <c r="G28" s="100"/>
      <c r="H28" s="100"/>
      <c r="I28" s="100"/>
      <c r="J28" s="100"/>
      <c r="K28" s="100"/>
      <c r="L28" s="101"/>
      <c r="M28" s="101"/>
      <c r="N28" s="101"/>
      <c r="O28" s="101"/>
      <c r="P28" s="101"/>
      <c r="Q28" s="102"/>
      <c r="R28" s="102"/>
      <c r="S28" s="102"/>
      <c r="T28" s="101"/>
      <c r="U28" s="254"/>
      <c r="V28" s="101"/>
      <c r="W28" s="101"/>
      <c r="X28" s="101"/>
      <c r="Y28" s="101"/>
      <c r="Z28" s="101"/>
      <c r="AA28" s="101"/>
    </row>
    <row r="29" spans="1:35" ht="12.75" customHeight="1" x14ac:dyDescent="0.2">
      <c r="B29" s="378">
        <v>5</v>
      </c>
      <c r="C29" s="379">
        <v>80</v>
      </c>
      <c r="D29" s="343" t="s">
        <v>30</v>
      </c>
      <c r="E29" s="340">
        <v>0</v>
      </c>
      <c r="F29" s="340">
        <v>0</v>
      </c>
      <c r="G29" s="344">
        <v>2</v>
      </c>
      <c r="H29" s="496">
        <v>3.5</v>
      </c>
      <c r="I29" s="496">
        <v>0</v>
      </c>
      <c r="J29" s="496">
        <v>16.111111111111111</v>
      </c>
      <c r="K29" s="341">
        <v>0</v>
      </c>
      <c r="L29" s="492">
        <v>145</v>
      </c>
      <c r="M29" s="345"/>
      <c r="N29" s="495" t="s">
        <v>288</v>
      </c>
      <c r="O29" s="345">
        <v>6532.53</v>
      </c>
      <c r="P29" s="492">
        <v>6532.53</v>
      </c>
      <c r="Q29" s="494">
        <v>0.39111277777777775</v>
      </c>
      <c r="R29" s="494">
        <v>782.2255555555555</v>
      </c>
      <c r="S29" s="494">
        <v>782.2255555555555</v>
      </c>
      <c r="T29" s="493">
        <v>23.232098999999995</v>
      </c>
      <c r="U29" s="347"/>
      <c r="V29" s="492"/>
      <c r="W29" s="492">
        <v>120.97277777777778</v>
      </c>
      <c r="X29" s="492">
        <v>137.08388888888888</v>
      </c>
      <c r="Y29" s="493">
        <v>29.033466666666666</v>
      </c>
      <c r="Z29" s="492">
        <v>25.202662037037037</v>
      </c>
      <c r="AA29" s="492">
        <v>35.283726851851853</v>
      </c>
    </row>
    <row r="30" spans="1:35" ht="12.75" customHeight="1" x14ac:dyDescent="0.2">
      <c r="B30" s="378">
        <v>80</v>
      </c>
      <c r="C30" s="379">
        <v>135.34</v>
      </c>
      <c r="D30" s="343" t="s">
        <v>30</v>
      </c>
      <c r="E30" s="340">
        <v>0</v>
      </c>
      <c r="F30" s="340">
        <v>0</v>
      </c>
      <c r="G30" s="344">
        <v>1</v>
      </c>
      <c r="H30" s="496">
        <v>4</v>
      </c>
      <c r="I30" s="496">
        <v>0</v>
      </c>
      <c r="J30" s="496">
        <v>16.097222222222221</v>
      </c>
      <c r="K30" s="341">
        <v>0</v>
      </c>
      <c r="L30" s="492">
        <v>289.75</v>
      </c>
      <c r="M30" s="345"/>
      <c r="N30" s="495" t="s">
        <v>288</v>
      </c>
      <c r="O30" s="345">
        <v>2474.7800000000002</v>
      </c>
      <c r="P30" s="492">
        <v>2474.7800000000002</v>
      </c>
      <c r="Q30" s="494">
        <v>0.20187666666666668</v>
      </c>
      <c r="R30" s="494">
        <v>403.75333333333333</v>
      </c>
      <c r="S30" s="494">
        <v>403.75333333333333</v>
      </c>
      <c r="T30" s="493">
        <v>11.991474</v>
      </c>
      <c r="U30" s="347"/>
      <c r="V30" s="83"/>
      <c r="W30" s="492">
        <v>45.82925925925926</v>
      </c>
      <c r="X30" s="492">
        <v>61.926481481481481</v>
      </c>
      <c r="Y30" s="493">
        <v>10.999022222222223</v>
      </c>
      <c r="Z30" s="492">
        <v>9.5477623456790148</v>
      </c>
      <c r="AA30" s="492">
        <v>13.366867283950619</v>
      </c>
    </row>
    <row r="31" spans="1:35" ht="12.75" customHeight="1" x14ac:dyDescent="0.2">
      <c r="B31" s="380">
        <v>135.34</v>
      </c>
      <c r="C31" s="381">
        <v>291.83</v>
      </c>
      <c r="D31" s="343" t="s">
        <v>30</v>
      </c>
      <c r="E31" s="340">
        <v>0</v>
      </c>
      <c r="F31" s="340">
        <v>0</v>
      </c>
      <c r="G31" s="344">
        <v>2</v>
      </c>
      <c r="H31" s="496">
        <v>8</v>
      </c>
      <c r="I31" s="496">
        <v>0</v>
      </c>
      <c r="J31" s="496">
        <v>17.387777777777774</v>
      </c>
      <c r="K31" s="341">
        <v>0</v>
      </c>
      <c r="L31" s="492">
        <v>156.48999999999998</v>
      </c>
      <c r="M31" s="345">
        <v>35.64</v>
      </c>
      <c r="N31" s="495">
        <v>5577.3035999999993</v>
      </c>
      <c r="O31" s="345"/>
      <c r="P31" s="492">
        <v>5577.3035999999993</v>
      </c>
      <c r="Q31" s="494">
        <v>0.37940131111111108</v>
      </c>
      <c r="R31" s="494">
        <v>758.80262222222211</v>
      </c>
      <c r="S31" s="494">
        <v>758.80262222222211</v>
      </c>
      <c r="T31" s="493">
        <v>22.536437879999998</v>
      </c>
      <c r="U31" s="347"/>
      <c r="V31" s="83"/>
      <c r="W31" s="492">
        <v>103.28339999999999</v>
      </c>
      <c r="X31" s="492">
        <v>120.67117777777776</v>
      </c>
      <c r="Y31" s="493">
        <v>24.788015999999999</v>
      </c>
      <c r="Z31" s="492">
        <v>21.517374999999998</v>
      </c>
      <c r="AA31" s="492">
        <v>30.124324999999995</v>
      </c>
    </row>
    <row r="32" spans="1:35" ht="12.75" customHeight="1" x14ac:dyDescent="0.2">
      <c r="B32" s="380">
        <v>291.83</v>
      </c>
      <c r="C32" s="381">
        <v>559.47</v>
      </c>
      <c r="D32" s="343" t="s">
        <v>30</v>
      </c>
      <c r="E32" s="340">
        <v>0</v>
      </c>
      <c r="F32" s="340">
        <v>0</v>
      </c>
      <c r="G32" s="344">
        <v>2</v>
      </c>
      <c r="H32" s="496">
        <v>8</v>
      </c>
      <c r="I32" s="496">
        <v>0</v>
      </c>
      <c r="J32" s="496">
        <v>29.737777777777779</v>
      </c>
      <c r="K32" s="341">
        <v>0</v>
      </c>
      <c r="L32" s="492">
        <v>267.64000000000004</v>
      </c>
      <c r="M32" s="345">
        <v>29</v>
      </c>
      <c r="N32" s="495">
        <v>7761.5600000000013</v>
      </c>
      <c r="O32" s="345"/>
      <c r="P32" s="492">
        <v>7761.5600000000013</v>
      </c>
      <c r="Q32" s="494">
        <v>0.55014888888888902</v>
      </c>
      <c r="R32" s="494">
        <v>1100.297777777778</v>
      </c>
      <c r="S32" s="494">
        <v>1100.297777777778</v>
      </c>
      <c r="T32" s="493">
        <v>32.678844000000005</v>
      </c>
      <c r="U32" s="347"/>
      <c r="V32" s="83"/>
      <c r="W32" s="492">
        <v>143.73259259259262</v>
      </c>
      <c r="X32" s="492">
        <v>173.4703703703704</v>
      </c>
      <c r="Y32" s="493">
        <v>34.49582222222223</v>
      </c>
      <c r="Z32" s="492">
        <v>29.944290123456796</v>
      </c>
      <c r="AA32" s="492">
        <v>41.922006172839517</v>
      </c>
    </row>
    <row r="33" spans="1:27" ht="12.75" customHeight="1" x14ac:dyDescent="0.2">
      <c r="B33" s="380">
        <v>559.47</v>
      </c>
      <c r="C33" s="381">
        <v>644.77</v>
      </c>
      <c r="D33" s="343" t="s">
        <v>30</v>
      </c>
      <c r="E33" s="340">
        <v>0</v>
      </c>
      <c r="F33" s="340">
        <v>0</v>
      </c>
      <c r="G33" s="344">
        <v>2</v>
      </c>
      <c r="H33" s="496">
        <v>8</v>
      </c>
      <c r="I33" s="496">
        <v>0</v>
      </c>
      <c r="J33" s="496">
        <v>9.4777777777777725</v>
      </c>
      <c r="K33" s="341">
        <v>0</v>
      </c>
      <c r="L33" s="492">
        <v>85.299999999999955</v>
      </c>
      <c r="M33" s="345">
        <v>26.5</v>
      </c>
      <c r="N33" s="495">
        <v>2260.4499999999989</v>
      </c>
      <c r="O33" s="345"/>
      <c r="P33" s="492">
        <v>2260.4499999999989</v>
      </c>
      <c r="Q33" s="494">
        <v>0.16349166666666659</v>
      </c>
      <c r="R33" s="494">
        <v>326.98333333333318</v>
      </c>
      <c r="S33" s="494">
        <v>326.98333333333318</v>
      </c>
      <c r="T33" s="493">
        <v>9.7114049999999956</v>
      </c>
      <c r="U33" s="347"/>
      <c r="V33" s="83"/>
      <c r="W33" s="492">
        <v>41.860185185185166</v>
      </c>
      <c r="X33" s="492">
        <v>51.337962962962941</v>
      </c>
      <c r="Y33" s="493">
        <v>10.04644444444444</v>
      </c>
      <c r="Z33" s="492">
        <v>8.7208719135802433</v>
      </c>
      <c r="AA33" s="492">
        <v>12.20922067901234</v>
      </c>
    </row>
    <row r="34" spans="1:27" ht="12.75" customHeight="1" x14ac:dyDescent="0.2">
      <c r="B34" s="380">
        <v>644.77</v>
      </c>
      <c r="C34" s="381">
        <v>874.86</v>
      </c>
      <c r="D34" s="343" t="s">
        <v>30</v>
      </c>
      <c r="E34" s="340">
        <v>0</v>
      </c>
      <c r="F34" s="340">
        <v>0</v>
      </c>
      <c r="G34" s="344">
        <v>2</v>
      </c>
      <c r="H34" s="496">
        <v>8</v>
      </c>
      <c r="I34" s="496">
        <v>0</v>
      </c>
      <c r="J34" s="496">
        <v>25.565555555555559</v>
      </c>
      <c r="K34" s="341">
        <v>0</v>
      </c>
      <c r="L34" s="492">
        <v>230.09000000000003</v>
      </c>
      <c r="M34" s="345">
        <v>24</v>
      </c>
      <c r="N34" s="495">
        <v>5522.1600000000008</v>
      </c>
      <c r="O34" s="345"/>
      <c r="P34" s="492">
        <v>5522.1600000000008</v>
      </c>
      <c r="Q34" s="494">
        <v>0.40904888888888896</v>
      </c>
      <c r="R34" s="494">
        <v>818.09777777777788</v>
      </c>
      <c r="S34" s="494">
        <v>818.09777777777788</v>
      </c>
      <c r="T34" s="493">
        <v>24.297504</v>
      </c>
      <c r="U34" s="347"/>
      <c r="V34" s="83"/>
      <c r="W34" s="492">
        <v>102.26222222222223</v>
      </c>
      <c r="X34" s="492">
        <v>127.8277777777778</v>
      </c>
      <c r="Y34" s="493">
        <v>24.542933333333337</v>
      </c>
      <c r="Z34" s="492">
        <v>21.304629629629634</v>
      </c>
      <c r="AA34" s="492">
        <v>29.826481481481483</v>
      </c>
    </row>
    <row r="35" spans="1:27" ht="12.75" customHeight="1" x14ac:dyDescent="0.2">
      <c r="B35" s="380">
        <v>874.86</v>
      </c>
      <c r="C35" s="381">
        <v>960.16</v>
      </c>
      <c r="D35" s="343" t="s">
        <v>30</v>
      </c>
      <c r="E35" s="340">
        <v>0</v>
      </c>
      <c r="F35" s="340">
        <v>0</v>
      </c>
      <c r="G35" s="344">
        <v>2</v>
      </c>
      <c r="H35" s="496">
        <v>8</v>
      </c>
      <c r="I35" s="496">
        <v>0</v>
      </c>
      <c r="J35" s="496">
        <v>9.4777777777777725</v>
      </c>
      <c r="K35" s="341">
        <v>0</v>
      </c>
      <c r="L35" s="492">
        <v>85.299999999999955</v>
      </c>
      <c r="M35" s="345">
        <v>26.5</v>
      </c>
      <c r="N35" s="495">
        <v>2260.4499999999989</v>
      </c>
      <c r="O35" s="345"/>
      <c r="P35" s="492">
        <v>2260.4499999999989</v>
      </c>
      <c r="Q35" s="494">
        <v>0.16349166666666659</v>
      </c>
      <c r="R35" s="494">
        <v>326.98333333333318</v>
      </c>
      <c r="S35" s="494">
        <v>326.98333333333318</v>
      </c>
      <c r="T35" s="493">
        <v>9.7114049999999956</v>
      </c>
      <c r="U35" s="347"/>
      <c r="V35" s="83"/>
      <c r="W35" s="492">
        <v>41.860185185185166</v>
      </c>
      <c r="X35" s="492">
        <v>51.337962962962941</v>
      </c>
      <c r="Y35" s="493">
        <v>10.04644444444444</v>
      </c>
      <c r="Z35" s="492">
        <v>8.7208719135802433</v>
      </c>
      <c r="AA35" s="492">
        <v>12.20922067901234</v>
      </c>
    </row>
    <row r="36" spans="1:27" ht="12.75" customHeight="1" x14ac:dyDescent="0.2">
      <c r="A36" s="106"/>
      <c r="B36" s="380">
        <v>960.16</v>
      </c>
      <c r="C36" s="381">
        <v>1197.95</v>
      </c>
      <c r="D36" s="343" t="s">
        <v>30</v>
      </c>
      <c r="E36" s="340">
        <v>0</v>
      </c>
      <c r="F36" s="340">
        <v>0</v>
      </c>
      <c r="G36" s="344">
        <v>2</v>
      </c>
      <c r="H36" s="496">
        <v>8</v>
      </c>
      <c r="I36" s="496">
        <v>0</v>
      </c>
      <c r="J36" s="496">
        <v>26.42111111111112</v>
      </c>
      <c r="K36" s="341">
        <v>0</v>
      </c>
      <c r="L36" s="492">
        <v>237.79000000000008</v>
      </c>
      <c r="M36" s="345">
        <v>29</v>
      </c>
      <c r="N36" s="495">
        <v>6895.9100000000026</v>
      </c>
      <c r="O36" s="345"/>
      <c r="P36" s="492">
        <v>6895.9100000000026</v>
      </c>
      <c r="Q36" s="494">
        <v>0.48879055555555573</v>
      </c>
      <c r="R36" s="494">
        <v>977.58111111111145</v>
      </c>
      <c r="S36" s="494">
        <v>977.58111111111145</v>
      </c>
      <c r="T36" s="493">
        <v>29.03415900000001</v>
      </c>
      <c r="U36" s="347"/>
      <c r="V36" s="83"/>
      <c r="W36" s="492">
        <v>127.70203703703709</v>
      </c>
      <c r="X36" s="492">
        <v>154.1231481481482</v>
      </c>
      <c r="Y36" s="493">
        <v>30.648488888888902</v>
      </c>
      <c r="Z36" s="492">
        <v>26.604591049382726</v>
      </c>
      <c r="AA36" s="492">
        <v>37.246427469135817</v>
      </c>
    </row>
    <row r="37" spans="1:27" ht="12.75" customHeight="1" x14ac:dyDescent="0.2">
      <c r="A37" s="106"/>
      <c r="B37" s="380">
        <v>1197.95</v>
      </c>
      <c r="C37" s="381">
        <v>1290.51</v>
      </c>
      <c r="D37" s="382" t="s">
        <v>15</v>
      </c>
      <c r="E37" s="340">
        <v>0</v>
      </c>
      <c r="F37" s="340">
        <v>0</v>
      </c>
      <c r="G37" s="344">
        <v>1</v>
      </c>
      <c r="H37" s="496">
        <v>4</v>
      </c>
      <c r="I37" s="496">
        <v>0</v>
      </c>
      <c r="J37" s="496">
        <v>5.1422222222222196</v>
      </c>
      <c r="K37" s="341">
        <v>0</v>
      </c>
      <c r="L37" s="492">
        <v>92.559999999999945</v>
      </c>
      <c r="M37" s="345">
        <v>12</v>
      </c>
      <c r="N37" s="495">
        <v>1110.7199999999993</v>
      </c>
      <c r="O37" s="345"/>
      <c r="P37" s="492">
        <v>1110.7199999999993</v>
      </c>
      <c r="Q37" s="494">
        <v>8.2275555555555518E-2</v>
      </c>
      <c r="R37" s="494">
        <v>164.55111111111103</v>
      </c>
      <c r="S37" s="494">
        <v>164.55111111111103</v>
      </c>
      <c r="T37" s="493">
        <v>4.8871679999999982</v>
      </c>
      <c r="U37" s="347"/>
      <c r="V37" s="83"/>
      <c r="W37" s="492">
        <v>20.568888888888878</v>
      </c>
      <c r="X37" s="492">
        <v>25.711111111111098</v>
      </c>
      <c r="Y37" s="493">
        <v>4.9365333333333306</v>
      </c>
      <c r="Z37" s="492">
        <v>4.285185185185183</v>
      </c>
      <c r="AA37" s="492">
        <v>5.9992592592592553</v>
      </c>
    </row>
    <row r="38" spans="1:27" ht="12.75" customHeight="1" x14ac:dyDescent="0.2">
      <c r="B38" s="380">
        <v>1197.95</v>
      </c>
      <c r="C38" s="381">
        <v>1297.8399999999999</v>
      </c>
      <c r="D38" s="382" t="s">
        <v>16</v>
      </c>
      <c r="E38" s="340">
        <v>0</v>
      </c>
      <c r="F38" s="340">
        <v>0</v>
      </c>
      <c r="G38" s="344">
        <v>1</v>
      </c>
      <c r="H38" s="496">
        <v>4</v>
      </c>
      <c r="I38" s="496">
        <v>0</v>
      </c>
      <c r="J38" s="496">
        <v>5.5494444444444371</v>
      </c>
      <c r="K38" s="341">
        <v>0</v>
      </c>
      <c r="L38" s="492">
        <v>99.889999999999873</v>
      </c>
      <c r="M38" s="345">
        <v>14.5</v>
      </c>
      <c r="N38" s="495">
        <v>1448.4049999999982</v>
      </c>
      <c r="O38" s="345"/>
      <c r="P38" s="492">
        <v>1448.4049999999982</v>
      </c>
      <c r="Q38" s="494">
        <v>0.1026647222222221</v>
      </c>
      <c r="R38" s="494">
        <v>205.32944444444419</v>
      </c>
      <c r="S38" s="494">
        <v>205.32944444444419</v>
      </c>
      <c r="T38" s="493">
        <v>6.0982844999999921</v>
      </c>
      <c r="U38" s="347"/>
      <c r="V38" s="83"/>
      <c r="W38" s="492">
        <v>26.822314814814781</v>
      </c>
      <c r="X38" s="492">
        <v>32.371759259259221</v>
      </c>
      <c r="Y38" s="493">
        <v>6.4373555555555475</v>
      </c>
      <c r="Z38" s="492">
        <v>5.5879822530864134</v>
      </c>
      <c r="AA38" s="492">
        <v>7.8231751543209773</v>
      </c>
    </row>
    <row r="39" spans="1:27" ht="12.75" customHeight="1" x14ac:dyDescent="0.2">
      <c r="B39" s="380">
        <v>1290.51</v>
      </c>
      <c r="C39" s="381">
        <v>1382.71</v>
      </c>
      <c r="D39" s="382" t="s">
        <v>15</v>
      </c>
      <c r="E39" s="340">
        <v>0</v>
      </c>
      <c r="F39" s="340">
        <v>0</v>
      </c>
      <c r="G39" s="344">
        <v>1</v>
      </c>
      <c r="H39" s="496">
        <v>4</v>
      </c>
      <c r="I39" s="496">
        <v>0</v>
      </c>
      <c r="J39" s="496">
        <v>5.1222222222222245</v>
      </c>
      <c r="K39" s="341">
        <v>0</v>
      </c>
      <c r="L39" s="492">
        <v>92.200000000000045</v>
      </c>
      <c r="M39" s="345">
        <v>15.6</v>
      </c>
      <c r="N39" s="495">
        <v>1438.3200000000006</v>
      </c>
      <c r="O39" s="345"/>
      <c r="P39" s="492">
        <v>1438.3200000000006</v>
      </c>
      <c r="Q39" s="494">
        <v>0.1003955555555556</v>
      </c>
      <c r="R39" s="494">
        <v>200.79111111111121</v>
      </c>
      <c r="S39" s="494">
        <v>200.79111111111121</v>
      </c>
      <c r="T39" s="493">
        <v>5.9634960000000037</v>
      </c>
      <c r="U39" s="347"/>
      <c r="V39" s="83"/>
      <c r="W39" s="492">
        <v>26.635555555555566</v>
      </c>
      <c r="X39" s="492">
        <v>31.75777777777779</v>
      </c>
      <c r="Y39" s="493">
        <v>6.3925333333333354</v>
      </c>
      <c r="Z39" s="492">
        <v>5.5490740740740767</v>
      </c>
      <c r="AA39" s="492">
        <v>7.7687037037037081</v>
      </c>
    </row>
    <row r="40" spans="1:27" ht="12.75" customHeight="1" x14ac:dyDescent="0.2">
      <c r="B40" s="380">
        <v>1297.8399999999999</v>
      </c>
      <c r="C40" s="381">
        <v>1350.71</v>
      </c>
      <c r="D40" s="382" t="s">
        <v>16</v>
      </c>
      <c r="E40" s="340">
        <v>0</v>
      </c>
      <c r="F40" s="340">
        <v>0</v>
      </c>
      <c r="G40" s="344">
        <v>1</v>
      </c>
      <c r="H40" s="496">
        <v>4</v>
      </c>
      <c r="I40" s="496">
        <v>0</v>
      </c>
      <c r="J40" s="496">
        <v>2.9372222222222288</v>
      </c>
      <c r="K40" s="341">
        <v>0</v>
      </c>
      <c r="L40" s="492">
        <v>52.870000000000118</v>
      </c>
      <c r="M40" s="345">
        <v>12</v>
      </c>
      <c r="N40" s="495">
        <v>634.44000000000142</v>
      </c>
      <c r="O40" s="345"/>
      <c r="P40" s="492">
        <v>634.44000000000142</v>
      </c>
      <c r="Q40" s="494">
        <v>4.6995555555555658E-2</v>
      </c>
      <c r="R40" s="494">
        <v>93.991111111111323</v>
      </c>
      <c r="S40" s="494">
        <v>93.991111111111323</v>
      </c>
      <c r="T40" s="493">
        <v>2.7915360000000065</v>
      </c>
      <c r="U40" s="347"/>
      <c r="V40" s="83"/>
      <c r="W40" s="492">
        <v>11.748888888888915</v>
      </c>
      <c r="X40" s="492">
        <v>14.686111111111144</v>
      </c>
      <c r="Y40" s="493">
        <v>2.8197333333333399</v>
      </c>
      <c r="Z40" s="492">
        <v>2.4476851851851906</v>
      </c>
      <c r="AA40" s="492">
        <v>3.4267592592592671</v>
      </c>
    </row>
    <row r="41" spans="1:27" ht="12.75" customHeight="1" x14ac:dyDescent="0.2">
      <c r="B41" s="380">
        <v>1350.71</v>
      </c>
      <c r="C41" s="381">
        <v>1392.04</v>
      </c>
      <c r="D41" s="382" t="s">
        <v>16</v>
      </c>
      <c r="E41" s="340">
        <v>0</v>
      </c>
      <c r="F41" s="340">
        <v>0</v>
      </c>
      <c r="G41" s="344">
        <v>1</v>
      </c>
      <c r="H41" s="496">
        <v>4</v>
      </c>
      <c r="I41" s="496">
        <v>0</v>
      </c>
      <c r="J41" s="496">
        <v>2.2961111111111072</v>
      </c>
      <c r="K41" s="341">
        <v>0</v>
      </c>
      <c r="L41" s="492">
        <v>41.329999999999927</v>
      </c>
      <c r="M41" s="345">
        <v>13.4</v>
      </c>
      <c r="N41" s="495">
        <v>553.82199999999909</v>
      </c>
      <c r="O41" s="345"/>
      <c r="P41" s="492">
        <v>553.82199999999909</v>
      </c>
      <c r="Q41" s="494">
        <v>3.9952333333333263E-2</v>
      </c>
      <c r="R41" s="494">
        <v>79.904666666666529</v>
      </c>
      <c r="S41" s="494">
        <v>79.904666666666529</v>
      </c>
      <c r="T41" s="493">
        <v>2.3731685999999965</v>
      </c>
      <c r="U41" s="347"/>
      <c r="V41" s="83"/>
      <c r="W41" s="492">
        <v>10.255962962962947</v>
      </c>
      <c r="X41" s="492">
        <v>12.552074074074055</v>
      </c>
      <c r="Y41" s="493">
        <v>2.4614311111111071</v>
      </c>
      <c r="Z41" s="492">
        <v>2.1366589506172806</v>
      </c>
      <c r="AA41" s="492">
        <v>2.9913225308641924</v>
      </c>
    </row>
    <row r="42" spans="1:27" ht="12.75" customHeight="1" x14ac:dyDescent="0.2">
      <c r="B42" s="380">
        <v>1382.71</v>
      </c>
      <c r="C42" s="381">
        <v>1428.41</v>
      </c>
      <c r="D42" s="382" t="s">
        <v>15</v>
      </c>
      <c r="E42" s="340">
        <v>0</v>
      </c>
      <c r="F42" s="340">
        <v>0</v>
      </c>
      <c r="G42" s="344">
        <v>1</v>
      </c>
      <c r="H42" s="496">
        <v>4</v>
      </c>
      <c r="I42" s="496">
        <v>0</v>
      </c>
      <c r="J42" s="496">
        <v>2.5388888888888914</v>
      </c>
      <c r="K42" s="341">
        <v>0</v>
      </c>
      <c r="L42" s="492">
        <v>45.700000000000045</v>
      </c>
      <c r="M42" s="345">
        <v>19.2</v>
      </c>
      <c r="N42" s="495">
        <v>877.44000000000085</v>
      </c>
      <c r="O42" s="345"/>
      <c r="P42" s="492">
        <v>877.44000000000085</v>
      </c>
      <c r="Q42" s="494">
        <v>5.8902222222222286E-2</v>
      </c>
      <c r="R42" s="494">
        <v>117.80444444444457</v>
      </c>
      <c r="S42" s="494">
        <v>117.80444444444457</v>
      </c>
      <c r="T42" s="493">
        <v>3.498792000000003</v>
      </c>
      <c r="U42" s="347"/>
      <c r="V42" s="83"/>
      <c r="W42" s="492">
        <v>16.248888888888903</v>
      </c>
      <c r="X42" s="492">
        <v>18.787777777777794</v>
      </c>
      <c r="Y42" s="493">
        <v>3.8997333333333373</v>
      </c>
      <c r="Z42" s="492">
        <v>3.3851851851851884</v>
      </c>
      <c r="AA42" s="492">
        <v>4.7392592592592644</v>
      </c>
    </row>
    <row r="43" spans="1:27" ht="12.75" customHeight="1" x14ac:dyDescent="0.2">
      <c r="B43" s="380">
        <v>1392.04</v>
      </c>
      <c r="C43" s="381">
        <v>1428.41</v>
      </c>
      <c r="D43" s="382" t="s">
        <v>16</v>
      </c>
      <c r="E43" s="340">
        <v>0</v>
      </c>
      <c r="F43" s="340">
        <v>0</v>
      </c>
      <c r="G43" s="344">
        <v>1</v>
      </c>
      <c r="H43" s="496">
        <v>4</v>
      </c>
      <c r="I43" s="496">
        <v>0</v>
      </c>
      <c r="J43" s="496">
        <v>2.0205555555555623</v>
      </c>
      <c r="K43" s="341">
        <v>0</v>
      </c>
      <c r="L43" s="492">
        <v>36.370000000000118</v>
      </c>
      <c r="M43" s="345">
        <v>17.57</v>
      </c>
      <c r="N43" s="495">
        <v>639.02090000000214</v>
      </c>
      <c r="O43" s="345"/>
      <c r="P43" s="492">
        <v>639.02090000000214</v>
      </c>
      <c r="Q43" s="494">
        <v>4.3583383333333482E-2</v>
      </c>
      <c r="R43" s="494">
        <v>87.166766666666959</v>
      </c>
      <c r="S43" s="494">
        <v>87.166766666666959</v>
      </c>
      <c r="T43" s="493">
        <v>2.5888529700000085</v>
      </c>
      <c r="U43" s="347"/>
      <c r="V43" s="83"/>
      <c r="W43" s="492">
        <v>11.833720370370409</v>
      </c>
      <c r="X43" s="492">
        <v>13.854275925925972</v>
      </c>
      <c r="Y43" s="493">
        <v>2.8400928888888983</v>
      </c>
      <c r="Z43" s="492">
        <v>2.4653584104938355</v>
      </c>
      <c r="AA43" s="492">
        <v>3.4515017746913692</v>
      </c>
    </row>
    <row r="44" spans="1:27" ht="12.75" customHeight="1" x14ac:dyDescent="0.2">
      <c r="A44" s="106"/>
      <c r="B44" s="380">
        <v>1428.41</v>
      </c>
      <c r="C44" s="381">
        <v>1593.93</v>
      </c>
      <c r="D44" s="343" t="s">
        <v>30</v>
      </c>
      <c r="E44" s="340">
        <v>1</v>
      </c>
      <c r="F44" s="340">
        <v>0</v>
      </c>
      <c r="G44" s="344">
        <v>0</v>
      </c>
      <c r="H44" s="496">
        <v>1.5</v>
      </c>
      <c r="I44" s="496">
        <v>3.2236566666666673</v>
      </c>
      <c r="J44" s="496">
        <v>8.0436990000000019</v>
      </c>
      <c r="K44" s="341">
        <v>0</v>
      </c>
      <c r="L44" s="492">
        <v>521.19000000000005</v>
      </c>
      <c r="M44" s="345"/>
      <c r="N44" s="495" t="s">
        <v>288</v>
      </c>
      <c r="O44" s="345">
        <v>14101.1</v>
      </c>
      <c r="P44" s="492">
        <v>14101.1</v>
      </c>
      <c r="Q44" s="494">
        <v>0.82682694444444449</v>
      </c>
      <c r="R44" s="494">
        <v>1653.653888888889</v>
      </c>
      <c r="S44" s="494">
        <v>1653.653888888889</v>
      </c>
      <c r="T44" s="493">
        <v>49.1135205</v>
      </c>
      <c r="U44" s="347"/>
      <c r="V44" s="83"/>
      <c r="W44" s="492">
        <v>264.35513814814817</v>
      </c>
      <c r="X44" s="492">
        <v>269.1751804814815</v>
      </c>
      <c r="Y44" s="493">
        <v>62.671555555555564</v>
      </c>
      <c r="Z44" s="492">
        <v>54.402391975308646</v>
      </c>
      <c r="AA44" s="492">
        <v>76.16334876543209</v>
      </c>
    </row>
    <row r="45" spans="1:27" ht="12.75" customHeight="1" thickBot="1" x14ac:dyDescent="0.25">
      <c r="B45" s="131"/>
      <c r="C45" s="132"/>
      <c r="D45" s="133"/>
      <c r="E45" s="103"/>
      <c r="F45" s="103"/>
      <c r="G45" s="103"/>
      <c r="H45" s="79"/>
      <c r="I45" s="79"/>
      <c r="J45" s="79"/>
      <c r="K45" s="79"/>
      <c r="L45" s="83"/>
      <c r="M45" s="83"/>
      <c r="N45" s="89"/>
      <c r="O45" s="83"/>
      <c r="P45" s="83"/>
      <c r="Q45" s="86"/>
      <c r="R45" s="86"/>
      <c r="S45" s="86"/>
      <c r="T45" s="85"/>
      <c r="U45" s="255"/>
      <c r="V45" s="83"/>
      <c r="W45" s="83"/>
      <c r="X45" s="83"/>
      <c r="Y45" s="85"/>
      <c r="Z45" s="85"/>
      <c r="AA45" s="83"/>
    </row>
    <row r="46" spans="1:27" s="94" customFormat="1" ht="12.75" customHeight="1" x14ac:dyDescent="0.2">
      <c r="B46" s="707" t="s">
        <v>272</v>
      </c>
      <c r="C46" s="708"/>
      <c r="D46" s="585" t="s">
        <v>247</v>
      </c>
      <c r="E46" s="586"/>
      <c r="F46" s="586"/>
      <c r="G46" s="586"/>
      <c r="H46" s="586"/>
      <c r="I46" s="586"/>
      <c r="J46" s="586"/>
      <c r="K46" s="586"/>
      <c r="L46" s="586"/>
      <c r="M46" s="586"/>
      <c r="N46" s="586"/>
      <c r="O46" s="586"/>
      <c r="P46" s="587"/>
      <c r="Q46" s="736">
        <f>ROUND(SUM(Q18:Q44),0)</f>
        <v>5</v>
      </c>
      <c r="R46" s="736">
        <f>ROUND(SUM(R18:R44),0)</f>
        <v>9033</v>
      </c>
      <c r="S46" s="736">
        <f>ROUND(SUM(S18:S44),0)</f>
        <v>9033</v>
      </c>
      <c r="T46" s="736">
        <f>ROUND(SUM(T18:T44),0)</f>
        <v>268</v>
      </c>
      <c r="U46" s="736">
        <f t="shared" ref="U46:V46" si="0">ROUND(SUM(U18:U44),0)</f>
        <v>59</v>
      </c>
      <c r="V46" s="736">
        <f t="shared" si="0"/>
        <v>69</v>
      </c>
      <c r="W46" s="736">
        <f t="shared" ref="W46" si="1">ROUND(SUM(W18:W44),0)</f>
        <v>1116</v>
      </c>
      <c r="X46" s="736">
        <f>ROUND(SUM(X18:X44),0)</f>
        <v>1491</v>
      </c>
      <c r="Y46" s="736">
        <f>ROUND(SUM(Y18:Y44),0)</f>
        <v>300</v>
      </c>
      <c r="Z46" s="736">
        <f>ROUND(SUM(Z18:Z44),0)</f>
        <v>260</v>
      </c>
      <c r="AA46" s="736">
        <f>ROUND(SUM(AA18:AA44),0)</f>
        <v>365</v>
      </c>
    </row>
    <row r="47" spans="1:27" s="94" customFormat="1" ht="12.75" customHeight="1" thickBot="1" x14ac:dyDescent="0.25">
      <c r="B47" s="709"/>
      <c r="C47" s="710"/>
      <c r="D47" s="588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90"/>
      <c r="Q47" s="740"/>
      <c r="R47" s="740"/>
      <c r="S47" s="740"/>
      <c r="T47" s="593"/>
      <c r="U47" s="593"/>
      <c r="V47" s="593"/>
      <c r="W47" s="593"/>
      <c r="X47" s="593"/>
      <c r="Y47" s="593"/>
      <c r="Z47" s="740"/>
      <c r="AA47" s="593"/>
    </row>
    <row r="48" spans="1:27" x14ac:dyDescent="0.2"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51" spans="16:19" ht="15" x14ac:dyDescent="0.25">
      <c r="P51" s="184">
        <f>ROUNDUP(SUM(P18:P44),0)</f>
        <v>69697</v>
      </c>
      <c r="Q51" s="179" t="s">
        <v>181</v>
      </c>
      <c r="R51" s="179"/>
      <c r="S51" s="179"/>
    </row>
  </sheetData>
  <customSheetViews>
    <customSheetView guid="{221143F3-72E3-4C4A-9811-2F859DD19779}" fitToPage="1">
      <pane ySplit="13" topLeftCell="A14" activePane="bottomLeft" state="frozen"/>
      <selection pane="bottomLeft" activeCell="O48" sqref="O48"/>
      <pageMargins left="0.22" right="0.22" top="0.22" bottom="0.22" header="0" footer="0"/>
      <printOptions horizontalCentered="1" verticalCentered="1"/>
      <pageSetup paperSize="17" scale="85" orientation="landscape" r:id="rId1"/>
      <headerFooter alignWithMargins="0">
        <oddFooter>&amp;L&amp;D&amp;R&amp;F, &amp;A</oddFooter>
      </headerFooter>
    </customSheetView>
  </customSheetViews>
  <mergeCells count="66">
    <mergeCell ref="AK11:AM11"/>
    <mergeCell ref="AE12:AG12"/>
    <mergeCell ref="AH12:AJ12"/>
    <mergeCell ref="AK12:AM12"/>
    <mergeCell ref="AE9:AG9"/>
    <mergeCell ref="AH9:AJ9"/>
    <mergeCell ref="AK9:AM9"/>
    <mergeCell ref="AE10:AG10"/>
    <mergeCell ref="AH10:AJ10"/>
    <mergeCell ref="AK10:AM10"/>
    <mergeCell ref="X46:X47"/>
    <mergeCell ref="Y46:Y47"/>
    <mergeCell ref="Z46:Z47"/>
    <mergeCell ref="AC6:AM6"/>
    <mergeCell ref="AC7:AC8"/>
    <mergeCell ref="AD7:AD8"/>
    <mergeCell ref="AE7:AG7"/>
    <mergeCell ref="AH7:AJ7"/>
    <mergeCell ref="AK7:AM7"/>
    <mergeCell ref="AE8:AG8"/>
    <mergeCell ref="AH8:AJ8"/>
    <mergeCell ref="AK8:AM8"/>
    <mergeCell ref="AB9:AB10"/>
    <mergeCell ref="AB11:AB12"/>
    <mergeCell ref="AE11:AG11"/>
    <mergeCell ref="AH11:AJ11"/>
    <mergeCell ref="AA46:AA47"/>
    <mergeCell ref="V5:W5"/>
    <mergeCell ref="Z5:AA5"/>
    <mergeCell ref="U46:U47"/>
    <mergeCell ref="B5:C15"/>
    <mergeCell ref="D5:D16"/>
    <mergeCell ref="E5:E16"/>
    <mergeCell ref="F5:F16"/>
    <mergeCell ref="G5:G16"/>
    <mergeCell ref="H5:H15"/>
    <mergeCell ref="I5:I15"/>
    <mergeCell ref="J5:J15"/>
    <mergeCell ref="K5:K15"/>
    <mergeCell ref="L5:L15"/>
    <mergeCell ref="M5:M15"/>
    <mergeCell ref="N5:N15"/>
    <mergeCell ref="Q46:Q47"/>
    <mergeCell ref="B17:C17"/>
    <mergeCell ref="T6:T15"/>
    <mergeCell ref="Q6:Q15"/>
    <mergeCell ref="O5:O15"/>
    <mergeCell ref="P5:P15"/>
    <mergeCell ref="B28:C28"/>
    <mergeCell ref="B46:C47"/>
    <mergeCell ref="D46:P47"/>
    <mergeCell ref="AA6:AA15"/>
    <mergeCell ref="V6:V15"/>
    <mergeCell ref="W6:W15"/>
    <mergeCell ref="X6:X15"/>
    <mergeCell ref="Y6:Y15"/>
    <mergeCell ref="Z6:Z15"/>
    <mergeCell ref="W46:W47"/>
    <mergeCell ref="V46:V47"/>
    <mergeCell ref="R5:T5"/>
    <mergeCell ref="R6:R15"/>
    <mergeCell ref="S6:S15"/>
    <mergeCell ref="R46:R47"/>
    <mergeCell ref="S46:S47"/>
    <mergeCell ref="U6:U15"/>
    <mergeCell ref="T46:T47"/>
  </mergeCells>
  <printOptions horizontalCentered="1" verticalCentered="1"/>
  <pageMargins left="0.22" right="0.22" top="0.22" bottom="0.22" header="0" footer="0"/>
  <pageSetup paperSize="17" orientation="landscape" r:id="rId2"/>
  <headerFooter scaleWithDoc="0" alignWithMargins="0">
    <oddHeader>&amp;LHAN-75-14.39</oddHeader>
    <oddFooter>&amp;R&amp;A</oddFooter>
  </headerFooter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8"/>
  <sheetViews>
    <sheetView view="pageBreakPreview" zoomScaleNormal="90" zoomScaleSheetLayoutView="100" workbookViewId="0">
      <pane ySplit="17" topLeftCell="A18" activePane="bottomLeft" state="frozen"/>
      <selection pane="bottomLeft" activeCell="E1" sqref="E1:J1048576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7" width="9.7109375" style="81" hidden="1" customWidth="1"/>
    <col min="8" max="10" width="8.5703125" style="81" hidden="1" customWidth="1"/>
    <col min="11" max="11" width="9.28515625" style="87" customWidth="1"/>
    <col min="12" max="13" width="5.5703125" style="87" bestFit="1" customWidth="1"/>
    <col min="14" max="14" width="7.5703125" style="94" bestFit="1" customWidth="1"/>
    <col min="15" max="17" width="6.5703125" style="94" bestFit="1" customWidth="1"/>
    <col min="18" max="18" width="7.5703125" style="94" bestFit="1" customWidth="1"/>
    <col min="19" max="19" width="6.5703125" style="94" bestFit="1" customWidth="1"/>
    <col min="20" max="21" width="8.140625" style="94" bestFit="1" customWidth="1"/>
    <col min="22" max="23" width="4.5703125" style="87" bestFit="1" customWidth="1"/>
    <col min="24" max="24" width="9.140625" style="88" bestFit="1" customWidth="1"/>
    <col min="25" max="25" width="8.140625" style="88" bestFit="1" customWidth="1"/>
    <col min="26" max="26" width="9.140625" style="88" bestFit="1" customWidth="1"/>
    <col min="27" max="27" width="8.140625" style="88" bestFit="1" customWidth="1"/>
    <col min="28" max="29" width="6.5703125" style="88" bestFit="1" customWidth="1"/>
    <col min="30" max="30" width="8.140625" style="87" bestFit="1" customWidth="1"/>
    <col min="31" max="31" width="8.85546875" style="87" customWidth="1"/>
    <col min="32" max="32" width="9.7109375" style="87" customWidth="1"/>
    <col min="33" max="33" width="9.140625" style="87" bestFit="1" customWidth="1"/>
    <col min="34" max="34" width="8.140625" style="87" bestFit="1" customWidth="1"/>
    <col min="35" max="35" width="8.140625" style="87" customWidth="1"/>
    <col min="36" max="36" width="10.7109375" style="87" customWidth="1"/>
    <col min="37" max="37" width="9.140625" style="81"/>
    <col min="38" max="38" width="11.85546875" style="81" bestFit="1" customWidth="1"/>
    <col min="39" max="39" width="9.85546875" style="81" bestFit="1" customWidth="1"/>
    <col min="40" max="47" width="9.7109375" style="81" customWidth="1"/>
    <col min="48" max="16384" width="9.140625" style="81"/>
  </cols>
  <sheetData>
    <row r="1" spans="1:48" s="90" customFormat="1" ht="13.5" thickBot="1" x14ac:dyDescent="0.25">
      <c r="B1" s="97"/>
      <c r="C1" s="97"/>
      <c r="K1" s="88"/>
      <c r="L1" s="88"/>
      <c r="M1" s="88"/>
      <c r="N1" s="105"/>
      <c r="O1" s="105"/>
      <c r="P1" s="105"/>
      <c r="Q1" s="105"/>
      <c r="R1" s="105"/>
      <c r="S1" s="105"/>
      <c r="T1" s="105"/>
      <c r="U1" s="105"/>
      <c r="V1" s="88"/>
      <c r="W1" s="88"/>
      <c r="X1" s="88"/>
      <c r="Y1" s="88"/>
      <c r="Z1" s="591">
        <v>12</v>
      </c>
      <c r="AA1" s="591"/>
      <c r="AB1" s="88"/>
      <c r="AC1" s="88"/>
      <c r="AD1" s="591">
        <v>6</v>
      </c>
      <c r="AE1" s="591"/>
      <c r="AF1" s="591"/>
      <c r="AG1" s="591"/>
      <c r="AH1" s="489"/>
      <c r="AI1" s="490">
        <v>3.25</v>
      </c>
      <c r="AJ1" s="489"/>
    </row>
    <row r="2" spans="1:48" s="90" customFormat="1" x14ac:dyDescent="0.2">
      <c r="A2" s="120"/>
      <c r="B2" s="683" t="s">
        <v>259</v>
      </c>
      <c r="C2" s="683"/>
      <c r="D2" s="52"/>
      <c r="E2" s="52"/>
      <c r="F2" s="52"/>
      <c r="G2" s="5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D2" s="146"/>
      <c r="AE2" s="212" t="s">
        <v>36</v>
      </c>
      <c r="AF2" s="168" t="s">
        <v>149</v>
      </c>
      <c r="AG2" s="168"/>
      <c r="AH2" s="170"/>
      <c r="AI2" s="170" t="s">
        <v>35</v>
      </c>
      <c r="AJ2" s="211">
        <v>41920</v>
      </c>
      <c r="AL2" s="224" t="s">
        <v>105</v>
      </c>
      <c r="AM2" s="91"/>
      <c r="AN2" s="224" t="s">
        <v>107</v>
      </c>
      <c r="AO2" s="219" t="s">
        <v>212</v>
      </c>
    </row>
    <row r="3" spans="1:48" s="90" customFormat="1" ht="13.5" thickBot="1" x14ac:dyDescent="0.25">
      <c r="A3" s="120"/>
      <c r="B3" s="684" t="s">
        <v>260</v>
      </c>
      <c r="C3" s="684"/>
      <c r="D3" s="52"/>
      <c r="E3" s="52"/>
      <c r="F3" s="52"/>
      <c r="G3" s="52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D3" s="45"/>
      <c r="AE3" s="213" t="s">
        <v>37</v>
      </c>
      <c r="AF3" s="169" t="s">
        <v>278</v>
      </c>
      <c r="AG3" s="216"/>
      <c r="AH3" s="171"/>
      <c r="AI3" s="171" t="s">
        <v>35</v>
      </c>
      <c r="AJ3" s="472">
        <v>41926</v>
      </c>
      <c r="AL3" s="225" t="s">
        <v>106</v>
      </c>
      <c r="AM3" s="81"/>
      <c r="AN3" s="225" t="s">
        <v>108</v>
      </c>
      <c r="AO3" s="106" t="s">
        <v>213</v>
      </c>
    </row>
    <row r="4" spans="1:48" s="90" customFormat="1" ht="13.5" thickBot="1" x14ac:dyDescent="0.25">
      <c r="A4" s="120"/>
      <c r="B4" s="685" t="s">
        <v>261</v>
      </c>
      <c r="C4" s="685"/>
      <c r="D4" s="52"/>
      <c r="E4" s="52"/>
      <c r="F4" s="5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L4" s="225" t="s">
        <v>111</v>
      </c>
      <c r="AM4" s="81"/>
      <c r="AN4" s="225" t="s">
        <v>113</v>
      </c>
      <c r="AO4" s="106" t="s">
        <v>214</v>
      </c>
    </row>
    <row r="5" spans="1:48" s="91" customFormat="1" ht="12.75" customHeight="1" x14ac:dyDescent="0.2">
      <c r="B5" s="639" t="s">
        <v>1</v>
      </c>
      <c r="C5" s="640"/>
      <c r="D5" s="635" t="s">
        <v>0</v>
      </c>
      <c r="E5" s="649" t="s">
        <v>103</v>
      </c>
      <c r="F5" s="649" t="s">
        <v>104</v>
      </c>
      <c r="G5" s="649" t="s">
        <v>110</v>
      </c>
      <c r="H5" s="620" t="s">
        <v>200</v>
      </c>
      <c r="I5" s="620" t="s">
        <v>50</v>
      </c>
      <c r="J5" s="620" t="s">
        <v>205</v>
      </c>
      <c r="K5" s="645" t="s">
        <v>4</v>
      </c>
      <c r="L5" s="637" t="s">
        <v>180</v>
      </c>
      <c r="M5" s="638"/>
      <c r="N5" s="612" t="s">
        <v>17</v>
      </c>
      <c r="O5" s="613"/>
      <c r="P5" s="612" t="s">
        <v>20</v>
      </c>
      <c r="Q5" s="613"/>
      <c r="R5" s="614" t="s">
        <v>14</v>
      </c>
      <c r="S5" s="615"/>
      <c r="T5" s="624">
        <v>204</v>
      </c>
      <c r="U5" s="625"/>
      <c r="V5" s="625"/>
      <c r="W5" s="626"/>
      <c r="X5" s="526">
        <v>206</v>
      </c>
      <c r="Y5" s="527"/>
      <c r="Z5" s="527"/>
      <c r="AA5" s="527"/>
      <c r="AB5" s="527"/>
      <c r="AC5" s="528"/>
      <c r="AD5" s="526">
        <v>304</v>
      </c>
      <c r="AE5" s="528"/>
      <c r="AF5" s="62">
        <v>451</v>
      </c>
      <c r="AG5" s="526">
        <v>452</v>
      </c>
      <c r="AH5" s="528"/>
      <c r="AI5" s="49">
        <v>617</v>
      </c>
      <c r="AJ5" s="49">
        <v>618</v>
      </c>
      <c r="AK5" s="141"/>
      <c r="AL5" s="225" t="s">
        <v>112</v>
      </c>
      <c r="AM5" s="81"/>
      <c r="AN5" s="225" t="s">
        <v>114</v>
      </c>
      <c r="AO5" s="106" t="s">
        <v>215</v>
      </c>
    </row>
    <row r="6" spans="1:48" ht="12.75" customHeight="1" thickBot="1" x14ac:dyDescent="0.25">
      <c r="B6" s="641"/>
      <c r="C6" s="642"/>
      <c r="D6" s="636"/>
      <c r="E6" s="650"/>
      <c r="F6" s="650"/>
      <c r="G6" s="650"/>
      <c r="H6" s="621"/>
      <c r="I6" s="621"/>
      <c r="J6" s="621"/>
      <c r="K6" s="646"/>
      <c r="L6" s="531"/>
      <c r="M6" s="532"/>
      <c r="N6" s="550"/>
      <c r="O6" s="551"/>
      <c r="P6" s="550"/>
      <c r="Q6" s="551"/>
      <c r="R6" s="616"/>
      <c r="S6" s="617"/>
      <c r="T6" s="529" t="s">
        <v>169</v>
      </c>
      <c r="U6" s="530"/>
      <c r="V6" s="537" t="s">
        <v>7</v>
      </c>
      <c r="W6" s="538"/>
      <c r="X6" s="537" t="s">
        <v>18</v>
      </c>
      <c r="Y6" s="538"/>
      <c r="Z6" s="529" t="s">
        <v>19</v>
      </c>
      <c r="AA6" s="530"/>
      <c r="AB6" s="537" t="s">
        <v>23</v>
      </c>
      <c r="AC6" s="538"/>
      <c r="AD6" s="529" t="s">
        <v>9</v>
      </c>
      <c r="AE6" s="530"/>
      <c r="AF6" s="761" t="s">
        <v>138</v>
      </c>
      <c r="AG6" s="529" t="s">
        <v>29</v>
      </c>
      <c r="AH6" s="530"/>
      <c r="AI6" s="657" t="s">
        <v>279</v>
      </c>
      <c r="AJ6" s="657" t="s">
        <v>164</v>
      </c>
      <c r="AK6" s="166"/>
      <c r="AL6" s="226" t="s">
        <v>101</v>
      </c>
      <c r="AN6" s="225" t="s">
        <v>109</v>
      </c>
      <c r="AO6" s="220" t="s">
        <v>216</v>
      </c>
    </row>
    <row r="7" spans="1:48" ht="12.75" customHeight="1" thickBot="1" x14ac:dyDescent="0.25">
      <c r="B7" s="641"/>
      <c r="C7" s="642"/>
      <c r="D7" s="636"/>
      <c r="E7" s="650"/>
      <c r="F7" s="650"/>
      <c r="G7" s="650"/>
      <c r="H7" s="621"/>
      <c r="I7" s="621"/>
      <c r="J7" s="621"/>
      <c r="K7" s="646"/>
      <c r="L7" s="531"/>
      <c r="M7" s="532"/>
      <c r="N7" s="550"/>
      <c r="O7" s="551"/>
      <c r="P7" s="550"/>
      <c r="Q7" s="551"/>
      <c r="R7" s="616"/>
      <c r="S7" s="617"/>
      <c r="T7" s="531"/>
      <c r="U7" s="532"/>
      <c r="V7" s="539"/>
      <c r="W7" s="540"/>
      <c r="X7" s="539"/>
      <c r="Y7" s="540"/>
      <c r="Z7" s="531"/>
      <c r="AA7" s="532"/>
      <c r="AB7" s="539"/>
      <c r="AC7" s="540"/>
      <c r="AD7" s="531"/>
      <c r="AE7" s="532"/>
      <c r="AF7" s="762"/>
      <c r="AG7" s="531"/>
      <c r="AH7" s="532"/>
      <c r="AI7" s="658"/>
      <c r="AJ7" s="658"/>
      <c r="AK7" s="142"/>
      <c r="AL7" s="116"/>
      <c r="AN7" s="226" t="s">
        <v>116</v>
      </c>
      <c r="AO7" s="220" t="s">
        <v>217</v>
      </c>
    </row>
    <row r="8" spans="1:48" ht="12.75" customHeight="1" thickBot="1" x14ac:dyDescent="0.25">
      <c r="B8" s="641"/>
      <c r="C8" s="642"/>
      <c r="D8" s="636"/>
      <c r="E8" s="650"/>
      <c r="F8" s="650"/>
      <c r="G8" s="650"/>
      <c r="H8" s="621"/>
      <c r="I8" s="621"/>
      <c r="J8" s="621"/>
      <c r="K8" s="646"/>
      <c r="L8" s="531"/>
      <c r="M8" s="532"/>
      <c r="N8" s="550"/>
      <c r="O8" s="551"/>
      <c r="P8" s="550"/>
      <c r="Q8" s="551"/>
      <c r="R8" s="616"/>
      <c r="S8" s="617"/>
      <c r="T8" s="531"/>
      <c r="U8" s="532"/>
      <c r="V8" s="539"/>
      <c r="W8" s="540"/>
      <c r="X8" s="539"/>
      <c r="Y8" s="540"/>
      <c r="Z8" s="531"/>
      <c r="AA8" s="532"/>
      <c r="AB8" s="539"/>
      <c r="AC8" s="540"/>
      <c r="AD8" s="531"/>
      <c r="AE8" s="532"/>
      <c r="AF8" s="762"/>
      <c r="AG8" s="531"/>
      <c r="AH8" s="532"/>
      <c r="AI8" s="658"/>
      <c r="AJ8" s="658"/>
      <c r="AK8" s="142"/>
    </row>
    <row r="9" spans="1:48" ht="12.75" customHeight="1" thickBot="1" x14ac:dyDescent="0.25">
      <c r="B9" s="641"/>
      <c r="C9" s="642"/>
      <c r="D9" s="636"/>
      <c r="E9" s="650"/>
      <c r="F9" s="650"/>
      <c r="G9" s="650"/>
      <c r="H9" s="621"/>
      <c r="I9" s="621"/>
      <c r="J9" s="621"/>
      <c r="K9" s="646"/>
      <c r="L9" s="531"/>
      <c r="M9" s="532"/>
      <c r="N9" s="550"/>
      <c r="O9" s="551"/>
      <c r="P9" s="550"/>
      <c r="Q9" s="551"/>
      <c r="R9" s="616"/>
      <c r="S9" s="617"/>
      <c r="T9" s="531"/>
      <c r="U9" s="532"/>
      <c r="V9" s="539"/>
      <c r="W9" s="540"/>
      <c r="X9" s="539"/>
      <c r="Y9" s="540"/>
      <c r="Z9" s="531"/>
      <c r="AA9" s="532"/>
      <c r="AB9" s="539"/>
      <c r="AC9" s="540"/>
      <c r="AD9" s="531"/>
      <c r="AE9" s="532"/>
      <c r="AF9" s="762"/>
      <c r="AG9" s="531"/>
      <c r="AH9" s="532"/>
      <c r="AI9" s="658"/>
      <c r="AJ9" s="658"/>
      <c r="AK9" s="142"/>
      <c r="AL9" s="659" t="s">
        <v>211</v>
      </c>
      <c r="AM9" s="660"/>
      <c r="AN9" s="660"/>
      <c r="AO9" s="660"/>
      <c r="AP9" s="660"/>
      <c r="AQ9" s="660"/>
      <c r="AR9" s="660"/>
      <c r="AS9" s="660"/>
      <c r="AT9" s="660"/>
      <c r="AU9" s="660"/>
      <c r="AV9" s="661"/>
    </row>
    <row r="10" spans="1:48" ht="12.75" customHeight="1" x14ac:dyDescent="0.2">
      <c r="B10" s="641"/>
      <c r="C10" s="642"/>
      <c r="D10" s="636"/>
      <c r="E10" s="650"/>
      <c r="F10" s="650"/>
      <c r="G10" s="650"/>
      <c r="H10" s="621"/>
      <c r="I10" s="621"/>
      <c r="J10" s="621"/>
      <c r="K10" s="646"/>
      <c r="L10" s="531"/>
      <c r="M10" s="532"/>
      <c r="N10" s="550"/>
      <c r="O10" s="551"/>
      <c r="P10" s="550"/>
      <c r="Q10" s="551"/>
      <c r="R10" s="616"/>
      <c r="S10" s="617"/>
      <c r="T10" s="531"/>
      <c r="U10" s="532"/>
      <c r="V10" s="539"/>
      <c r="W10" s="540"/>
      <c r="X10" s="539"/>
      <c r="Y10" s="540"/>
      <c r="Z10" s="531"/>
      <c r="AA10" s="532"/>
      <c r="AB10" s="539"/>
      <c r="AC10" s="540"/>
      <c r="AD10" s="531"/>
      <c r="AE10" s="532"/>
      <c r="AF10" s="762"/>
      <c r="AG10" s="531"/>
      <c r="AH10" s="532"/>
      <c r="AI10" s="658"/>
      <c r="AJ10" s="658"/>
      <c r="AK10" s="142"/>
      <c r="AL10" s="662" t="s">
        <v>218</v>
      </c>
      <c r="AM10" s="664" t="s">
        <v>224</v>
      </c>
      <c r="AN10" s="686" t="s">
        <v>199</v>
      </c>
      <c r="AO10" s="668"/>
      <c r="AP10" s="687"/>
      <c r="AQ10" s="667" t="s">
        <v>49</v>
      </c>
      <c r="AR10" s="668"/>
      <c r="AS10" s="687"/>
      <c r="AT10" s="667" t="s">
        <v>117</v>
      </c>
      <c r="AU10" s="668"/>
      <c r="AV10" s="669"/>
    </row>
    <row r="11" spans="1:48" ht="12.75" customHeight="1" thickBot="1" x14ac:dyDescent="0.25">
      <c r="B11" s="641"/>
      <c r="C11" s="642"/>
      <c r="D11" s="636"/>
      <c r="E11" s="650"/>
      <c r="F11" s="650"/>
      <c r="G11" s="650"/>
      <c r="H11" s="621"/>
      <c r="I11" s="621"/>
      <c r="J11" s="621"/>
      <c r="K11" s="646"/>
      <c r="L11" s="531"/>
      <c r="M11" s="532"/>
      <c r="N11" s="550"/>
      <c r="O11" s="551"/>
      <c r="P11" s="550"/>
      <c r="Q11" s="551"/>
      <c r="R11" s="616"/>
      <c r="S11" s="617"/>
      <c r="T11" s="531"/>
      <c r="U11" s="532"/>
      <c r="V11" s="539"/>
      <c r="W11" s="540"/>
      <c r="X11" s="539"/>
      <c r="Y11" s="540"/>
      <c r="Z11" s="531"/>
      <c r="AA11" s="532"/>
      <c r="AB11" s="539"/>
      <c r="AC11" s="540"/>
      <c r="AD11" s="531"/>
      <c r="AE11" s="532"/>
      <c r="AF11" s="762"/>
      <c r="AG11" s="531"/>
      <c r="AH11" s="532"/>
      <c r="AI11" s="658"/>
      <c r="AJ11" s="658"/>
      <c r="AK11" s="142"/>
      <c r="AL11" s="663"/>
      <c r="AM11" s="665"/>
      <c r="AN11" s="670" t="s">
        <v>219</v>
      </c>
      <c r="AO11" s="671"/>
      <c r="AP11" s="672"/>
      <c r="AQ11" s="673" t="s">
        <v>220</v>
      </c>
      <c r="AR11" s="671"/>
      <c r="AS11" s="672"/>
      <c r="AT11" s="673" t="s">
        <v>227</v>
      </c>
      <c r="AU11" s="671"/>
      <c r="AV11" s="674"/>
    </row>
    <row r="12" spans="1:48" ht="12.75" customHeight="1" x14ac:dyDescent="0.2">
      <c r="B12" s="641"/>
      <c r="C12" s="642"/>
      <c r="D12" s="636"/>
      <c r="E12" s="650"/>
      <c r="F12" s="650"/>
      <c r="G12" s="650"/>
      <c r="H12" s="621"/>
      <c r="I12" s="621"/>
      <c r="J12" s="621"/>
      <c r="K12" s="646"/>
      <c r="L12" s="531"/>
      <c r="M12" s="532"/>
      <c r="N12" s="550"/>
      <c r="O12" s="551"/>
      <c r="P12" s="550"/>
      <c r="Q12" s="551"/>
      <c r="R12" s="616"/>
      <c r="S12" s="617"/>
      <c r="T12" s="531"/>
      <c r="U12" s="532"/>
      <c r="V12" s="539"/>
      <c r="W12" s="540"/>
      <c r="X12" s="539"/>
      <c r="Y12" s="540"/>
      <c r="Z12" s="531"/>
      <c r="AA12" s="532"/>
      <c r="AB12" s="539"/>
      <c r="AC12" s="540"/>
      <c r="AD12" s="531"/>
      <c r="AE12" s="532"/>
      <c r="AF12" s="762"/>
      <c r="AG12" s="531"/>
      <c r="AH12" s="532"/>
      <c r="AI12" s="658"/>
      <c r="AJ12" s="658"/>
      <c r="AK12" s="142"/>
      <c r="AL12" s="222" t="s">
        <v>105</v>
      </c>
      <c r="AM12" s="104" t="s">
        <v>221</v>
      </c>
      <c r="AN12" s="653">
        <v>1.5</v>
      </c>
      <c r="AO12" s="601"/>
      <c r="AP12" s="602"/>
      <c r="AQ12" s="600">
        <v>0.75</v>
      </c>
      <c r="AR12" s="601"/>
      <c r="AS12" s="602"/>
      <c r="AT12" s="600" t="s">
        <v>101</v>
      </c>
      <c r="AU12" s="601"/>
      <c r="AV12" s="681"/>
    </row>
    <row r="13" spans="1:48" ht="12.75" customHeight="1" x14ac:dyDescent="0.2">
      <c r="B13" s="641"/>
      <c r="C13" s="642"/>
      <c r="D13" s="636"/>
      <c r="E13" s="650"/>
      <c r="F13" s="650"/>
      <c r="G13" s="650"/>
      <c r="H13" s="621"/>
      <c r="I13" s="621"/>
      <c r="J13" s="621"/>
      <c r="K13" s="646"/>
      <c r="L13" s="531"/>
      <c r="M13" s="532"/>
      <c r="N13" s="550"/>
      <c r="O13" s="551"/>
      <c r="P13" s="550"/>
      <c r="Q13" s="551"/>
      <c r="R13" s="616"/>
      <c r="S13" s="617"/>
      <c r="T13" s="531"/>
      <c r="U13" s="532"/>
      <c r="V13" s="539"/>
      <c r="W13" s="540"/>
      <c r="X13" s="539"/>
      <c r="Y13" s="540"/>
      <c r="Z13" s="531"/>
      <c r="AA13" s="532"/>
      <c r="AB13" s="539"/>
      <c r="AC13" s="540"/>
      <c r="AD13" s="531"/>
      <c r="AE13" s="532"/>
      <c r="AF13" s="762"/>
      <c r="AG13" s="531"/>
      <c r="AH13" s="532"/>
      <c r="AI13" s="658"/>
      <c r="AJ13" s="658"/>
      <c r="AK13" s="142"/>
      <c r="AL13" s="221" t="s">
        <v>106</v>
      </c>
      <c r="AM13" s="103" t="s">
        <v>222</v>
      </c>
      <c r="AN13" s="675">
        <v>2</v>
      </c>
      <c r="AO13" s="676"/>
      <c r="AP13" s="677"/>
      <c r="AQ13" s="678">
        <v>0.75</v>
      </c>
      <c r="AR13" s="679"/>
      <c r="AS13" s="680"/>
      <c r="AT13" s="678" t="s">
        <v>101</v>
      </c>
      <c r="AU13" s="679"/>
      <c r="AV13" s="711"/>
    </row>
    <row r="14" spans="1:48" ht="12.75" customHeight="1" x14ac:dyDescent="0.2">
      <c r="B14" s="641"/>
      <c r="C14" s="642"/>
      <c r="D14" s="636"/>
      <c r="E14" s="650"/>
      <c r="F14" s="650"/>
      <c r="G14" s="650"/>
      <c r="H14" s="621"/>
      <c r="I14" s="621"/>
      <c r="J14" s="621"/>
      <c r="K14" s="646"/>
      <c r="L14" s="531"/>
      <c r="M14" s="532"/>
      <c r="N14" s="550"/>
      <c r="O14" s="551"/>
      <c r="P14" s="550"/>
      <c r="Q14" s="551"/>
      <c r="R14" s="616"/>
      <c r="S14" s="617"/>
      <c r="T14" s="531"/>
      <c r="U14" s="532"/>
      <c r="V14" s="539"/>
      <c r="W14" s="540"/>
      <c r="X14" s="539"/>
      <c r="Y14" s="540"/>
      <c r="Z14" s="531"/>
      <c r="AA14" s="532"/>
      <c r="AB14" s="539"/>
      <c r="AC14" s="540"/>
      <c r="AD14" s="531"/>
      <c r="AE14" s="532"/>
      <c r="AF14" s="762"/>
      <c r="AG14" s="531"/>
      <c r="AH14" s="532"/>
      <c r="AI14" s="658"/>
      <c r="AJ14" s="658"/>
      <c r="AK14" s="142"/>
      <c r="AL14" s="221" t="s">
        <v>111</v>
      </c>
      <c r="AM14" s="103" t="s">
        <v>223</v>
      </c>
      <c r="AN14" s="675" t="s">
        <v>101</v>
      </c>
      <c r="AO14" s="676"/>
      <c r="AP14" s="677"/>
      <c r="AQ14" s="678" t="s">
        <v>101</v>
      </c>
      <c r="AR14" s="679"/>
      <c r="AS14" s="680"/>
      <c r="AT14" s="678">
        <v>-1.42</v>
      </c>
      <c r="AU14" s="679"/>
      <c r="AV14" s="711"/>
    </row>
    <row r="15" spans="1:48" ht="12.75" customHeight="1" x14ac:dyDescent="0.2">
      <c r="B15" s="641"/>
      <c r="C15" s="642"/>
      <c r="D15" s="636"/>
      <c r="E15" s="650"/>
      <c r="F15" s="650"/>
      <c r="G15" s="650"/>
      <c r="H15" s="621"/>
      <c r="I15" s="621"/>
      <c r="J15" s="621"/>
      <c r="K15" s="647"/>
      <c r="L15" s="533"/>
      <c r="M15" s="534"/>
      <c r="N15" s="552"/>
      <c r="O15" s="553"/>
      <c r="P15" s="552"/>
      <c r="Q15" s="553"/>
      <c r="R15" s="618"/>
      <c r="S15" s="619"/>
      <c r="T15" s="533"/>
      <c r="U15" s="534"/>
      <c r="V15" s="541"/>
      <c r="W15" s="542"/>
      <c r="X15" s="541"/>
      <c r="Y15" s="542"/>
      <c r="Z15" s="533"/>
      <c r="AA15" s="534"/>
      <c r="AB15" s="541"/>
      <c r="AC15" s="542"/>
      <c r="AD15" s="533"/>
      <c r="AE15" s="534"/>
      <c r="AF15" s="763"/>
      <c r="AG15" s="533"/>
      <c r="AH15" s="534"/>
      <c r="AI15" s="658"/>
      <c r="AJ15" s="658"/>
      <c r="AK15" s="142"/>
      <c r="AL15" s="221" t="s">
        <v>225</v>
      </c>
      <c r="AM15" s="103" t="s">
        <v>221</v>
      </c>
      <c r="AN15" s="653">
        <v>3.83</v>
      </c>
      <c r="AO15" s="601"/>
      <c r="AP15" s="602"/>
      <c r="AQ15" s="600">
        <v>1.42</v>
      </c>
      <c r="AR15" s="601"/>
      <c r="AS15" s="602"/>
      <c r="AT15" s="600" t="s">
        <v>101</v>
      </c>
      <c r="AU15" s="601"/>
      <c r="AV15" s="681"/>
    </row>
    <row r="16" spans="1:48" ht="12.75" customHeight="1" thickBot="1" x14ac:dyDescent="0.25">
      <c r="B16" s="631" t="s">
        <v>2</v>
      </c>
      <c r="C16" s="633" t="s">
        <v>3</v>
      </c>
      <c r="D16" s="636"/>
      <c r="E16" s="650"/>
      <c r="F16" s="650"/>
      <c r="G16" s="650"/>
      <c r="H16" s="651" t="s">
        <v>5</v>
      </c>
      <c r="I16" s="651" t="s">
        <v>12</v>
      </c>
      <c r="J16" s="688" t="s">
        <v>5</v>
      </c>
      <c r="K16" s="651" t="s">
        <v>5</v>
      </c>
      <c r="L16" s="598" t="s">
        <v>5</v>
      </c>
      <c r="M16" s="599"/>
      <c r="N16" s="610" t="s">
        <v>6</v>
      </c>
      <c r="O16" s="611"/>
      <c r="P16" s="610" t="s">
        <v>6</v>
      </c>
      <c r="Q16" s="611"/>
      <c r="R16" s="610" t="s">
        <v>6</v>
      </c>
      <c r="S16" s="611"/>
      <c r="T16" s="627" t="s">
        <v>10</v>
      </c>
      <c r="U16" s="628"/>
      <c r="V16" s="598" t="s">
        <v>11</v>
      </c>
      <c r="W16" s="599"/>
      <c r="X16" s="598" t="s">
        <v>10</v>
      </c>
      <c r="Y16" s="599"/>
      <c r="Z16" s="598" t="s">
        <v>10</v>
      </c>
      <c r="AA16" s="599"/>
      <c r="AB16" s="598" t="s">
        <v>22</v>
      </c>
      <c r="AC16" s="599"/>
      <c r="AD16" s="627" t="s">
        <v>12</v>
      </c>
      <c r="AE16" s="628"/>
      <c r="AF16" s="136" t="s">
        <v>5</v>
      </c>
      <c r="AG16" s="598" t="s">
        <v>10</v>
      </c>
      <c r="AH16" s="599"/>
      <c r="AI16" s="471" t="s">
        <v>12</v>
      </c>
      <c r="AJ16" s="228" t="s">
        <v>5</v>
      </c>
      <c r="AK16" s="143"/>
      <c r="AL16" s="223" t="s">
        <v>226</v>
      </c>
      <c r="AM16" s="158" t="s">
        <v>221</v>
      </c>
      <c r="AN16" s="666">
        <v>3.17</v>
      </c>
      <c r="AO16" s="655"/>
      <c r="AP16" s="656"/>
      <c r="AQ16" s="654">
        <v>1.0900000000000001</v>
      </c>
      <c r="AR16" s="655"/>
      <c r="AS16" s="656"/>
      <c r="AT16" s="654" t="s">
        <v>101</v>
      </c>
      <c r="AU16" s="655"/>
      <c r="AV16" s="682"/>
    </row>
    <row r="17" spans="1:48" ht="12.75" customHeight="1" thickBot="1" x14ac:dyDescent="0.25">
      <c r="B17" s="632"/>
      <c r="C17" s="634"/>
      <c r="D17" s="636"/>
      <c r="E17" s="650"/>
      <c r="F17" s="650"/>
      <c r="G17" s="650"/>
      <c r="H17" s="652"/>
      <c r="I17" s="652"/>
      <c r="J17" s="689"/>
      <c r="K17" s="652"/>
      <c r="L17" s="447" t="s">
        <v>257</v>
      </c>
      <c r="M17" s="448" t="s">
        <v>258</v>
      </c>
      <c r="N17" s="447" t="s">
        <v>257</v>
      </c>
      <c r="O17" s="448" t="s">
        <v>258</v>
      </c>
      <c r="P17" s="447" t="s">
        <v>257</v>
      </c>
      <c r="Q17" s="448" t="s">
        <v>258</v>
      </c>
      <c r="R17" s="447" t="s">
        <v>257</v>
      </c>
      <c r="S17" s="448" t="s">
        <v>258</v>
      </c>
      <c r="T17" s="447" t="s">
        <v>257</v>
      </c>
      <c r="U17" s="448" t="s">
        <v>258</v>
      </c>
      <c r="V17" s="447" t="s">
        <v>257</v>
      </c>
      <c r="W17" s="448" t="s">
        <v>258</v>
      </c>
      <c r="X17" s="447" t="s">
        <v>257</v>
      </c>
      <c r="Y17" s="448" t="s">
        <v>258</v>
      </c>
      <c r="Z17" s="447" t="s">
        <v>257</v>
      </c>
      <c r="AA17" s="448" t="s">
        <v>258</v>
      </c>
      <c r="AB17" s="447" t="s">
        <v>257</v>
      </c>
      <c r="AC17" s="448" t="s">
        <v>258</v>
      </c>
      <c r="AD17" s="447" t="s">
        <v>257</v>
      </c>
      <c r="AE17" s="448" t="s">
        <v>258</v>
      </c>
      <c r="AF17" s="449" t="s">
        <v>257</v>
      </c>
      <c r="AG17" s="447" t="s">
        <v>257</v>
      </c>
      <c r="AH17" s="448" t="s">
        <v>258</v>
      </c>
      <c r="AI17" s="449" t="s">
        <v>257</v>
      </c>
      <c r="AJ17" s="449" t="s">
        <v>257</v>
      </c>
      <c r="AK17" s="167"/>
      <c r="AL17" s="116"/>
    </row>
    <row r="18" spans="1:48" ht="12.75" customHeight="1" x14ac:dyDescent="0.2">
      <c r="B18" s="643" t="s">
        <v>204</v>
      </c>
      <c r="C18" s="644"/>
      <c r="D18" s="100"/>
      <c r="E18" s="100"/>
      <c r="F18" s="100"/>
      <c r="G18" s="100"/>
      <c r="H18" s="100"/>
      <c r="I18" s="100"/>
      <c r="J18" s="100"/>
      <c r="K18" s="101"/>
      <c r="L18" s="386"/>
      <c r="M18" s="387"/>
      <c r="N18" s="264"/>
      <c r="O18" s="265"/>
      <c r="P18" s="264"/>
      <c r="Q18" s="265"/>
      <c r="R18" s="264"/>
      <c r="S18" s="265"/>
      <c r="T18" s="264"/>
      <c r="U18" s="265"/>
      <c r="V18" s="386"/>
      <c r="W18" s="387"/>
      <c r="X18" s="386"/>
      <c r="Y18" s="387"/>
      <c r="Z18" s="386"/>
      <c r="AA18" s="387"/>
      <c r="AB18" s="421"/>
      <c r="AC18" s="422"/>
      <c r="AD18" s="386"/>
      <c r="AE18" s="387"/>
      <c r="AF18" s="101"/>
      <c r="AG18" s="386"/>
      <c r="AH18" s="387"/>
      <c r="AI18" s="473"/>
      <c r="AJ18" s="101"/>
      <c r="AK18" s="93"/>
      <c r="AL18" s="116"/>
    </row>
    <row r="19" spans="1:48" ht="12.75" customHeight="1" x14ac:dyDescent="0.2">
      <c r="B19" s="338">
        <v>74426.75</v>
      </c>
      <c r="C19" s="339">
        <v>76200</v>
      </c>
      <c r="D19" s="340" t="s">
        <v>16</v>
      </c>
      <c r="E19" s="340" t="s">
        <v>105</v>
      </c>
      <c r="F19" s="340" t="s">
        <v>105</v>
      </c>
      <c r="G19" s="103" t="str">
        <f t="shared" ref="G19:G50" si="0">IF(AND($E19=$AL$2,$F19=$AL$2),$AN$2,IF(OR(AND($E19=$AL$2,$F19=$AL$3),AND($E19=$AL$3,$F19=$AL$2)),$AN$3,IF(OR(AND($E19=$AL$2,$F19=$AL$4),AND($E19=$AL$4,$F19=$AL$2)),$AN$4,IF(OR(AND($E19=$AL$3,$F19=$AL$4),AND($E19=$AL$4,$F19=$AL$3)),$AN$5,IF(AND($E19=$AL$3,$F19=$AL$3),$AN$6,IF(AND($E19=$AL$4,$F19=$AL$4),$AN$7,"-"))))))</f>
        <v>E/S - E/S</v>
      </c>
      <c r="H19" s="77">
        <f>IF(AND($E19=$AL$2,$F19=$AL$2),2*$AN$12,IF(OR(AND($E19=$AL$2, $F19=$AL$3),AND($E19=$AL$3,$F19=$AL$2)),$AN$12+$AN$13,IF(OR(AND($E19=$AL$2,$F19=$AL$4),AND($E19=$AL$4,$F19=$AL$2)),$AN$12,IF(OR(AND($E19=$AL$3,$F19=$AL$4),AND($E19=$AL$4,$F19=$AL$3)),$AN$13,IF(AND($E19=$AL$3,$F19=$AL$3),2*$AN$13,0)))))</f>
        <v>3</v>
      </c>
      <c r="I19" s="27">
        <f>IF(AND($E19=$AL$2,$F19=$AL$2),2*$AQ$12*$K19/27,IF(OR(AND($E19=$AL$2,$F19=$AL$3),AND($E19=$AL$3,$F19=$AL$2)),($AQ$12+$AQ$13)*$K19/27,IF(OR(AND($E19=$AL$2,$F19=$AL$4),AND($E19=$AL$4,$F19=$AL$2)),$AQ$12*$K19/27,IF(OR(AND($E19=$AL$3,$F19=$AL$4),AND($E19=$AL$4,$F19=$AL$3)),$AQ$13*$K19/27,IF(AND($E19=$AL$3,$F19=$AL$3),2*$AQ$13*$K19/27,0)))))</f>
        <v>98.513888888888886</v>
      </c>
      <c r="J19" s="78">
        <f>IF(OR(AND($E19=$AL$2,$F19=$AL$4),AND($E19=$AL$4,$F19=$AL$2)),$AT$14,IF(OR(AND($E19=$AL$3,$F19=$AL$4),AND($E19=$AL$4,$F19=$AL$3)),$AT$14,IF(AND($E19=$AL$4,$F19=$AL$4),2*$AT$14,0)))</f>
        <v>0</v>
      </c>
      <c r="K19" s="83">
        <f t="shared" ref="K19:K50" si="1">C19-B19</f>
        <v>1773.25</v>
      </c>
      <c r="L19" s="388">
        <v>40</v>
      </c>
      <c r="M19" s="389">
        <v>0</v>
      </c>
      <c r="N19" s="222">
        <f>IF(L19="-",0,ROUNDUP($K19*L19,0))</f>
        <v>70930</v>
      </c>
      <c r="O19" s="274">
        <f t="shared" ref="O19:O69" si="2">IF($M19="-",0,ROUNDUP($K19*M19,0))</f>
        <v>0</v>
      </c>
      <c r="P19" s="398">
        <v>0</v>
      </c>
      <c r="Q19" s="399">
        <v>0</v>
      </c>
      <c r="R19" s="221">
        <f t="shared" ref="R19:S69" si="3">N19+P19</f>
        <v>70930</v>
      </c>
      <c r="S19" s="269">
        <f t="shared" si="3"/>
        <v>0</v>
      </c>
      <c r="T19" s="402">
        <f>IF(OR($A19="APP SLAB",R19=0),0,(R19+$H19*$K19)/9)</f>
        <v>8472.1944444444453</v>
      </c>
      <c r="U19" s="403">
        <f>IF($A19="APP SLAB",0,S19/9)</f>
        <v>0</v>
      </c>
      <c r="V19" s="414">
        <f>IF(AND(T19=0,X19=0),0,IF(X19=0,T19/2000,X19/2000))</f>
        <v>4.2360972222222228</v>
      </c>
      <c r="W19" s="415">
        <f t="shared" ref="V19:W69" si="4">IF(AND(U19=0,Y19=0),0,IF(Y19=0,U19/2000,Y19/2000))</f>
        <v>0</v>
      </c>
      <c r="X19" s="402">
        <f t="shared" ref="X19:Y34" si="5">IF(OR($A19="APP SLAB",T19&lt;&gt;0),0,Z19)</f>
        <v>0</v>
      </c>
      <c r="Y19" s="403">
        <f t="shared" si="5"/>
        <v>0</v>
      </c>
      <c r="Z19" s="402">
        <f>IF(OR($A19="APP SLAB",T19&lt;&gt;0),0,(R19+$H19*$K19)/9)</f>
        <v>0</v>
      </c>
      <c r="AA19" s="403">
        <f>IF(OR($A19="APP SLAB",U19&lt;&gt;0),0,S19/9)</f>
        <v>0</v>
      </c>
      <c r="AB19" s="402">
        <f t="shared" ref="AB19:AB50" si="6">IF(OR($A19="APP SLAB",T19&lt;&gt;0),0,$Z$1*Z19*110*0.06*0.75/2000)</f>
        <v>0</v>
      </c>
      <c r="AC19" s="403">
        <f t="shared" ref="AC19:AC50" si="7">IF(OR($A19="APP SLAB",U19&lt;&gt;0),0,$Z$1*AA19*110*0.06*0.75/2000)</f>
        <v>0</v>
      </c>
      <c r="AD19" s="402">
        <f>IF(R19=0,0,(R19*$AD$1/12)/27+$I19)</f>
        <v>1412.0324074074074</v>
      </c>
      <c r="AE19" s="403">
        <f>(S19*$AD$1/12)/27</f>
        <v>0</v>
      </c>
      <c r="AF19" s="347">
        <v>0</v>
      </c>
      <c r="AG19" s="402">
        <f>IF($A19="APP SLAB",0,(R19+$J19*$K19)/9)</f>
        <v>7881.1111111111113</v>
      </c>
      <c r="AH19" s="403">
        <f>IF($A19="APP SLAB",0,S19/9)</f>
        <v>0</v>
      </c>
      <c r="AI19" s="467">
        <f>IF(AND($E19=$F19="Uncurbed"),(2*$K19*2*$AI$1/12)/27,IF(OR($E19="Uncurbed",$F19="Uncurbed"),($K19*2*$AI$1/12)/27,IF(OR(AND($E19="Med. Barr.",$F19="Curbed"),AND($E19="Curbed",$F19="Med. Barr."),$E19=$F19,$E19="Unique",$F19="Unique",$E19="-",$F19="-"),0,"?")))</f>
        <v>35.574459876543209</v>
      </c>
      <c r="AJ19" s="85">
        <f>IF($A19="APP SLAB",0,($K19*2))</f>
        <v>3546.5</v>
      </c>
      <c r="AK19" s="10"/>
      <c r="AL19" s="116"/>
    </row>
    <row r="20" spans="1:48" ht="12.75" customHeight="1" x14ac:dyDescent="0.2">
      <c r="B20" s="338">
        <v>76200</v>
      </c>
      <c r="C20" s="339">
        <v>76300</v>
      </c>
      <c r="D20" s="340" t="s">
        <v>16</v>
      </c>
      <c r="E20" s="340" t="s">
        <v>105</v>
      </c>
      <c r="F20" s="340" t="s">
        <v>105</v>
      </c>
      <c r="G20" s="103" t="str">
        <f t="shared" si="0"/>
        <v>E/S - E/S</v>
      </c>
      <c r="H20" s="77">
        <f t="shared" ref="H20:H69" si="8">IF(AND($E20=$AL$2,$F20=$AL$2),2*$AN$12,IF(OR(AND($E20=$AL$2, $F20=$AL$3),AND($E20=$AL$3,$F20=$AL$2)),$AN$12+$AN$13,IF(OR(AND($E20=$AL$2,$F20=$AL$4),AND($E20=$AL$4,$F20=$AL$2)),$AN$12,IF(OR(AND($E20=$AL$3,$F20=$AL$4),AND($E20=$AL$4,$F20=$AL$3)),$AN$13,IF(AND($E20=$AL$3,$F20=$AL$3),2*$AN$13,0)))))</f>
        <v>3</v>
      </c>
      <c r="I20" s="27">
        <f t="shared" ref="I20:I69" si="9">IF(AND($E20=$AL$2,$F20=$AL$2),2*$AQ$12*$K20/27,IF(OR(AND($E20=$AL$2,$F20=$AL$3),AND($E20=$AL$3,$F20=$AL$2)),($AQ$12+$AQ$13)*$K20/27,IF(OR(AND($E20=$AL$2,$F20=$AL$4),AND($E20=$AL$4,$F20=$AL$2)),$AQ$12*$K20/27,IF(OR(AND($E20=$AL$3,$F20=$AL$4),AND($E20=$AL$4,$F20=$AL$3)),$AQ$13*$K20/27,IF(AND($E20=$AL$3,$F20=$AL$3),2*$AQ$13*$K20/27,0)))))</f>
        <v>5.5555555555555554</v>
      </c>
      <c r="J20" s="78">
        <f t="shared" ref="J20:J69" si="10">IF(OR(AND($E20=$AL$2,$F20=$AL$4),AND($E20=$AL$4,$F20=$AL$2)),$AT$14,IF(OR(AND($E20=$AL$3,$F20=$AL$4),AND($E20=$AL$4,$F20=$AL$3)),$AT$14,IF(AND($E20=$AL$4,$F20=$AL$4),2*$AT$14,0)))</f>
        <v>0</v>
      </c>
      <c r="K20" s="83">
        <f t="shared" si="1"/>
        <v>100</v>
      </c>
      <c r="L20" s="388">
        <v>40</v>
      </c>
      <c r="M20" s="389">
        <v>6</v>
      </c>
      <c r="N20" s="222">
        <f>IF(L20="-",0,ROUNDUP($K20*L20,0))</f>
        <v>4000</v>
      </c>
      <c r="O20" s="274">
        <f t="shared" si="2"/>
        <v>600</v>
      </c>
      <c r="P20" s="398">
        <v>0</v>
      </c>
      <c r="Q20" s="399">
        <v>0</v>
      </c>
      <c r="R20" s="221">
        <f t="shared" si="3"/>
        <v>4000</v>
      </c>
      <c r="S20" s="269">
        <f t="shared" si="3"/>
        <v>600</v>
      </c>
      <c r="T20" s="402">
        <f t="shared" ref="T20:T21" si="11">IF(OR($A20="APP SLAB",R20=0),0,(R20+$H20*$K20)/9)</f>
        <v>477.77777777777777</v>
      </c>
      <c r="U20" s="403">
        <f t="shared" ref="U20:U21" si="12">IF($A20="APP SLAB",0,S20/9)</f>
        <v>66.666666666666671</v>
      </c>
      <c r="V20" s="414">
        <f t="shared" si="4"/>
        <v>0.23888888888888887</v>
      </c>
      <c r="W20" s="415">
        <f t="shared" si="4"/>
        <v>3.3333333333333333E-2</v>
      </c>
      <c r="X20" s="402">
        <f t="shared" si="5"/>
        <v>0</v>
      </c>
      <c r="Y20" s="403">
        <f t="shared" si="5"/>
        <v>0</v>
      </c>
      <c r="Z20" s="402">
        <f t="shared" ref="Z20:Z69" si="13">IF(OR($A20="APP SLAB",T20&lt;&gt;0),0,(R20+$H20*$K20)/9)</f>
        <v>0</v>
      </c>
      <c r="AA20" s="403">
        <f t="shared" ref="AA20:AA69" si="14">IF(OR($A20="APP SLAB",U20&lt;&gt;0),0,S20/9)</f>
        <v>0</v>
      </c>
      <c r="AB20" s="402">
        <f t="shared" si="6"/>
        <v>0</v>
      </c>
      <c r="AC20" s="403">
        <f t="shared" si="7"/>
        <v>0</v>
      </c>
      <c r="AD20" s="402">
        <f t="shared" ref="AD20:AD69" si="15">IF(R20=0,0,(R20*$AD$1/12)/27+$I20)</f>
        <v>79.629629629629633</v>
      </c>
      <c r="AE20" s="403">
        <f t="shared" ref="AE20:AE69" si="16">(S20*$AD$1/12)/27</f>
        <v>11.111111111111111</v>
      </c>
      <c r="AF20" s="347">
        <v>0</v>
      </c>
      <c r="AG20" s="402">
        <f t="shared" ref="AG20:AG69" si="17">IF($A20="APP SLAB",0,(R20+$J20*$K20)/9)</f>
        <v>444.44444444444446</v>
      </c>
      <c r="AH20" s="403">
        <f t="shared" ref="AH20:AH69" si="18">IF($A20="APP SLAB",0,S20/9)</f>
        <v>66.666666666666671</v>
      </c>
      <c r="AI20" s="467">
        <f t="shared" ref="AI20:AI69" si="19">IF(AND($E20=$F20="Uncurbed"),(2*$K20*2*$AI$1/12)/27,IF(OR($E20="Uncurbed",$F20="Uncurbed"),($K20*2*$AI$1/12)/27,IF(OR(AND($E20="Med. Barr.",$F20="Curbed"),AND($E20="Curbed",$F20="Med. Barr."),$E20=$F20,$E20="Unique",$F20="Unique",$E20="-",$F20="-"),0,"?")))</f>
        <v>2.0061728395061729</v>
      </c>
      <c r="AJ20" s="85">
        <f t="shared" ref="AJ20:AJ69" si="20">IF($A20="APP SLAB",0,($K20*2))</f>
        <v>200</v>
      </c>
      <c r="AK20" s="10"/>
    </row>
    <row r="21" spans="1:48" ht="12.75" customHeight="1" x14ac:dyDescent="0.2">
      <c r="A21" s="106" t="s">
        <v>54</v>
      </c>
      <c r="B21" s="338">
        <v>76300</v>
      </c>
      <c r="C21" s="339">
        <v>76983.05</v>
      </c>
      <c r="D21" s="340" t="s">
        <v>16</v>
      </c>
      <c r="E21" s="340" t="s">
        <v>111</v>
      </c>
      <c r="F21" s="340" t="s">
        <v>105</v>
      </c>
      <c r="G21" s="103" t="str">
        <f t="shared" si="0"/>
        <v>E/S - C/B</v>
      </c>
      <c r="H21" s="77">
        <f t="shared" si="8"/>
        <v>1.5</v>
      </c>
      <c r="I21" s="27">
        <f t="shared" si="9"/>
        <v>18.973611111111193</v>
      </c>
      <c r="J21" s="78">
        <f t="shared" si="10"/>
        <v>-1.42</v>
      </c>
      <c r="K21" s="83">
        <f t="shared" si="1"/>
        <v>683.05000000000291</v>
      </c>
      <c r="L21" s="388">
        <v>44.25</v>
      </c>
      <c r="M21" s="389">
        <v>20</v>
      </c>
      <c r="N21" s="222">
        <f>IF(L21="-",0,ROUNDUP($K21*L21,0))</f>
        <v>30225</v>
      </c>
      <c r="O21" s="274">
        <f t="shared" si="2"/>
        <v>13662</v>
      </c>
      <c r="P21" s="398">
        <v>0</v>
      </c>
      <c r="Q21" s="399">
        <v>0</v>
      </c>
      <c r="R21" s="221">
        <f t="shared" si="3"/>
        <v>30225</v>
      </c>
      <c r="S21" s="269">
        <f t="shared" si="3"/>
        <v>13662</v>
      </c>
      <c r="T21" s="402">
        <f t="shared" si="11"/>
        <v>3472.1750000000006</v>
      </c>
      <c r="U21" s="403">
        <f t="shared" si="12"/>
        <v>1518</v>
      </c>
      <c r="V21" s="414">
        <f t="shared" si="4"/>
        <v>1.7360875000000002</v>
      </c>
      <c r="W21" s="415">
        <f t="shared" si="4"/>
        <v>0.75900000000000001</v>
      </c>
      <c r="X21" s="402">
        <f t="shared" si="5"/>
        <v>0</v>
      </c>
      <c r="Y21" s="403">
        <f t="shared" si="5"/>
        <v>0</v>
      </c>
      <c r="Z21" s="402">
        <f t="shared" si="13"/>
        <v>0</v>
      </c>
      <c r="AA21" s="403">
        <f t="shared" si="14"/>
        <v>0</v>
      </c>
      <c r="AB21" s="402">
        <f t="shared" si="6"/>
        <v>0</v>
      </c>
      <c r="AC21" s="403">
        <f t="shared" si="7"/>
        <v>0</v>
      </c>
      <c r="AD21" s="402">
        <f t="shared" si="15"/>
        <v>578.69583333333333</v>
      </c>
      <c r="AE21" s="403">
        <f t="shared" si="16"/>
        <v>253</v>
      </c>
      <c r="AF21" s="347">
        <v>0</v>
      </c>
      <c r="AG21" s="402">
        <f t="shared" si="17"/>
        <v>3250.5632222222216</v>
      </c>
      <c r="AH21" s="403">
        <f t="shared" si="18"/>
        <v>1518</v>
      </c>
      <c r="AI21" s="467">
        <f t="shared" si="19"/>
        <v>13.703163580246972</v>
      </c>
      <c r="AJ21" s="85">
        <f t="shared" si="20"/>
        <v>1366.1000000000058</v>
      </c>
      <c r="AK21" s="10"/>
    </row>
    <row r="22" spans="1:48" ht="12.75" customHeight="1" x14ac:dyDescent="0.2">
      <c r="A22" s="106" t="s">
        <v>55</v>
      </c>
      <c r="B22" s="338">
        <v>76996</v>
      </c>
      <c r="C22" s="339">
        <v>77200</v>
      </c>
      <c r="D22" s="340" t="s">
        <v>16</v>
      </c>
      <c r="E22" s="340" t="s">
        <v>111</v>
      </c>
      <c r="F22" s="340" t="s">
        <v>105</v>
      </c>
      <c r="G22" s="103" t="str">
        <f t="shared" si="0"/>
        <v>E/S - C/B</v>
      </c>
      <c r="H22" s="77">
        <f t="shared" si="8"/>
        <v>1.5</v>
      </c>
      <c r="I22" s="27">
        <f t="shared" si="9"/>
        <v>5.666666666666667</v>
      </c>
      <c r="J22" s="78">
        <f t="shared" si="10"/>
        <v>-1.42</v>
      </c>
      <c r="K22" s="83">
        <f t="shared" si="1"/>
        <v>204</v>
      </c>
      <c r="L22" s="388">
        <v>41.42</v>
      </c>
      <c r="M22" s="389">
        <v>20</v>
      </c>
      <c r="N22" s="222">
        <f t="shared" ref="N22:N69" si="21">IF(L22="-",0,ROUNDUP($K22*L22,0))</f>
        <v>8450</v>
      </c>
      <c r="O22" s="274">
        <f t="shared" si="2"/>
        <v>4080</v>
      </c>
      <c r="P22" s="398">
        <v>0</v>
      </c>
      <c r="Q22" s="399">
        <v>0</v>
      </c>
      <c r="R22" s="221">
        <f t="shared" si="3"/>
        <v>8450</v>
      </c>
      <c r="S22" s="269">
        <f t="shared" si="3"/>
        <v>4080</v>
      </c>
      <c r="T22" s="404">
        <v>0</v>
      </c>
      <c r="U22" s="405">
        <v>0</v>
      </c>
      <c r="V22" s="414">
        <f t="shared" si="4"/>
        <v>0.48644444444444446</v>
      </c>
      <c r="W22" s="415">
        <f t="shared" si="4"/>
        <v>0.22666666666666666</v>
      </c>
      <c r="X22" s="402">
        <f t="shared" si="5"/>
        <v>972.88888888888891</v>
      </c>
      <c r="Y22" s="403">
        <f t="shared" si="5"/>
        <v>453.33333333333331</v>
      </c>
      <c r="Z22" s="402">
        <f t="shared" si="13"/>
        <v>972.88888888888891</v>
      </c>
      <c r="AA22" s="403">
        <f t="shared" si="14"/>
        <v>453.33333333333331</v>
      </c>
      <c r="AB22" s="402">
        <f t="shared" si="6"/>
        <v>28.894800000000004</v>
      </c>
      <c r="AC22" s="403">
        <f t="shared" si="7"/>
        <v>13.464</v>
      </c>
      <c r="AD22" s="402">
        <f t="shared" si="15"/>
        <v>162.14814814814815</v>
      </c>
      <c r="AE22" s="403">
        <f t="shared" si="16"/>
        <v>75.555555555555557</v>
      </c>
      <c r="AF22" s="347">
        <v>0</v>
      </c>
      <c r="AG22" s="402">
        <f t="shared" si="17"/>
        <v>906.70222222222219</v>
      </c>
      <c r="AH22" s="403">
        <f t="shared" si="18"/>
        <v>453.33333333333331</v>
      </c>
      <c r="AI22" s="467">
        <f t="shared" si="19"/>
        <v>4.0925925925925926</v>
      </c>
      <c r="AJ22" s="85">
        <f t="shared" si="20"/>
        <v>408</v>
      </c>
      <c r="AK22" s="10"/>
    </row>
    <row r="23" spans="1:48" ht="12.75" customHeight="1" x14ac:dyDescent="0.2">
      <c r="A23" s="106"/>
      <c r="B23" s="338">
        <v>77200</v>
      </c>
      <c r="C23" s="339">
        <v>77433.960000000006</v>
      </c>
      <c r="D23" s="340" t="s">
        <v>16</v>
      </c>
      <c r="E23" s="340" t="s">
        <v>111</v>
      </c>
      <c r="F23" s="340" t="s">
        <v>105</v>
      </c>
      <c r="G23" s="103" t="str">
        <f t="shared" si="0"/>
        <v>E/S - C/B</v>
      </c>
      <c r="H23" s="77">
        <f t="shared" si="8"/>
        <v>1.5</v>
      </c>
      <c r="I23" s="27">
        <f t="shared" si="9"/>
        <v>6.4988888888890664</v>
      </c>
      <c r="J23" s="78">
        <f t="shared" si="10"/>
        <v>-1.42</v>
      </c>
      <c r="K23" s="83">
        <f t="shared" si="1"/>
        <v>233.9600000000064</v>
      </c>
      <c r="L23" s="388">
        <v>41.42</v>
      </c>
      <c r="M23" s="389">
        <v>20</v>
      </c>
      <c r="N23" s="222">
        <f t="shared" si="21"/>
        <v>9691</v>
      </c>
      <c r="O23" s="274">
        <f t="shared" si="2"/>
        <v>4680</v>
      </c>
      <c r="P23" s="398">
        <v>0</v>
      </c>
      <c r="Q23" s="399">
        <v>0</v>
      </c>
      <c r="R23" s="221">
        <f t="shared" si="3"/>
        <v>9691</v>
      </c>
      <c r="S23" s="269">
        <f t="shared" si="3"/>
        <v>4680</v>
      </c>
      <c r="T23" s="404">
        <v>0</v>
      </c>
      <c r="U23" s="405">
        <v>0</v>
      </c>
      <c r="V23" s="414">
        <f t="shared" si="4"/>
        <v>0.55788555555555608</v>
      </c>
      <c r="W23" s="415">
        <f t="shared" si="4"/>
        <v>0.26</v>
      </c>
      <c r="X23" s="402">
        <f>IF(OR($A23="APP SLAB",T23&lt;&gt;0),0,Z23)</f>
        <v>1115.7711111111121</v>
      </c>
      <c r="Y23" s="403">
        <f t="shared" si="5"/>
        <v>520</v>
      </c>
      <c r="Z23" s="402">
        <f t="shared" si="13"/>
        <v>1115.7711111111121</v>
      </c>
      <c r="AA23" s="403">
        <f t="shared" si="14"/>
        <v>520</v>
      </c>
      <c r="AB23" s="402">
        <f t="shared" si="6"/>
        <v>33.138402000000028</v>
      </c>
      <c r="AC23" s="403">
        <f t="shared" si="7"/>
        <v>15.444000000000001</v>
      </c>
      <c r="AD23" s="402">
        <f t="shared" si="15"/>
        <v>185.96185185185203</v>
      </c>
      <c r="AE23" s="403">
        <f t="shared" si="16"/>
        <v>86.666666666666671</v>
      </c>
      <c r="AF23" s="347">
        <v>0</v>
      </c>
      <c r="AG23" s="402">
        <f t="shared" si="17"/>
        <v>1039.8640888888879</v>
      </c>
      <c r="AH23" s="403">
        <f t="shared" si="18"/>
        <v>520</v>
      </c>
      <c r="AI23" s="467">
        <f t="shared" si="19"/>
        <v>4.693641975308771</v>
      </c>
      <c r="AJ23" s="85">
        <f t="shared" si="20"/>
        <v>467.92000000001281</v>
      </c>
      <c r="AK23" s="10"/>
    </row>
    <row r="24" spans="1:48" ht="12.75" customHeight="1" x14ac:dyDescent="0.2">
      <c r="B24" s="338">
        <v>77433.960000000006</v>
      </c>
      <c r="C24" s="339">
        <v>77533.960000000006</v>
      </c>
      <c r="D24" s="340" t="s">
        <v>16</v>
      </c>
      <c r="E24" s="340" t="s">
        <v>111</v>
      </c>
      <c r="F24" s="340" t="s">
        <v>105</v>
      </c>
      <c r="G24" s="103" t="str">
        <f t="shared" si="0"/>
        <v>E/S - C/B</v>
      </c>
      <c r="H24" s="77">
        <f t="shared" si="8"/>
        <v>1.5</v>
      </c>
      <c r="I24" s="27">
        <f t="shared" si="9"/>
        <v>2.7777777777777777</v>
      </c>
      <c r="J24" s="78">
        <f t="shared" si="10"/>
        <v>-1.42</v>
      </c>
      <c r="K24" s="83">
        <f t="shared" si="1"/>
        <v>100</v>
      </c>
      <c r="L24" s="388">
        <v>45.42</v>
      </c>
      <c r="M24" s="389">
        <v>20</v>
      </c>
      <c r="N24" s="222">
        <f t="shared" si="21"/>
        <v>4542</v>
      </c>
      <c r="O24" s="274">
        <f t="shared" si="2"/>
        <v>2000</v>
      </c>
      <c r="P24" s="398">
        <v>0</v>
      </c>
      <c r="Q24" s="399">
        <v>0</v>
      </c>
      <c r="R24" s="221">
        <f t="shared" si="3"/>
        <v>4542</v>
      </c>
      <c r="S24" s="269">
        <f t="shared" si="3"/>
        <v>2000</v>
      </c>
      <c r="T24" s="404">
        <v>0</v>
      </c>
      <c r="U24" s="405">
        <v>0</v>
      </c>
      <c r="V24" s="414">
        <f t="shared" si="4"/>
        <v>0.26066666666666671</v>
      </c>
      <c r="W24" s="415">
        <f t="shared" si="4"/>
        <v>0.11111111111111112</v>
      </c>
      <c r="X24" s="402">
        <f>IF(OR($A24="APP SLAB",T24&lt;&gt;0),0,Z24)</f>
        <v>521.33333333333337</v>
      </c>
      <c r="Y24" s="403">
        <f t="shared" si="5"/>
        <v>222.22222222222223</v>
      </c>
      <c r="Z24" s="402">
        <f t="shared" si="13"/>
        <v>521.33333333333337</v>
      </c>
      <c r="AA24" s="403">
        <f t="shared" si="14"/>
        <v>222.22222222222223</v>
      </c>
      <c r="AB24" s="402">
        <f t="shared" si="6"/>
        <v>15.483599999999999</v>
      </c>
      <c r="AC24" s="403">
        <f t="shared" si="7"/>
        <v>6.6</v>
      </c>
      <c r="AD24" s="402">
        <f t="shared" si="15"/>
        <v>86.888888888888886</v>
      </c>
      <c r="AE24" s="403">
        <f t="shared" si="16"/>
        <v>37.037037037037038</v>
      </c>
      <c r="AF24" s="347">
        <v>0</v>
      </c>
      <c r="AG24" s="402">
        <f t="shared" si="17"/>
        <v>488.88888888888891</v>
      </c>
      <c r="AH24" s="403">
        <f t="shared" si="18"/>
        <v>222.22222222222223</v>
      </c>
      <c r="AI24" s="467">
        <f t="shared" si="19"/>
        <v>2.0061728395061729</v>
      </c>
      <c r="AJ24" s="85">
        <f t="shared" si="20"/>
        <v>200</v>
      </c>
      <c r="AK24" s="172"/>
    </row>
    <row r="25" spans="1:48" ht="12.75" customHeight="1" x14ac:dyDescent="0.2">
      <c r="B25" s="338">
        <v>77533.960000000006</v>
      </c>
      <c r="C25" s="339">
        <v>77983.44</v>
      </c>
      <c r="D25" s="340" t="s">
        <v>16</v>
      </c>
      <c r="E25" s="340" t="s">
        <v>111</v>
      </c>
      <c r="F25" s="340" t="s">
        <v>105</v>
      </c>
      <c r="G25" s="103" t="str">
        <f t="shared" si="0"/>
        <v>E/S - C/B</v>
      </c>
      <c r="H25" s="77">
        <f t="shared" si="8"/>
        <v>1.5</v>
      </c>
      <c r="I25" s="27">
        <f t="shared" si="9"/>
        <v>12.485555555555443</v>
      </c>
      <c r="J25" s="78">
        <f t="shared" si="10"/>
        <v>-1.42</v>
      </c>
      <c r="K25" s="83">
        <f t="shared" si="1"/>
        <v>449.47999999999593</v>
      </c>
      <c r="L25" s="388">
        <v>49.42</v>
      </c>
      <c r="M25" s="389">
        <v>20</v>
      </c>
      <c r="N25" s="222">
        <f t="shared" si="21"/>
        <v>22214</v>
      </c>
      <c r="O25" s="274">
        <f t="shared" si="2"/>
        <v>8990</v>
      </c>
      <c r="P25" s="398">
        <v>0</v>
      </c>
      <c r="Q25" s="399">
        <v>0</v>
      </c>
      <c r="R25" s="221">
        <f t="shared" si="3"/>
        <v>22214</v>
      </c>
      <c r="S25" s="269">
        <f t="shared" si="3"/>
        <v>8990</v>
      </c>
      <c r="T25" s="404">
        <v>0</v>
      </c>
      <c r="U25" s="405">
        <v>0</v>
      </c>
      <c r="V25" s="414">
        <f t="shared" si="4"/>
        <v>1.2715677777777774</v>
      </c>
      <c r="W25" s="415">
        <f t="shared" si="4"/>
        <v>0.49944444444444447</v>
      </c>
      <c r="X25" s="402">
        <f t="shared" ref="X25:Y69" si="22">IF(OR($A25="APP SLAB",T25&lt;&gt;0),0,Z25)</f>
        <v>2543.1355555555547</v>
      </c>
      <c r="Y25" s="403">
        <f t="shared" si="5"/>
        <v>998.88888888888891</v>
      </c>
      <c r="Z25" s="402">
        <f t="shared" si="13"/>
        <v>2543.1355555555547</v>
      </c>
      <c r="AA25" s="403">
        <f t="shared" si="14"/>
        <v>998.88888888888891</v>
      </c>
      <c r="AB25" s="402">
        <f t="shared" si="6"/>
        <v>75.531125999999972</v>
      </c>
      <c r="AC25" s="403">
        <f t="shared" si="7"/>
        <v>29.667000000000002</v>
      </c>
      <c r="AD25" s="402">
        <f t="shared" si="15"/>
        <v>423.85592592592582</v>
      </c>
      <c r="AE25" s="403">
        <f t="shared" si="16"/>
        <v>166.4814814814815</v>
      </c>
      <c r="AF25" s="347">
        <v>0</v>
      </c>
      <c r="AG25" s="402">
        <f t="shared" si="17"/>
        <v>2397.3042666666674</v>
      </c>
      <c r="AH25" s="403">
        <f t="shared" si="18"/>
        <v>998.88888888888891</v>
      </c>
      <c r="AI25" s="467">
        <f t="shared" si="19"/>
        <v>9.0173456790122639</v>
      </c>
      <c r="AJ25" s="85">
        <f t="shared" si="20"/>
        <v>898.95999999999185</v>
      </c>
      <c r="AK25" s="172"/>
    </row>
    <row r="26" spans="1:48" ht="12.75" customHeight="1" x14ac:dyDescent="0.2">
      <c r="B26" s="338">
        <v>77983.44</v>
      </c>
      <c r="C26" s="339">
        <v>78812.36</v>
      </c>
      <c r="D26" s="340" t="s">
        <v>16</v>
      </c>
      <c r="E26" s="340" t="s">
        <v>111</v>
      </c>
      <c r="F26" s="340" t="s">
        <v>105</v>
      </c>
      <c r="G26" s="103" t="str">
        <f t="shared" si="0"/>
        <v>E/S - C/B</v>
      </c>
      <c r="H26" s="77">
        <f t="shared" si="8"/>
        <v>1.5</v>
      </c>
      <c r="I26" s="27">
        <f t="shared" si="9"/>
        <v>23.025555555555506</v>
      </c>
      <c r="J26" s="78">
        <f t="shared" si="10"/>
        <v>-1.42</v>
      </c>
      <c r="K26" s="83">
        <f t="shared" si="1"/>
        <v>828.91999999999825</v>
      </c>
      <c r="L26" s="388" t="s">
        <v>101</v>
      </c>
      <c r="M26" s="389" t="s">
        <v>101</v>
      </c>
      <c r="N26" s="222">
        <f t="shared" si="21"/>
        <v>0</v>
      </c>
      <c r="O26" s="274">
        <f t="shared" si="2"/>
        <v>0</v>
      </c>
      <c r="P26" s="398">
        <v>52797</v>
      </c>
      <c r="Q26" s="399">
        <v>16578</v>
      </c>
      <c r="R26" s="221">
        <f t="shared" si="3"/>
        <v>52797</v>
      </c>
      <c r="S26" s="269">
        <f t="shared" si="3"/>
        <v>16578</v>
      </c>
      <c r="T26" s="404">
        <v>0</v>
      </c>
      <c r="U26" s="405">
        <v>0</v>
      </c>
      <c r="V26" s="414">
        <f t="shared" si="4"/>
        <v>3.0022433333333334</v>
      </c>
      <c r="W26" s="415">
        <f t="shared" si="4"/>
        <v>0.92100000000000004</v>
      </c>
      <c r="X26" s="402">
        <f t="shared" si="22"/>
        <v>6004.4866666666667</v>
      </c>
      <c r="Y26" s="403">
        <f t="shared" si="5"/>
        <v>1842</v>
      </c>
      <c r="Z26" s="402">
        <f t="shared" si="13"/>
        <v>6004.4866666666667</v>
      </c>
      <c r="AA26" s="403">
        <f t="shared" si="14"/>
        <v>1842</v>
      </c>
      <c r="AB26" s="402">
        <f t="shared" si="6"/>
        <v>178.33325399999995</v>
      </c>
      <c r="AC26" s="403">
        <f t="shared" si="7"/>
        <v>54.707399999999993</v>
      </c>
      <c r="AD26" s="402">
        <f t="shared" si="15"/>
        <v>1000.7477777777776</v>
      </c>
      <c r="AE26" s="403">
        <f t="shared" si="16"/>
        <v>307</v>
      </c>
      <c r="AF26" s="347">
        <v>0</v>
      </c>
      <c r="AG26" s="402">
        <f t="shared" si="17"/>
        <v>5735.5481777777786</v>
      </c>
      <c r="AH26" s="403">
        <f t="shared" si="18"/>
        <v>1842</v>
      </c>
      <c r="AI26" s="467">
        <f t="shared" si="19"/>
        <v>16.629567901234534</v>
      </c>
      <c r="AJ26" s="85">
        <f t="shared" si="20"/>
        <v>1657.8399999999965</v>
      </c>
      <c r="AK26" s="172"/>
    </row>
    <row r="27" spans="1:48" ht="12.75" customHeight="1" x14ac:dyDescent="0.2">
      <c r="B27" s="338">
        <v>78812.36</v>
      </c>
      <c r="C27" s="339">
        <v>79940.89</v>
      </c>
      <c r="D27" s="340" t="s">
        <v>16</v>
      </c>
      <c r="E27" s="340" t="s">
        <v>111</v>
      </c>
      <c r="F27" s="340" t="s">
        <v>111</v>
      </c>
      <c r="G27" s="103" t="str">
        <f t="shared" si="0"/>
        <v>C/B - C/B</v>
      </c>
      <c r="H27" s="77">
        <f t="shared" si="8"/>
        <v>0</v>
      </c>
      <c r="I27" s="27">
        <f t="shared" si="9"/>
        <v>0</v>
      </c>
      <c r="J27" s="78">
        <f t="shared" si="10"/>
        <v>-2.84</v>
      </c>
      <c r="K27" s="83">
        <f t="shared" si="1"/>
        <v>1128.5299999999988</v>
      </c>
      <c r="L27" s="388">
        <v>42.6</v>
      </c>
      <c r="M27" s="389">
        <v>20</v>
      </c>
      <c r="N27" s="222">
        <f t="shared" si="21"/>
        <v>48076</v>
      </c>
      <c r="O27" s="274">
        <f t="shared" si="2"/>
        <v>22571</v>
      </c>
      <c r="P27" s="398">
        <v>0</v>
      </c>
      <c r="Q27" s="399">
        <v>0</v>
      </c>
      <c r="R27" s="221">
        <f t="shared" si="3"/>
        <v>48076</v>
      </c>
      <c r="S27" s="269">
        <f t="shared" si="3"/>
        <v>22571</v>
      </c>
      <c r="T27" s="404">
        <v>0</v>
      </c>
      <c r="U27" s="405">
        <v>0</v>
      </c>
      <c r="V27" s="414">
        <f t="shared" si="4"/>
        <v>2.6708888888888889</v>
      </c>
      <c r="W27" s="415">
        <f t="shared" si="4"/>
        <v>1.2539444444444443</v>
      </c>
      <c r="X27" s="402">
        <f t="shared" si="22"/>
        <v>5341.7777777777774</v>
      </c>
      <c r="Y27" s="403">
        <f t="shared" si="5"/>
        <v>2507.8888888888887</v>
      </c>
      <c r="Z27" s="402">
        <f t="shared" si="13"/>
        <v>5341.7777777777774</v>
      </c>
      <c r="AA27" s="403">
        <f t="shared" si="14"/>
        <v>2507.8888888888887</v>
      </c>
      <c r="AB27" s="402">
        <f t="shared" si="6"/>
        <v>158.65079999999998</v>
      </c>
      <c r="AC27" s="403">
        <f t="shared" si="7"/>
        <v>74.48429999999999</v>
      </c>
      <c r="AD27" s="402">
        <f t="shared" si="15"/>
        <v>890.2962962962963</v>
      </c>
      <c r="AE27" s="403">
        <f t="shared" si="16"/>
        <v>417.98148148148147</v>
      </c>
      <c r="AF27" s="347">
        <v>0</v>
      </c>
      <c r="AG27" s="402">
        <f t="shared" si="17"/>
        <v>4985.6638666666668</v>
      </c>
      <c r="AH27" s="403">
        <f t="shared" si="18"/>
        <v>2507.8888888888887</v>
      </c>
      <c r="AI27" s="467">
        <f t="shared" si="19"/>
        <v>0</v>
      </c>
      <c r="AJ27" s="85">
        <f t="shared" si="20"/>
        <v>2257.0599999999977</v>
      </c>
      <c r="AK27" s="172"/>
      <c r="AS27" s="93"/>
      <c r="AT27" s="93"/>
      <c r="AU27" s="93"/>
      <c r="AV27" s="93"/>
    </row>
    <row r="28" spans="1:48" ht="12.75" customHeight="1" x14ac:dyDescent="0.2">
      <c r="B28" s="338">
        <v>79940.89</v>
      </c>
      <c r="C28" s="339">
        <v>80220.25</v>
      </c>
      <c r="D28" s="340" t="s">
        <v>16</v>
      </c>
      <c r="E28" s="340" t="s">
        <v>111</v>
      </c>
      <c r="F28" s="340" t="s">
        <v>112</v>
      </c>
      <c r="G28" s="103" t="str">
        <f t="shared" si="0"/>
        <v>-</v>
      </c>
      <c r="H28" s="352">
        <v>3.83</v>
      </c>
      <c r="I28" s="341">
        <v>14.69</v>
      </c>
      <c r="J28" s="361">
        <v>-1.42</v>
      </c>
      <c r="K28" s="83">
        <f t="shared" si="1"/>
        <v>279.36000000000058</v>
      </c>
      <c r="L28" s="388">
        <v>41.42</v>
      </c>
      <c r="M28" s="389">
        <v>20</v>
      </c>
      <c r="N28" s="222">
        <f t="shared" si="21"/>
        <v>11572</v>
      </c>
      <c r="O28" s="274">
        <f t="shared" si="2"/>
        <v>5588</v>
      </c>
      <c r="P28" s="398">
        <v>0</v>
      </c>
      <c r="Q28" s="399">
        <v>0</v>
      </c>
      <c r="R28" s="221">
        <f t="shared" si="3"/>
        <v>11572</v>
      </c>
      <c r="S28" s="269">
        <f t="shared" si="3"/>
        <v>5588</v>
      </c>
      <c r="T28" s="402">
        <f t="shared" ref="T28" si="23">IF(OR($A28="APP SLAB",R28=0),0,(R28+$H28*$K28)/9)</f>
        <v>1404.660977777778</v>
      </c>
      <c r="U28" s="403">
        <f t="shared" ref="U28" si="24">IF($A28="APP SLAB",0,S28/9)</f>
        <v>620.88888888888891</v>
      </c>
      <c r="V28" s="414">
        <f t="shared" si="4"/>
        <v>0.70233048888888905</v>
      </c>
      <c r="W28" s="415">
        <f t="shared" si="4"/>
        <v>0.31044444444444447</v>
      </c>
      <c r="X28" s="402">
        <f t="shared" si="22"/>
        <v>0</v>
      </c>
      <c r="Y28" s="403">
        <f t="shared" si="5"/>
        <v>0</v>
      </c>
      <c r="Z28" s="402">
        <f t="shared" si="13"/>
        <v>0</v>
      </c>
      <c r="AA28" s="403">
        <f t="shared" si="14"/>
        <v>0</v>
      </c>
      <c r="AB28" s="402">
        <f t="shared" si="6"/>
        <v>0</v>
      </c>
      <c r="AC28" s="403">
        <f t="shared" si="7"/>
        <v>0</v>
      </c>
      <c r="AD28" s="402">
        <f t="shared" si="15"/>
        <v>228.9862962962963</v>
      </c>
      <c r="AE28" s="403">
        <f t="shared" si="16"/>
        <v>103.48148148148148</v>
      </c>
      <c r="AF28" s="347">
        <v>0</v>
      </c>
      <c r="AG28" s="402">
        <f t="shared" si="17"/>
        <v>1241.7009777777776</v>
      </c>
      <c r="AH28" s="403">
        <f t="shared" si="18"/>
        <v>620.88888888888891</v>
      </c>
      <c r="AI28" s="467">
        <f t="shared" si="19"/>
        <v>0</v>
      </c>
      <c r="AJ28" s="85">
        <f t="shared" si="20"/>
        <v>558.72000000000116</v>
      </c>
      <c r="AK28" s="172"/>
      <c r="AL28" s="93"/>
    </row>
    <row r="29" spans="1:48" ht="12.75" customHeight="1" x14ac:dyDescent="0.2">
      <c r="B29" s="338">
        <v>80220.25</v>
      </c>
      <c r="C29" s="339">
        <v>80268.77</v>
      </c>
      <c r="D29" s="340" t="s">
        <v>16</v>
      </c>
      <c r="E29" s="340" t="s">
        <v>111</v>
      </c>
      <c r="F29" s="340" t="s">
        <v>106</v>
      </c>
      <c r="G29" s="103" t="str">
        <f t="shared" si="0"/>
        <v>F/C - C/B</v>
      </c>
      <c r="H29" s="77">
        <f t="shared" si="8"/>
        <v>2</v>
      </c>
      <c r="I29" s="27">
        <f t="shared" si="9"/>
        <v>1.347777777777891</v>
      </c>
      <c r="J29" s="78">
        <f t="shared" si="10"/>
        <v>-1.42</v>
      </c>
      <c r="K29" s="83">
        <f t="shared" si="1"/>
        <v>48.520000000004075</v>
      </c>
      <c r="L29" s="388">
        <v>42.42</v>
      </c>
      <c r="M29" s="389">
        <v>20</v>
      </c>
      <c r="N29" s="222">
        <f t="shared" si="21"/>
        <v>2059</v>
      </c>
      <c r="O29" s="274">
        <f t="shared" si="2"/>
        <v>971</v>
      </c>
      <c r="P29" s="398">
        <v>0</v>
      </c>
      <c r="Q29" s="399">
        <v>0</v>
      </c>
      <c r="R29" s="221">
        <f t="shared" si="3"/>
        <v>2059</v>
      </c>
      <c r="S29" s="269">
        <f t="shared" si="3"/>
        <v>971</v>
      </c>
      <c r="T29" s="402">
        <f t="shared" ref="T29:T39" si="25">IF(OR($A29="APP SLAB",R29=0),0,(R29+$H29*$K29)/9)</f>
        <v>239.56000000000091</v>
      </c>
      <c r="U29" s="403">
        <f t="shared" ref="U29:U39" si="26">IF($A29="APP SLAB",0,S29/9)</f>
        <v>107.88888888888889</v>
      </c>
      <c r="V29" s="414">
        <f t="shared" si="4"/>
        <v>0.11978000000000046</v>
      </c>
      <c r="W29" s="415">
        <f t="shared" si="4"/>
        <v>5.3944444444444441E-2</v>
      </c>
      <c r="X29" s="402">
        <f t="shared" si="22"/>
        <v>0</v>
      </c>
      <c r="Y29" s="403">
        <f t="shared" si="5"/>
        <v>0</v>
      </c>
      <c r="Z29" s="402">
        <f t="shared" si="13"/>
        <v>0</v>
      </c>
      <c r="AA29" s="403">
        <f t="shared" si="14"/>
        <v>0</v>
      </c>
      <c r="AB29" s="402">
        <f t="shared" si="6"/>
        <v>0</v>
      </c>
      <c r="AC29" s="403">
        <f t="shared" si="7"/>
        <v>0</v>
      </c>
      <c r="AD29" s="402">
        <f t="shared" si="15"/>
        <v>39.477407407407519</v>
      </c>
      <c r="AE29" s="403">
        <f t="shared" si="16"/>
        <v>17.981481481481481</v>
      </c>
      <c r="AF29" s="347">
        <v>0</v>
      </c>
      <c r="AG29" s="402">
        <f t="shared" si="17"/>
        <v>221.12239999999937</v>
      </c>
      <c r="AH29" s="403">
        <f t="shared" si="18"/>
        <v>107.88888888888889</v>
      </c>
      <c r="AI29" s="467">
        <f t="shared" si="19"/>
        <v>0</v>
      </c>
      <c r="AJ29" s="85">
        <f t="shared" si="20"/>
        <v>97.040000000008149</v>
      </c>
      <c r="AK29" s="172"/>
      <c r="AL29" s="120"/>
    </row>
    <row r="30" spans="1:48" ht="12.75" customHeight="1" x14ac:dyDescent="0.2">
      <c r="B30" s="338">
        <v>80268.77</v>
      </c>
      <c r="C30" s="339">
        <v>80591.100000000006</v>
      </c>
      <c r="D30" s="340" t="s">
        <v>16</v>
      </c>
      <c r="E30" s="340" t="s">
        <v>111</v>
      </c>
      <c r="F30" s="340" t="s">
        <v>106</v>
      </c>
      <c r="G30" s="103" t="str">
        <f t="shared" si="0"/>
        <v>F/C - C/B</v>
      </c>
      <c r="H30" s="77">
        <f t="shared" si="8"/>
        <v>2</v>
      </c>
      <c r="I30" s="27">
        <f t="shared" si="9"/>
        <v>8.9536111111111598</v>
      </c>
      <c r="J30" s="78">
        <f t="shared" si="10"/>
        <v>-1.42</v>
      </c>
      <c r="K30" s="83">
        <f t="shared" si="1"/>
        <v>322.33000000000175</v>
      </c>
      <c r="L30" s="388">
        <v>43.42</v>
      </c>
      <c r="M30" s="389">
        <v>20</v>
      </c>
      <c r="N30" s="222">
        <f t="shared" si="21"/>
        <v>13996</v>
      </c>
      <c r="O30" s="274">
        <f t="shared" si="2"/>
        <v>6447</v>
      </c>
      <c r="P30" s="398">
        <v>0</v>
      </c>
      <c r="Q30" s="399">
        <v>0</v>
      </c>
      <c r="R30" s="221">
        <f t="shared" si="3"/>
        <v>13996</v>
      </c>
      <c r="S30" s="269">
        <f t="shared" si="3"/>
        <v>6447</v>
      </c>
      <c r="T30" s="402">
        <f t="shared" si="25"/>
        <v>1626.7400000000005</v>
      </c>
      <c r="U30" s="403">
        <f t="shared" si="26"/>
        <v>716.33333333333337</v>
      </c>
      <c r="V30" s="414">
        <f t="shared" si="4"/>
        <v>0.81337000000000026</v>
      </c>
      <c r="W30" s="415">
        <f t="shared" si="4"/>
        <v>0.35816666666666669</v>
      </c>
      <c r="X30" s="402">
        <f t="shared" si="22"/>
        <v>0</v>
      </c>
      <c r="Y30" s="403">
        <f t="shared" si="5"/>
        <v>0</v>
      </c>
      <c r="Z30" s="402">
        <f t="shared" si="13"/>
        <v>0</v>
      </c>
      <c r="AA30" s="403">
        <f t="shared" si="14"/>
        <v>0</v>
      </c>
      <c r="AB30" s="402">
        <f t="shared" si="6"/>
        <v>0</v>
      </c>
      <c r="AC30" s="403">
        <f t="shared" si="7"/>
        <v>0</v>
      </c>
      <c r="AD30" s="402">
        <f t="shared" si="15"/>
        <v>268.13879629629633</v>
      </c>
      <c r="AE30" s="403">
        <f t="shared" si="16"/>
        <v>119.38888888888889</v>
      </c>
      <c r="AF30" s="347">
        <v>0</v>
      </c>
      <c r="AG30" s="402">
        <f t="shared" si="17"/>
        <v>1504.2545999999998</v>
      </c>
      <c r="AH30" s="403">
        <f t="shared" si="18"/>
        <v>716.33333333333337</v>
      </c>
      <c r="AI30" s="467">
        <f t="shared" si="19"/>
        <v>0</v>
      </c>
      <c r="AJ30" s="85">
        <f t="shared" si="20"/>
        <v>644.66000000000349</v>
      </c>
      <c r="AK30" s="172"/>
    </row>
    <row r="31" spans="1:48" ht="12.75" customHeight="1" x14ac:dyDescent="0.2">
      <c r="B31" s="338">
        <v>80591.67</v>
      </c>
      <c r="C31" s="339">
        <v>80616.89</v>
      </c>
      <c r="D31" s="340" t="s">
        <v>16</v>
      </c>
      <c r="E31" s="340" t="s">
        <v>101</v>
      </c>
      <c r="F31" s="340" t="s">
        <v>106</v>
      </c>
      <c r="G31" s="103" t="str">
        <f t="shared" si="0"/>
        <v>-</v>
      </c>
      <c r="H31" s="352">
        <v>1.5</v>
      </c>
      <c r="I31" s="341">
        <v>0.47</v>
      </c>
      <c r="J31" s="361">
        <v>0</v>
      </c>
      <c r="K31" s="83">
        <f t="shared" si="1"/>
        <v>25.220000000001164</v>
      </c>
      <c r="L31" s="388" t="s">
        <v>101</v>
      </c>
      <c r="M31" s="389" t="s">
        <v>101</v>
      </c>
      <c r="N31" s="222">
        <f t="shared" si="21"/>
        <v>0</v>
      </c>
      <c r="O31" s="274">
        <f t="shared" si="2"/>
        <v>0</v>
      </c>
      <c r="P31" s="398">
        <v>592</v>
      </c>
      <c r="Q31" s="399">
        <v>252</v>
      </c>
      <c r="R31" s="221">
        <f t="shared" si="3"/>
        <v>592</v>
      </c>
      <c r="S31" s="269">
        <f t="shared" si="3"/>
        <v>252</v>
      </c>
      <c r="T31" s="402">
        <f t="shared" si="25"/>
        <v>69.981111111111304</v>
      </c>
      <c r="U31" s="403">
        <f t="shared" si="26"/>
        <v>28</v>
      </c>
      <c r="V31" s="414">
        <f t="shared" si="4"/>
        <v>3.499055555555565E-2</v>
      </c>
      <c r="W31" s="415">
        <f t="shared" si="4"/>
        <v>1.4E-2</v>
      </c>
      <c r="X31" s="402">
        <f t="shared" si="22"/>
        <v>0</v>
      </c>
      <c r="Y31" s="403">
        <f t="shared" si="5"/>
        <v>0</v>
      </c>
      <c r="Z31" s="402">
        <f t="shared" si="13"/>
        <v>0</v>
      </c>
      <c r="AA31" s="403">
        <f t="shared" si="14"/>
        <v>0</v>
      </c>
      <c r="AB31" s="402">
        <f t="shared" si="6"/>
        <v>0</v>
      </c>
      <c r="AC31" s="403">
        <f t="shared" si="7"/>
        <v>0</v>
      </c>
      <c r="AD31" s="402">
        <f t="shared" si="15"/>
        <v>11.432962962962964</v>
      </c>
      <c r="AE31" s="403">
        <f t="shared" si="16"/>
        <v>4.666666666666667</v>
      </c>
      <c r="AF31" s="347">
        <v>0</v>
      </c>
      <c r="AG31" s="402">
        <f t="shared" si="17"/>
        <v>65.777777777777771</v>
      </c>
      <c r="AH31" s="403">
        <f t="shared" si="18"/>
        <v>28</v>
      </c>
      <c r="AI31" s="467">
        <f t="shared" si="19"/>
        <v>0</v>
      </c>
      <c r="AJ31" s="85">
        <f t="shared" si="20"/>
        <v>50.440000000002328</v>
      </c>
      <c r="AK31" s="172"/>
    </row>
    <row r="32" spans="1:48" ht="12.75" customHeight="1" x14ac:dyDescent="0.2">
      <c r="A32" s="81" t="s">
        <v>28</v>
      </c>
      <c r="B32" s="338">
        <v>80591.100000000006</v>
      </c>
      <c r="C32" s="339">
        <v>80621.100000000006</v>
      </c>
      <c r="D32" s="340" t="s">
        <v>16</v>
      </c>
      <c r="E32" s="340" t="s">
        <v>101</v>
      </c>
      <c r="F32" s="340" t="s">
        <v>101</v>
      </c>
      <c r="G32" s="103" t="str">
        <f t="shared" si="0"/>
        <v>-</v>
      </c>
      <c r="H32" s="77">
        <f t="shared" si="8"/>
        <v>0</v>
      </c>
      <c r="I32" s="27">
        <f t="shared" si="9"/>
        <v>0</v>
      </c>
      <c r="J32" s="78">
        <f t="shared" si="10"/>
        <v>0</v>
      </c>
      <c r="K32" s="83">
        <f t="shared" si="1"/>
        <v>30</v>
      </c>
      <c r="L32" s="388" t="s">
        <v>101</v>
      </c>
      <c r="M32" s="389" t="s">
        <v>101</v>
      </c>
      <c r="N32" s="222">
        <f t="shared" si="21"/>
        <v>0</v>
      </c>
      <c r="O32" s="274">
        <f t="shared" si="2"/>
        <v>0</v>
      </c>
      <c r="P32" s="398">
        <v>1378</v>
      </c>
      <c r="Q32" s="399">
        <v>600</v>
      </c>
      <c r="R32" s="221">
        <f t="shared" si="3"/>
        <v>1378</v>
      </c>
      <c r="S32" s="269">
        <f t="shared" si="3"/>
        <v>600</v>
      </c>
      <c r="T32" s="402">
        <f t="shared" si="25"/>
        <v>0</v>
      </c>
      <c r="U32" s="403">
        <f t="shared" si="26"/>
        <v>0</v>
      </c>
      <c r="V32" s="414">
        <f t="shared" si="4"/>
        <v>0</v>
      </c>
      <c r="W32" s="415">
        <f t="shared" si="4"/>
        <v>0</v>
      </c>
      <c r="X32" s="402">
        <f t="shared" si="22"/>
        <v>0</v>
      </c>
      <c r="Y32" s="403">
        <f t="shared" si="5"/>
        <v>0</v>
      </c>
      <c r="Z32" s="402">
        <f t="shared" si="13"/>
        <v>0</v>
      </c>
      <c r="AA32" s="403">
        <f t="shared" si="14"/>
        <v>0</v>
      </c>
      <c r="AB32" s="402">
        <f t="shared" si="6"/>
        <v>0</v>
      </c>
      <c r="AC32" s="403">
        <f t="shared" si="7"/>
        <v>0</v>
      </c>
      <c r="AD32" s="402">
        <f t="shared" si="15"/>
        <v>25.518518518518519</v>
      </c>
      <c r="AE32" s="403">
        <f t="shared" si="16"/>
        <v>11.111111111111111</v>
      </c>
      <c r="AF32" s="383">
        <v>69</v>
      </c>
      <c r="AG32" s="402">
        <f t="shared" si="17"/>
        <v>0</v>
      </c>
      <c r="AH32" s="403">
        <f t="shared" si="18"/>
        <v>0</v>
      </c>
      <c r="AI32" s="467">
        <f t="shared" si="19"/>
        <v>0</v>
      </c>
      <c r="AJ32" s="85">
        <f t="shared" si="20"/>
        <v>0</v>
      </c>
      <c r="AK32" s="172"/>
    </row>
    <row r="33" spans="1:37" ht="12.75" customHeight="1" x14ac:dyDescent="0.2">
      <c r="A33" s="81" t="s">
        <v>28</v>
      </c>
      <c r="B33" s="338">
        <v>80726.02</v>
      </c>
      <c r="C33" s="339">
        <v>80756.02</v>
      </c>
      <c r="D33" s="340" t="s">
        <v>16</v>
      </c>
      <c r="E33" s="340" t="s">
        <v>101</v>
      </c>
      <c r="F33" s="340" t="s">
        <v>101</v>
      </c>
      <c r="G33" s="103" t="str">
        <f t="shared" si="0"/>
        <v>-</v>
      </c>
      <c r="H33" s="77">
        <f t="shared" si="8"/>
        <v>0</v>
      </c>
      <c r="I33" s="27">
        <f t="shared" si="9"/>
        <v>0</v>
      </c>
      <c r="J33" s="78">
        <f t="shared" si="10"/>
        <v>0</v>
      </c>
      <c r="K33" s="83">
        <f t="shared" si="1"/>
        <v>30</v>
      </c>
      <c r="L33" s="388" t="s">
        <v>101</v>
      </c>
      <c r="M33" s="389" t="s">
        <v>101</v>
      </c>
      <c r="N33" s="222">
        <f t="shared" si="21"/>
        <v>0</v>
      </c>
      <c r="O33" s="274">
        <f t="shared" si="2"/>
        <v>0</v>
      </c>
      <c r="P33" s="398">
        <v>1384</v>
      </c>
      <c r="Q33" s="399">
        <v>600</v>
      </c>
      <c r="R33" s="221">
        <f t="shared" si="3"/>
        <v>1384</v>
      </c>
      <c r="S33" s="269">
        <f t="shared" si="3"/>
        <v>600</v>
      </c>
      <c r="T33" s="402">
        <f t="shared" si="25"/>
        <v>0</v>
      </c>
      <c r="U33" s="403">
        <f t="shared" si="26"/>
        <v>0</v>
      </c>
      <c r="V33" s="414">
        <f t="shared" si="4"/>
        <v>0</v>
      </c>
      <c r="W33" s="415">
        <f t="shared" si="4"/>
        <v>0</v>
      </c>
      <c r="X33" s="402">
        <f t="shared" si="22"/>
        <v>0</v>
      </c>
      <c r="Y33" s="403">
        <f t="shared" si="5"/>
        <v>0</v>
      </c>
      <c r="Z33" s="402">
        <f t="shared" si="13"/>
        <v>0</v>
      </c>
      <c r="AA33" s="403">
        <f t="shared" si="14"/>
        <v>0</v>
      </c>
      <c r="AB33" s="402">
        <f t="shared" si="6"/>
        <v>0</v>
      </c>
      <c r="AC33" s="403">
        <f t="shared" si="7"/>
        <v>0</v>
      </c>
      <c r="AD33" s="402">
        <f t="shared" si="15"/>
        <v>25.62962962962963</v>
      </c>
      <c r="AE33" s="403">
        <f t="shared" si="16"/>
        <v>11.111111111111111</v>
      </c>
      <c r="AF33" s="383">
        <v>67</v>
      </c>
      <c r="AG33" s="402">
        <f t="shared" si="17"/>
        <v>0</v>
      </c>
      <c r="AH33" s="403">
        <f t="shared" si="18"/>
        <v>0</v>
      </c>
      <c r="AI33" s="467">
        <f t="shared" si="19"/>
        <v>0</v>
      </c>
      <c r="AJ33" s="85">
        <f t="shared" si="20"/>
        <v>0</v>
      </c>
      <c r="AK33" s="172"/>
    </row>
    <row r="34" spans="1:37" ht="12.75" customHeight="1" x14ac:dyDescent="0.2">
      <c r="B34" s="338">
        <v>80756.02</v>
      </c>
      <c r="C34" s="339">
        <v>80776.289999999994</v>
      </c>
      <c r="D34" s="340" t="s">
        <v>16</v>
      </c>
      <c r="E34" s="340" t="s">
        <v>111</v>
      </c>
      <c r="F34" s="340" t="s">
        <v>101</v>
      </c>
      <c r="G34" s="103" t="str">
        <f t="shared" si="0"/>
        <v>-</v>
      </c>
      <c r="H34" s="352">
        <v>1.5</v>
      </c>
      <c r="I34" s="341">
        <v>0.56000000000000005</v>
      </c>
      <c r="J34" s="361">
        <v>-1.42</v>
      </c>
      <c r="K34" s="83">
        <f t="shared" si="1"/>
        <v>20.269999999989523</v>
      </c>
      <c r="L34" s="388" t="s">
        <v>101</v>
      </c>
      <c r="M34" s="389" t="s">
        <v>101</v>
      </c>
      <c r="N34" s="222">
        <f t="shared" si="21"/>
        <v>0</v>
      </c>
      <c r="O34" s="274">
        <f t="shared" si="2"/>
        <v>0</v>
      </c>
      <c r="P34" s="398">
        <v>440</v>
      </c>
      <c r="Q34" s="399">
        <v>203</v>
      </c>
      <c r="R34" s="221">
        <f t="shared" si="3"/>
        <v>440</v>
      </c>
      <c r="S34" s="269">
        <f t="shared" si="3"/>
        <v>203</v>
      </c>
      <c r="T34" s="402">
        <f t="shared" si="25"/>
        <v>52.267222222220475</v>
      </c>
      <c r="U34" s="403">
        <f t="shared" si="26"/>
        <v>22.555555555555557</v>
      </c>
      <c r="V34" s="414">
        <f t="shared" si="4"/>
        <v>2.6133611111110237E-2</v>
      </c>
      <c r="W34" s="415">
        <f t="shared" si="4"/>
        <v>1.1277777777777779E-2</v>
      </c>
      <c r="X34" s="402">
        <f t="shared" si="22"/>
        <v>0</v>
      </c>
      <c r="Y34" s="403">
        <f t="shared" si="5"/>
        <v>0</v>
      </c>
      <c r="Z34" s="402">
        <f t="shared" si="13"/>
        <v>0</v>
      </c>
      <c r="AA34" s="403">
        <f t="shared" si="14"/>
        <v>0</v>
      </c>
      <c r="AB34" s="402">
        <f t="shared" si="6"/>
        <v>0</v>
      </c>
      <c r="AC34" s="403">
        <f t="shared" si="7"/>
        <v>0</v>
      </c>
      <c r="AD34" s="402">
        <f t="shared" si="15"/>
        <v>8.7081481481481493</v>
      </c>
      <c r="AE34" s="403">
        <f t="shared" si="16"/>
        <v>3.7592592592592591</v>
      </c>
      <c r="AF34" s="347">
        <v>0</v>
      </c>
      <c r="AG34" s="402">
        <f t="shared" si="17"/>
        <v>45.690733333334983</v>
      </c>
      <c r="AH34" s="403">
        <f t="shared" si="18"/>
        <v>22.555555555555557</v>
      </c>
      <c r="AI34" s="467">
        <f t="shared" si="19"/>
        <v>0</v>
      </c>
      <c r="AJ34" s="85">
        <f t="shared" si="20"/>
        <v>40.539999999979045</v>
      </c>
      <c r="AK34" s="172"/>
    </row>
    <row r="35" spans="1:37" ht="12.75" customHeight="1" x14ac:dyDescent="0.2">
      <c r="B35" s="338">
        <v>80776.289999999994</v>
      </c>
      <c r="C35" s="339">
        <v>80969.399999999994</v>
      </c>
      <c r="D35" s="340" t="s">
        <v>16</v>
      </c>
      <c r="E35" s="340" t="s">
        <v>111</v>
      </c>
      <c r="F35" s="340" t="s">
        <v>106</v>
      </c>
      <c r="G35" s="103" t="str">
        <f t="shared" si="0"/>
        <v>F/C - C/B</v>
      </c>
      <c r="H35" s="77">
        <f t="shared" si="8"/>
        <v>2</v>
      </c>
      <c r="I35" s="27">
        <f t="shared" si="9"/>
        <v>5.3641666666666827</v>
      </c>
      <c r="J35" s="78">
        <f t="shared" si="10"/>
        <v>-1.42</v>
      </c>
      <c r="K35" s="83">
        <f t="shared" si="1"/>
        <v>193.11000000000058</v>
      </c>
      <c r="L35" s="388">
        <v>43.42</v>
      </c>
      <c r="M35" s="389">
        <v>20</v>
      </c>
      <c r="N35" s="222">
        <f t="shared" si="21"/>
        <v>8385</v>
      </c>
      <c r="O35" s="274">
        <f t="shared" si="2"/>
        <v>3863</v>
      </c>
      <c r="P35" s="398">
        <v>0</v>
      </c>
      <c r="Q35" s="399">
        <v>0</v>
      </c>
      <c r="R35" s="221">
        <f t="shared" si="3"/>
        <v>8385</v>
      </c>
      <c r="S35" s="269">
        <f t="shared" si="3"/>
        <v>3863</v>
      </c>
      <c r="T35" s="402">
        <f t="shared" si="25"/>
        <v>974.58000000000015</v>
      </c>
      <c r="U35" s="403">
        <f t="shared" si="26"/>
        <v>429.22222222222223</v>
      </c>
      <c r="V35" s="414">
        <f t="shared" si="4"/>
        <v>0.48729000000000006</v>
      </c>
      <c r="W35" s="415">
        <f t="shared" si="4"/>
        <v>0.21461111111111111</v>
      </c>
      <c r="X35" s="402">
        <f t="shared" si="22"/>
        <v>0</v>
      </c>
      <c r="Y35" s="403">
        <f t="shared" si="22"/>
        <v>0</v>
      </c>
      <c r="Z35" s="402">
        <f t="shared" si="13"/>
        <v>0</v>
      </c>
      <c r="AA35" s="403">
        <f t="shared" si="14"/>
        <v>0</v>
      </c>
      <c r="AB35" s="402">
        <f t="shared" si="6"/>
        <v>0</v>
      </c>
      <c r="AC35" s="403">
        <f t="shared" si="7"/>
        <v>0</v>
      </c>
      <c r="AD35" s="402">
        <f t="shared" si="15"/>
        <v>160.64194444444445</v>
      </c>
      <c r="AE35" s="403">
        <f t="shared" si="16"/>
        <v>71.537037037037038</v>
      </c>
      <c r="AF35" s="347">
        <v>0</v>
      </c>
      <c r="AG35" s="402">
        <f t="shared" si="17"/>
        <v>901.19819999999993</v>
      </c>
      <c r="AH35" s="403">
        <f t="shared" si="18"/>
        <v>429.22222222222223</v>
      </c>
      <c r="AI35" s="467">
        <f t="shared" si="19"/>
        <v>0</v>
      </c>
      <c r="AJ35" s="85">
        <f t="shared" si="20"/>
        <v>386.22000000000116</v>
      </c>
      <c r="AK35" s="172"/>
    </row>
    <row r="36" spans="1:37" ht="12.75" customHeight="1" x14ac:dyDescent="0.2">
      <c r="B36" s="338">
        <v>80969.399999999994</v>
      </c>
      <c r="C36" s="339">
        <v>81317.06</v>
      </c>
      <c r="D36" s="340" t="s">
        <v>16</v>
      </c>
      <c r="E36" s="340" t="s">
        <v>111</v>
      </c>
      <c r="F36" s="340" t="s">
        <v>105</v>
      </c>
      <c r="G36" s="103" t="str">
        <f t="shared" si="0"/>
        <v>E/S - C/B</v>
      </c>
      <c r="H36" s="77">
        <f t="shared" si="8"/>
        <v>1.5</v>
      </c>
      <c r="I36" s="27">
        <f t="shared" si="9"/>
        <v>9.6572222222223196</v>
      </c>
      <c r="J36" s="78">
        <f t="shared" si="10"/>
        <v>-1.42</v>
      </c>
      <c r="K36" s="83">
        <f t="shared" si="1"/>
        <v>347.66000000000349</v>
      </c>
      <c r="L36" s="388">
        <v>41.42</v>
      </c>
      <c r="M36" s="389">
        <v>20</v>
      </c>
      <c r="N36" s="222">
        <f t="shared" si="21"/>
        <v>14401</v>
      </c>
      <c r="O36" s="274">
        <f t="shared" si="2"/>
        <v>6954</v>
      </c>
      <c r="P36" s="398">
        <v>0</v>
      </c>
      <c r="Q36" s="399">
        <v>0</v>
      </c>
      <c r="R36" s="221">
        <f t="shared" si="3"/>
        <v>14401</v>
      </c>
      <c r="S36" s="269">
        <f t="shared" si="3"/>
        <v>6954</v>
      </c>
      <c r="T36" s="402">
        <f t="shared" si="25"/>
        <v>1658.0544444444449</v>
      </c>
      <c r="U36" s="403">
        <f t="shared" si="26"/>
        <v>772.66666666666663</v>
      </c>
      <c r="V36" s="414">
        <f t="shared" si="4"/>
        <v>0.82902722222222247</v>
      </c>
      <c r="W36" s="415">
        <f t="shared" si="4"/>
        <v>0.38633333333333331</v>
      </c>
      <c r="X36" s="402">
        <f t="shared" si="22"/>
        <v>0</v>
      </c>
      <c r="Y36" s="403">
        <f t="shared" si="22"/>
        <v>0</v>
      </c>
      <c r="Z36" s="402">
        <f t="shared" si="13"/>
        <v>0</v>
      </c>
      <c r="AA36" s="403">
        <f t="shared" si="14"/>
        <v>0</v>
      </c>
      <c r="AB36" s="402">
        <f t="shared" si="6"/>
        <v>0</v>
      </c>
      <c r="AC36" s="403">
        <f t="shared" si="7"/>
        <v>0</v>
      </c>
      <c r="AD36" s="402">
        <f t="shared" si="15"/>
        <v>276.34240740740751</v>
      </c>
      <c r="AE36" s="403">
        <f t="shared" si="16"/>
        <v>128.77777777777777</v>
      </c>
      <c r="AF36" s="347">
        <v>0</v>
      </c>
      <c r="AG36" s="402">
        <f t="shared" si="17"/>
        <v>1545.2580888888883</v>
      </c>
      <c r="AH36" s="403">
        <f t="shared" si="18"/>
        <v>772.66666666666663</v>
      </c>
      <c r="AI36" s="467">
        <f t="shared" si="19"/>
        <v>6.9746604938272307</v>
      </c>
      <c r="AJ36" s="85">
        <f t="shared" si="20"/>
        <v>695.32000000000698</v>
      </c>
      <c r="AK36" s="172"/>
    </row>
    <row r="37" spans="1:37" ht="12.75" customHeight="1" x14ac:dyDescent="0.2">
      <c r="B37" s="338">
        <v>81317.06</v>
      </c>
      <c r="C37" s="339">
        <v>81343.72</v>
      </c>
      <c r="D37" s="340" t="s">
        <v>16</v>
      </c>
      <c r="E37" s="340" t="s">
        <v>101</v>
      </c>
      <c r="F37" s="340" t="s">
        <v>105</v>
      </c>
      <c r="G37" s="103" t="str">
        <f t="shared" si="0"/>
        <v>-</v>
      </c>
      <c r="H37" s="352">
        <v>1.5</v>
      </c>
      <c r="I37" s="341">
        <v>0.55000000000000004</v>
      </c>
      <c r="J37" s="361">
        <v>0</v>
      </c>
      <c r="K37" s="83">
        <f t="shared" si="1"/>
        <v>26.660000000003492</v>
      </c>
      <c r="L37" s="388" t="s">
        <v>101</v>
      </c>
      <c r="M37" s="389" t="s">
        <v>101</v>
      </c>
      <c r="N37" s="222">
        <f t="shared" si="21"/>
        <v>0</v>
      </c>
      <c r="O37" s="274">
        <f t="shared" si="2"/>
        <v>0</v>
      </c>
      <c r="P37" s="398">
        <v>1971</v>
      </c>
      <c r="Q37" s="399">
        <v>267</v>
      </c>
      <c r="R37" s="221">
        <f t="shared" si="3"/>
        <v>1971</v>
      </c>
      <c r="S37" s="269">
        <f t="shared" si="3"/>
        <v>267</v>
      </c>
      <c r="T37" s="402">
        <f t="shared" si="25"/>
        <v>223.44333333333392</v>
      </c>
      <c r="U37" s="403">
        <f t="shared" si="26"/>
        <v>29.666666666666668</v>
      </c>
      <c r="V37" s="414">
        <f t="shared" si="4"/>
        <v>0.11172166666666697</v>
      </c>
      <c r="W37" s="415">
        <f t="shared" si="4"/>
        <v>1.4833333333333334E-2</v>
      </c>
      <c r="X37" s="402">
        <f t="shared" si="22"/>
        <v>0</v>
      </c>
      <c r="Y37" s="403">
        <f t="shared" si="22"/>
        <v>0</v>
      </c>
      <c r="Z37" s="402">
        <f t="shared" si="13"/>
        <v>0</v>
      </c>
      <c r="AA37" s="403">
        <f t="shared" si="14"/>
        <v>0</v>
      </c>
      <c r="AB37" s="402">
        <f t="shared" si="6"/>
        <v>0</v>
      </c>
      <c r="AC37" s="403">
        <f t="shared" si="7"/>
        <v>0</v>
      </c>
      <c r="AD37" s="402">
        <f t="shared" si="15"/>
        <v>37.049999999999997</v>
      </c>
      <c r="AE37" s="403">
        <f t="shared" si="16"/>
        <v>4.9444444444444446</v>
      </c>
      <c r="AF37" s="347">
        <v>0</v>
      </c>
      <c r="AG37" s="402">
        <f t="shared" si="17"/>
        <v>219</v>
      </c>
      <c r="AH37" s="403">
        <f t="shared" si="18"/>
        <v>29.666666666666668</v>
      </c>
      <c r="AI37" s="467">
        <f t="shared" si="19"/>
        <v>0.53484567901241575</v>
      </c>
      <c r="AJ37" s="85">
        <f t="shared" si="20"/>
        <v>53.320000000006985</v>
      </c>
      <c r="AK37" s="172"/>
    </row>
    <row r="38" spans="1:37" ht="12.75" customHeight="1" x14ac:dyDescent="0.2">
      <c r="A38" s="81" t="s">
        <v>28</v>
      </c>
      <c r="B38" s="338">
        <v>81316.66</v>
      </c>
      <c r="C38" s="339">
        <v>81346.66</v>
      </c>
      <c r="D38" s="340" t="s">
        <v>16</v>
      </c>
      <c r="E38" s="340" t="s">
        <v>101</v>
      </c>
      <c r="F38" s="340" t="s">
        <v>101</v>
      </c>
      <c r="G38" s="103" t="str">
        <f t="shared" si="0"/>
        <v>-</v>
      </c>
      <c r="H38" s="77">
        <v>4</v>
      </c>
      <c r="I38" s="27">
        <f t="shared" si="9"/>
        <v>0</v>
      </c>
      <c r="J38" s="78">
        <f t="shared" si="10"/>
        <v>0</v>
      </c>
      <c r="K38" s="83">
        <f t="shared" si="1"/>
        <v>30</v>
      </c>
      <c r="L38" s="388" t="s">
        <v>101</v>
      </c>
      <c r="M38" s="389" t="s">
        <v>101</v>
      </c>
      <c r="N38" s="222">
        <f t="shared" si="21"/>
        <v>0</v>
      </c>
      <c r="O38" s="274">
        <f t="shared" si="2"/>
        <v>0</v>
      </c>
      <c r="P38" s="398">
        <v>1217</v>
      </c>
      <c r="Q38" s="399">
        <v>600</v>
      </c>
      <c r="R38" s="221">
        <f t="shared" si="3"/>
        <v>1217</v>
      </c>
      <c r="S38" s="269">
        <f t="shared" si="3"/>
        <v>600</v>
      </c>
      <c r="T38" s="402">
        <f>IF(OR(R38=0),0,(R38+$H38*$K38)/9)</f>
        <v>148.55555555555554</v>
      </c>
      <c r="U38" s="403">
        <f>IF($A38="",0,S38/9)</f>
        <v>66.666666666666671</v>
      </c>
      <c r="V38" s="414">
        <f t="shared" si="4"/>
        <v>7.4277777777777776E-2</v>
      </c>
      <c r="W38" s="415">
        <f t="shared" si="4"/>
        <v>3.3333333333333333E-2</v>
      </c>
      <c r="X38" s="402">
        <f>IF(OR(T38&lt;&gt;0),0,Z38)</f>
        <v>0</v>
      </c>
      <c r="Y38" s="403">
        <f>IF(OR(U38&lt;&gt;0),0,AA38)</f>
        <v>0</v>
      </c>
      <c r="Z38" s="402">
        <f>IF(OR(T38&lt;&gt;0),0,(R38+$H38*$K38)/9)</f>
        <v>0</v>
      </c>
      <c r="AA38" s="403">
        <f>IF(OR(U38&lt;&gt;0),0,S38/9)</f>
        <v>0</v>
      </c>
      <c r="AB38" s="402">
        <f>IF(OR(T38&lt;&gt;0),0,$Z$1*Z38*110*0.06*0.75/2000)</f>
        <v>0</v>
      </c>
      <c r="AC38" s="403">
        <f>IF(OR(U38&lt;&gt;0),0,$Z$1*AA38*110*0.06*0.75/2000)</f>
        <v>0</v>
      </c>
      <c r="AD38" s="402">
        <f t="shared" si="15"/>
        <v>22.537037037037038</v>
      </c>
      <c r="AE38" s="403">
        <f t="shared" si="16"/>
        <v>11.111111111111111</v>
      </c>
      <c r="AF38" s="383">
        <v>147</v>
      </c>
      <c r="AG38" s="402">
        <f t="shared" si="17"/>
        <v>0</v>
      </c>
      <c r="AH38" s="403">
        <f t="shared" si="18"/>
        <v>0</v>
      </c>
      <c r="AI38" s="467">
        <f t="shared" si="19"/>
        <v>0</v>
      </c>
      <c r="AJ38" s="85">
        <f t="shared" si="20"/>
        <v>0</v>
      </c>
      <c r="AK38" s="172"/>
    </row>
    <row r="39" spans="1:37" ht="12.75" customHeight="1" x14ac:dyDescent="0.2">
      <c r="A39" s="81" t="s">
        <v>28</v>
      </c>
      <c r="B39" s="338">
        <v>81611.210000000006</v>
      </c>
      <c r="C39" s="339">
        <v>81641.210000000006</v>
      </c>
      <c r="D39" s="340" t="s">
        <v>16</v>
      </c>
      <c r="E39" s="340" t="s">
        <v>101</v>
      </c>
      <c r="F39" s="340" t="s">
        <v>101</v>
      </c>
      <c r="G39" s="103" t="str">
        <f t="shared" si="0"/>
        <v>-</v>
      </c>
      <c r="H39" s="77">
        <v>4</v>
      </c>
      <c r="I39" s="27">
        <f t="shared" si="9"/>
        <v>0</v>
      </c>
      <c r="J39" s="78">
        <f t="shared" si="10"/>
        <v>0</v>
      </c>
      <c r="K39" s="83">
        <f t="shared" si="1"/>
        <v>30</v>
      </c>
      <c r="L39" s="388" t="s">
        <v>101</v>
      </c>
      <c r="M39" s="389" t="s">
        <v>101</v>
      </c>
      <c r="N39" s="222">
        <f t="shared" si="21"/>
        <v>0</v>
      </c>
      <c r="O39" s="274">
        <f t="shared" si="2"/>
        <v>0</v>
      </c>
      <c r="P39" s="398">
        <v>1965</v>
      </c>
      <c r="Q39" s="399">
        <v>600</v>
      </c>
      <c r="R39" s="221">
        <f t="shared" si="3"/>
        <v>1965</v>
      </c>
      <c r="S39" s="269">
        <f t="shared" si="3"/>
        <v>600</v>
      </c>
      <c r="T39" s="402">
        <f t="shared" si="25"/>
        <v>0</v>
      </c>
      <c r="U39" s="403">
        <f t="shared" si="26"/>
        <v>0</v>
      </c>
      <c r="V39" s="414">
        <f t="shared" si="4"/>
        <v>0.11583333333333333</v>
      </c>
      <c r="W39" s="415">
        <f t="shared" si="4"/>
        <v>3.3333333333333333E-2</v>
      </c>
      <c r="X39" s="402">
        <f>IF(OR(T39&lt;&gt;0),0,Z39)</f>
        <v>231.66666666666666</v>
      </c>
      <c r="Y39" s="403">
        <f>IF(OR(U39&lt;&gt;0),0,AA39)</f>
        <v>66.666666666666671</v>
      </c>
      <c r="Z39" s="402">
        <f>IF(OR(T39&lt;&gt;0),0,(R39+$H39*$K39)/9)</f>
        <v>231.66666666666666</v>
      </c>
      <c r="AA39" s="403">
        <f>IF(OR(U39&lt;&gt;0),0,S39/9)</f>
        <v>66.666666666666671</v>
      </c>
      <c r="AB39" s="402">
        <f>IF(OR(T39&lt;&gt;0),0,$Z$1*Z39*110*0.06*0.75/2000)</f>
        <v>6.8804999999999996</v>
      </c>
      <c r="AC39" s="403">
        <f>IF(OR(U39&lt;&gt;0),0,$Z$1*AA39*110*0.06*0.75/2000)</f>
        <v>1.98</v>
      </c>
      <c r="AD39" s="402">
        <f t="shared" si="15"/>
        <v>36.388888888888886</v>
      </c>
      <c r="AE39" s="403">
        <f t="shared" si="16"/>
        <v>11.111111111111111</v>
      </c>
      <c r="AF39" s="383">
        <v>112</v>
      </c>
      <c r="AG39" s="402">
        <f t="shared" si="17"/>
        <v>0</v>
      </c>
      <c r="AH39" s="403">
        <f t="shared" si="18"/>
        <v>0</v>
      </c>
      <c r="AI39" s="467">
        <f t="shared" si="19"/>
        <v>0</v>
      </c>
      <c r="AJ39" s="85">
        <f t="shared" si="20"/>
        <v>0</v>
      </c>
      <c r="AK39" s="172"/>
    </row>
    <row r="40" spans="1:37" ht="12.75" customHeight="1" x14ac:dyDescent="0.2">
      <c r="B40" s="338">
        <v>81641.509999999995</v>
      </c>
      <c r="C40" s="339">
        <v>81715.81</v>
      </c>
      <c r="D40" s="340" t="s">
        <v>16</v>
      </c>
      <c r="E40" s="340" t="s">
        <v>111</v>
      </c>
      <c r="F40" s="340" t="s">
        <v>101</v>
      </c>
      <c r="G40" s="103" t="str">
        <f t="shared" si="0"/>
        <v>-</v>
      </c>
      <c r="H40" s="352">
        <v>1.5</v>
      </c>
      <c r="I40" s="341">
        <v>2.0699999999999998</v>
      </c>
      <c r="J40" s="361">
        <v>-1.42</v>
      </c>
      <c r="K40" s="83">
        <f t="shared" si="1"/>
        <v>74.30000000000291</v>
      </c>
      <c r="L40" s="388" t="s">
        <v>101</v>
      </c>
      <c r="M40" s="389" t="s">
        <v>101</v>
      </c>
      <c r="N40" s="222">
        <f t="shared" si="21"/>
        <v>0</v>
      </c>
      <c r="O40" s="274">
        <f t="shared" si="2"/>
        <v>0</v>
      </c>
      <c r="P40" s="398">
        <v>2326</v>
      </c>
      <c r="Q40" s="399">
        <v>743</v>
      </c>
      <c r="R40" s="221">
        <f t="shared" si="3"/>
        <v>2326</v>
      </c>
      <c r="S40" s="269">
        <f t="shared" si="3"/>
        <v>743</v>
      </c>
      <c r="T40" s="404">
        <v>0</v>
      </c>
      <c r="U40" s="405">
        <v>0</v>
      </c>
      <c r="V40" s="414">
        <f t="shared" si="4"/>
        <v>0.13541388888888911</v>
      </c>
      <c r="W40" s="415">
        <f t="shared" si="4"/>
        <v>4.1277777777777781E-2</v>
      </c>
      <c r="X40" s="402">
        <f t="shared" si="22"/>
        <v>270.82777777777824</v>
      </c>
      <c r="Y40" s="403">
        <f t="shared" si="22"/>
        <v>82.555555555555557</v>
      </c>
      <c r="Z40" s="402">
        <f t="shared" si="13"/>
        <v>270.82777777777824</v>
      </c>
      <c r="AA40" s="403">
        <f t="shared" si="14"/>
        <v>82.555555555555557</v>
      </c>
      <c r="AB40" s="402">
        <f t="shared" si="6"/>
        <v>8.0435850000000126</v>
      </c>
      <c r="AC40" s="403">
        <f t="shared" si="7"/>
        <v>2.4519000000000002</v>
      </c>
      <c r="AD40" s="402">
        <f t="shared" si="15"/>
        <v>45.144074074074076</v>
      </c>
      <c r="AE40" s="403">
        <f t="shared" si="16"/>
        <v>13.75925925925926</v>
      </c>
      <c r="AF40" s="347">
        <v>0</v>
      </c>
      <c r="AG40" s="402">
        <f t="shared" si="17"/>
        <v>246.72155555555511</v>
      </c>
      <c r="AH40" s="403">
        <f t="shared" si="18"/>
        <v>82.555555555555557</v>
      </c>
      <c r="AI40" s="467">
        <f t="shared" si="19"/>
        <v>0</v>
      </c>
      <c r="AJ40" s="85">
        <f t="shared" si="20"/>
        <v>148.60000000000582</v>
      </c>
      <c r="AK40" s="172"/>
    </row>
    <row r="41" spans="1:37" ht="12.75" customHeight="1" x14ac:dyDescent="0.2">
      <c r="B41" s="338">
        <v>81715.81</v>
      </c>
      <c r="C41" s="339">
        <v>82520</v>
      </c>
      <c r="D41" s="340" t="s">
        <v>16</v>
      </c>
      <c r="E41" s="340" t="s">
        <v>111</v>
      </c>
      <c r="F41" s="340" t="s">
        <v>106</v>
      </c>
      <c r="G41" s="103" t="str">
        <f t="shared" si="0"/>
        <v>F/C - C/B</v>
      </c>
      <c r="H41" s="77">
        <f t="shared" si="8"/>
        <v>2</v>
      </c>
      <c r="I41" s="27">
        <f t="shared" si="9"/>
        <v>22.338611111111177</v>
      </c>
      <c r="J41" s="78">
        <f t="shared" si="10"/>
        <v>-1.42</v>
      </c>
      <c r="K41" s="83">
        <f t="shared" si="1"/>
        <v>804.19000000000233</v>
      </c>
      <c r="L41" s="388">
        <v>53.94</v>
      </c>
      <c r="M41" s="389">
        <v>20</v>
      </c>
      <c r="N41" s="222">
        <f t="shared" si="21"/>
        <v>43379</v>
      </c>
      <c r="O41" s="274">
        <f t="shared" si="2"/>
        <v>16084</v>
      </c>
      <c r="P41" s="398">
        <v>0</v>
      </c>
      <c r="Q41" s="399">
        <v>0</v>
      </c>
      <c r="R41" s="221">
        <f t="shared" si="3"/>
        <v>43379</v>
      </c>
      <c r="S41" s="269">
        <f t="shared" si="3"/>
        <v>16084</v>
      </c>
      <c r="T41" s="404">
        <v>0</v>
      </c>
      <c r="U41" s="405">
        <v>0</v>
      </c>
      <c r="V41" s="414">
        <f t="shared" si="4"/>
        <v>2.4992988888888892</v>
      </c>
      <c r="W41" s="415">
        <f t="shared" si="4"/>
        <v>0.89355555555555555</v>
      </c>
      <c r="X41" s="402">
        <f t="shared" si="22"/>
        <v>4998.597777777778</v>
      </c>
      <c r="Y41" s="403">
        <f t="shared" si="22"/>
        <v>1787.1111111111111</v>
      </c>
      <c r="Z41" s="402">
        <f t="shared" si="13"/>
        <v>4998.597777777778</v>
      </c>
      <c r="AA41" s="403">
        <f t="shared" si="14"/>
        <v>1787.1111111111111</v>
      </c>
      <c r="AB41" s="402">
        <f t="shared" si="6"/>
        <v>148.45835399999999</v>
      </c>
      <c r="AC41" s="403">
        <f t="shared" si="7"/>
        <v>53.077199999999998</v>
      </c>
      <c r="AD41" s="402">
        <f t="shared" si="15"/>
        <v>825.65342592592594</v>
      </c>
      <c r="AE41" s="403">
        <f t="shared" si="16"/>
        <v>297.85185185185185</v>
      </c>
      <c r="AF41" s="347">
        <v>0</v>
      </c>
      <c r="AG41" s="402">
        <f t="shared" si="17"/>
        <v>4693.0055777777779</v>
      </c>
      <c r="AH41" s="403">
        <f t="shared" si="18"/>
        <v>1787.1111111111111</v>
      </c>
      <c r="AI41" s="467">
        <f t="shared" si="19"/>
        <v>0</v>
      </c>
      <c r="AJ41" s="85">
        <f t="shared" si="20"/>
        <v>1608.3800000000047</v>
      </c>
      <c r="AK41" s="172"/>
    </row>
    <row r="42" spans="1:37" ht="12.75" customHeight="1" x14ac:dyDescent="0.2">
      <c r="B42" s="338">
        <v>82520</v>
      </c>
      <c r="C42" s="339">
        <v>82603.009999999995</v>
      </c>
      <c r="D42" s="340" t="s">
        <v>16</v>
      </c>
      <c r="E42" s="340" t="s">
        <v>111</v>
      </c>
      <c r="F42" s="340" t="s">
        <v>105</v>
      </c>
      <c r="G42" s="103" t="str">
        <f t="shared" si="0"/>
        <v>E/S - C/B</v>
      </c>
      <c r="H42" s="77">
        <f t="shared" si="8"/>
        <v>1.5</v>
      </c>
      <c r="I42" s="27">
        <f t="shared" si="9"/>
        <v>2.305833333333188</v>
      </c>
      <c r="J42" s="78">
        <f t="shared" si="10"/>
        <v>-1.42</v>
      </c>
      <c r="K42" s="83">
        <f t="shared" si="1"/>
        <v>83.009999999994761</v>
      </c>
      <c r="L42" s="388">
        <v>42.25</v>
      </c>
      <c r="M42" s="389">
        <v>20</v>
      </c>
      <c r="N42" s="222">
        <f t="shared" si="21"/>
        <v>3508</v>
      </c>
      <c r="O42" s="274">
        <f t="shared" si="2"/>
        <v>1661</v>
      </c>
      <c r="P42" s="398">
        <v>0</v>
      </c>
      <c r="Q42" s="399">
        <v>0</v>
      </c>
      <c r="R42" s="221">
        <f t="shared" si="3"/>
        <v>3508</v>
      </c>
      <c r="S42" s="269">
        <f t="shared" si="3"/>
        <v>1661</v>
      </c>
      <c r="T42" s="404">
        <v>0</v>
      </c>
      <c r="U42" s="405">
        <v>0</v>
      </c>
      <c r="V42" s="414">
        <f t="shared" si="4"/>
        <v>0.20180638888888844</v>
      </c>
      <c r="W42" s="415">
        <f t="shared" si="4"/>
        <v>9.2277777777777778E-2</v>
      </c>
      <c r="X42" s="402">
        <f t="shared" si="22"/>
        <v>403.6127777777769</v>
      </c>
      <c r="Y42" s="403">
        <f t="shared" si="22"/>
        <v>184.55555555555554</v>
      </c>
      <c r="Z42" s="402">
        <f t="shared" si="13"/>
        <v>403.6127777777769</v>
      </c>
      <c r="AA42" s="403">
        <f t="shared" si="14"/>
        <v>184.55555555555554</v>
      </c>
      <c r="AB42" s="402">
        <f t="shared" si="6"/>
        <v>11.987299499999976</v>
      </c>
      <c r="AC42" s="403">
        <f t="shared" si="7"/>
        <v>5.4812999999999992</v>
      </c>
      <c r="AD42" s="402">
        <f t="shared" si="15"/>
        <v>67.268796296296145</v>
      </c>
      <c r="AE42" s="403">
        <f t="shared" si="16"/>
        <v>30.75925925925926</v>
      </c>
      <c r="AF42" s="347">
        <v>0</v>
      </c>
      <c r="AG42" s="402">
        <f t="shared" si="17"/>
        <v>376.68064444444531</v>
      </c>
      <c r="AH42" s="403">
        <f t="shared" si="18"/>
        <v>184.55555555555554</v>
      </c>
      <c r="AI42" s="467">
        <f t="shared" si="19"/>
        <v>1.665324074073969</v>
      </c>
      <c r="AJ42" s="85">
        <f t="shared" si="20"/>
        <v>166.01999999998952</v>
      </c>
      <c r="AK42" s="172"/>
    </row>
    <row r="43" spans="1:37" ht="12.75" customHeight="1" x14ac:dyDescent="0.2">
      <c r="B43" s="338">
        <v>82603.009999999995</v>
      </c>
      <c r="C43" s="339">
        <v>84518.63</v>
      </c>
      <c r="D43" s="340" t="s">
        <v>16</v>
      </c>
      <c r="E43" s="340" t="s">
        <v>111</v>
      </c>
      <c r="F43" s="340" t="s">
        <v>105</v>
      </c>
      <c r="G43" s="103" t="str">
        <f t="shared" si="0"/>
        <v>E/S - C/B</v>
      </c>
      <c r="H43" s="77">
        <f t="shared" si="8"/>
        <v>1.5</v>
      </c>
      <c r="I43" s="27">
        <f t="shared" si="9"/>
        <v>53.211666666666943</v>
      </c>
      <c r="J43" s="78">
        <f t="shared" si="10"/>
        <v>-1.42</v>
      </c>
      <c r="K43" s="83">
        <f t="shared" si="1"/>
        <v>1915.6200000000099</v>
      </c>
      <c r="L43" s="388">
        <v>41.42</v>
      </c>
      <c r="M43" s="389">
        <v>20</v>
      </c>
      <c r="N43" s="222">
        <f t="shared" si="21"/>
        <v>79345</v>
      </c>
      <c r="O43" s="274">
        <f t="shared" si="2"/>
        <v>38313</v>
      </c>
      <c r="P43" s="398">
        <v>0</v>
      </c>
      <c r="Q43" s="399">
        <v>0</v>
      </c>
      <c r="R43" s="221">
        <f t="shared" si="3"/>
        <v>79345</v>
      </c>
      <c r="S43" s="269">
        <f t="shared" si="3"/>
        <v>38313</v>
      </c>
      <c r="T43" s="404">
        <v>0</v>
      </c>
      <c r="U43" s="405">
        <v>0</v>
      </c>
      <c r="V43" s="414">
        <f t="shared" si="4"/>
        <v>4.5676905555555569</v>
      </c>
      <c r="W43" s="415">
        <f t="shared" si="4"/>
        <v>2.1284999999999998</v>
      </c>
      <c r="X43" s="402">
        <f t="shared" si="22"/>
        <v>9135.3811111111136</v>
      </c>
      <c r="Y43" s="403">
        <f t="shared" si="22"/>
        <v>4257</v>
      </c>
      <c r="Z43" s="402">
        <f t="shared" si="13"/>
        <v>9135.3811111111136</v>
      </c>
      <c r="AA43" s="403">
        <f t="shared" si="14"/>
        <v>4257</v>
      </c>
      <c r="AB43" s="402">
        <f t="shared" si="6"/>
        <v>271.32081900000003</v>
      </c>
      <c r="AC43" s="403">
        <f t="shared" si="7"/>
        <v>126.43289999999999</v>
      </c>
      <c r="AD43" s="402">
        <f t="shared" si="15"/>
        <v>1522.563518518519</v>
      </c>
      <c r="AE43" s="403">
        <f t="shared" si="16"/>
        <v>709.5</v>
      </c>
      <c r="AF43" s="347">
        <v>0</v>
      </c>
      <c r="AG43" s="402">
        <f t="shared" si="17"/>
        <v>8513.8688444444433</v>
      </c>
      <c r="AH43" s="403">
        <f t="shared" si="18"/>
        <v>4257</v>
      </c>
      <c r="AI43" s="467">
        <f t="shared" si="19"/>
        <v>38.430648148148343</v>
      </c>
      <c r="AJ43" s="85">
        <f t="shared" si="20"/>
        <v>3831.2400000000198</v>
      </c>
      <c r="AK43" s="172"/>
    </row>
    <row r="44" spans="1:37" ht="12.75" customHeight="1" x14ac:dyDescent="0.2">
      <c r="B44" s="338">
        <v>84518.63</v>
      </c>
      <c r="C44" s="339">
        <v>84618.63</v>
      </c>
      <c r="D44" s="340" t="s">
        <v>16</v>
      </c>
      <c r="E44" s="340" t="s">
        <v>111</v>
      </c>
      <c r="F44" s="340" t="s">
        <v>105</v>
      </c>
      <c r="G44" s="103" t="str">
        <f t="shared" si="0"/>
        <v>E/S - C/B</v>
      </c>
      <c r="H44" s="77">
        <f t="shared" si="8"/>
        <v>1.5</v>
      </c>
      <c r="I44" s="27">
        <f t="shared" si="9"/>
        <v>2.7777777777777777</v>
      </c>
      <c r="J44" s="78">
        <f t="shared" si="10"/>
        <v>-1.42</v>
      </c>
      <c r="K44" s="83">
        <f t="shared" si="1"/>
        <v>100</v>
      </c>
      <c r="L44" s="388">
        <v>45.42</v>
      </c>
      <c r="M44" s="389">
        <v>20</v>
      </c>
      <c r="N44" s="222">
        <f t="shared" si="21"/>
        <v>4542</v>
      </c>
      <c r="O44" s="274">
        <f t="shared" si="2"/>
        <v>2000</v>
      </c>
      <c r="P44" s="398">
        <v>0</v>
      </c>
      <c r="Q44" s="399">
        <v>0</v>
      </c>
      <c r="R44" s="221">
        <f t="shared" si="3"/>
        <v>4542</v>
      </c>
      <c r="S44" s="269">
        <f t="shared" si="3"/>
        <v>2000</v>
      </c>
      <c r="T44" s="404">
        <v>0</v>
      </c>
      <c r="U44" s="405">
        <v>0</v>
      </c>
      <c r="V44" s="414">
        <f t="shared" si="4"/>
        <v>0.26066666666666671</v>
      </c>
      <c r="W44" s="415">
        <f t="shared" si="4"/>
        <v>0.11111111111111112</v>
      </c>
      <c r="X44" s="402">
        <f t="shared" si="22"/>
        <v>521.33333333333337</v>
      </c>
      <c r="Y44" s="403">
        <f t="shared" si="22"/>
        <v>222.22222222222223</v>
      </c>
      <c r="Z44" s="402">
        <f t="shared" si="13"/>
        <v>521.33333333333337</v>
      </c>
      <c r="AA44" s="403">
        <f t="shared" si="14"/>
        <v>222.22222222222223</v>
      </c>
      <c r="AB44" s="402">
        <f t="shared" si="6"/>
        <v>15.483599999999999</v>
      </c>
      <c r="AC44" s="403">
        <f t="shared" si="7"/>
        <v>6.6</v>
      </c>
      <c r="AD44" s="402">
        <f t="shared" si="15"/>
        <v>86.888888888888886</v>
      </c>
      <c r="AE44" s="403">
        <f t="shared" si="16"/>
        <v>37.037037037037038</v>
      </c>
      <c r="AF44" s="347">
        <v>0</v>
      </c>
      <c r="AG44" s="402">
        <f t="shared" si="17"/>
        <v>488.88888888888891</v>
      </c>
      <c r="AH44" s="403">
        <f t="shared" si="18"/>
        <v>222.22222222222223</v>
      </c>
      <c r="AI44" s="467">
        <f t="shared" si="19"/>
        <v>2.0061728395061729</v>
      </c>
      <c r="AJ44" s="85">
        <f t="shared" si="20"/>
        <v>200</v>
      </c>
      <c r="AK44" s="172"/>
    </row>
    <row r="45" spans="1:37" ht="12.75" customHeight="1" x14ac:dyDescent="0.2">
      <c r="B45" s="338">
        <v>84618.63</v>
      </c>
      <c r="C45" s="339">
        <v>84964.31</v>
      </c>
      <c r="D45" s="340" t="s">
        <v>16</v>
      </c>
      <c r="E45" s="340" t="s">
        <v>111</v>
      </c>
      <c r="F45" s="340" t="s">
        <v>105</v>
      </c>
      <c r="G45" s="103" t="str">
        <f t="shared" si="0"/>
        <v>E/S - C/B</v>
      </c>
      <c r="H45" s="77">
        <f t="shared" si="8"/>
        <v>1.5</v>
      </c>
      <c r="I45" s="27">
        <f t="shared" si="9"/>
        <v>9.6022222222220286</v>
      </c>
      <c r="J45" s="78">
        <f t="shared" si="10"/>
        <v>-1.42</v>
      </c>
      <c r="K45" s="83">
        <f t="shared" si="1"/>
        <v>345.67999999999302</v>
      </c>
      <c r="L45" s="388">
        <v>49.42</v>
      </c>
      <c r="M45" s="389">
        <v>20</v>
      </c>
      <c r="N45" s="222">
        <f t="shared" si="21"/>
        <v>17084</v>
      </c>
      <c r="O45" s="274">
        <f t="shared" si="2"/>
        <v>6914</v>
      </c>
      <c r="P45" s="398">
        <v>0</v>
      </c>
      <c r="Q45" s="399">
        <v>0</v>
      </c>
      <c r="R45" s="221">
        <f t="shared" si="3"/>
        <v>17084</v>
      </c>
      <c r="S45" s="269">
        <f t="shared" si="3"/>
        <v>6914</v>
      </c>
      <c r="T45" s="404">
        <v>0</v>
      </c>
      <c r="U45" s="405">
        <v>0</v>
      </c>
      <c r="V45" s="414">
        <f t="shared" si="4"/>
        <v>0.97791777777777722</v>
      </c>
      <c r="W45" s="415">
        <f t="shared" si="4"/>
        <v>0.38411111111111107</v>
      </c>
      <c r="X45" s="402">
        <f t="shared" si="22"/>
        <v>1955.8355555555545</v>
      </c>
      <c r="Y45" s="403">
        <f t="shared" si="22"/>
        <v>768.22222222222217</v>
      </c>
      <c r="Z45" s="402">
        <f t="shared" si="13"/>
        <v>1955.8355555555545</v>
      </c>
      <c r="AA45" s="403">
        <f t="shared" si="14"/>
        <v>768.22222222222217</v>
      </c>
      <c r="AB45" s="402">
        <f t="shared" si="6"/>
        <v>58.088315999999963</v>
      </c>
      <c r="AC45" s="403">
        <f t="shared" si="7"/>
        <v>22.816199999999998</v>
      </c>
      <c r="AD45" s="402">
        <f t="shared" si="15"/>
        <v>325.97259259259243</v>
      </c>
      <c r="AE45" s="403">
        <f t="shared" si="16"/>
        <v>128.03703703703704</v>
      </c>
      <c r="AF45" s="347">
        <v>0</v>
      </c>
      <c r="AG45" s="402">
        <f t="shared" si="17"/>
        <v>1843.681600000001</v>
      </c>
      <c r="AH45" s="403">
        <f t="shared" si="18"/>
        <v>768.22222222222217</v>
      </c>
      <c r="AI45" s="467">
        <f t="shared" si="19"/>
        <v>6.9349382716047989</v>
      </c>
      <c r="AJ45" s="85">
        <f t="shared" si="20"/>
        <v>691.35999999998603</v>
      </c>
      <c r="AK45" s="172"/>
    </row>
    <row r="46" spans="1:37" ht="12.75" customHeight="1" x14ac:dyDescent="0.2">
      <c r="B46" s="338">
        <v>84964.31</v>
      </c>
      <c r="C46" s="339">
        <v>85418.63</v>
      </c>
      <c r="D46" s="340" t="s">
        <v>16</v>
      </c>
      <c r="E46" s="340" t="s">
        <v>111</v>
      </c>
      <c r="F46" s="340" t="s">
        <v>105</v>
      </c>
      <c r="G46" s="103" t="str">
        <f t="shared" si="0"/>
        <v>E/S - C/B</v>
      </c>
      <c r="H46" s="77">
        <f t="shared" si="8"/>
        <v>1.5</v>
      </c>
      <c r="I46" s="27">
        <f t="shared" si="9"/>
        <v>12.620000000000195</v>
      </c>
      <c r="J46" s="78">
        <f t="shared" si="10"/>
        <v>-1.42</v>
      </c>
      <c r="K46" s="83">
        <f t="shared" si="1"/>
        <v>454.32000000000698</v>
      </c>
      <c r="L46" s="388" t="s">
        <v>101</v>
      </c>
      <c r="M46" s="389" t="s">
        <v>101</v>
      </c>
      <c r="N46" s="222">
        <f t="shared" si="21"/>
        <v>0</v>
      </c>
      <c r="O46" s="274">
        <f t="shared" si="2"/>
        <v>0</v>
      </c>
      <c r="P46" s="398">
        <v>26526</v>
      </c>
      <c r="Q46" s="399">
        <v>9086</v>
      </c>
      <c r="R46" s="221">
        <f t="shared" si="3"/>
        <v>26526</v>
      </c>
      <c r="S46" s="269">
        <f t="shared" si="3"/>
        <v>9086</v>
      </c>
      <c r="T46" s="404">
        <v>0</v>
      </c>
      <c r="U46" s="405">
        <v>0</v>
      </c>
      <c r="V46" s="414">
        <f t="shared" si="4"/>
        <v>1.5115266666666674</v>
      </c>
      <c r="W46" s="415">
        <f t="shared" si="4"/>
        <v>0.50477777777777777</v>
      </c>
      <c r="X46" s="402">
        <f t="shared" si="22"/>
        <v>3023.0533333333346</v>
      </c>
      <c r="Y46" s="403">
        <f t="shared" si="22"/>
        <v>1009.5555555555555</v>
      </c>
      <c r="Z46" s="402">
        <f t="shared" si="13"/>
        <v>3023.0533333333346</v>
      </c>
      <c r="AA46" s="403">
        <f t="shared" si="14"/>
        <v>1009.5555555555555</v>
      </c>
      <c r="AB46" s="402">
        <f t="shared" si="6"/>
        <v>89.784684000000041</v>
      </c>
      <c r="AC46" s="403">
        <f t="shared" si="7"/>
        <v>29.983799999999995</v>
      </c>
      <c r="AD46" s="402">
        <f t="shared" si="15"/>
        <v>503.8422222222224</v>
      </c>
      <c r="AE46" s="403">
        <f t="shared" si="16"/>
        <v>168.25925925925927</v>
      </c>
      <c r="AF46" s="347">
        <v>0</v>
      </c>
      <c r="AG46" s="402">
        <f t="shared" si="17"/>
        <v>2875.6517333333322</v>
      </c>
      <c r="AH46" s="403">
        <f t="shared" si="18"/>
        <v>1009.5555555555555</v>
      </c>
      <c r="AI46" s="467">
        <f t="shared" si="19"/>
        <v>9.1144444444445849</v>
      </c>
      <c r="AJ46" s="85">
        <f t="shared" si="20"/>
        <v>908.64000000001397</v>
      </c>
      <c r="AK46" s="172"/>
    </row>
    <row r="47" spans="1:37" ht="12.75" customHeight="1" x14ac:dyDescent="0.2">
      <c r="B47" s="338">
        <v>85418.63</v>
      </c>
      <c r="C47" s="339">
        <v>86936.18</v>
      </c>
      <c r="D47" s="340" t="s">
        <v>16</v>
      </c>
      <c r="E47" s="340" t="s">
        <v>111</v>
      </c>
      <c r="F47" s="340" t="s">
        <v>105</v>
      </c>
      <c r="G47" s="103" t="str">
        <f t="shared" si="0"/>
        <v>E/S - C/B</v>
      </c>
      <c r="H47" s="77">
        <f t="shared" si="8"/>
        <v>1.5</v>
      </c>
      <c r="I47" s="27">
        <f t="shared" si="9"/>
        <v>42.154166666666342</v>
      </c>
      <c r="J47" s="78">
        <f t="shared" si="10"/>
        <v>-1.42</v>
      </c>
      <c r="K47" s="83">
        <f t="shared" si="1"/>
        <v>1517.5499999999884</v>
      </c>
      <c r="L47" s="388">
        <v>41.42</v>
      </c>
      <c r="M47" s="389">
        <v>20</v>
      </c>
      <c r="N47" s="222">
        <f t="shared" si="21"/>
        <v>62857</v>
      </c>
      <c r="O47" s="274">
        <f t="shared" si="2"/>
        <v>30351</v>
      </c>
      <c r="P47" s="398">
        <v>0</v>
      </c>
      <c r="Q47" s="399">
        <v>0</v>
      </c>
      <c r="R47" s="221">
        <f t="shared" si="3"/>
        <v>62857</v>
      </c>
      <c r="S47" s="269">
        <f t="shared" si="3"/>
        <v>30351</v>
      </c>
      <c r="T47" s="404">
        <v>0</v>
      </c>
      <c r="U47" s="405">
        <v>0</v>
      </c>
      <c r="V47" s="414">
        <f t="shared" si="4"/>
        <v>3.6185180555555543</v>
      </c>
      <c r="W47" s="415">
        <f t="shared" si="4"/>
        <v>1.6861666666666668</v>
      </c>
      <c r="X47" s="402">
        <f t="shared" si="22"/>
        <v>7237.0361111111088</v>
      </c>
      <c r="Y47" s="403">
        <f t="shared" si="22"/>
        <v>3372.3333333333335</v>
      </c>
      <c r="Z47" s="402">
        <f t="shared" si="13"/>
        <v>7237.0361111111088</v>
      </c>
      <c r="AA47" s="403">
        <f t="shared" si="14"/>
        <v>3372.3333333333335</v>
      </c>
      <c r="AB47" s="402">
        <f t="shared" si="6"/>
        <v>214.93997249999993</v>
      </c>
      <c r="AC47" s="403">
        <f t="shared" si="7"/>
        <v>100.15829999999998</v>
      </c>
      <c r="AD47" s="402">
        <f t="shared" si="15"/>
        <v>1206.1726851851847</v>
      </c>
      <c r="AE47" s="403">
        <f t="shared" si="16"/>
        <v>562.05555555555554</v>
      </c>
      <c r="AF47" s="347">
        <v>0</v>
      </c>
      <c r="AG47" s="402">
        <f t="shared" si="17"/>
        <v>6744.6754444444468</v>
      </c>
      <c r="AH47" s="403">
        <f t="shared" si="18"/>
        <v>3372.3333333333335</v>
      </c>
      <c r="AI47" s="467">
        <f t="shared" si="19"/>
        <v>30.44467592592569</v>
      </c>
      <c r="AJ47" s="85">
        <f t="shared" si="20"/>
        <v>3035.0999999999767</v>
      </c>
      <c r="AK47" s="10"/>
    </row>
    <row r="48" spans="1:37" ht="12.75" customHeight="1" x14ac:dyDescent="0.2">
      <c r="B48" s="338">
        <v>86936.18</v>
      </c>
      <c r="C48" s="339">
        <v>87289.96</v>
      </c>
      <c r="D48" s="340" t="s">
        <v>16</v>
      </c>
      <c r="E48" s="340" t="s">
        <v>111</v>
      </c>
      <c r="F48" s="340" t="s">
        <v>105</v>
      </c>
      <c r="G48" s="103" t="str">
        <f t="shared" si="0"/>
        <v>E/S - C/B</v>
      </c>
      <c r="H48" s="77">
        <f t="shared" si="8"/>
        <v>1.5</v>
      </c>
      <c r="I48" s="27">
        <f t="shared" si="9"/>
        <v>9.8272222222225949</v>
      </c>
      <c r="J48" s="78">
        <f t="shared" si="10"/>
        <v>-1.42</v>
      </c>
      <c r="K48" s="83">
        <f t="shared" si="1"/>
        <v>353.78000000001339</v>
      </c>
      <c r="L48" s="388" t="s">
        <v>101</v>
      </c>
      <c r="M48" s="389" t="s">
        <v>101</v>
      </c>
      <c r="N48" s="222">
        <f t="shared" si="21"/>
        <v>0</v>
      </c>
      <c r="O48" s="274">
        <f t="shared" si="2"/>
        <v>0</v>
      </c>
      <c r="P48" s="398">
        <v>22833</v>
      </c>
      <c r="Q48" s="399">
        <v>7076</v>
      </c>
      <c r="R48" s="221">
        <f t="shared" si="3"/>
        <v>22833</v>
      </c>
      <c r="S48" s="269">
        <f t="shared" si="3"/>
        <v>7076</v>
      </c>
      <c r="T48" s="404">
        <v>0</v>
      </c>
      <c r="U48" s="405">
        <v>0</v>
      </c>
      <c r="V48" s="414">
        <f t="shared" si="4"/>
        <v>1.2979816666666677</v>
      </c>
      <c r="W48" s="415">
        <f t="shared" si="4"/>
        <v>0.39311111111111108</v>
      </c>
      <c r="X48" s="402">
        <f t="shared" si="22"/>
        <v>2595.9633333333354</v>
      </c>
      <c r="Y48" s="403">
        <f t="shared" si="22"/>
        <v>786.22222222222217</v>
      </c>
      <c r="Z48" s="402">
        <f t="shared" si="13"/>
        <v>2595.9633333333354</v>
      </c>
      <c r="AA48" s="403">
        <f t="shared" si="14"/>
        <v>786.22222222222217</v>
      </c>
      <c r="AB48" s="402">
        <f t="shared" si="6"/>
        <v>77.100111000000069</v>
      </c>
      <c r="AC48" s="403">
        <f t="shared" si="7"/>
        <v>23.3508</v>
      </c>
      <c r="AD48" s="402">
        <f t="shared" si="15"/>
        <v>432.6605555555559</v>
      </c>
      <c r="AE48" s="403">
        <f t="shared" si="16"/>
        <v>131.03703703703704</v>
      </c>
      <c r="AF48" s="347">
        <v>0</v>
      </c>
      <c r="AG48" s="402">
        <f t="shared" si="17"/>
        <v>2481.1813777777757</v>
      </c>
      <c r="AH48" s="403">
        <f t="shared" si="18"/>
        <v>786.22222222222217</v>
      </c>
      <c r="AI48" s="467">
        <f t="shared" si="19"/>
        <v>7.0974382716052062</v>
      </c>
      <c r="AJ48" s="85">
        <f t="shared" si="20"/>
        <v>707.56000000002678</v>
      </c>
      <c r="AK48" s="10"/>
    </row>
    <row r="49" spans="1:37" ht="12.75" customHeight="1" x14ac:dyDescent="0.2">
      <c r="B49" s="338">
        <v>87289.96</v>
      </c>
      <c r="C49" s="339">
        <v>87819.96</v>
      </c>
      <c r="D49" s="340" t="s">
        <v>16</v>
      </c>
      <c r="E49" s="340" t="s">
        <v>111</v>
      </c>
      <c r="F49" s="340" t="s">
        <v>106</v>
      </c>
      <c r="G49" s="103" t="str">
        <f t="shared" si="0"/>
        <v>F/C - C/B</v>
      </c>
      <c r="H49" s="77">
        <f t="shared" si="8"/>
        <v>2</v>
      </c>
      <c r="I49" s="27">
        <f t="shared" si="9"/>
        <v>14.722222222222221</v>
      </c>
      <c r="J49" s="78">
        <f t="shared" si="10"/>
        <v>-1.42</v>
      </c>
      <c r="K49" s="83">
        <f t="shared" si="1"/>
        <v>530</v>
      </c>
      <c r="L49" s="388">
        <v>57.48</v>
      </c>
      <c r="M49" s="389">
        <v>20</v>
      </c>
      <c r="N49" s="222">
        <f t="shared" si="21"/>
        <v>30465</v>
      </c>
      <c r="O49" s="274">
        <f t="shared" si="2"/>
        <v>10600</v>
      </c>
      <c r="P49" s="398">
        <v>0</v>
      </c>
      <c r="Q49" s="399">
        <v>0</v>
      </c>
      <c r="R49" s="221">
        <f t="shared" si="3"/>
        <v>30465</v>
      </c>
      <c r="S49" s="269">
        <f t="shared" si="3"/>
        <v>10600</v>
      </c>
      <c r="T49" s="404">
        <v>0</v>
      </c>
      <c r="U49" s="405">
        <v>0</v>
      </c>
      <c r="V49" s="414">
        <f t="shared" si="4"/>
        <v>1.7513888888888889</v>
      </c>
      <c r="W49" s="415">
        <f t="shared" si="4"/>
        <v>0.58888888888888891</v>
      </c>
      <c r="X49" s="402">
        <f t="shared" si="22"/>
        <v>3502.7777777777778</v>
      </c>
      <c r="Y49" s="403">
        <f t="shared" si="22"/>
        <v>1177.7777777777778</v>
      </c>
      <c r="Z49" s="402">
        <f t="shared" si="13"/>
        <v>3502.7777777777778</v>
      </c>
      <c r="AA49" s="403">
        <f t="shared" si="14"/>
        <v>1177.7777777777778</v>
      </c>
      <c r="AB49" s="402">
        <f t="shared" si="6"/>
        <v>104.0325</v>
      </c>
      <c r="AC49" s="403">
        <f t="shared" si="7"/>
        <v>34.979999999999997</v>
      </c>
      <c r="AD49" s="402">
        <f t="shared" si="15"/>
        <v>578.8888888888888</v>
      </c>
      <c r="AE49" s="403">
        <f t="shared" si="16"/>
        <v>196.2962962962963</v>
      </c>
      <c r="AF49" s="347">
        <v>0</v>
      </c>
      <c r="AG49" s="402">
        <f t="shared" si="17"/>
        <v>3301.3777777777777</v>
      </c>
      <c r="AH49" s="403">
        <f t="shared" si="18"/>
        <v>1177.7777777777778</v>
      </c>
      <c r="AI49" s="467">
        <f t="shared" si="19"/>
        <v>0</v>
      </c>
      <c r="AJ49" s="85">
        <f t="shared" si="20"/>
        <v>1060</v>
      </c>
      <c r="AK49" s="10"/>
    </row>
    <row r="50" spans="1:37" ht="12.75" customHeight="1" x14ac:dyDescent="0.2">
      <c r="B50" s="338">
        <v>87819.96</v>
      </c>
      <c r="C50" s="339">
        <v>88258.19</v>
      </c>
      <c r="D50" s="340" t="s">
        <v>16</v>
      </c>
      <c r="E50" s="340" t="s">
        <v>111</v>
      </c>
      <c r="F50" s="340" t="s">
        <v>105</v>
      </c>
      <c r="G50" s="103" t="str">
        <f t="shared" si="0"/>
        <v>E/S - C/B</v>
      </c>
      <c r="H50" s="77">
        <f t="shared" si="8"/>
        <v>1.5</v>
      </c>
      <c r="I50" s="27">
        <f t="shared" si="9"/>
        <v>12.173055555555443</v>
      </c>
      <c r="J50" s="78">
        <f t="shared" si="10"/>
        <v>-1.42</v>
      </c>
      <c r="K50" s="83">
        <f t="shared" si="1"/>
        <v>438.22999999999593</v>
      </c>
      <c r="L50" s="388">
        <v>45.8</v>
      </c>
      <c r="M50" s="389">
        <v>20</v>
      </c>
      <c r="N50" s="222">
        <f t="shared" si="21"/>
        <v>20071</v>
      </c>
      <c r="O50" s="274">
        <f t="shared" si="2"/>
        <v>8765</v>
      </c>
      <c r="P50" s="398">
        <v>0</v>
      </c>
      <c r="Q50" s="399">
        <v>0</v>
      </c>
      <c r="R50" s="221">
        <f t="shared" si="3"/>
        <v>20071</v>
      </c>
      <c r="S50" s="269">
        <f t="shared" si="3"/>
        <v>8765</v>
      </c>
      <c r="T50" s="404">
        <v>0</v>
      </c>
      <c r="U50" s="405">
        <v>0</v>
      </c>
      <c r="V50" s="414">
        <f t="shared" si="4"/>
        <v>1.1515747222222219</v>
      </c>
      <c r="W50" s="415">
        <f t="shared" si="4"/>
        <v>0.48694444444444446</v>
      </c>
      <c r="X50" s="402">
        <f t="shared" si="22"/>
        <v>2303.1494444444438</v>
      </c>
      <c r="Y50" s="403">
        <f t="shared" si="22"/>
        <v>973.88888888888891</v>
      </c>
      <c r="Z50" s="402">
        <f t="shared" si="13"/>
        <v>2303.1494444444438</v>
      </c>
      <c r="AA50" s="403">
        <f t="shared" si="14"/>
        <v>973.88888888888891</v>
      </c>
      <c r="AB50" s="402">
        <f t="shared" si="6"/>
        <v>68.403538499999982</v>
      </c>
      <c r="AC50" s="403">
        <f t="shared" si="7"/>
        <v>28.924499999999998</v>
      </c>
      <c r="AD50" s="402">
        <f t="shared" si="15"/>
        <v>383.8582407407406</v>
      </c>
      <c r="AE50" s="403">
        <f t="shared" si="16"/>
        <v>162.31481481481481</v>
      </c>
      <c r="AF50" s="347">
        <v>0</v>
      </c>
      <c r="AG50" s="402">
        <f t="shared" si="17"/>
        <v>2160.9681555555562</v>
      </c>
      <c r="AH50" s="403">
        <f t="shared" si="18"/>
        <v>973.88888888888891</v>
      </c>
      <c r="AI50" s="467">
        <f t="shared" si="19"/>
        <v>8.7916512345678193</v>
      </c>
      <c r="AJ50" s="85">
        <f t="shared" si="20"/>
        <v>876.45999999999185</v>
      </c>
      <c r="AK50" s="10"/>
    </row>
    <row r="51" spans="1:37" ht="12.75" customHeight="1" x14ac:dyDescent="0.2">
      <c r="B51" s="338">
        <v>88258.19</v>
      </c>
      <c r="C51" s="339">
        <v>89287.96</v>
      </c>
      <c r="D51" s="340" t="s">
        <v>16</v>
      </c>
      <c r="E51" s="340" t="s">
        <v>111</v>
      </c>
      <c r="F51" s="340" t="s">
        <v>105</v>
      </c>
      <c r="G51" s="103" t="str">
        <f t="shared" ref="G51:G69" si="27">IF(AND($E51=$AL$2,$F51=$AL$2),$AN$2,IF(OR(AND($E51=$AL$2,$F51=$AL$3),AND($E51=$AL$3,$F51=$AL$2)),$AN$3,IF(OR(AND($E51=$AL$2,$F51=$AL$4),AND($E51=$AL$4,$F51=$AL$2)),$AN$4,IF(OR(AND($E51=$AL$3,$F51=$AL$4),AND($E51=$AL$4,$F51=$AL$3)),$AN$5,IF(AND($E51=$AL$3,$F51=$AL$3),$AN$6,IF(AND($E51=$AL$4,$F51=$AL$4),$AN$7,"-"))))))</f>
        <v>E/S - C/B</v>
      </c>
      <c r="H51" s="77">
        <f t="shared" si="8"/>
        <v>1.5</v>
      </c>
      <c r="I51" s="27">
        <f t="shared" si="9"/>
        <v>28.604722222222335</v>
      </c>
      <c r="J51" s="78">
        <f t="shared" si="10"/>
        <v>-1.42</v>
      </c>
      <c r="K51" s="83">
        <f t="shared" ref="K51:K69" si="28">C51-B51</f>
        <v>1029.7700000000041</v>
      </c>
      <c r="L51" s="388">
        <v>41.42</v>
      </c>
      <c r="M51" s="389">
        <v>20</v>
      </c>
      <c r="N51" s="222">
        <f t="shared" si="21"/>
        <v>42654</v>
      </c>
      <c r="O51" s="274">
        <f t="shared" si="2"/>
        <v>20596</v>
      </c>
      <c r="P51" s="398">
        <v>0</v>
      </c>
      <c r="Q51" s="399">
        <v>0</v>
      </c>
      <c r="R51" s="221">
        <f t="shared" si="3"/>
        <v>42654</v>
      </c>
      <c r="S51" s="269">
        <f t="shared" si="3"/>
        <v>20596</v>
      </c>
      <c r="T51" s="404">
        <v>0</v>
      </c>
      <c r="U51" s="405">
        <v>0</v>
      </c>
      <c r="V51" s="414">
        <f t="shared" si="4"/>
        <v>2.4554808333333336</v>
      </c>
      <c r="W51" s="415">
        <f t="shared" si="4"/>
        <v>1.1442222222222223</v>
      </c>
      <c r="X51" s="402">
        <f t="shared" si="22"/>
        <v>4910.961666666667</v>
      </c>
      <c r="Y51" s="403">
        <f t="shared" si="22"/>
        <v>2288.4444444444443</v>
      </c>
      <c r="Z51" s="402">
        <f t="shared" si="13"/>
        <v>4910.961666666667</v>
      </c>
      <c r="AA51" s="403">
        <f t="shared" si="14"/>
        <v>2288.4444444444443</v>
      </c>
      <c r="AB51" s="402">
        <f t="shared" ref="AB51:AB69" si="29">IF(OR($A51="APP SLAB",T51&lt;&gt;0),0,$Z$1*Z51*110*0.06*0.75/2000)</f>
        <v>145.85556150000002</v>
      </c>
      <c r="AC51" s="403">
        <f t="shared" ref="AC51:AC69" si="30">IF(OR($A51="APP SLAB",U51&lt;&gt;0),0,$Z$1*AA51*110*0.06*0.75/2000)</f>
        <v>67.966799999999992</v>
      </c>
      <c r="AD51" s="402">
        <f t="shared" si="15"/>
        <v>818.49361111111125</v>
      </c>
      <c r="AE51" s="403">
        <f t="shared" si="16"/>
        <v>381.40740740740739</v>
      </c>
      <c r="AF51" s="347">
        <v>0</v>
      </c>
      <c r="AG51" s="402">
        <f t="shared" si="17"/>
        <v>4576.8585111111106</v>
      </c>
      <c r="AH51" s="403">
        <f t="shared" si="18"/>
        <v>2288.4444444444443</v>
      </c>
      <c r="AI51" s="467">
        <f t="shared" si="19"/>
        <v>20.658966049382798</v>
      </c>
      <c r="AJ51" s="85">
        <f t="shared" si="20"/>
        <v>2059.5400000000081</v>
      </c>
      <c r="AK51" s="172"/>
    </row>
    <row r="52" spans="1:37" ht="12.75" customHeight="1" x14ac:dyDescent="0.2">
      <c r="B52" s="338">
        <v>89287.96</v>
      </c>
      <c r="C52" s="339">
        <v>89596.98</v>
      </c>
      <c r="D52" s="340" t="s">
        <v>16</v>
      </c>
      <c r="E52" s="340" t="s">
        <v>111</v>
      </c>
      <c r="F52" s="340" t="s">
        <v>106</v>
      </c>
      <c r="G52" s="103" t="str">
        <f t="shared" si="27"/>
        <v>F/C - C/B</v>
      </c>
      <c r="H52" s="77">
        <f t="shared" si="8"/>
        <v>2</v>
      </c>
      <c r="I52" s="27">
        <f t="shared" si="9"/>
        <v>8.5838888888885982</v>
      </c>
      <c r="J52" s="78">
        <f t="shared" si="10"/>
        <v>-1.42</v>
      </c>
      <c r="K52" s="83">
        <f t="shared" si="28"/>
        <v>309.01999999998952</v>
      </c>
      <c r="L52" s="388">
        <v>43.42</v>
      </c>
      <c r="M52" s="389">
        <v>20</v>
      </c>
      <c r="N52" s="222">
        <f t="shared" si="21"/>
        <v>13418</v>
      </c>
      <c r="O52" s="274">
        <f t="shared" si="2"/>
        <v>6181</v>
      </c>
      <c r="P52" s="398">
        <v>0</v>
      </c>
      <c r="Q52" s="399">
        <v>0</v>
      </c>
      <c r="R52" s="221">
        <f t="shared" si="3"/>
        <v>13418</v>
      </c>
      <c r="S52" s="269">
        <f t="shared" si="3"/>
        <v>6181</v>
      </c>
      <c r="T52" s="404">
        <v>0</v>
      </c>
      <c r="U52" s="405">
        <v>0</v>
      </c>
      <c r="V52" s="414">
        <f t="shared" si="4"/>
        <v>0.77977999999999881</v>
      </c>
      <c r="W52" s="415">
        <f t="shared" si="4"/>
        <v>0.34338888888888891</v>
      </c>
      <c r="X52" s="402">
        <f t="shared" si="22"/>
        <v>1559.5599999999977</v>
      </c>
      <c r="Y52" s="403">
        <f t="shared" si="22"/>
        <v>686.77777777777783</v>
      </c>
      <c r="Z52" s="402">
        <f t="shared" si="13"/>
        <v>1559.5599999999977</v>
      </c>
      <c r="AA52" s="403">
        <f t="shared" si="14"/>
        <v>686.77777777777783</v>
      </c>
      <c r="AB52" s="402">
        <f t="shared" si="29"/>
        <v>46.318931999999926</v>
      </c>
      <c r="AC52" s="403">
        <f t="shared" si="30"/>
        <v>20.397300000000001</v>
      </c>
      <c r="AD52" s="402">
        <f t="shared" si="15"/>
        <v>257.06537037037009</v>
      </c>
      <c r="AE52" s="403">
        <f t="shared" si="16"/>
        <v>114.46296296296296</v>
      </c>
      <c r="AF52" s="347">
        <v>0</v>
      </c>
      <c r="AG52" s="402">
        <f t="shared" si="17"/>
        <v>1442.1324000000016</v>
      </c>
      <c r="AH52" s="403">
        <f t="shared" si="18"/>
        <v>686.77777777777783</v>
      </c>
      <c r="AI52" s="467">
        <f t="shared" si="19"/>
        <v>0</v>
      </c>
      <c r="AJ52" s="85">
        <f t="shared" si="20"/>
        <v>618.03999999997905</v>
      </c>
      <c r="AK52" s="172"/>
    </row>
    <row r="53" spans="1:37" ht="12.75" customHeight="1" x14ac:dyDescent="0.2">
      <c r="B53" s="338">
        <v>89596.98</v>
      </c>
      <c r="C53" s="339">
        <v>89617.38</v>
      </c>
      <c r="D53" s="340" t="s">
        <v>16</v>
      </c>
      <c r="E53" s="340" t="s">
        <v>111</v>
      </c>
      <c r="F53" s="340" t="s">
        <v>101</v>
      </c>
      <c r="G53" s="103" t="str">
        <f t="shared" si="27"/>
        <v>-</v>
      </c>
      <c r="H53" s="352">
        <v>1.5</v>
      </c>
      <c r="I53" s="341">
        <v>0.56999999999999995</v>
      </c>
      <c r="J53" s="361">
        <v>-1.42</v>
      </c>
      <c r="K53" s="83">
        <f t="shared" si="28"/>
        <v>20.400000000008731</v>
      </c>
      <c r="L53" s="388" t="s">
        <v>101</v>
      </c>
      <c r="M53" s="389" t="s">
        <v>101</v>
      </c>
      <c r="N53" s="222">
        <f t="shared" si="21"/>
        <v>0</v>
      </c>
      <c r="O53" s="274">
        <f t="shared" si="2"/>
        <v>0</v>
      </c>
      <c r="P53" s="398">
        <v>444</v>
      </c>
      <c r="Q53" s="399">
        <v>204</v>
      </c>
      <c r="R53" s="221">
        <f t="shared" si="3"/>
        <v>444</v>
      </c>
      <c r="S53" s="269">
        <f t="shared" si="3"/>
        <v>204</v>
      </c>
      <c r="T53" s="404">
        <v>0</v>
      </c>
      <c r="U53" s="405">
        <v>0</v>
      </c>
      <c r="V53" s="414">
        <f t="shared" si="4"/>
        <v>2.6366666666667395E-2</v>
      </c>
      <c r="W53" s="415">
        <f t="shared" si="4"/>
        <v>1.1333333333333334E-2</v>
      </c>
      <c r="X53" s="402">
        <f t="shared" si="22"/>
        <v>52.733333333334791</v>
      </c>
      <c r="Y53" s="403">
        <f t="shared" si="22"/>
        <v>22.666666666666668</v>
      </c>
      <c r="Z53" s="402">
        <f t="shared" si="13"/>
        <v>52.733333333334791</v>
      </c>
      <c r="AA53" s="403">
        <f t="shared" si="14"/>
        <v>22.666666666666668</v>
      </c>
      <c r="AB53" s="402">
        <f t="shared" si="29"/>
        <v>1.566180000000043</v>
      </c>
      <c r="AC53" s="403">
        <f t="shared" si="30"/>
        <v>0.67320000000000002</v>
      </c>
      <c r="AD53" s="402">
        <f t="shared" si="15"/>
        <v>8.7922222222222217</v>
      </c>
      <c r="AE53" s="403">
        <f t="shared" si="16"/>
        <v>3.7777777777777777</v>
      </c>
      <c r="AF53" s="347">
        <v>0</v>
      </c>
      <c r="AG53" s="402">
        <f t="shared" si="17"/>
        <v>46.114666666665286</v>
      </c>
      <c r="AH53" s="403">
        <f t="shared" si="18"/>
        <v>22.666666666666668</v>
      </c>
      <c r="AI53" s="467">
        <f t="shared" si="19"/>
        <v>0</v>
      </c>
      <c r="AJ53" s="85">
        <f t="shared" si="20"/>
        <v>40.800000000017462</v>
      </c>
      <c r="AK53" s="172"/>
    </row>
    <row r="54" spans="1:37" ht="12.75" customHeight="1" x14ac:dyDescent="0.2">
      <c r="A54" s="81" t="s">
        <v>28</v>
      </c>
      <c r="B54" s="338">
        <v>89617.38</v>
      </c>
      <c r="C54" s="339">
        <v>89642.38</v>
      </c>
      <c r="D54" s="340" t="s">
        <v>16</v>
      </c>
      <c r="E54" s="340" t="s">
        <v>101</v>
      </c>
      <c r="F54" s="340" t="s">
        <v>101</v>
      </c>
      <c r="G54" s="103" t="str">
        <f t="shared" si="27"/>
        <v>-</v>
      </c>
      <c r="H54" s="77">
        <v>4</v>
      </c>
      <c r="I54" s="27">
        <f t="shared" si="9"/>
        <v>0</v>
      </c>
      <c r="J54" s="78">
        <f t="shared" si="10"/>
        <v>0</v>
      </c>
      <c r="K54" s="83">
        <f t="shared" si="28"/>
        <v>25</v>
      </c>
      <c r="L54" s="388" t="s">
        <v>101</v>
      </c>
      <c r="M54" s="389" t="s">
        <v>101</v>
      </c>
      <c r="N54" s="222">
        <f t="shared" si="21"/>
        <v>0</v>
      </c>
      <c r="O54" s="274">
        <f t="shared" si="2"/>
        <v>0</v>
      </c>
      <c r="P54" s="398">
        <v>1124</v>
      </c>
      <c r="Q54" s="399">
        <v>500</v>
      </c>
      <c r="R54" s="221">
        <f t="shared" si="3"/>
        <v>1124</v>
      </c>
      <c r="S54" s="269">
        <f t="shared" si="3"/>
        <v>500</v>
      </c>
      <c r="T54" s="404">
        <v>0</v>
      </c>
      <c r="U54" s="405">
        <v>0</v>
      </c>
      <c r="V54" s="414">
        <f t="shared" si="4"/>
        <v>6.8000000000000005E-2</v>
      </c>
      <c r="W54" s="415">
        <f t="shared" si="4"/>
        <v>2.777777777777778E-2</v>
      </c>
      <c r="X54" s="402">
        <f>IF(OR(T54&lt;&gt;0),0,Z54)</f>
        <v>136</v>
      </c>
      <c r="Y54" s="403">
        <f>IF(OR(U54&lt;&gt;0),0,AA54)</f>
        <v>55.555555555555557</v>
      </c>
      <c r="Z54" s="402">
        <f>IF(OR(T54&lt;&gt;0),0,(R54+$H54*$K54)/9)</f>
        <v>136</v>
      </c>
      <c r="AA54" s="403">
        <f>IF(OR(U54&lt;&gt;0),0,S54/9)</f>
        <v>55.555555555555557</v>
      </c>
      <c r="AB54" s="402">
        <f>IF(OR(T54&lt;&gt;0),0,$Z$1*Z54*110*0.06*0.75/2000)</f>
        <v>4.0392000000000001</v>
      </c>
      <c r="AC54" s="403">
        <f>IF(OR(U54&lt;&gt;0),0,$Z$1*AA54*110*0.06*0.75/2000)</f>
        <v>1.65</v>
      </c>
      <c r="AD54" s="402">
        <f t="shared" si="15"/>
        <v>20.814814814814813</v>
      </c>
      <c r="AE54" s="403">
        <f t="shared" si="16"/>
        <v>9.2592592592592595</v>
      </c>
      <c r="AF54" s="383">
        <v>68</v>
      </c>
      <c r="AG54" s="402">
        <f t="shared" si="17"/>
        <v>0</v>
      </c>
      <c r="AH54" s="403">
        <f t="shared" si="18"/>
        <v>0</v>
      </c>
      <c r="AI54" s="467">
        <f t="shared" si="19"/>
        <v>0</v>
      </c>
      <c r="AJ54" s="85">
        <f t="shared" si="20"/>
        <v>0</v>
      </c>
      <c r="AK54" s="172"/>
    </row>
    <row r="55" spans="1:37" ht="12.75" customHeight="1" x14ac:dyDescent="0.2">
      <c r="A55" s="81" t="s">
        <v>28</v>
      </c>
      <c r="B55" s="338">
        <v>89984.24</v>
      </c>
      <c r="C55" s="339">
        <v>90009.24</v>
      </c>
      <c r="D55" s="340" t="s">
        <v>16</v>
      </c>
      <c r="E55" s="340" t="s">
        <v>101</v>
      </c>
      <c r="F55" s="340" t="s">
        <v>101</v>
      </c>
      <c r="G55" s="103" t="str">
        <f t="shared" si="27"/>
        <v>-</v>
      </c>
      <c r="H55" s="77">
        <v>4</v>
      </c>
      <c r="I55" s="27">
        <f t="shared" si="9"/>
        <v>0</v>
      </c>
      <c r="J55" s="78">
        <f t="shared" si="10"/>
        <v>0</v>
      </c>
      <c r="K55" s="83">
        <f t="shared" si="28"/>
        <v>25</v>
      </c>
      <c r="L55" s="388" t="s">
        <v>101</v>
      </c>
      <c r="M55" s="389" t="s">
        <v>101</v>
      </c>
      <c r="N55" s="222">
        <f t="shared" si="21"/>
        <v>0</v>
      </c>
      <c r="O55" s="274">
        <f t="shared" si="2"/>
        <v>0</v>
      </c>
      <c r="P55" s="398">
        <v>1124</v>
      </c>
      <c r="Q55" s="399">
        <v>500</v>
      </c>
      <c r="R55" s="221">
        <f t="shared" si="3"/>
        <v>1124</v>
      </c>
      <c r="S55" s="269">
        <f t="shared" si="3"/>
        <v>500</v>
      </c>
      <c r="T55" s="404">
        <v>0</v>
      </c>
      <c r="U55" s="405">
        <v>0</v>
      </c>
      <c r="V55" s="414">
        <f t="shared" si="4"/>
        <v>6.8000000000000005E-2</v>
      </c>
      <c r="W55" s="415">
        <f t="shared" si="4"/>
        <v>2.777777777777778E-2</v>
      </c>
      <c r="X55" s="402">
        <f>IF(OR(T55&lt;&gt;0),0,Z55)</f>
        <v>136</v>
      </c>
      <c r="Y55" s="403">
        <f>IF(OR(U55&lt;&gt;0),0,AA55)</f>
        <v>55.555555555555557</v>
      </c>
      <c r="Z55" s="402">
        <f>IF(OR(T55&lt;&gt;0),0,(R55+$H55*$K55)/9)</f>
        <v>136</v>
      </c>
      <c r="AA55" s="403">
        <f>IF(OR(U55&lt;&gt;0),0,S55/9)</f>
        <v>55.555555555555557</v>
      </c>
      <c r="AB55" s="402">
        <f>IF(OR(T55&lt;&gt;0),0,$Z$1*Z55*110*0.06*0.75/2000)</f>
        <v>4.0392000000000001</v>
      </c>
      <c r="AC55" s="403">
        <f>IF(OR(U55&lt;&gt;0),0,$Z$1*AA55*110*0.06*0.75/2000)</f>
        <v>1.65</v>
      </c>
      <c r="AD55" s="402">
        <f t="shared" si="15"/>
        <v>20.814814814814813</v>
      </c>
      <c r="AE55" s="403">
        <f t="shared" si="16"/>
        <v>9.2592592592592595</v>
      </c>
      <c r="AF55" s="383">
        <v>67</v>
      </c>
      <c r="AG55" s="402">
        <f t="shared" si="17"/>
        <v>0</v>
      </c>
      <c r="AH55" s="403">
        <f t="shared" si="18"/>
        <v>0</v>
      </c>
      <c r="AI55" s="467">
        <f t="shared" si="19"/>
        <v>0</v>
      </c>
      <c r="AJ55" s="85">
        <f t="shared" si="20"/>
        <v>0</v>
      </c>
      <c r="AK55" s="172"/>
    </row>
    <row r="56" spans="1:37" ht="12.75" customHeight="1" x14ac:dyDescent="0.2">
      <c r="B56" s="338">
        <v>89989.25</v>
      </c>
      <c r="C56" s="339">
        <v>90008.8</v>
      </c>
      <c r="D56" s="340" t="s">
        <v>16</v>
      </c>
      <c r="E56" s="340" t="s">
        <v>101</v>
      </c>
      <c r="F56" s="340" t="s">
        <v>106</v>
      </c>
      <c r="G56" s="103" t="str">
        <f t="shared" si="27"/>
        <v>-</v>
      </c>
      <c r="H56" s="352">
        <v>1.5</v>
      </c>
      <c r="I56" s="341">
        <v>0.36</v>
      </c>
      <c r="J56" s="361">
        <v>0</v>
      </c>
      <c r="K56" s="83">
        <f t="shared" si="28"/>
        <v>19.55000000000291</v>
      </c>
      <c r="L56" s="388" t="s">
        <v>101</v>
      </c>
      <c r="M56" s="389" t="s">
        <v>101</v>
      </c>
      <c r="N56" s="222">
        <f t="shared" si="21"/>
        <v>0</v>
      </c>
      <c r="O56" s="274">
        <f t="shared" si="2"/>
        <v>0</v>
      </c>
      <c r="P56" s="398">
        <v>425</v>
      </c>
      <c r="Q56" s="399">
        <v>196</v>
      </c>
      <c r="R56" s="221">
        <f t="shared" si="3"/>
        <v>425</v>
      </c>
      <c r="S56" s="269">
        <f t="shared" si="3"/>
        <v>196</v>
      </c>
      <c r="T56" s="404">
        <v>0</v>
      </c>
      <c r="U56" s="405">
        <v>0</v>
      </c>
      <c r="V56" s="414">
        <f t="shared" si="4"/>
        <v>2.5240277777778018E-2</v>
      </c>
      <c r="W56" s="415">
        <f t="shared" si="4"/>
        <v>1.0888888888888889E-2</v>
      </c>
      <c r="X56" s="402">
        <f t="shared" si="22"/>
        <v>50.480555555556037</v>
      </c>
      <c r="Y56" s="403">
        <f t="shared" si="22"/>
        <v>21.777777777777779</v>
      </c>
      <c r="Z56" s="402">
        <f t="shared" si="13"/>
        <v>50.480555555556037</v>
      </c>
      <c r="AA56" s="403">
        <f t="shared" si="14"/>
        <v>21.777777777777779</v>
      </c>
      <c r="AB56" s="402">
        <f t="shared" si="29"/>
        <v>1.4992725000000144</v>
      </c>
      <c r="AC56" s="403">
        <f t="shared" si="30"/>
        <v>0.64680000000000004</v>
      </c>
      <c r="AD56" s="402">
        <f t="shared" si="15"/>
        <v>8.2303703703703697</v>
      </c>
      <c r="AE56" s="403">
        <f t="shared" si="16"/>
        <v>3.6296296296296298</v>
      </c>
      <c r="AF56" s="347">
        <v>0</v>
      </c>
      <c r="AG56" s="402">
        <f t="shared" si="17"/>
        <v>47.222222222222221</v>
      </c>
      <c r="AH56" s="403">
        <f t="shared" si="18"/>
        <v>21.777777777777779</v>
      </c>
      <c r="AI56" s="467">
        <f t="shared" si="19"/>
        <v>0</v>
      </c>
      <c r="AJ56" s="85">
        <f t="shared" si="20"/>
        <v>39.100000000005821</v>
      </c>
      <c r="AK56" s="172"/>
    </row>
    <row r="57" spans="1:37" ht="12.75" customHeight="1" x14ac:dyDescent="0.2">
      <c r="B57" s="338">
        <v>90009.24</v>
      </c>
      <c r="C57" s="339">
        <v>90876.86</v>
      </c>
      <c r="D57" s="340" t="s">
        <v>16</v>
      </c>
      <c r="E57" s="340" t="s">
        <v>111</v>
      </c>
      <c r="F57" s="340" t="s">
        <v>106</v>
      </c>
      <c r="G57" s="103" t="str">
        <f t="shared" si="27"/>
        <v>F/C - C/B</v>
      </c>
      <c r="H57" s="77">
        <f t="shared" si="8"/>
        <v>2</v>
      </c>
      <c r="I57" s="27">
        <f t="shared" si="9"/>
        <v>24.100555555555427</v>
      </c>
      <c r="J57" s="78">
        <f t="shared" si="10"/>
        <v>-1.42</v>
      </c>
      <c r="K57" s="83">
        <f t="shared" si="28"/>
        <v>867.61999999999534</v>
      </c>
      <c r="L57" s="388">
        <v>43.42</v>
      </c>
      <c r="M57" s="389">
        <v>20</v>
      </c>
      <c r="N57" s="222">
        <f t="shared" si="21"/>
        <v>37673</v>
      </c>
      <c r="O57" s="274">
        <f t="shared" si="2"/>
        <v>17353</v>
      </c>
      <c r="P57" s="398">
        <v>0</v>
      </c>
      <c r="Q57" s="399">
        <v>0</v>
      </c>
      <c r="R57" s="221">
        <f t="shared" si="3"/>
        <v>37673</v>
      </c>
      <c r="S57" s="269">
        <f t="shared" si="3"/>
        <v>17353</v>
      </c>
      <c r="T57" s="404">
        <v>0</v>
      </c>
      <c r="U57" s="405">
        <v>0</v>
      </c>
      <c r="V57" s="414">
        <f t="shared" si="4"/>
        <v>2.1893466666666663</v>
      </c>
      <c r="W57" s="415">
        <f t="shared" si="4"/>
        <v>0.96405555555555555</v>
      </c>
      <c r="X57" s="402">
        <f t="shared" si="22"/>
        <v>4378.6933333333327</v>
      </c>
      <c r="Y57" s="403">
        <f t="shared" si="22"/>
        <v>1928.1111111111111</v>
      </c>
      <c r="Z57" s="402">
        <f t="shared" si="13"/>
        <v>4378.6933333333327</v>
      </c>
      <c r="AA57" s="403">
        <f t="shared" si="14"/>
        <v>1928.1111111111111</v>
      </c>
      <c r="AB57" s="402">
        <f t="shared" si="29"/>
        <v>130.04719199999997</v>
      </c>
      <c r="AC57" s="403">
        <f t="shared" si="30"/>
        <v>57.264899999999997</v>
      </c>
      <c r="AD57" s="402">
        <f t="shared" si="15"/>
        <v>721.74870370370354</v>
      </c>
      <c r="AE57" s="403">
        <f t="shared" si="16"/>
        <v>321.35185185185185</v>
      </c>
      <c r="AF57" s="347">
        <v>0</v>
      </c>
      <c r="AG57" s="402">
        <f t="shared" si="17"/>
        <v>4048.9977333333341</v>
      </c>
      <c r="AH57" s="403">
        <f t="shared" si="18"/>
        <v>1928.1111111111111</v>
      </c>
      <c r="AI57" s="467">
        <f t="shared" si="19"/>
        <v>0</v>
      </c>
      <c r="AJ57" s="85">
        <f t="shared" si="20"/>
        <v>1735.2399999999907</v>
      </c>
      <c r="AK57" s="172"/>
    </row>
    <row r="58" spans="1:37" ht="12.75" customHeight="1" x14ac:dyDescent="0.2">
      <c r="B58" s="338">
        <v>90876.86</v>
      </c>
      <c r="C58" s="339">
        <v>90976.86</v>
      </c>
      <c r="D58" s="340" t="s">
        <v>16</v>
      </c>
      <c r="E58" s="340" t="s">
        <v>111</v>
      </c>
      <c r="F58" s="340" t="s">
        <v>106</v>
      </c>
      <c r="G58" s="103" t="str">
        <f t="shared" si="27"/>
        <v>F/C - C/B</v>
      </c>
      <c r="H58" s="77">
        <f t="shared" si="8"/>
        <v>2</v>
      </c>
      <c r="I58" s="27">
        <f t="shared" si="9"/>
        <v>2.7777777777777777</v>
      </c>
      <c r="J58" s="78">
        <f t="shared" si="10"/>
        <v>-1.42</v>
      </c>
      <c r="K58" s="83">
        <f t="shared" si="28"/>
        <v>100</v>
      </c>
      <c r="L58" s="388">
        <v>47.42</v>
      </c>
      <c r="M58" s="389">
        <v>20</v>
      </c>
      <c r="N58" s="222">
        <f t="shared" si="21"/>
        <v>4742</v>
      </c>
      <c r="O58" s="274">
        <f t="shared" si="2"/>
        <v>2000</v>
      </c>
      <c r="P58" s="398">
        <v>0</v>
      </c>
      <c r="Q58" s="399">
        <v>0</v>
      </c>
      <c r="R58" s="221">
        <f t="shared" si="3"/>
        <v>4742</v>
      </c>
      <c r="S58" s="269">
        <f t="shared" si="3"/>
        <v>2000</v>
      </c>
      <c r="T58" s="404">
        <v>0</v>
      </c>
      <c r="U58" s="405">
        <v>0</v>
      </c>
      <c r="V58" s="414">
        <f t="shared" si="4"/>
        <v>0.27455555555555555</v>
      </c>
      <c r="W58" s="415">
        <f t="shared" si="4"/>
        <v>0.11111111111111112</v>
      </c>
      <c r="X58" s="402">
        <f t="shared" si="22"/>
        <v>549.11111111111109</v>
      </c>
      <c r="Y58" s="403">
        <f t="shared" si="22"/>
        <v>222.22222222222223</v>
      </c>
      <c r="Z58" s="402">
        <f t="shared" si="13"/>
        <v>549.11111111111109</v>
      </c>
      <c r="AA58" s="403">
        <f t="shared" si="14"/>
        <v>222.22222222222223</v>
      </c>
      <c r="AB58" s="402">
        <f t="shared" si="29"/>
        <v>16.308599999999998</v>
      </c>
      <c r="AC58" s="403">
        <f t="shared" si="30"/>
        <v>6.6</v>
      </c>
      <c r="AD58" s="402">
        <f t="shared" si="15"/>
        <v>90.592592592592581</v>
      </c>
      <c r="AE58" s="403">
        <f t="shared" si="16"/>
        <v>37.037037037037038</v>
      </c>
      <c r="AF58" s="347">
        <v>0</v>
      </c>
      <c r="AG58" s="402">
        <f t="shared" si="17"/>
        <v>511.11111111111109</v>
      </c>
      <c r="AH58" s="403">
        <f t="shared" si="18"/>
        <v>222.22222222222223</v>
      </c>
      <c r="AI58" s="467">
        <f t="shared" si="19"/>
        <v>0</v>
      </c>
      <c r="AJ58" s="85">
        <f t="shared" si="20"/>
        <v>200</v>
      </c>
      <c r="AK58" s="172"/>
    </row>
    <row r="59" spans="1:37" ht="12.75" customHeight="1" x14ac:dyDescent="0.2">
      <c r="B59" s="338">
        <v>90976.86</v>
      </c>
      <c r="C59" s="339">
        <v>91222.55</v>
      </c>
      <c r="D59" s="340" t="s">
        <v>16</v>
      </c>
      <c r="E59" s="340" t="s">
        <v>111</v>
      </c>
      <c r="F59" s="340" t="s">
        <v>106</v>
      </c>
      <c r="G59" s="103" t="str">
        <f t="shared" si="27"/>
        <v>F/C - C/B</v>
      </c>
      <c r="H59" s="77">
        <f t="shared" si="8"/>
        <v>2</v>
      </c>
      <c r="I59" s="27">
        <f t="shared" si="9"/>
        <v>6.8247222222222872</v>
      </c>
      <c r="J59" s="78">
        <f t="shared" si="10"/>
        <v>-1.42</v>
      </c>
      <c r="K59" s="83">
        <f t="shared" si="28"/>
        <v>245.69000000000233</v>
      </c>
      <c r="L59" s="388">
        <v>51.42</v>
      </c>
      <c r="M59" s="389">
        <v>20</v>
      </c>
      <c r="N59" s="222">
        <f t="shared" si="21"/>
        <v>12634</v>
      </c>
      <c r="O59" s="274">
        <f t="shared" si="2"/>
        <v>4914</v>
      </c>
      <c r="P59" s="398">
        <v>0</v>
      </c>
      <c r="Q59" s="399">
        <v>0</v>
      </c>
      <c r="R59" s="221">
        <f t="shared" si="3"/>
        <v>12634</v>
      </c>
      <c r="S59" s="269">
        <f t="shared" si="3"/>
        <v>4914</v>
      </c>
      <c r="T59" s="404">
        <v>0</v>
      </c>
      <c r="U59" s="405">
        <v>0</v>
      </c>
      <c r="V59" s="414">
        <f t="shared" si="4"/>
        <v>0.72918777777777799</v>
      </c>
      <c r="W59" s="415">
        <f t="shared" si="4"/>
        <v>0.27300000000000002</v>
      </c>
      <c r="X59" s="402">
        <f t="shared" si="22"/>
        <v>1458.375555555556</v>
      </c>
      <c r="Y59" s="403">
        <f t="shared" si="22"/>
        <v>546</v>
      </c>
      <c r="Z59" s="402">
        <f t="shared" si="13"/>
        <v>1458.375555555556</v>
      </c>
      <c r="AA59" s="403">
        <f t="shared" si="14"/>
        <v>546</v>
      </c>
      <c r="AB59" s="402">
        <f t="shared" si="29"/>
        <v>43.31375400000001</v>
      </c>
      <c r="AC59" s="403">
        <f t="shared" si="30"/>
        <v>16.216200000000001</v>
      </c>
      <c r="AD59" s="402">
        <f t="shared" si="15"/>
        <v>240.78768518518524</v>
      </c>
      <c r="AE59" s="403">
        <f t="shared" si="16"/>
        <v>91</v>
      </c>
      <c r="AF59" s="347">
        <v>0</v>
      </c>
      <c r="AG59" s="402">
        <f t="shared" si="17"/>
        <v>1365.0133555555553</v>
      </c>
      <c r="AH59" s="403">
        <f t="shared" si="18"/>
        <v>546</v>
      </c>
      <c r="AI59" s="467">
        <f t="shared" si="19"/>
        <v>0</v>
      </c>
      <c r="AJ59" s="85">
        <f t="shared" si="20"/>
        <v>491.38000000000466</v>
      </c>
      <c r="AK59" s="172"/>
    </row>
    <row r="60" spans="1:37" ht="12.75" customHeight="1" x14ac:dyDescent="0.2">
      <c r="B60" s="338">
        <v>91222.55</v>
      </c>
      <c r="C60" s="339">
        <v>91676.86</v>
      </c>
      <c r="D60" s="340" t="s">
        <v>16</v>
      </c>
      <c r="E60" s="340" t="s">
        <v>111</v>
      </c>
      <c r="F60" s="340" t="s">
        <v>106</v>
      </c>
      <c r="G60" s="103" t="str">
        <f t="shared" si="27"/>
        <v>F/C - C/B</v>
      </c>
      <c r="H60" s="77">
        <f t="shared" si="8"/>
        <v>2</v>
      </c>
      <c r="I60" s="27">
        <f t="shared" si="9"/>
        <v>12.619722222222158</v>
      </c>
      <c r="J60" s="78">
        <f t="shared" si="10"/>
        <v>-1.42</v>
      </c>
      <c r="K60" s="83">
        <f t="shared" si="28"/>
        <v>454.30999999999767</v>
      </c>
      <c r="L60" s="388" t="s">
        <v>101</v>
      </c>
      <c r="M60" s="389" t="s">
        <v>101</v>
      </c>
      <c r="N60" s="222">
        <f t="shared" si="21"/>
        <v>0</v>
      </c>
      <c r="O60" s="274">
        <f t="shared" si="2"/>
        <v>0</v>
      </c>
      <c r="P60" s="398">
        <v>27431</v>
      </c>
      <c r="Q60" s="399">
        <v>9086</v>
      </c>
      <c r="R60" s="221">
        <f t="shared" si="3"/>
        <v>27431</v>
      </c>
      <c r="S60" s="269">
        <f t="shared" si="3"/>
        <v>9086</v>
      </c>
      <c r="T60" s="404">
        <v>0</v>
      </c>
      <c r="U60" s="405">
        <v>0</v>
      </c>
      <c r="V60" s="414">
        <f t="shared" si="4"/>
        <v>1.5744233333333333</v>
      </c>
      <c r="W60" s="415">
        <f t="shared" si="4"/>
        <v>0.50477777777777777</v>
      </c>
      <c r="X60" s="402">
        <f t="shared" si="22"/>
        <v>3148.8466666666664</v>
      </c>
      <c r="Y60" s="403">
        <f t="shared" si="22"/>
        <v>1009.5555555555555</v>
      </c>
      <c r="Z60" s="402">
        <f t="shared" si="13"/>
        <v>3148.8466666666664</v>
      </c>
      <c r="AA60" s="403">
        <f t="shared" si="14"/>
        <v>1009.5555555555555</v>
      </c>
      <c r="AB60" s="402">
        <f t="shared" si="29"/>
        <v>93.520745999999988</v>
      </c>
      <c r="AC60" s="403">
        <f t="shared" si="30"/>
        <v>29.983799999999995</v>
      </c>
      <c r="AD60" s="402">
        <f t="shared" si="15"/>
        <v>520.60120370370362</v>
      </c>
      <c r="AE60" s="403">
        <f t="shared" si="16"/>
        <v>168.25925925925927</v>
      </c>
      <c r="AF60" s="347">
        <v>0</v>
      </c>
      <c r="AG60" s="402">
        <f t="shared" si="17"/>
        <v>2976.2088666666668</v>
      </c>
      <c r="AH60" s="403">
        <f t="shared" si="18"/>
        <v>1009.5555555555555</v>
      </c>
      <c r="AI60" s="467">
        <f t="shared" si="19"/>
        <v>0</v>
      </c>
      <c r="AJ60" s="85">
        <f t="shared" si="20"/>
        <v>908.61999999999534</v>
      </c>
      <c r="AK60" s="172"/>
    </row>
    <row r="61" spans="1:37" ht="12.75" customHeight="1" x14ac:dyDescent="0.2">
      <c r="B61" s="338">
        <v>91676.86</v>
      </c>
      <c r="C61" s="339">
        <v>93266.82</v>
      </c>
      <c r="D61" s="340" t="s">
        <v>16</v>
      </c>
      <c r="E61" s="340" t="s">
        <v>111</v>
      </c>
      <c r="F61" s="340" t="s">
        <v>105</v>
      </c>
      <c r="G61" s="103" t="str">
        <f t="shared" si="27"/>
        <v>E/S - C/B</v>
      </c>
      <c r="H61" s="77">
        <f t="shared" si="8"/>
        <v>1.5</v>
      </c>
      <c r="I61" s="27">
        <f t="shared" si="9"/>
        <v>44.165555555555734</v>
      </c>
      <c r="J61" s="78">
        <f t="shared" si="10"/>
        <v>-1.42</v>
      </c>
      <c r="K61" s="83">
        <f t="shared" si="28"/>
        <v>1589.9600000000064</v>
      </c>
      <c r="L61" s="388">
        <v>41.42</v>
      </c>
      <c r="M61" s="389">
        <v>20</v>
      </c>
      <c r="N61" s="222">
        <f t="shared" si="21"/>
        <v>65857</v>
      </c>
      <c r="O61" s="274">
        <f t="shared" si="2"/>
        <v>31800</v>
      </c>
      <c r="P61" s="398">
        <v>0</v>
      </c>
      <c r="Q61" s="399">
        <v>0</v>
      </c>
      <c r="R61" s="221">
        <f t="shared" si="3"/>
        <v>65857</v>
      </c>
      <c r="S61" s="269">
        <f t="shared" si="3"/>
        <v>31800</v>
      </c>
      <c r="T61" s="404">
        <v>0</v>
      </c>
      <c r="U61" s="405">
        <v>0</v>
      </c>
      <c r="V61" s="414">
        <f t="shared" si="4"/>
        <v>3.7912188888888889</v>
      </c>
      <c r="W61" s="415">
        <f t="shared" si="4"/>
        <v>1.7666666666666668</v>
      </c>
      <c r="X61" s="402">
        <f t="shared" si="22"/>
        <v>7582.4377777777781</v>
      </c>
      <c r="Y61" s="403">
        <f t="shared" si="22"/>
        <v>3533.3333333333335</v>
      </c>
      <c r="Z61" s="402">
        <f t="shared" si="13"/>
        <v>7582.4377777777781</v>
      </c>
      <c r="AA61" s="403">
        <f t="shared" si="14"/>
        <v>3533.3333333333335</v>
      </c>
      <c r="AB61" s="402">
        <f t="shared" si="29"/>
        <v>225.19840200000002</v>
      </c>
      <c r="AC61" s="403">
        <f t="shared" si="30"/>
        <v>104.94</v>
      </c>
      <c r="AD61" s="402">
        <f t="shared" si="15"/>
        <v>1263.7396296296299</v>
      </c>
      <c r="AE61" s="403">
        <f t="shared" si="16"/>
        <v>588.88888888888891</v>
      </c>
      <c r="AF61" s="347">
        <v>0</v>
      </c>
      <c r="AG61" s="402">
        <f t="shared" si="17"/>
        <v>7066.5840888888879</v>
      </c>
      <c r="AH61" s="403">
        <f t="shared" si="18"/>
        <v>3533.3333333333335</v>
      </c>
      <c r="AI61" s="467">
        <f t="shared" si="19"/>
        <v>31.897345679012474</v>
      </c>
      <c r="AJ61" s="85">
        <f t="shared" si="20"/>
        <v>3179.9200000000128</v>
      </c>
      <c r="AK61" s="172"/>
    </row>
    <row r="62" spans="1:37" ht="12.75" customHeight="1" x14ac:dyDescent="0.2">
      <c r="B62" s="338">
        <v>93266.82</v>
      </c>
      <c r="C62" s="339">
        <v>93571.43</v>
      </c>
      <c r="D62" s="340" t="s">
        <v>16</v>
      </c>
      <c r="E62" s="340" t="s">
        <v>111</v>
      </c>
      <c r="F62" s="340" t="s">
        <v>105</v>
      </c>
      <c r="G62" s="103" t="str">
        <f t="shared" si="27"/>
        <v>E/S - C/B</v>
      </c>
      <c r="H62" s="77">
        <f t="shared" si="8"/>
        <v>1.5</v>
      </c>
      <c r="I62" s="27">
        <f t="shared" si="9"/>
        <v>8.4613888888885</v>
      </c>
      <c r="J62" s="78">
        <f t="shared" si="10"/>
        <v>-1.42</v>
      </c>
      <c r="K62" s="83">
        <f t="shared" si="28"/>
        <v>304.60999999998603</v>
      </c>
      <c r="L62" s="388" t="s">
        <v>101</v>
      </c>
      <c r="M62" s="389" t="s">
        <v>101</v>
      </c>
      <c r="N62" s="222">
        <f t="shared" si="21"/>
        <v>0</v>
      </c>
      <c r="O62" s="274">
        <f t="shared" si="2"/>
        <v>0</v>
      </c>
      <c r="P62" s="398">
        <v>20176</v>
      </c>
      <c r="Q62" s="399">
        <v>6092</v>
      </c>
      <c r="R62" s="221">
        <f t="shared" si="3"/>
        <v>20176</v>
      </c>
      <c r="S62" s="269">
        <f t="shared" si="3"/>
        <v>6092</v>
      </c>
      <c r="T62" s="404">
        <v>0</v>
      </c>
      <c r="U62" s="405">
        <v>0</v>
      </c>
      <c r="V62" s="414">
        <f t="shared" si="4"/>
        <v>1.1462730555555545</v>
      </c>
      <c r="W62" s="415">
        <f t="shared" si="4"/>
        <v>0.33844444444444444</v>
      </c>
      <c r="X62" s="402">
        <f t="shared" si="22"/>
        <v>2292.546111111109</v>
      </c>
      <c r="Y62" s="403">
        <f t="shared" si="22"/>
        <v>676.88888888888891</v>
      </c>
      <c r="Z62" s="402">
        <f t="shared" si="13"/>
        <v>2292.546111111109</v>
      </c>
      <c r="AA62" s="403">
        <f t="shared" si="14"/>
        <v>676.88888888888891</v>
      </c>
      <c r="AB62" s="402">
        <f t="shared" si="29"/>
        <v>68.088619499999936</v>
      </c>
      <c r="AC62" s="403">
        <f t="shared" si="30"/>
        <v>20.1036</v>
      </c>
      <c r="AD62" s="402">
        <f t="shared" si="15"/>
        <v>382.09101851851813</v>
      </c>
      <c r="AE62" s="403">
        <f t="shared" si="16"/>
        <v>112.81481481481481</v>
      </c>
      <c r="AF62" s="347">
        <v>0</v>
      </c>
      <c r="AG62" s="402">
        <f t="shared" si="17"/>
        <v>2193.7170888888913</v>
      </c>
      <c r="AH62" s="403">
        <f t="shared" si="18"/>
        <v>676.88888888888891</v>
      </c>
      <c r="AI62" s="467">
        <f t="shared" si="19"/>
        <v>6.1110030864194735</v>
      </c>
      <c r="AJ62" s="85">
        <f t="shared" si="20"/>
        <v>609.21999999997206</v>
      </c>
      <c r="AK62" s="172"/>
    </row>
    <row r="63" spans="1:37" ht="12.75" customHeight="1" x14ac:dyDescent="0.2">
      <c r="B63" s="338">
        <v>93571.43</v>
      </c>
      <c r="C63" s="339">
        <v>94621.43</v>
      </c>
      <c r="D63" s="340" t="s">
        <v>16</v>
      </c>
      <c r="E63" s="340" t="s">
        <v>111</v>
      </c>
      <c r="F63" s="340" t="s">
        <v>105</v>
      </c>
      <c r="G63" s="103" t="str">
        <f t="shared" si="27"/>
        <v>E/S - C/B</v>
      </c>
      <c r="H63" s="77">
        <f t="shared" si="8"/>
        <v>1.5</v>
      </c>
      <c r="I63" s="27">
        <f t="shared" si="9"/>
        <v>29.166666666666668</v>
      </c>
      <c r="J63" s="78">
        <f t="shared" si="10"/>
        <v>-1.42</v>
      </c>
      <c r="K63" s="83">
        <f t="shared" si="28"/>
        <v>1050</v>
      </c>
      <c r="L63" s="388">
        <v>51.92</v>
      </c>
      <c r="M63" s="389">
        <v>20</v>
      </c>
      <c r="N63" s="222">
        <f t="shared" si="21"/>
        <v>54516</v>
      </c>
      <c r="O63" s="274">
        <f t="shared" si="2"/>
        <v>21000</v>
      </c>
      <c r="P63" s="398">
        <v>0</v>
      </c>
      <c r="Q63" s="399">
        <v>0</v>
      </c>
      <c r="R63" s="221">
        <f t="shared" si="3"/>
        <v>54516</v>
      </c>
      <c r="S63" s="269">
        <f t="shared" si="3"/>
        <v>21000</v>
      </c>
      <c r="T63" s="404">
        <v>0</v>
      </c>
      <c r="U63" s="405">
        <v>0</v>
      </c>
      <c r="V63" s="414">
        <f t="shared" si="4"/>
        <v>3.1161666666666665</v>
      </c>
      <c r="W63" s="415">
        <f t="shared" si="4"/>
        <v>1.1666666666666667</v>
      </c>
      <c r="X63" s="402">
        <f t="shared" si="22"/>
        <v>6232.333333333333</v>
      </c>
      <c r="Y63" s="403">
        <f t="shared" si="22"/>
        <v>2333.3333333333335</v>
      </c>
      <c r="Z63" s="402">
        <f t="shared" si="13"/>
        <v>6232.333333333333</v>
      </c>
      <c r="AA63" s="403">
        <f t="shared" si="14"/>
        <v>2333.3333333333335</v>
      </c>
      <c r="AB63" s="402">
        <f t="shared" si="29"/>
        <v>185.10029999999998</v>
      </c>
      <c r="AC63" s="403">
        <f t="shared" si="30"/>
        <v>69.3</v>
      </c>
      <c r="AD63" s="402">
        <f t="shared" si="15"/>
        <v>1038.7222222222222</v>
      </c>
      <c r="AE63" s="403">
        <f t="shared" si="16"/>
        <v>388.88888888888891</v>
      </c>
      <c r="AF63" s="347">
        <v>0</v>
      </c>
      <c r="AG63" s="402">
        <f t="shared" si="17"/>
        <v>5891.666666666667</v>
      </c>
      <c r="AH63" s="403">
        <f t="shared" si="18"/>
        <v>2333.3333333333335</v>
      </c>
      <c r="AI63" s="467">
        <f t="shared" si="19"/>
        <v>21.064814814814813</v>
      </c>
      <c r="AJ63" s="85">
        <f t="shared" si="20"/>
        <v>2100</v>
      </c>
      <c r="AK63" s="172"/>
    </row>
    <row r="64" spans="1:37" ht="12.75" customHeight="1" x14ac:dyDescent="0.2">
      <c r="B64" s="338">
        <v>94621.43</v>
      </c>
      <c r="C64" s="339">
        <v>95390</v>
      </c>
      <c r="D64" s="340" t="s">
        <v>16</v>
      </c>
      <c r="E64" s="340" t="s">
        <v>111</v>
      </c>
      <c r="F64" s="340" t="s">
        <v>105</v>
      </c>
      <c r="G64" s="103" t="str">
        <f t="shared" si="27"/>
        <v>E/S - C/B</v>
      </c>
      <c r="H64" s="77">
        <f t="shared" si="8"/>
        <v>1.5</v>
      </c>
      <c r="I64" s="27">
        <f t="shared" si="9"/>
        <v>21.349166666666861</v>
      </c>
      <c r="J64" s="78">
        <f t="shared" si="10"/>
        <v>-1.42</v>
      </c>
      <c r="K64" s="83">
        <f t="shared" si="28"/>
        <v>768.57000000000698</v>
      </c>
      <c r="L64" s="388">
        <v>41.42</v>
      </c>
      <c r="M64" s="389">
        <v>20</v>
      </c>
      <c r="N64" s="222">
        <f t="shared" si="21"/>
        <v>31835</v>
      </c>
      <c r="O64" s="274">
        <f t="shared" si="2"/>
        <v>15372</v>
      </c>
      <c r="P64" s="398">
        <v>0</v>
      </c>
      <c r="Q64" s="399">
        <v>0</v>
      </c>
      <c r="R64" s="221">
        <f t="shared" si="3"/>
        <v>31835</v>
      </c>
      <c r="S64" s="269">
        <f t="shared" si="3"/>
        <v>15372</v>
      </c>
      <c r="T64" s="404">
        <v>0</v>
      </c>
      <c r="U64" s="405">
        <v>0</v>
      </c>
      <c r="V64" s="414">
        <f t="shared" si="4"/>
        <v>1.8326586111111116</v>
      </c>
      <c r="W64" s="415">
        <f t="shared" si="4"/>
        <v>0.85399999999999998</v>
      </c>
      <c r="X64" s="402">
        <f t="shared" si="22"/>
        <v>3665.3172222222233</v>
      </c>
      <c r="Y64" s="403">
        <f t="shared" si="22"/>
        <v>1708</v>
      </c>
      <c r="Z64" s="402">
        <f t="shared" si="13"/>
        <v>3665.3172222222233</v>
      </c>
      <c r="AA64" s="403">
        <f t="shared" si="14"/>
        <v>1708</v>
      </c>
      <c r="AB64" s="402">
        <f t="shared" si="29"/>
        <v>108.85992150000003</v>
      </c>
      <c r="AC64" s="403">
        <f t="shared" si="30"/>
        <v>50.727600000000002</v>
      </c>
      <c r="AD64" s="402">
        <f t="shared" si="15"/>
        <v>610.88620370370393</v>
      </c>
      <c r="AE64" s="403">
        <f t="shared" si="16"/>
        <v>284.66666666666669</v>
      </c>
      <c r="AF64" s="347">
        <v>0</v>
      </c>
      <c r="AG64" s="402">
        <f t="shared" si="17"/>
        <v>3415.9589555555544</v>
      </c>
      <c r="AH64" s="403">
        <f t="shared" si="18"/>
        <v>1708</v>
      </c>
      <c r="AI64" s="467">
        <f t="shared" si="19"/>
        <v>15.418842592592732</v>
      </c>
      <c r="AJ64" s="85">
        <f t="shared" si="20"/>
        <v>1537.140000000014</v>
      </c>
      <c r="AK64" s="172"/>
    </row>
    <row r="65" spans="1:37" ht="12.75" customHeight="1" x14ac:dyDescent="0.2">
      <c r="B65" s="338">
        <v>95390</v>
      </c>
      <c r="C65" s="339">
        <v>95410.94</v>
      </c>
      <c r="D65" s="340" t="s">
        <v>16</v>
      </c>
      <c r="E65" s="340" t="s">
        <v>111</v>
      </c>
      <c r="F65" s="340" t="s">
        <v>106</v>
      </c>
      <c r="G65" s="103" t="str">
        <f t="shared" si="27"/>
        <v>F/C - C/B</v>
      </c>
      <c r="H65" s="77">
        <f t="shared" si="8"/>
        <v>2</v>
      </c>
      <c r="I65" s="27">
        <f t="shared" si="9"/>
        <v>0.58166666666673139</v>
      </c>
      <c r="J65" s="78">
        <f t="shared" si="10"/>
        <v>-1.42</v>
      </c>
      <c r="K65" s="83">
        <f t="shared" si="28"/>
        <v>20.940000000002328</v>
      </c>
      <c r="L65" s="388">
        <v>43.42</v>
      </c>
      <c r="M65" s="389">
        <v>20</v>
      </c>
      <c r="N65" s="222">
        <f t="shared" si="21"/>
        <v>910</v>
      </c>
      <c r="O65" s="274">
        <f t="shared" si="2"/>
        <v>419</v>
      </c>
      <c r="P65" s="398">
        <v>0</v>
      </c>
      <c r="Q65" s="399">
        <v>0</v>
      </c>
      <c r="R65" s="221">
        <f t="shared" si="3"/>
        <v>910</v>
      </c>
      <c r="S65" s="269">
        <f t="shared" si="3"/>
        <v>419</v>
      </c>
      <c r="T65" s="404">
        <v>0</v>
      </c>
      <c r="U65" s="405">
        <v>0</v>
      </c>
      <c r="V65" s="414">
        <f t="shared" si="4"/>
        <v>5.2882222222222483E-2</v>
      </c>
      <c r="W65" s="415">
        <f t="shared" si="4"/>
        <v>2.3277777777777779E-2</v>
      </c>
      <c r="X65" s="402">
        <f t="shared" si="22"/>
        <v>105.76444444444496</v>
      </c>
      <c r="Y65" s="403">
        <f t="shared" si="22"/>
        <v>46.555555555555557</v>
      </c>
      <c r="Z65" s="402">
        <f t="shared" si="13"/>
        <v>105.76444444444496</v>
      </c>
      <c r="AA65" s="403">
        <f t="shared" si="14"/>
        <v>46.555555555555557</v>
      </c>
      <c r="AB65" s="402">
        <f t="shared" si="29"/>
        <v>3.1412040000000152</v>
      </c>
      <c r="AC65" s="403">
        <f t="shared" si="30"/>
        <v>1.3827</v>
      </c>
      <c r="AD65" s="402">
        <f t="shared" si="15"/>
        <v>17.433518518518582</v>
      </c>
      <c r="AE65" s="403">
        <f t="shared" si="16"/>
        <v>7.7592592592592595</v>
      </c>
      <c r="AF65" s="347">
        <v>0</v>
      </c>
      <c r="AG65" s="402">
        <f t="shared" si="17"/>
        <v>97.807244444444066</v>
      </c>
      <c r="AH65" s="403">
        <f t="shared" si="18"/>
        <v>46.555555555555557</v>
      </c>
      <c r="AI65" s="467">
        <f t="shared" si="19"/>
        <v>0</v>
      </c>
      <c r="AJ65" s="85">
        <f t="shared" si="20"/>
        <v>41.880000000004657</v>
      </c>
      <c r="AK65" s="172"/>
    </row>
    <row r="66" spans="1:37" ht="12.75" customHeight="1" x14ac:dyDescent="0.2">
      <c r="B66" s="338">
        <v>95410.94</v>
      </c>
      <c r="C66" s="339">
        <v>96504.94</v>
      </c>
      <c r="D66" s="340" t="s">
        <v>16</v>
      </c>
      <c r="E66" s="340" t="s">
        <v>111</v>
      </c>
      <c r="F66" s="340" t="s">
        <v>112</v>
      </c>
      <c r="G66" s="103" t="str">
        <f t="shared" si="27"/>
        <v>-</v>
      </c>
      <c r="H66" s="352">
        <v>3.17</v>
      </c>
      <c r="I66" s="341">
        <v>44.17</v>
      </c>
      <c r="J66" s="361">
        <v>-1.42</v>
      </c>
      <c r="K66" s="83">
        <f t="shared" si="28"/>
        <v>1094</v>
      </c>
      <c r="L66" s="388">
        <v>43.42</v>
      </c>
      <c r="M66" s="389">
        <v>20</v>
      </c>
      <c r="N66" s="222">
        <f t="shared" si="21"/>
        <v>47502</v>
      </c>
      <c r="O66" s="274">
        <f t="shared" si="2"/>
        <v>21880</v>
      </c>
      <c r="P66" s="398">
        <v>0</v>
      </c>
      <c r="Q66" s="399">
        <v>0</v>
      </c>
      <c r="R66" s="221">
        <f t="shared" si="3"/>
        <v>47502</v>
      </c>
      <c r="S66" s="269">
        <f t="shared" si="3"/>
        <v>21880</v>
      </c>
      <c r="T66" s="404">
        <v>0</v>
      </c>
      <c r="U66" s="405">
        <v>0</v>
      </c>
      <c r="V66" s="414">
        <f t="shared" si="4"/>
        <v>2.8316655555555559</v>
      </c>
      <c r="W66" s="415">
        <f t="shared" si="4"/>
        <v>1.2155555555555557</v>
      </c>
      <c r="X66" s="402">
        <f t="shared" si="22"/>
        <v>5663.3311111111116</v>
      </c>
      <c r="Y66" s="403">
        <f t="shared" si="22"/>
        <v>2431.1111111111113</v>
      </c>
      <c r="Z66" s="402">
        <f t="shared" si="13"/>
        <v>5663.3311111111116</v>
      </c>
      <c r="AA66" s="403">
        <f t="shared" si="14"/>
        <v>2431.1111111111113</v>
      </c>
      <c r="AB66" s="402">
        <f t="shared" si="29"/>
        <v>168.20093400000002</v>
      </c>
      <c r="AC66" s="403">
        <f t="shared" si="30"/>
        <v>72.203999999999994</v>
      </c>
      <c r="AD66" s="402">
        <f t="shared" si="15"/>
        <v>923.83666666666659</v>
      </c>
      <c r="AE66" s="403">
        <f t="shared" si="16"/>
        <v>405.18518518518516</v>
      </c>
      <c r="AF66" s="347">
        <v>0</v>
      </c>
      <c r="AG66" s="402">
        <f t="shared" si="17"/>
        <v>5105.3911111111111</v>
      </c>
      <c r="AH66" s="403">
        <f t="shared" si="18"/>
        <v>2431.1111111111113</v>
      </c>
      <c r="AI66" s="467">
        <f t="shared" si="19"/>
        <v>0</v>
      </c>
      <c r="AJ66" s="85">
        <f t="shared" si="20"/>
        <v>2188</v>
      </c>
      <c r="AK66" s="172"/>
    </row>
    <row r="67" spans="1:37" ht="12.75" customHeight="1" x14ac:dyDescent="0.2">
      <c r="B67" s="338">
        <v>96504.94</v>
      </c>
      <c r="C67" s="339">
        <v>98092.73</v>
      </c>
      <c r="D67" s="340" t="s">
        <v>16</v>
      </c>
      <c r="E67" s="340" t="s">
        <v>111</v>
      </c>
      <c r="F67" s="340" t="s">
        <v>105</v>
      </c>
      <c r="G67" s="103" t="str">
        <f t="shared" si="27"/>
        <v>E/S - C/B</v>
      </c>
      <c r="H67" s="77">
        <f t="shared" si="8"/>
        <v>1.5</v>
      </c>
      <c r="I67" s="27">
        <f t="shared" si="9"/>
        <v>44.105277777777602</v>
      </c>
      <c r="J67" s="78">
        <f t="shared" si="10"/>
        <v>-1.42</v>
      </c>
      <c r="K67" s="83">
        <f t="shared" si="28"/>
        <v>1587.7899999999936</v>
      </c>
      <c r="L67" s="388">
        <v>41.42</v>
      </c>
      <c r="M67" s="389">
        <v>20</v>
      </c>
      <c r="N67" s="222">
        <f t="shared" si="21"/>
        <v>65767</v>
      </c>
      <c r="O67" s="274">
        <f t="shared" si="2"/>
        <v>31756</v>
      </c>
      <c r="P67" s="398">
        <v>0</v>
      </c>
      <c r="Q67" s="399">
        <v>0</v>
      </c>
      <c r="R67" s="221">
        <f t="shared" si="3"/>
        <v>65767</v>
      </c>
      <c r="S67" s="269">
        <f t="shared" si="3"/>
        <v>31756</v>
      </c>
      <c r="T67" s="404">
        <v>0</v>
      </c>
      <c r="U67" s="405">
        <v>0</v>
      </c>
      <c r="V67" s="414">
        <f t="shared" si="4"/>
        <v>3.7860380555555553</v>
      </c>
      <c r="W67" s="415">
        <f t="shared" si="4"/>
        <v>1.7642222222222221</v>
      </c>
      <c r="X67" s="402">
        <f t="shared" si="22"/>
        <v>7572.0761111111105</v>
      </c>
      <c r="Y67" s="403">
        <f t="shared" si="22"/>
        <v>3528.4444444444443</v>
      </c>
      <c r="Z67" s="402">
        <f t="shared" si="13"/>
        <v>7572.0761111111105</v>
      </c>
      <c r="AA67" s="403">
        <f t="shared" si="14"/>
        <v>3528.4444444444443</v>
      </c>
      <c r="AB67" s="402">
        <f t="shared" si="29"/>
        <v>224.8906605</v>
      </c>
      <c r="AC67" s="403">
        <f t="shared" si="30"/>
        <v>104.79479999999998</v>
      </c>
      <c r="AD67" s="402">
        <f t="shared" si="15"/>
        <v>1262.0126851851851</v>
      </c>
      <c r="AE67" s="403">
        <f t="shared" si="16"/>
        <v>588.07407407407402</v>
      </c>
      <c r="AF67" s="347">
        <v>0</v>
      </c>
      <c r="AG67" s="402">
        <f t="shared" si="17"/>
        <v>7056.9264666666677</v>
      </c>
      <c r="AH67" s="403">
        <f t="shared" si="18"/>
        <v>3528.4444444444443</v>
      </c>
      <c r="AI67" s="467">
        <f t="shared" si="19"/>
        <v>31.853811728394934</v>
      </c>
      <c r="AJ67" s="85">
        <f t="shared" si="20"/>
        <v>3175.5799999999872</v>
      </c>
      <c r="AK67" s="172"/>
    </row>
    <row r="68" spans="1:37" ht="12.75" customHeight="1" x14ac:dyDescent="0.2">
      <c r="B68" s="338">
        <v>98092.73</v>
      </c>
      <c r="C68" s="339">
        <v>98152.14</v>
      </c>
      <c r="D68" s="340" t="s">
        <v>16</v>
      </c>
      <c r="E68" s="340" t="s">
        <v>111</v>
      </c>
      <c r="F68" s="340" t="s">
        <v>112</v>
      </c>
      <c r="G68" s="103" t="str">
        <f t="shared" si="27"/>
        <v>-</v>
      </c>
      <c r="H68" s="352">
        <v>3.17</v>
      </c>
      <c r="I68" s="341">
        <v>2.4</v>
      </c>
      <c r="J68" s="361">
        <v>-1.42</v>
      </c>
      <c r="K68" s="83">
        <f t="shared" si="28"/>
        <v>59.410000000003492</v>
      </c>
      <c r="L68" s="388">
        <v>41.42</v>
      </c>
      <c r="M68" s="389">
        <v>20</v>
      </c>
      <c r="N68" s="222">
        <f t="shared" si="21"/>
        <v>2461</v>
      </c>
      <c r="O68" s="274">
        <f t="shared" si="2"/>
        <v>1189</v>
      </c>
      <c r="P68" s="398">
        <v>0</v>
      </c>
      <c r="Q68" s="399">
        <v>0</v>
      </c>
      <c r="R68" s="221">
        <f t="shared" si="3"/>
        <v>2461</v>
      </c>
      <c r="S68" s="269">
        <f t="shared" si="3"/>
        <v>1189</v>
      </c>
      <c r="T68" s="404">
        <v>0</v>
      </c>
      <c r="U68" s="405">
        <v>0</v>
      </c>
      <c r="V68" s="414">
        <f t="shared" si="4"/>
        <v>0.14718498333333394</v>
      </c>
      <c r="W68" s="415">
        <f t="shared" si="4"/>
        <v>6.6055555555555562E-2</v>
      </c>
      <c r="X68" s="402">
        <f t="shared" si="22"/>
        <v>294.36996666666789</v>
      </c>
      <c r="Y68" s="403">
        <f t="shared" si="22"/>
        <v>132.11111111111111</v>
      </c>
      <c r="Z68" s="402">
        <f t="shared" si="13"/>
        <v>294.36996666666789</v>
      </c>
      <c r="AA68" s="403">
        <f t="shared" si="14"/>
        <v>132.11111111111111</v>
      </c>
      <c r="AB68" s="402">
        <f t="shared" si="29"/>
        <v>8.7427880100000372</v>
      </c>
      <c r="AC68" s="403">
        <f t="shared" si="30"/>
        <v>3.9237000000000002</v>
      </c>
      <c r="AD68" s="402">
        <f t="shared" si="15"/>
        <v>47.974074074074075</v>
      </c>
      <c r="AE68" s="403">
        <f t="shared" si="16"/>
        <v>22.018518518518519</v>
      </c>
      <c r="AF68" s="347">
        <v>0</v>
      </c>
      <c r="AG68" s="402">
        <f t="shared" si="17"/>
        <v>264.07086666666612</v>
      </c>
      <c r="AH68" s="403">
        <f t="shared" si="18"/>
        <v>132.11111111111111</v>
      </c>
      <c r="AI68" s="467">
        <f t="shared" si="19"/>
        <v>0</v>
      </c>
      <c r="AJ68" s="85">
        <f t="shared" si="20"/>
        <v>118.82000000000698</v>
      </c>
      <c r="AK68" s="172"/>
    </row>
    <row r="69" spans="1:37" ht="12.75" customHeight="1" x14ac:dyDescent="0.2">
      <c r="B69" s="338">
        <v>98152.14</v>
      </c>
      <c r="C69" s="339">
        <v>101500</v>
      </c>
      <c r="D69" s="340" t="s">
        <v>16</v>
      </c>
      <c r="E69" s="340" t="s">
        <v>111</v>
      </c>
      <c r="F69" s="340" t="s">
        <v>105</v>
      </c>
      <c r="G69" s="103" t="str">
        <f t="shared" si="27"/>
        <v>E/S - C/B</v>
      </c>
      <c r="H69" s="77">
        <f t="shared" si="8"/>
        <v>1.5</v>
      </c>
      <c r="I69" s="27">
        <f t="shared" si="9"/>
        <v>92.996111111111134</v>
      </c>
      <c r="J69" s="78">
        <f t="shared" si="10"/>
        <v>-1.42</v>
      </c>
      <c r="K69" s="83">
        <f t="shared" si="28"/>
        <v>3347.8600000000006</v>
      </c>
      <c r="L69" s="388">
        <v>41.42</v>
      </c>
      <c r="M69" s="389">
        <v>20</v>
      </c>
      <c r="N69" s="222">
        <f t="shared" si="21"/>
        <v>138669</v>
      </c>
      <c r="O69" s="274">
        <f t="shared" si="2"/>
        <v>66958</v>
      </c>
      <c r="P69" s="398">
        <v>0</v>
      </c>
      <c r="Q69" s="399">
        <v>0</v>
      </c>
      <c r="R69" s="221">
        <f t="shared" si="3"/>
        <v>138669</v>
      </c>
      <c r="S69" s="269">
        <f t="shared" si="3"/>
        <v>66958</v>
      </c>
      <c r="T69" s="404">
        <v>0</v>
      </c>
      <c r="U69" s="405">
        <v>0</v>
      </c>
      <c r="V69" s="414">
        <f t="shared" si="4"/>
        <v>7.9828216666666671</v>
      </c>
      <c r="W69" s="415">
        <f t="shared" si="4"/>
        <v>3.7198888888888888</v>
      </c>
      <c r="X69" s="402">
        <f t="shared" si="22"/>
        <v>15965.643333333333</v>
      </c>
      <c r="Y69" s="403">
        <f t="shared" si="22"/>
        <v>7439.7777777777774</v>
      </c>
      <c r="Z69" s="402">
        <f t="shared" si="13"/>
        <v>15965.643333333333</v>
      </c>
      <c r="AA69" s="403">
        <f t="shared" si="14"/>
        <v>7439.7777777777774</v>
      </c>
      <c r="AB69" s="402">
        <f t="shared" si="29"/>
        <v>474.17960699999998</v>
      </c>
      <c r="AC69" s="403">
        <f t="shared" si="30"/>
        <v>220.96139999999997</v>
      </c>
      <c r="AD69" s="402">
        <f t="shared" si="15"/>
        <v>2660.9405555555554</v>
      </c>
      <c r="AE69" s="403">
        <f t="shared" si="16"/>
        <v>1239.962962962963</v>
      </c>
      <c r="AF69" s="347">
        <v>0</v>
      </c>
      <c r="AG69" s="402">
        <f t="shared" si="17"/>
        <v>14879.448755555557</v>
      </c>
      <c r="AH69" s="403">
        <f t="shared" si="18"/>
        <v>7439.7777777777774</v>
      </c>
      <c r="AI69" s="467">
        <f t="shared" si="19"/>
        <v>67.163858024691365</v>
      </c>
      <c r="AJ69" s="85">
        <f t="shared" si="20"/>
        <v>6695.7200000000012</v>
      </c>
      <c r="AK69" s="172"/>
    </row>
    <row r="70" spans="1:37" ht="12.75" customHeight="1" thickBot="1" x14ac:dyDescent="0.25">
      <c r="B70" s="358"/>
      <c r="C70" s="359"/>
      <c r="D70" s="360"/>
      <c r="E70" s="360"/>
      <c r="F70" s="360"/>
      <c r="G70" s="196"/>
      <c r="H70" s="259"/>
      <c r="I70" s="258"/>
      <c r="J70" s="256"/>
      <c r="K70" s="215"/>
      <c r="L70" s="431"/>
      <c r="M70" s="432"/>
      <c r="N70" s="396"/>
      <c r="O70" s="397"/>
      <c r="P70" s="433"/>
      <c r="Q70" s="434"/>
      <c r="R70" s="223"/>
      <c r="S70" s="280"/>
      <c r="T70" s="404"/>
      <c r="U70" s="405"/>
      <c r="V70" s="414"/>
      <c r="W70" s="415"/>
      <c r="X70" s="402"/>
      <c r="Y70" s="403"/>
      <c r="Z70" s="402"/>
      <c r="AA70" s="403"/>
      <c r="AB70" s="402"/>
      <c r="AC70" s="403"/>
      <c r="AD70" s="402"/>
      <c r="AE70" s="403"/>
      <c r="AF70" s="347"/>
      <c r="AG70" s="402"/>
      <c r="AH70" s="403"/>
      <c r="AI70" s="111"/>
      <c r="AJ70" s="85"/>
      <c r="AK70" s="172"/>
    </row>
    <row r="71" spans="1:37" ht="12.75" customHeight="1" x14ac:dyDescent="0.2">
      <c r="B71" s="712" t="s">
        <v>277</v>
      </c>
      <c r="C71" s="713"/>
      <c r="D71" s="755" t="s">
        <v>246</v>
      </c>
      <c r="E71" s="756"/>
      <c r="F71" s="756"/>
      <c r="G71" s="756"/>
      <c r="H71" s="756"/>
      <c r="I71" s="756"/>
      <c r="J71" s="756"/>
      <c r="K71" s="756"/>
      <c r="L71" s="756"/>
      <c r="M71" s="756"/>
      <c r="N71" s="756"/>
      <c r="O71" s="756"/>
      <c r="P71" s="756"/>
      <c r="Q71" s="756"/>
      <c r="R71" s="756"/>
      <c r="S71" s="757"/>
      <c r="T71" s="594">
        <f>ROUNDUP(SUM(T19:T70),0)</f>
        <v>18820</v>
      </c>
      <c r="U71" s="596">
        <f t="shared" ref="U71:AJ71" si="31">ROUNDUP(SUM(U19:U70),0)</f>
        <v>4379</v>
      </c>
      <c r="V71" s="594">
        <f t="shared" si="31"/>
        <v>69</v>
      </c>
      <c r="W71" s="596">
        <f t="shared" si="31"/>
        <v>28</v>
      </c>
      <c r="X71" s="594">
        <f t="shared" si="31"/>
        <v>118434</v>
      </c>
      <c r="Y71" s="596">
        <f t="shared" si="31"/>
        <v>49899</v>
      </c>
      <c r="Z71" s="594">
        <f t="shared" si="31"/>
        <v>118434</v>
      </c>
      <c r="AA71" s="596">
        <f t="shared" si="31"/>
        <v>49899</v>
      </c>
      <c r="AB71" s="594">
        <f t="shared" si="31"/>
        <v>3518</v>
      </c>
      <c r="AC71" s="596">
        <f t="shared" si="31"/>
        <v>1482</v>
      </c>
      <c r="AD71" s="594">
        <f t="shared" si="31"/>
        <v>22856</v>
      </c>
      <c r="AE71" s="596">
        <f t="shared" si="31"/>
        <v>9069</v>
      </c>
      <c r="AF71" s="592">
        <f t="shared" si="31"/>
        <v>530</v>
      </c>
      <c r="AG71" s="594">
        <f t="shared" si="31"/>
        <v>127587</v>
      </c>
      <c r="AH71" s="596">
        <f t="shared" si="31"/>
        <v>54033</v>
      </c>
      <c r="AI71" s="596">
        <f t="shared" ref="AI71" si="32">ROUNDUP(SUM(AI19:AI70),0)</f>
        <v>394</v>
      </c>
      <c r="AJ71" s="592">
        <f t="shared" si="31"/>
        <v>52501</v>
      </c>
      <c r="AK71" s="172"/>
    </row>
    <row r="72" spans="1:37" ht="12.75" customHeight="1" thickBot="1" x14ac:dyDescent="0.25">
      <c r="B72" s="716"/>
      <c r="C72" s="717"/>
      <c r="D72" s="758"/>
      <c r="E72" s="759"/>
      <c r="F72" s="759"/>
      <c r="G72" s="759"/>
      <c r="H72" s="759"/>
      <c r="I72" s="759"/>
      <c r="J72" s="759"/>
      <c r="K72" s="759"/>
      <c r="L72" s="759"/>
      <c r="M72" s="759"/>
      <c r="N72" s="759"/>
      <c r="O72" s="759"/>
      <c r="P72" s="759"/>
      <c r="Q72" s="759"/>
      <c r="R72" s="759"/>
      <c r="S72" s="760"/>
      <c r="T72" s="595"/>
      <c r="U72" s="597"/>
      <c r="V72" s="595"/>
      <c r="W72" s="597"/>
      <c r="X72" s="595"/>
      <c r="Y72" s="597"/>
      <c r="Z72" s="595"/>
      <c r="AA72" s="597"/>
      <c r="AB72" s="595"/>
      <c r="AC72" s="597"/>
      <c r="AD72" s="595"/>
      <c r="AE72" s="597"/>
      <c r="AF72" s="593"/>
      <c r="AG72" s="595"/>
      <c r="AH72" s="597"/>
      <c r="AI72" s="597"/>
      <c r="AJ72" s="593"/>
      <c r="AK72" s="122"/>
    </row>
    <row r="73" spans="1:37" ht="12.75" customHeight="1" x14ac:dyDescent="0.2">
      <c r="B73" s="629" t="s">
        <v>206</v>
      </c>
      <c r="C73" s="630"/>
      <c r="D73" s="104"/>
      <c r="E73" s="104"/>
      <c r="F73" s="104"/>
      <c r="G73" s="104"/>
      <c r="H73" s="455"/>
      <c r="I73" s="229"/>
      <c r="J73" s="229"/>
      <c r="K73" s="89"/>
      <c r="L73" s="394"/>
      <c r="M73" s="395"/>
      <c r="N73" s="222"/>
      <c r="O73" s="274"/>
      <c r="P73" s="222"/>
      <c r="Q73" s="274"/>
      <c r="R73" s="222"/>
      <c r="S73" s="274"/>
      <c r="T73" s="222"/>
      <c r="U73" s="274"/>
      <c r="V73" s="394"/>
      <c r="W73" s="395"/>
      <c r="X73" s="394"/>
      <c r="Y73" s="395"/>
      <c r="Z73" s="394"/>
      <c r="AA73" s="395"/>
      <c r="AB73" s="445"/>
      <c r="AC73" s="446"/>
      <c r="AD73" s="222"/>
      <c r="AE73" s="274"/>
      <c r="AF73" s="124"/>
      <c r="AG73" s="222"/>
      <c r="AH73" s="274"/>
      <c r="AI73" s="126"/>
      <c r="AJ73" s="124"/>
    </row>
    <row r="74" spans="1:37" ht="12.75" customHeight="1" x14ac:dyDescent="0.2">
      <c r="B74" s="338">
        <v>74452.94</v>
      </c>
      <c r="C74" s="339">
        <v>74540.72</v>
      </c>
      <c r="D74" s="340" t="s">
        <v>15</v>
      </c>
      <c r="E74" s="340" t="s">
        <v>105</v>
      </c>
      <c r="F74" s="340" t="s">
        <v>105</v>
      </c>
      <c r="G74" s="103" t="str">
        <f t="shared" ref="G74:G106" si="33">IF(AND($E74=$AL$2,$F74=$AL$2),$AN$2,IF(OR(AND($E74=$AL$2,$F74=$AL$3),AND($E74=$AL$3,$F74=$AL$2)),$AN$3,IF(OR(AND($E74=$AL$2,$F74=$AL$4),AND($E74=$AL$4,$F74=$AL$2)),$AN$4,IF(OR(AND($E74=$AL$3,$F74=$AL$4),AND($E74=$AL$4,$F74=$AL$3)),$AN$5,IF(AND($E74=$AL$3,$F74=$AL$3),$AN$6,IF(AND($E74=$AL$4,$F74=$AL$4),$AN$7,"-"))))))</f>
        <v>E/S - E/S</v>
      </c>
      <c r="H74" s="77">
        <f t="shared" ref="H74:H131" si="34">IF(AND($E74=$AL$2,$F74=$AL$2),2*$AN$12,IF(OR(AND($E74=$AL$2, $F74=$AL$3),AND($E74=$AL$3,$F74=$AL$2)),$AN$12+$AN$13,IF(OR(AND($E74=$AL$2,$F74=$AL$4),AND($E74=$AL$4,$F74=$AL$2)),$AN$12,IF(OR(AND($E74=$AL$3,$F74=$AL$4),AND($E74=$AL$4,$F74=$AL$3)),$AN$13,IF(AND($E74=$AL$3,$F74=$AL$3),2*$AN$13,0)))))</f>
        <v>3</v>
      </c>
      <c r="I74" s="27">
        <f t="shared" ref="I74:I131" si="35">IF(AND($E74=$AL$2,$F74=$AL$2),2*$AQ$12*$K74/27,IF(OR(AND($E74=$AL$2,$F74=$AL$3),AND($E74=$AL$3,$F74=$AL$2)),($AQ$12+$AQ$13)*$K74/27,IF(OR(AND($E74=$AL$2,$F74=$AL$4),AND($E74=$AL$4,$F74=$AL$2)),$AQ$12*$K74/27,IF(OR(AND($E74=$AL$3,$F74=$AL$4),AND($E74=$AL$4,$F74=$AL$3)),$AQ$13*$K74/27,IF(AND($E74=$AL$3,$F74=$AL$3),2*$AQ$13*$K74/27,0)))))</f>
        <v>4.8766666666666021</v>
      </c>
      <c r="J74" s="78">
        <f t="shared" ref="J74:J131" si="36">IF(OR(AND($E74=$AL$2,$F74=$AL$4),AND($E74=$AL$4,$F74=$AL$2)),$AT$14,IF(OR(AND($E74=$AL$3,$F74=$AL$4),AND($E74=$AL$4,$F74=$AL$3)),$AT$14,IF(AND($E74=$AL$4,$F74=$AL$4),2*$AT$14,0)))</f>
        <v>0</v>
      </c>
      <c r="K74" s="83">
        <f t="shared" ref="K74:K106" si="37">C74-B74</f>
        <v>87.779999999998836</v>
      </c>
      <c r="L74" s="388">
        <v>40</v>
      </c>
      <c r="M74" s="389">
        <v>8</v>
      </c>
      <c r="N74" s="222">
        <f>IF(L74="-",0,ROUNDUP($K74*L74,0))</f>
        <v>3512</v>
      </c>
      <c r="O74" s="274">
        <f t="shared" ref="O74:O131" si="38">IF($M74="-",0,ROUNDUP($K74*M74,0))</f>
        <v>703</v>
      </c>
      <c r="P74" s="398">
        <v>0</v>
      </c>
      <c r="Q74" s="399">
        <v>0</v>
      </c>
      <c r="R74" s="221">
        <f t="shared" ref="R74:S131" si="39">N74+P74</f>
        <v>3512</v>
      </c>
      <c r="S74" s="269">
        <f t="shared" si="39"/>
        <v>703</v>
      </c>
      <c r="T74" s="402">
        <f>IF(OR($A74="APP SLAB",R74=0),0,(R74+$H74*$K74)/9)</f>
        <v>419.48222222222182</v>
      </c>
      <c r="U74" s="403">
        <f t="shared" ref="U74:U79" si="40">IF($A74="APP SLAB",0,S74/9)</f>
        <v>78.111111111111114</v>
      </c>
      <c r="V74" s="414">
        <f t="shared" ref="V74:W131" si="41">IF(AND(T74=0,X74=0),0,IF(X74=0,T74/2000,X74/2000))</f>
        <v>0.20974111111111091</v>
      </c>
      <c r="W74" s="415">
        <f t="shared" si="41"/>
        <v>3.9055555555555559E-2</v>
      </c>
      <c r="X74" s="402">
        <f t="shared" ref="X74:Y131" si="42">IF(OR($A74="APP SLAB",T74&lt;&gt;0),0,Z74)</f>
        <v>0</v>
      </c>
      <c r="Y74" s="403">
        <f t="shared" si="42"/>
        <v>0</v>
      </c>
      <c r="Z74" s="402">
        <f t="shared" ref="Z74" si="43">IF(OR($A74="APP SLAB",T74&lt;&gt;0),0,(R74+$H74*$K74)/9)</f>
        <v>0</v>
      </c>
      <c r="AA74" s="403">
        <f t="shared" ref="AA74:AA131" si="44">IF(OR($A74="APP SLAB",U74&lt;&gt;0),0,S74/9)</f>
        <v>0</v>
      </c>
      <c r="AB74" s="402">
        <f t="shared" ref="AB74:AB106" si="45">IF(OR($A74="APP SLAB",T74&lt;&gt;0),0,$Z$1*Z74*110*0.06*0.75/2000)</f>
        <v>0</v>
      </c>
      <c r="AC74" s="403">
        <f t="shared" ref="AC74:AC106" si="46">IF(OR($A74="APP SLAB",U74&lt;&gt;0),0,$Z$1*AA74*110*0.06*0.75/2000)</f>
        <v>0</v>
      </c>
      <c r="AD74" s="402">
        <f t="shared" ref="AD74" si="47">IF(R74=0,0,(R74*$AD$1/12)/27+$I74)</f>
        <v>69.913703703703646</v>
      </c>
      <c r="AE74" s="403">
        <f t="shared" ref="AE74:AE131" si="48">(S74*$AD$1/12)/27</f>
        <v>13.018518518518519</v>
      </c>
      <c r="AF74" s="347">
        <v>0</v>
      </c>
      <c r="AG74" s="402">
        <f t="shared" ref="AG74" si="49">IF($A74="APP SLAB",0,(R74+$J74*$K74)/9)</f>
        <v>390.22222222222223</v>
      </c>
      <c r="AH74" s="403">
        <f t="shared" ref="AH74" si="50">IF($A74="APP SLAB",0,S74/9)</f>
        <v>78.111111111111114</v>
      </c>
      <c r="AI74" s="467">
        <f t="shared" ref="AI74:AI131" si="51">IF(AND($E74=$F74="Uncurbed"),(2*$K74*2*$AI$1/12)/27,IF(OR($E74="Uncurbed",$F74="Uncurbed"),($K74*2*$AI$1/12)/27,IF(OR(AND($E74="Med. Barr.",$F74="Curbed"),AND($E74="Curbed",$F74="Med. Barr."),$E74=$F74,$E74="Unique",$F74="Unique",$E74="-",$F74="-"),0,"?")))</f>
        <v>1.761018518518495</v>
      </c>
      <c r="AJ74" s="85">
        <f t="shared" ref="AJ74:AJ131" si="52">IF($A74="APP SLAB",0,($K74*2))</f>
        <v>175.55999999999767</v>
      </c>
      <c r="AK74" s="10"/>
    </row>
    <row r="75" spans="1:37" ht="12.75" customHeight="1" x14ac:dyDescent="0.2">
      <c r="B75" s="338">
        <v>74540.72</v>
      </c>
      <c r="C75" s="339">
        <v>75390.63</v>
      </c>
      <c r="D75" s="340" t="s">
        <v>15</v>
      </c>
      <c r="E75" s="340" t="s">
        <v>105</v>
      </c>
      <c r="F75" s="340" t="s">
        <v>105</v>
      </c>
      <c r="G75" s="103" t="str">
        <f t="shared" si="33"/>
        <v>E/S - E/S</v>
      </c>
      <c r="H75" s="77">
        <f t="shared" si="34"/>
        <v>3</v>
      </c>
      <c r="I75" s="27">
        <f t="shared" si="35"/>
        <v>47.217222222222418</v>
      </c>
      <c r="J75" s="78">
        <f t="shared" si="36"/>
        <v>0</v>
      </c>
      <c r="K75" s="83">
        <f t="shared" si="37"/>
        <v>849.91000000000349</v>
      </c>
      <c r="L75" s="388">
        <v>40</v>
      </c>
      <c r="M75" s="389">
        <v>14</v>
      </c>
      <c r="N75" s="222">
        <f t="shared" ref="N75:N130" si="53">IF(L75="-",0,ROUNDUP($K75*L75,0))</f>
        <v>33997</v>
      </c>
      <c r="O75" s="274">
        <f t="shared" si="38"/>
        <v>11899</v>
      </c>
      <c r="P75" s="398">
        <v>0</v>
      </c>
      <c r="Q75" s="399">
        <v>0</v>
      </c>
      <c r="R75" s="221">
        <f t="shared" si="39"/>
        <v>33997</v>
      </c>
      <c r="S75" s="269">
        <f t="shared" si="39"/>
        <v>11899</v>
      </c>
      <c r="T75" s="402">
        <f t="shared" ref="T75:T79" si="54">IF(OR($A75="APP SLAB",R75=0),0,(R75+$H75*$K75)/9)</f>
        <v>4060.747777777779</v>
      </c>
      <c r="U75" s="403">
        <f t="shared" si="40"/>
        <v>1322.1111111111111</v>
      </c>
      <c r="V75" s="414">
        <f t="shared" si="41"/>
        <v>2.0303738888888896</v>
      </c>
      <c r="W75" s="415">
        <f t="shared" si="41"/>
        <v>0.66105555555555551</v>
      </c>
      <c r="X75" s="402">
        <f t="shared" si="42"/>
        <v>0</v>
      </c>
      <c r="Y75" s="403">
        <f t="shared" si="42"/>
        <v>0</v>
      </c>
      <c r="Z75" s="402">
        <f t="shared" ref="Z75:Z131" si="55">IF(OR($A75="APP SLAB",T75&lt;&gt;0),0,(R75+$H75*$K75)/9)</f>
        <v>0</v>
      </c>
      <c r="AA75" s="403">
        <f t="shared" si="44"/>
        <v>0</v>
      </c>
      <c r="AB75" s="402">
        <f t="shared" si="45"/>
        <v>0</v>
      </c>
      <c r="AC75" s="403">
        <f t="shared" si="46"/>
        <v>0</v>
      </c>
      <c r="AD75" s="402">
        <f t="shared" ref="AD75:AD131" si="56">IF(R75=0,0,(R75*$AD$1/12)/27+$I75)</f>
        <v>676.79129629629642</v>
      </c>
      <c r="AE75" s="403">
        <f t="shared" si="48"/>
        <v>220.35185185185185</v>
      </c>
      <c r="AF75" s="347">
        <v>0</v>
      </c>
      <c r="AG75" s="402">
        <f t="shared" ref="AG75:AG131" si="57">IF($A75="APP SLAB",0,(R75+$J75*$K75)/9)</f>
        <v>3777.4444444444443</v>
      </c>
      <c r="AH75" s="403">
        <f t="shared" ref="AH75:AH131" si="58">IF($A75="APP SLAB",0,S75/9)</f>
        <v>1322.1111111111111</v>
      </c>
      <c r="AI75" s="467">
        <f t="shared" si="51"/>
        <v>17.050663580246983</v>
      </c>
      <c r="AJ75" s="85">
        <f t="shared" si="52"/>
        <v>1699.820000000007</v>
      </c>
      <c r="AK75" s="10"/>
    </row>
    <row r="76" spans="1:37" ht="12.75" customHeight="1" x14ac:dyDescent="0.2">
      <c r="B76" s="338">
        <v>75390.63</v>
      </c>
      <c r="C76" s="339">
        <v>76200</v>
      </c>
      <c r="D76" s="340" t="s">
        <v>15</v>
      </c>
      <c r="E76" s="340" t="s">
        <v>105</v>
      </c>
      <c r="F76" s="340" t="s">
        <v>105</v>
      </c>
      <c r="G76" s="103" t="str">
        <f t="shared" si="33"/>
        <v>E/S - E/S</v>
      </c>
      <c r="H76" s="77">
        <f t="shared" si="34"/>
        <v>3</v>
      </c>
      <c r="I76" s="27">
        <f t="shared" si="35"/>
        <v>44.964999999999741</v>
      </c>
      <c r="J76" s="78">
        <f t="shared" si="36"/>
        <v>0</v>
      </c>
      <c r="K76" s="83">
        <f t="shared" si="37"/>
        <v>809.36999999999534</v>
      </c>
      <c r="L76" s="388">
        <v>40</v>
      </c>
      <c r="M76" s="389">
        <v>20</v>
      </c>
      <c r="N76" s="222">
        <f t="shared" si="53"/>
        <v>32375</v>
      </c>
      <c r="O76" s="274">
        <f t="shared" si="38"/>
        <v>16188</v>
      </c>
      <c r="P76" s="398">
        <v>0</v>
      </c>
      <c r="Q76" s="399">
        <v>0</v>
      </c>
      <c r="R76" s="221">
        <f t="shared" si="39"/>
        <v>32375</v>
      </c>
      <c r="S76" s="269">
        <f t="shared" si="39"/>
        <v>16188</v>
      </c>
      <c r="T76" s="402">
        <f t="shared" si="54"/>
        <v>3867.0122222222208</v>
      </c>
      <c r="U76" s="403">
        <f t="shared" si="40"/>
        <v>1798.6666666666667</v>
      </c>
      <c r="V76" s="414">
        <f t="shared" si="41"/>
        <v>1.9335061111111105</v>
      </c>
      <c r="W76" s="415">
        <f t="shared" si="41"/>
        <v>0.89933333333333332</v>
      </c>
      <c r="X76" s="402">
        <f t="shared" si="42"/>
        <v>0</v>
      </c>
      <c r="Y76" s="403">
        <f t="shared" si="42"/>
        <v>0</v>
      </c>
      <c r="Z76" s="402">
        <f t="shared" si="55"/>
        <v>0</v>
      </c>
      <c r="AA76" s="403">
        <f t="shared" si="44"/>
        <v>0</v>
      </c>
      <c r="AB76" s="402">
        <f t="shared" si="45"/>
        <v>0</v>
      </c>
      <c r="AC76" s="403">
        <f t="shared" si="46"/>
        <v>0</v>
      </c>
      <c r="AD76" s="402">
        <f t="shared" si="56"/>
        <v>644.50203703703676</v>
      </c>
      <c r="AE76" s="403">
        <f t="shared" si="48"/>
        <v>299.77777777777777</v>
      </c>
      <c r="AF76" s="347">
        <v>0</v>
      </c>
      <c r="AG76" s="402">
        <f t="shared" si="57"/>
        <v>3597.2222222222222</v>
      </c>
      <c r="AH76" s="403">
        <f t="shared" si="58"/>
        <v>1798.6666666666667</v>
      </c>
      <c r="AI76" s="467">
        <f t="shared" si="51"/>
        <v>16.237361111111017</v>
      </c>
      <c r="AJ76" s="85">
        <f t="shared" si="52"/>
        <v>1618.7399999999907</v>
      </c>
      <c r="AK76" s="10"/>
    </row>
    <row r="77" spans="1:37" ht="12.75" customHeight="1" x14ac:dyDescent="0.2">
      <c r="B77" s="338">
        <v>76200</v>
      </c>
      <c r="C77" s="339">
        <v>76347.87</v>
      </c>
      <c r="D77" s="340" t="s">
        <v>15</v>
      </c>
      <c r="E77" s="340" t="s">
        <v>105</v>
      </c>
      <c r="F77" s="340" t="s">
        <v>112</v>
      </c>
      <c r="G77" s="103" t="str">
        <f t="shared" si="33"/>
        <v>-</v>
      </c>
      <c r="H77" s="352">
        <v>5.33</v>
      </c>
      <c r="I77" s="341">
        <v>11.88</v>
      </c>
      <c r="J77" s="361">
        <v>0</v>
      </c>
      <c r="K77" s="83">
        <f t="shared" si="37"/>
        <v>147.86999999999534</v>
      </c>
      <c r="L77" s="388">
        <v>40</v>
      </c>
      <c r="M77" s="389">
        <v>20</v>
      </c>
      <c r="N77" s="222">
        <f t="shared" si="53"/>
        <v>5915</v>
      </c>
      <c r="O77" s="274">
        <f t="shared" si="38"/>
        <v>2958</v>
      </c>
      <c r="P77" s="398">
        <v>0</v>
      </c>
      <c r="Q77" s="399">
        <v>0</v>
      </c>
      <c r="R77" s="221">
        <f t="shared" si="39"/>
        <v>5915</v>
      </c>
      <c r="S77" s="269">
        <f t="shared" si="39"/>
        <v>2958</v>
      </c>
      <c r="T77" s="402">
        <f t="shared" si="54"/>
        <v>744.79412222221947</v>
      </c>
      <c r="U77" s="403">
        <f t="shared" si="40"/>
        <v>328.66666666666669</v>
      </c>
      <c r="V77" s="414">
        <f t="shared" si="41"/>
        <v>0.37239706111110976</v>
      </c>
      <c r="W77" s="415">
        <f t="shared" si="41"/>
        <v>0.16433333333333333</v>
      </c>
      <c r="X77" s="402">
        <f t="shared" si="42"/>
        <v>0</v>
      </c>
      <c r="Y77" s="403">
        <f t="shared" si="42"/>
        <v>0</v>
      </c>
      <c r="Z77" s="402">
        <f t="shared" si="55"/>
        <v>0</v>
      </c>
      <c r="AA77" s="403">
        <f t="shared" si="44"/>
        <v>0</v>
      </c>
      <c r="AB77" s="402">
        <f t="shared" si="45"/>
        <v>0</v>
      </c>
      <c r="AC77" s="403">
        <f t="shared" si="46"/>
        <v>0</v>
      </c>
      <c r="AD77" s="402">
        <f t="shared" si="56"/>
        <v>121.41703703703703</v>
      </c>
      <c r="AE77" s="403">
        <f t="shared" si="48"/>
        <v>54.777777777777779</v>
      </c>
      <c r="AF77" s="347">
        <v>0</v>
      </c>
      <c r="AG77" s="402">
        <f t="shared" si="57"/>
        <v>657.22222222222217</v>
      </c>
      <c r="AH77" s="403">
        <f t="shared" si="58"/>
        <v>328.66666666666669</v>
      </c>
      <c r="AI77" s="467">
        <f t="shared" si="51"/>
        <v>2.9665277777776846</v>
      </c>
      <c r="AJ77" s="85">
        <f t="shared" si="52"/>
        <v>295.73999999999069</v>
      </c>
      <c r="AK77" s="10"/>
    </row>
    <row r="78" spans="1:37" ht="12.75" customHeight="1" x14ac:dyDescent="0.2">
      <c r="A78" s="106" t="s">
        <v>54</v>
      </c>
      <c r="B78" s="338">
        <v>76347.87</v>
      </c>
      <c r="C78" s="339">
        <v>76978.7</v>
      </c>
      <c r="D78" s="340" t="s">
        <v>15</v>
      </c>
      <c r="E78" s="340" t="s">
        <v>105</v>
      </c>
      <c r="F78" s="340" t="s">
        <v>111</v>
      </c>
      <c r="G78" s="103" t="str">
        <f t="shared" si="33"/>
        <v>E/S - C/B</v>
      </c>
      <c r="H78" s="77">
        <f t="shared" si="34"/>
        <v>1.5</v>
      </c>
      <c r="I78" s="27">
        <f t="shared" si="35"/>
        <v>17.523055555555604</v>
      </c>
      <c r="J78" s="78">
        <f t="shared" si="36"/>
        <v>-1.42</v>
      </c>
      <c r="K78" s="83">
        <f t="shared" si="37"/>
        <v>630.83000000000175</v>
      </c>
      <c r="L78" s="388">
        <v>41.42</v>
      </c>
      <c r="M78" s="389">
        <v>20</v>
      </c>
      <c r="N78" s="222">
        <f t="shared" si="53"/>
        <v>26129</v>
      </c>
      <c r="O78" s="274">
        <f t="shared" si="38"/>
        <v>12617</v>
      </c>
      <c r="P78" s="398">
        <v>0</v>
      </c>
      <c r="Q78" s="399">
        <v>0</v>
      </c>
      <c r="R78" s="221">
        <f t="shared" si="39"/>
        <v>26129</v>
      </c>
      <c r="S78" s="269">
        <f t="shared" si="39"/>
        <v>12617</v>
      </c>
      <c r="T78" s="402">
        <f t="shared" si="54"/>
        <v>3008.3605555555559</v>
      </c>
      <c r="U78" s="403">
        <f t="shared" si="40"/>
        <v>1401.8888888888889</v>
      </c>
      <c r="V78" s="414">
        <f t="shared" si="41"/>
        <v>1.504180277777778</v>
      </c>
      <c r="W78" s="415">
        <f t="shared" si="41"/>
        <v>0.70094444444444448</v>
      </c>
      <c r="X78" s="402">
        <f t="shared" si="42"/>
        <v>0</v>
      </c>
      <c r="Y78" s="403">
        <f t="shared" si="42"/>
        <v>0</v>
      </c>
      <c r="Z78" s="402">
        <f t="shared" si="55"/>
        <v>0</v>
      </c>
      <c r="AA78" s="403">
        <f t="shared" si="44"/>
        <v>0</v>
      </c>
      <c r="AB78" s="402">
        <f t="shared" si="45"/>
        <v>0</v>
      </c>
      <c r="AC78" s="403">
        <f t="shared" si="46"/>
        <v>0</v>
      </c>
      <c r="AD78" s="402">
        <f t="shared" si="56"/>
        <v>501.39342592592601</v>
      </c>
      <c r="AE78" s="403">
        <f t="shared" si="48"/>
        <v>233.64814814814815</v>
      </c>
      <c r="AF78" s="347">
        <v>0</v>
      </c>
      <c r="AG78" s="402">
        <f t="shared" si="57"/>
        <v>2803.6912666666667</v>
      </c>
      <c r="AH78" s="403">
        <f t="shared" si="58"/>
        <v>1401.8888888888889</v>
      </c>
      <c r="AI78" s="467">
        <f t="shared" si="51"/>
        <v>12.655540123456824</v>
      </c>
      <c r="AJ78" s="85">
        <f t="shared" si="52"/>
        <v>1261.6600000000035</v>
      </c>
      <c r="AK78" s="10"/>
    </row>
    <row r="79" spans="1:37" ht="12.75" customHeight="1" x14ac:dyDescent="0.2">
      <c r="A79" s="106" t="s">
        <v>55</v>
      </c>
      <c r="B79" s="338">
        <v>76978.7</v>
      </c>
      <c r="C79" s="339">
        <v>76996</v>
      </c>
      <c r="D79" s="340" t="s">
        <v>15</v>
      </c>
      <c r="E79" s="340" t="s">
        <v>105</v>
      </c>
      <c r="F79" s="340" t="s">
        <v>111</v>
      </c>
      <c r="G79" s="103" t="str">
        <f t="shared" si="33"/>
        <v>E/S - C/B</v>
      </c>
      <c r="H79" s="77">
        <f t="shared" si="34"/>
        <v>1.5</v>
      </c>
      <c r="I79" s="27">
        <f t="shared" si="35"/>
        <v>0.48055555555563639</v>
      </c>
      <c r="J79" s="78">
        <f t="shared" si="36"/>
        <v>-1.42</v>
      </c>
      <c r="K79" s="83">
        <f t="shared" si="37"/>
        <v>17.30000000000291</v>
      </c>
      <c r="L79" s="388">
        <v>41.42</v>
      </c>
      <c r="M79" s="389">
        <v>20</v>
      </c>
      <c r="N79" s="222">
        <f t="shared" si="53"/>
        <v>717</v>
      </c>
      <c r="O79" s="274">
        <f t="shared" si="38"/>
        <v>347</v>
      </c>
      <c r="P79" s="398">
        <v>0</v>
      </c>
      <c r="Q79" s="399">
        <v>0</v>
      </c>
      <c r="R79" s="221">
        <f t="shared" si="39"/>
        <v>717</v>
      </c>
      <c r="S79" s="269">
        <f t="shared" si="39"/>
        <v>347</v>
      </c>
      <c r="T79" s="402">
        <f t="shared" si="54"/>
        <v>82.55000000000048</v>
      </c>
      <c r="U79" s="403">
        <f t="shared" si="40"/>
        <v>38.555555555555557</v>
      </c>
      <c r="V79" s="414">
        <f t="shared" si="41"/>
        <v>4.1275000000000242E-2</v>
      </c>
      <c r="W79" s="415">
        <f t="shared" si="41"/>
        <v>1.9277777777777779E-2</v>
      </c>
      <c r="X79" s="402">
        <f t="shared" si="42"/>
        <v>0</v>
      </c>
      <c r="Y79" s="403">
        <f t="shared" si="42"/>
        <v>0</v>
      </c>
      <c r="Z79" s="402">
        <f t="shared" si="55"/>
        <v>0</v>
      </c>
      <c r="AA79" s="403">
        <f t="shared" si="44"/>
        <v>0</v>
      </c>
      <c r="AB79" s="402">
        <f t="shared" si="45"/>
        <v>0</v>
      </c>
      <c r="AC79" s="403">
        <f t="shared" si="46"/>
        <v>0</v>
      </c>
      <c r="AD79" s="402">
        <f t="shared" si="56"/>
        <v>13.758333333333415</v>
      </c>
      <c r="AE79" s="403">
        <f t="shared" si="48"/>
        <v>6.4259259259259256</v>
      </c>
      <c r="AF79" s="347">
        <v>0</v>
      </c>
      <c r="AG79" s="402">
        <f t="shared" si="57"/>
        <v>76.937111111110653</v>
      </c>
      <c r="AH79" s="403">
        <f t="shared" si="58"/>
        <v>38.555555555555557</v>
      </c>
      <c r="AI79" s="467">
        <f t="shared" si="51"/>
        <v>0.34706790123462627</v>
      </c>
      <c r="AJ79" s="85">
        <f t="shared" si="52"/>
        <v>34.600000000005821</v>
      </c>
      <c r="AK79" s="10"/>
    </row>
    <row r="80" spans="1:37" ht="12.75" customHeight="1" x14ac:dyDescent="0.2">
      <c r="B80" s="338">
        <v>76996</v>
      </c>
      <c r="C80" s="339">
        <v>77200</v>
      </c>
      <c r="D80" s="340" t="s">
        <v>15</v>
      </c>
      <c r="E80" s="340" t="s">
        <v>106</v>
      </c>
      <c r="F80" s="340" t="s">
        <v>111</v>
      </c>
      <c r="G80" s="103" t="str">
        <f t="shared" si="33"/>
        <v>F/C - C/B</v>
      </c>
      <c r="H80" s="77">
        <f t="shared" si="34"/>
        <v>2</v>
      </c>
      <c r="I80" s="27">
        <f t="shared" si="35"/>
        <v>5.666666666666667</v>
      </c>
      <c r="J80" s="78">
        <f t="shared" si="36"/>
        <v>-1.42</v>
      </c>
      <c r="K80" s="83">
        <f t="shared" si="37"/>
        <v>204</v>
      </c>
      <c r="L80" s="388">
        <v>43.42</v>
      </c>
      <c r="M80" s="389">
        <v>20</v>
      </c>
      <c r="N80" s="222">
        <f t="shared" si="53"/>
        <v>8858</v>
      </c>
      <c r="O80" s="274">
        <f t="shared" si="38"/>
        <v>4080</v>
      </c>
      <c r="P80" s="398">
        <v>0</v>
      </c>
      <c r="Q80" s="399">
        <v>0</v>
      </c>
      <c r="R80" s="221">
        <f t="shared" si="39"/>
        <v>8858</v>
      </c>
      <c r="S80" s="269">
        <f t="shared" si="39"/>
        <v>4080</v>
      </c>
      <c r="T80" s="406">
        <v>0</v>
      </c>
      <c r="U80" s="407">
        <v>0</v>
      </c>
      <c r="V80" s="414">
        <f t="shared" si="41"/>
        <v>0.51477777777777778</v>
      </c>
      <c r="W80" s="415">
        <f t="shared" si="41"/>
        <v>0.22666666666666666</v>
      </c>
      <c r="X80" s="402">
        <f t="shared" si="42"/>
        <v>1029.5555555555557</v>
      </c>
      <c r="Y80" s="403">
        <f t="shared" si="42"/>
        <v>453.33333333333331</v>
      </c>
      <c r="Z80" s="402">
        <f t="shared" si="55"/>
        <v>1029.5555555555557</v>
      </c>
      <c r="AA80" s="403">
        <f t="shared" si="44"/>
        <v>453.33333333333331</v>
      </c>
      <c r="AB80" s="402">
        <f t="shared" si="45"/>
        <v>30.577800000000003</v>
      </c>
      <c r="AC80" s="403">
        <f t="shared" si="46"/>
        <v>13.464</v>
      </c>
      <c r="AD80" s="402">
        <f t="shared" si="56"/>
        <v>169.7037037037037</v>
      </c>
      <c r="AE80" s="403">
        <f t="shared" si="48"/>
        <v>75.555555555555557</v>
      </c>
      <c r="AF80" s="347">
        <v>0</v>
      </c>
      <c r="AG80" s="402">
        <f t="shared" si="57"/>
        <v>952.03555555555556</v>
      </c>
      <c r="AH80" s="403">
        <f t="shared" si="58"/>
        <v>453.33333333333331</v>
      </c>
      <c r="AI80" s="467">
        <f t="shared" si="51"/>
        <v>0</v>
      </c>
      <c r="AJ80" s="85">
        <f t="shared" si="52"/>
        <v>408</v>
      </c>
      <c r="AK80" s="10"/>
    </row>
    <row r="81" spans="1:37" ht="12.75" customHeight="1" x14ac:dyDescent="0.2">
      <c r="B81" s="338">
        <v>77200</v>
      </c>
      <c r="C81" s="339">
        <v>77587.88</v>
      </c>
      <c r="D81" s="340" t="s">
        <v>15</v>
      </c>
      <c r="E81" s="340" t="s">
        <v>106</v>
      </c>
      <c r="F81" s="340" t="s">
        <v>111</v>
      </c>
      <c r="G81" s="103" t="str">
        <f t="shared" si="33"/>
        <v>F/C - C/B</v>
      </c>
      <c r="H81" s="77">
        <f t="shared" si="34"/>
        <v>2</v>
      </c>
      <c r="I81" s="27">
        <f t="shared" si="35"/>
        <v>10.774444444444574</v>
      </c>
      <c r="J81" s="78">
        <f t="shared" si="36"/>
        <v>-1.42</v>
      </c>
      <c r="K81" s="83">
        <f t="shared" si="37"/>
        <v>387.88000000000466</v>
      </c>
      <c r="L81" s="388">
        <v>43.42</v>
      </c>
      <c r="M81" s="389">
        <v>20</v>
      </c>
      <c r="N81" s="222">
        <f t="shared" si="53"/>
        <v>16842</v>
      </c>
      <c r="O81" s="274">
        <f t="shared" si="38"/>
        <v>7758</v>
      </c>
      <c r="P81" s="398">
        <v>0</v>
      </c>
      <c r="Q81" s="399">
        <v>0</v>
      </c>
      <c r="R81" s="221">
        <f t="shared" si="39"/>
        <v>16842</v>
      </c>
      <c r="S81" s="269">
        <f t="shared" si="39"/>
        <v>7758</v>
      </c>
      <c r="T81" s="406">
        <v>0</v>
      </c>
      <c r="U81" s="407">
        <v>0</v>
      </c>
      <c r="V81" s="414">
        <f t="shared" si="41"/>
        <v>0.97876444444444499</v>
      </c>
      <c r="W81" s="415">
        <f t="shared" si="41"/>
        <v>0.43099999999999999</v>
      </c>
      <c r="X81" s="402">
        <f t="shared" si="42"/>
        <v>1957.5288888888899</v>
      </c>
      <c r="Y81" s="403">
        <f t="shared" si="42"/>
        <v>862</v>
      </c>
      <c r="Z81" s="402">
        <f t="shared" si="55"/>
        <v>1957.5288888888899</v>
      </c>
      <c r="AA81" s="403">
        <f t="shared" si="44"/>
        <v>862</v>
      </c>
      <c r="AB81" s="402">
        <f t="shared" si="45"/>
        <v>58.138608000000033</v>
      </c>
      <c r="AC81" s="403">
        <f t="shared" si="46"/>
        <v>25.601399999999998</v>
      </c>
      <c r="AD81" s="402">
        <f t="shared" si="56"/>
        <v>322.66333333333347</v>
      </c>
      <c r="AE81" s="403">
        <f t="shared" si="48"/>
        <v>143.66666666666666</v>
      </c>
      <c r="AF81" s="347">
        <v>0</v>
      </c>
      <c r="AG81" s="402">
        <f t="shared" si="57"/>
        <v>1810.134488888888</v>
      </c>
      <c r="AH81" s="403">
        <f t="shared" si="58"/>
        <v>862</v>
      </c>
      <c r="AI81" s="467">
        <f t="shared" si="51"/>
        <v>0</v>
      </c>
      <c r="AJ81" s="85">
        <f t="shared" si="52"/>
        <v>775.76000000000931</v>
      </c>
      <c r="AK81" s="10"/>
    </row>
    <row r="82" spans="1:37" ht="12.75" customHeight="1" x14ac:dyDescent="0.2">
      <c r="B82" s="338">
        <v>77587.88</v>
      </c>
      <c r="C82" s="339">
        <v>77900.039999999994</v>
      </c>
      <c r="D82" s="340" t="s">
        <v>15</v>
      </c>
      <c r="E82" s="340" t="s">
        <v>106</v>
      </c>
      <c r="F82" s="340" t="s">
        <v>111</v>
      </c>
      <c r="G82" s="103" t="str">
        <f t="shared" si="33"/>
        <v>F/C - C/B</v>
      </c>
      <c r="H82" s="77">
        <f t="shared" si="34"/>
        <v>2</v>
      </c>
      <c r="I82" s="27">
        <f t="shared" si="35"/>
        <v>8.6711111111108039</v>
      </c>
      <c r="J82" s="78">
        <f t="shared" si="36"/>
        <v>-1.42</v>
      </c>
      <c r="K82" s="83">
        <f t="shared" si="37"/>
        <v>312.15999999998894</v>
      </c>
      <c r="L82" s="388">
        <v>46.54</v>
      </c>
      <c r="M82" s="389">
        <v>20</v>
      </c>
      <c r="N82" s="222">
        <f t="shared" si="53"/>
        <v>14528</v>
      </c>
      <c r="O82" s="274">
        <f t="shared" si="38"/>
        <v>6244</v>
      </c>
      <c r="P82" s="398">
        <v>0</v>
      </c>
      <c r="Q82" s="399">
        <v>0</v>
      </c>
      <c r="R82" s="221">
        <f t="shared" si="39"/>
        <v>14528</v>
      </c>
      <c r="S82" s="269">
        <f t="shared" si="39"/>
        <v>6244</v>
      </c>
      <c r="T82" s="406">
        <v>0</v>
      </c>
      <c r="U82" s="407">
        <v>0</v>
      </c>
      <c r="V82" s="414">
        <f t="shared" si="41"/>
        <v>0.8417955555555543</v>
      </c>
      <c r="W82" s="415">
        <f t="shared" si="41"/>
        <v>0.34688888888888891</v>
      </c>
      <c r="X82" s="402">
        <f t="shared" si="42"/>
        <v>1683.5911111111086</v>
      </c>
      <c r="Y82" s="403">
        <f t="shared" si="42"/>
        <v>693.77777777777783</v>
      </c>
      <c r="Z82" s="402">
        <f t="shared" si="55"/>
        <v>1683.5911111111086</v>
      </c>
      <c r="AA82" s="403">
        <f t="shared" si="44"/>
        <v>693.77777777777783</v>
      </c>
      <c r="AB82" s="402">
        <f t="shared" si="45"/>
        <v>50.002655999999924</v>
      </c>
      <c r="AC82" s="403">
        <f t="shared" si="46"/>
        <v>20.6052</v>
      </c>
      <c r="AD82" s="402">
        <f t="shared" si="56"/>
        <v>277.70814814814781</v>
      </c>
      <c r="AE82" s="403">
        <f t="shared" si="48"/>
        <v>115.62962962962963</v>
      </c>
      <c r="AF82" s="347">
        <v>0</v>
      </c>
      <c r="AG82" s="402">
        <f t="shared" si="57"/>
        <v>1564.970311111113</v>
      </c>
      <c r="AH82" s="403">
        <f t="shared" si="58"/>
        <v>693.77777777777783</v>
      </c>
      <c r="AI82" s="467">
        <f t="shared" si="51"/>
        <v>0</v>
      </c>
      <c r="AJ82" s="85">
        <f t="shared" si="52"/>
        <v>624.31999999997788</v>
      </c>
      <c r="AK82" s="10"/>
    </row>
    <row r="83" spans="1:37" ht="12.75" customHeight="1" x14ac:dyDescent="0.2">
      <c r="B83" s="338">
        <v>77900.039999999994</v>
      </c>
      <c r="C83" s="339">
        <v>78637.72</v>
      </c>
      <c r="D83" s="340" t="s">
        <v>15</v>
      </c>
      <c r="E83" s="340" t="s">
        <v>105</v>
      </c>
      <c r="F83" s="340" t="s">
        <v>111</v>
      </c>
      <c r="G83" s="103" t="str">
        <f t="shared" si="33"/>
        <v>E/S - C/B</v>
      </c>
      <c r="H83" s="77">
        <f t="shared" si="34"/>
        <v>1.5</v>
      </c>
      <c r="I83" s="27">
        <f t="shared" si="35"/>
        <v>20.491111111111323</v>
      </c>
      <c r="J83" s="78">
        <f t="shared" si="36"/>
        <v>-1.42</v>
      </c>
      <c r="K83" s="83">
        <f t="shared" si="37"/>
        <v>737.68000000000757</v>
      </c>
      <c r="L83" s="388">
        <v>55.04</v>
      </c>
      <c r="M83" s="389">
        <v>20</v>
      </c>
      <c r="N83" s="222">
        <f t="shared" si="53"/>
        <v>40602</v>
      </c>
      <c r="O83" s="274">
        <f t="shared" si="38"/>
        <v>14754</v>
      </c>
      <c r="P83" s="398">
        <v>0</v>
      </c>
      <c r="Q83" s="399">
        <v>0</v>
      </c>
      <c r="R83" s="221">
        <f t="shared" si="39"/>
        <v>40602</v>
      </c>
      <c r="S83" s="269">
        <f t="shared" si="39"/>
        <v>14754</v>
      </c>
      <c r="T83" s="406">
        <v>0</v>
      </c>
      <c r="U83" s="407">
        <v>0</v>
      </c>
      <c r="V83" s="414">
        <f t="shared" si="41"/>
        <v>2.3171400000000006</v>
      </c>
      <c r="W83" s="415">
        <f t="shared" si="41"/>
        <v>0.81966666666666665</v>
      </c>
      <c r="X83" s="402">
        <f t="shared" si="42"/>
        <v>4634.2800000000016</v>
      </c>
      <c r="Y83" s="403">
        <f t="shared" si="42"/>
        <v>1639.3333333333333</v>
      </c>
      <c r="Z83" s="402">
        <f t="shared" si="55"/>
        <v>4634.2800000000016</v>
      </c>
      <c r="AA83" s="403">
        <f t="shared" si="44"/>
        <v>1639.3333333333333</v>
      </c>
      <c r="AB83" s="402">
        <f t="shared" si="45"/>
        <v>137.63811600000002</v>
      </c>
      <c r="AC83" s="403">
        <f t="shared" si="46"/>
        <v>48.688199999999995</v>
      </c>
      <c r="AD83" s="402">
        <f t="shared" si="56"/>
        <v>772.38000000000022</v>
      </c>
      <c r="AE83" s="403">
        <f t="shared" si="48"/>
        <v>273.22222222222223</v>
      </c>
      <c r="AF83" s="347">
        <v>0</v>
      </c>
      <c r="AG83" s="402">
        <f t="shared" si="57"/>
        <v>4394.9438222222207</v>
      </c>
      <c r="AH83" s="403">
        <f t="shared" si="58"/>
        <v>1639.3333333333333</v>
      </c>
      <c r="AI83" s="467">
        <f t="shared" si="51"/>
        <v>14.799135802469287</v>
      </c>
      <c r="AJ83" s="85">
        <f t="shared" si="52"/>
        <v>1475.3600000000151</v>
      </c>
      <c r="AK83" s="10"/>
    </row>
    <row r="84" spans="1:37" ht="12.75" customHeight="1" x14ac:dyDescent="0.2">
      <c r="B84" s="338">
        <v>78637.72</v>
      </c>
      <c r="C84" s="339">
        <v>78687.41</v>
      </c>
      <c r="D84" s="340" t="s">
        <v>15</v>
      </c>
      <c r="E84" s="340" t="s">
        <v>105</v>
      </c>
      <c r="F84" s="340" t="s">
        <v>111</v>
      </c>
      <c r="G84" s="103" t="str">
        <f t="shared" si="33"/>
        <v>E/S - C/B</v>
      </c>
      <c r="H84" s="77">
        <f t="shared" si="34"/>
        <v>1.5</v>
      </c>
      <c r="I84" s="27">
        <f t="shared" si="35"/>
        <v>1.3802777777778426</v>
      </c>
      <c r="J84" s="78">
        <f t="shared" si="36"/>
        <v>-1.42</v>
      </c>
      <c r="K84" s="83">
        <f t="shared" si="37"/>
        <v>49.690000000002328</v>
      </c>
      <c r="L84" s="388">
        <v>61.55</v>
      </c>
      <c r="M84" s="389">
        <v>20</v>
      </c>
      <c r="N84" s="222">
        <f t="shared" si="53"/>
        <v>3059</v>
      </c>
      <c r="O84" s="274">
        <f t="shared" si="38"/>
        <v>994</v>
      </c>
      <c r="P84" s="398">
        <v>0</v>
      </c>
      <c r="Q84" s="399">
        <v>0</v>
      </c>
      <c r="R84" s="221">
        <f t="shared" si="39"/>
        <v>3059</v>
      </c>
      <c r="S84" s="269">
        <f t="shared" si="39"/>
        <v>994</v>
      </c>
      <c r="T84" s="406">
        <v>0</v>
      </c>
      <c r="U84" s="407">
        <v>0</v>
      </c>
      <c r="V84" s="414">
        <f t="shared" si="41"/>
        <v>0.17408527777777796</v>
      </c>
      <c r="W84" s="415">
        <f t="shared" si="41"/>
        <v>5.5222222222222221E-2</v>
      </c>
      <c r="X84" s="402">
        <f t="shared" si="42"/>
        <v>348.17055555555595</v>
      </c>
      <c r="Y84" s="403">
        <f t="shared" si="42"/>
        <v>110.44444444444444</v>
      </c>
      <c r="Z84" s="402">
        <f t="shared" si="55"/>
        <v>348.17055555555595</v>
      </c>
      <c r="AA84" s="403">
        <f t="shared" si="44"/>
        <v>110.44444444444444</v>
      </c>
      <c r="AB84" s="402">
        <f t="shared" si="45"/>
        <v>10.340665500000012</v>
      </c>
      <c r="AC84" s="403">
        <f t="shared" si="46"/>
        <v>3.2801999999999998</v>
      </c>
      <c r="AD84" s="402">
        <f t="shared" si="56"/>
        <v>58.028425925925987</v>
      </c>
      <c r="AE84" s="403">
        <f t="shared" si="48"/>
        <v>18.407407407407408</v>
      </c>
      <c r="AF84" s="347">
        <v>0</v>
      </c>
      <c r="AG84" s="402">
        <f t="shared" si="57"/>
        <v>332.04891111111078</v>
      </c>
      <c r="AH84" s="403">
        <f t="shared" si="58"/>
        <v>110.44444444444444</v>
      </c>
      <c r="AI84" s="467">
        <f t="shared" si="51"/>
        <v>0.99686728395066393</v>
      </c>
      <c r="AJ84" s="85">
        <f t="shared" si="52"/>
        <v>99.380000000004657</v>
      </c>
      <c r="AK84" s="10"/>
    </row>
    <row r="85" spans="1:37" ht="12.75" customHeight="1" x14ac:dyDescent="0.2">
      <c r="B85" s="338">
        <v>78687.41</v>
      </c>
      <c r="C85" s="339">
        <v>78882.06</v>
      </c>
      <c r="D85" s="340" t="s">
        <v>15</v>
      </c>
      <c r="E85" s="340" t="s">
        <v>105</v>
      </c>
      <c r="F85" s="340" t="s">
        <v>111</v>
      </c>
      <c r="G85" s="103" t="str">
        <f t="shared" si="33"/>
        <v>E/S - C/B</v>
      </c>
      <c r="H85" s="77">
        <f t="shared" si="34"/>
        <v>1.5</v>
      </c>
      <c r="I85" s="27">
        <f t="shared" si="35"/>
        <v>5.4069444444442825</v>
      </c>
      <c r="J85" s="78">
        <f t="shared" si="36"/>
        <v>-1.42</v>
      </c>
      <c r="K85" s="83">
        <f t="shared" si="37"/>
        <v>194.64999999999418</v>
      </c>
      <c r="L85" s="388" t="s">
        <v>101</v>
      </c>
      <c r="M85" s="389" t="s">
        <v>101</v>
      </c>
      <c r="N85" s="222">
        <f t="shared" si="53"/>
        <v>0</v>
      </c>
      <c r="O85" s="274">
        <f t="shared" si="38"/>
        <v>0</v>
      </c>
      <c r="P85" s="398">
        <v>12713</v>
      </c>
      <c r="Q85" s="399">
        <v>3893</v>
      </c>
      <c r="R85" s="221">
        <f t="shared" si="39"/>
        <v>12713</v>
      </c>
      <c r="S85" s="269">
        <f t="shared" si="39"/>
        <v>3893</v>
      </c>
      <c r="T85" s="406">
        <v>0</v>
      </c>
      <c r="U85" s="407">
        <v>0</v>
      </c>
      <c r="V85" s="414">
        <f t="shared" si="41"/>
        <v>0.72249861111111069</v>
      </c>
      <c r="W85" s="415">
        <f t="shared" si="41"/>
        <v>0.21627777777777776</v>
      </c>
      <c r="X85" s="402">
        <f t="shared" si="42"/>
        <v>1444.9972222222214</v>
      </c>
      <c r="Y85" s="403">
        <f t="shared" si="42"/>
        <v>432.55555555555554</v>
      </c>
      <c r="Z85" s="402">
        <f t="shared" si="55"/>
        <v>1444.9972222222214</v>
      </c>
      <c r="AA85" s="403">
        <f t="shared" si="44"/>
        <v>432.55555555555554</v>
      </c>
      <c r="AB85" s="402">
        <f t="shared" si="45"/>
        <v>42.916417499999973</v>
      </c>
      <c r="AC85" s="403">
        <f t="shared" si="46"/>
        <v>12.846899999999998</v>
      </c>
      <c r="AD85" s="402">
        <f t="shared" si="56"/>
        <v>240.83287037037022</v>
      </c>
      <c r="AE85" s="403">
        <f t="shared" si="48"/>
        <v>72.092592592592595</v>
      </c>
      <c r="AF85" s="347">
        <v>0</v>
      </c>
      <c r="AG85" s="402">
        <f t="shared" si="57"/>
        <v>1381.8441111111122</v>
      </c>
      <c r="AH85" s="403">
        <f t="shared" si="58"/>
        <v>432.55555555555554</v>
      </c>
      <c r="AI85" s="467">
        <f t="shared" si="51"/>
        <v>3.9050154320986485</v>
      </c>
      <c r="AJ85" s="85">
        <f t="shared" si="52"/>
        <v>389.29999999998836</v>
      </c>
      <c r="AK85" s="10"/>
    </row>
    <row r="86" spans="1:37" ht="12.75" customHeight="1" x14ac:dyDescent="0.2">
      <c r="B86" s="338">
        <v>78882.06</v>
      </c>
      <c r="C86" s="339">
        <v>79600</v>
      </c>
      <c r="D86" s="340" t="s">
        <v>15</v>
      </c>
      <c r="E86" s="340" t="s">
        <v>105</v>
      </c>
      <c r="F86" s="340" t="s">
        <v>111</v>
      </c>
      <c r="G86" s="103" t="str">
        <f t="shared" si="33"/>
        <v>E/S - C/B</v>
      </c>
      <c r="H86" s="77">
        <f t="shared" si="34"/>
        <v>1.5</v>
      </c>
      <c r="I86" s="27">
        <f t="shared" si="35"/>
        <v>19.942777777777842</v>
      </c>
      <c r="J86" s="78">
        <f t="shared" si="36"/>
        <v>-1.42</v>
      </c>
      <c r="K86" s="83">
        <f t="shared" si="37"/>
        <v>717.94000000000233</v>
      </c>
      <c r="L86" s="388">
        <v>41.42</v>
      </c>
      <c r="M86" s="389">
        <v>20</v>
      </c>
      <c r="N86" s="222">
        <f t="shared" si="53"/>
        <v>29738</v>
      </c>
      <c r="O86" s="274">
        <f t="shared" si="38"/>
        <v>14359</v>
      </c>
      <c r="P86" s="398">
        <v>0</v>
      </c>
      <c r="Q86" s="399">
        <v>0</v>
      </c>
      <c r="R86" s="221">
        <f t="shared" si="39"/>
        <v>29738</v>
      </c>
      <c r="S86" s="269">
        <f t="shared" si="39"/>
        <v>14359</v>
      </c>
      <c r="T86" s="406">
        <v>0</v>
      </c>
      <c r="U86" s="407">
        <v>0</v>
      </c>
      <c r="V86" s="414">
        <f t="shared" si="41"/>
        <v>1.7119394444444447</v>
      </c>
      <c r="W86" s="415">
        <f t="shared" si="41"/>
        <v>0.79772222222222222</v>
      </c>
      <c r="X86" s="402">
        <f t="shared" si="42"/>
        <v>3423.8788888888894</v>
      </c>
      <c r="Y86" s="403">
        <f t="shared" si="42"/>
        <v>1595.4444444444443</v>
      </c>
      <c r="Z86" s="402">
        <f t="shared" si="55"/>
        <v>3423.8788888888894</v>
      </c>
      <c r="AA86" s="403">
        <f t="shared" si="44"/>
        <v>1595.4444444444443</v>
      </c>
      <c r="AB86" s="402">
        <f t="shared" si="45"/>
        <v>101.68920300000003</v>
      </c>
      <c r="AC86" s="403">
        <f t="shared" si="46"/>
        <v>47.384699999999995</v>
      </c>
      <c r="AD86" s="402">
        <f t="shared" si="56"/>
        <v>570.64648148148149</v>
      </c>
      <c r="AE86" s="403">
        <f t="shared" si="48"/>
        <v>265.90740740740739</v>
      </c>
      <c r="AF86" s="347">
        <v>0</v>
      </c>
      <c r="AG86" s="402">
        <f t="shared" si="57"/>
        <v>3190.9472444444441</v>
      </c>
      <c r="AH86" s="403">
        <f t="shared" si="58"/>
        <v>1595.4444444444443</v>
      </c>
      <c r="AI86" s="467">
        <f t="shared" si="51"/>
        <v>14.403117283950664</v>
      </c>
      <c r="AJ86" s="85">
        <f t="shared" si="52"/>
        <v>1435.8800000000047</v>
      </c>
      <c r="AK86" s="10"/>
    </row>
    <row r="87" spans="1:37" ht="12.75" customHeight="1" x14ac:dyDescent="0.2">
      <c r="B87" s="338">
        <v>79600</v>
      </c>
      <c r="C87" s="339">
        <v>79939.679999999993</v>
      </c>
      <c r="D87" s="340" t="s">
        <v>15</v>
      </c>
      <c r="E87" s="340" t="s">
        <v>105</v>
      </c>
      <c r="F87" s="340" t="s">
        <v>111</v>
      </c>
      <c r="G87" s="103" t="str">
        <f t="shared" si="33"/>
        <v>E/S - C/B</v>
      </c>
      <c r="H87" s="77">
        <f t="shared" si="34"/>
        <v>1.5</v>
      </c>
      <c r="I87" s="27">
        <f t="shared" si="35"/>
        <v>9.4355555555553607</v>
      </c>
      <c r="J87" s="78">
        <f t="shared" si="36"/>
        <v>-1.42</v>
      </c>
      <c r="K87" s="492">
        <f t="shared" ref="K87" si="59">C87-B87</f>
        <v>339.67999999999302</v>
      </c>
      <c r="L87" s="388">
        <v>41.42</v>
      </c>
      <c r="M87" s="389">
        <v>20</v>
      </c>
      <c r="N87" s="222">
        <f t="shared" ref="N87" si="60">IF(L87="-",0,ROUNDUP($K87*L87,0))</f>
        <v>14070</v>
      </c>
      <c r="O87" s="274">
        <f t="shared" ref="O87" si="61">IF($M87="-",0,ROUNDUP($K87*M87,0))</f>
        <v>6794</v>
      </c>
      <c r="P87" s="398">
        <v>0</v>
      </c>
      <c r="Q87" s="399">
        <v>0</v>
      </c>
      <c r="R87" s="221">
        <f t="shared" ref="R87" si="62">N87+P87</f>
        <v>14070</v>
      </c>
      <c r="S87" s="269">
        <f t="shared" ref="S87" si="63">O87+Q87</f>
        <v>6794</v>
      </c>
      <c r="T87" s="402">
        <f t="shared" ref="T87" si="64">IF(OR($A87="APP SLAB",R87=0),0,(R87+$H87*$K87)/9)</f>
        <v>1619.9466666666656</v>
      </c>
      <c r="U87" s="403">
        <f t="shared" ref="U87" si="65">IF($A87="APP SLAB",0,S87/9)</f>
        <v>754.88888888888891</v>
      </c>
      <c r="V87" s="414">
        <f t="shared" ref="V87" si="66">IF(AND(T87=0,X87=0),0,IF(X87=0,T87/2000,X87/2000))</f>
        <v>0.80997333333333277</v>
      </c>
      <c r="W87" s="415">
        <f t="shared" ref="W87" si="67">IF(AND(U87=0,Y87=0),0,IF(Y87=0,U87/2000,Y87/2000))</f>
        <v>0.37744444444444447</v>
      </c>
      <c r="X87" s="402">
        <f t="shared" ref="X87" si="68">IF(OR($A87="APP SLAB",T87&lt;&gt;0),0,Z87)</f>
        <v>0</v>
      </c>
      <c r="Y87" s="403">
        <f t="shared" ref="Y87" si="69">IF(OR($A87="APP SLAB",U87&lt;&gt;0),0,AA87)</f>
        <v>0</v>
      </c>
      <c r="Z87" s="402">
        <f t="shared" ref="Z87" si="70">IF(OR($A87="APP SLAB",T87&lt;&gt;0),0,(R87+$H87*$K87)/9)</f>
        <v>0</v>
      </c>
      <c r="AA87" s="403">
        <f t="shared" ref="AA87" si="71">IF(OR($A87="APP SLAB",U87&lt;&gt;0),0,S87/9)</f>
        <v>0</v>
      </c>
      <c r="AB87" s="402">
        <f t="shared" ref="AB87" si="72">IF(OR($A87="APP SLAB",T87&lt;&gt;0),0,$Z$1*Z87*110*0.06*0.75/2000)</f>
        <v>0</v>
      </c>
      <c r="AC87" s="403">
        <f t="shared" ref="AC87" si="73">IF(OR($A87="APP SLAB",U87&lt;&gt;0),0,$Z$1*AA87*110*0.06*0.75/2000)</f>
        <v>0</v>
      </c>
      <c r="AD87" s="402">
        <f t="shared" ref="AD87" si="74">IF(R87=0,0,(R87*$AD$1/12)/27+$I87)</f>
        <v>269.99111111111091</v>
      </c>
      <c r="AE87" s="403">
        <f t="shared" ref="AE87" si="75">(S87*$AD$1/12)/27</f>
        <v>125.81481481481481</v>
      </c>
      <c r="AF87" s="347">
        <v>1</v>
      </c>
      <c r="AG87" s="402">
        <f t="shared" ref="AG87" si="76">IF($A87="APP SLAB",0,(R87+$J87*$K87)/9)</f>
        <v>1509.7393777777788</v>
      </c>
      <c r="AH87" s="403">
        <f t="shared" ref="AH87" si="77">IF($A87="APP SLAB",0,S87/9)</f>
        <v>754.88888888888891</v>
      </c>
      <c r="AI87" s="510">
        <f t="shared" si="51"/>
        <v>6.8145679012344278</v>
      </c>
      <c r="AJ87" s="493">
        <f t="shared" si="52"/>
        <v>679.35999999998603</v>
      </c>
      <c r="AK87" s="10"/>
    </row>
    <row r="88" spans="1:37" ht="12.75" customHeight="1" x14ac:dyDescent="0.2">
      <c r="B88" s="338">
        <v>79939.679999999993</v>
      </c>
      <c r="C88" s="339">
        <v>80563.53</v>
      </c>
      <c r="D88" s="340" t="s">
        <v>15</v>
      </c>
      <c r="E88" s="340" t="s">
        <v>106</v>
      </c>
      <c r="F88" s="340" t="s">
        <v>111</v>
      </c>
      <c r="G88" s="103" t="str">
        <f t="shared" si="33"/>
        <v>F/C - C/B</v>
      </c>
      <c r="H88" s="77">
        <f t="shared" si="34"/>
        <v>2</v>
      </c>
      <c r="I88" s="27">
        <f t="shared" si="35"/>
        <v>17.329166666666829</v>
      </c>
      <c r="J88" s="78">
        <f t="shared" si="36"/>
        <v>-1.42</v>
      </c>
      <c r="K88" s="83">
        <f t="shared" si="37"/>
        <v>623.85000000000582</v>
      </c>
      <c r="L88" s="388">
        <v>43.42</v>
      </c>
      <c r="M88" s="389">
        <v>20</v>
      </c>
      <c r="N88" s="222">
        <f t="shared" si="53"/>
        <v>27088</v>
      </c>
      <c r="O88" s="274">
        <f t="shared" si="38"/>
        <v>12478</v>
      </c>
      <c r="P88" s="398">
        <v>0</v>
      </c>
      <c r="Q88" s="399">
        <v>0</v>
      </c>
      <c r="R88" s="221">
        <f t="shared" si="39"/>
        <v>27088</v>
      </c>
      <c r="S88" s="269">
        <f t="shared" si="39"/>
        <v>12478</v>
      </c>
      <c r="T88" s="402">
        <f t="shared" ref="T88:T96" si="78">IF(OR($A88="APP SLAB",R88=0),0,(R88+$H88*$K88)/9)</f>
        <v>3148.4111111111124</v>
      </c>
      <c r="U88" s="403">
        <f t="shared" ref="U88:U96" si="79">IF($A88="APP SLAB",0,S88/9)</f>
        <v>1386.4444444444443</v>
      </c>
      <c r="V88" s="414">
        <f t="shared" si="41"/>
        <v>1.5742055555555563</v>
      </c>
      <c r="W88" s="415">
        <f t="shared" si="41"/>
        <v>0.69322222222222218</v>
      </c>
      <c r="X88" s="402">
        <f t="shared" si="42"/>
        <v>0</v>
      </c>
      <c r="Y88" s="403">
        <f t="shared" si="42"/>
        <v>0</v>
      </c>
      <c r="Z88" s="402">
        <f t="shared" si="55"/>
        <v>0</v>
      </c>
      <c r="AA88" s="403">
        <f t="shared" si="44"/>
        <v>0</v>
      </c>
      <c r="AB88" s="402">
        <f t="shared" si="45"/>
        <v>0</v>
      </c>
      <c r="AC88" s="403">
        <f t="shared" si="46"/>
        <v>0</v>
      </c>
      <c r="AD88" s="402">
        <f t="shared" si="56"/>
        <v>518.95879629629644</v>
      </c>
      <c r="AE88" s="403">
        <f t="shared" si="48"/>
        <v>231.07407407407408</v>
      </c>
      <c r="AF88" s="347">
        <v>0</v>
      </c>
      <c r="AG88" s="402">
        <f t="shared" si="57"/>
        <v>2911.34811111111</v>
      </c>
      <c r="AH88" s="403">
        <f t="shared" si="58"/>
        <v>1386.4444444444443</v>
      </c>
      <c r="AI88" s="467">
        <f t="shared" si="51"/>
        <v>0</v>
      </c>
      <c r="AJ88" s="85">
        <f t="shared" si="52"/>
        <v>1247.7000000000116</v>
      </c>
      <c r="AK88" s="10"/>
    </row>
    <row r="89" spans="1:37" ht="12.75" customHeight="1" x14ac:dyDescent="0.2">
      <c r="B89" s="338">
        <v>80563.53</v>
      </c>
      <c r="C89" s="339">
        <v>80591.100000000006</v>
      </c>
      <c r="D89" s="340" t="s">
        <v>15</v>
      </c>
      <c r="E89" s="340" t="s">
        <v>101</v>
      </c>
      <c r="F89" s="340" t="s">
        <v>111</v>
      </c>
      <c r="G89" s="103" t="str">
        <f t="shared" si="33"/>
        <v>-</v>
      </c>
      <c r="H89" s="352">
        <v>1.5</v>
      </c>
      <c r="I89" s="341">
        <v>0.77</v>
      </c>
      <c r="J89" s="361">
        <v>-1.42</v>
      </c>
      <c r="K89" s="83">
        <f t="shared" si="37"/>
        <v>27.570000000006985</v>
      </c>
      <c r="L89" s="388" t="s">
        <v>101</v>
      </c>
      <c r="M89" s="389" t="s">
        <v>101</v>
      </c>
      <c r="N89" s="222">
        <f t="shared" si="53"/>
        <v>0</v>
      </c>
      <c r="O89" s="274">
        <f t="shared" si="38"/>
        <v>0</v>
      </c>
      <c r="P89" s="398">
        <v>599</v>
      </c>
      <c r="Q89" s="399">
        <v>276</v>
      </c>
      <c r="R89" s="221">
        <f t="shared" si="39"/>
        <v>599</v>
      </c>
      <c r="S89" s="269">
        <f t="shared" si="39"/>
        <v>276</v>
      </c>
      <c r="T89" s="402">
        <f t="shared" si="78"/>
        <v>71.150555555556721</v>
      </c>
      <c r="U89" s="403">
        <f t="shared" si="79"/>
        <v>30.666666666666668</v>
      </c>
      <c r="V89" s="414">
        <f t="shared" si="41"/>
        <v>3.5575277777778358E-2</v>
      </c>
      <c r="W89" s="415">
        <f t="shared" si="41"/>
        <v>1.5333333333333334E-2</v>
      </c>
      <c r="X89" s="402">
        <f t="shared" si="42"/>
        <v>0</v>
      </c>
      <c r="Y89" s="403">
        <f t="shared" si="42"/>
        <v>0</v>
      </c>
      <c r="Z89" s="402">
        <f t="shared" si="55"/>
        <v>0</v>
      </c>
      <c r="AA89" s="403">
        <f t="shared" si="44"/>
        <v>0</v>
      </c>
      <c r="AB89" s="402">
        <f t="shared" si="45"/>
        <v>0</v>
      </c>
      <c r="AC89" s="403">
        <f t="shared" si="46"/>
        <v>0</v>
      </c>
      <c r="AD89" s="402">
        <f t="shared" si="56"/>
        <v>11.862592592592593</v>
      </c>
      <c r="AE89" s="403">
        <f t="shared" si="48"/>
        <v>5.1111111111111107</v>
      </c>
      <c r="AF89" s="347">
        <v>0</v>
      </c>
      <c r="AG89" s="402">
        <f t="shared" si="57"/>
        <v>62.205622222221123</v>
      </c>
      <c r="AH89" s="403">
        <f t="shared" si="58"/>
        <v>30.666666666666668</v>
      </c>
      <c r="AI89" s="467">
        <f t="shared" si="51"/>
        <v>0</v>
      </c>
      <c r="AJ89" s="85">
        <f t="shared" si="52"/>
        <v>55.14000000001397</v>
      </c>
      <c r="AK89" s="10"/>
    </row>
    <row r="90" spans="1:37" ht="12.75" customHeight="1" x14ac:dyDescent="0.2">
      <c r="A90" s="106" t="s">
        <v>28</v>
      </c>
      <c r="B90" s="338">
        <v>80591.100000000006</v>
      </c>
      <c r="C90" s="339">
        <v>80621.100000000006</v>
      </c>
      <c r="D90" s="340" t="s">
        <v>15</v>
      </c>
      <c r="E90" s="340" t="s">
        <v>101</v>
      </c>
      <c r="F90" s="340" t="s">
        <v>101</v>
      </c>
      <c r="G90" s="103" t="str">
        <f t="shared" si="33"/>
        <v>-</v>
      </c>
      <c r="H90" s="77">
        <f t="shared" si="34"/>
        <v>0</v>
      </c>
      <c r="I90" s="27">
        <f t="shared" si="35"/>
        <v>0</v>
      </c>
      <c r="J90" s="78">
        <f t="shared" si="36"/>
        <v>0</v>
      </c>
      <c r="K90" s="83">
        <f t="shared" si="37"/>
        <v>30</v>
      </c>
      <c r="L90" s="388" t="s">
        <v>101</v>
      </c>
      <c r="M90" s="389" t="s">
        <v>101</v>
      </c>
      <c r="N90" s="222">
        <f t="shared" si="53"/>
        <v>0</v>
      </c>
      <c r="O90" s="274">
        <f t="shared" si="38"/>
        <v>0</v>
      </c>
      <c r="P90" s="398">
        <v>1393</v>
      </c>
      <c r="Q90" s="399">
        <v>600</v>
      </c>
      <c r="R90" s="221">
        <f t="shared" si="39"/>
        <v>1393</v>
      </c>
      <c r="S90" s="269">
        <f t="shared" si="39"/>
        <v>600</v>
      </c>
      <c r="T90" s="402">
        <f t="shared" si="78"/>
        <v>0</v>
      </c>
      <c r="U90" s="403">
        <f t="shared" si="79"/>
        <v>0</v>
      </c>
      <c r="V90" s="414">
        <f t="shared" si="41"/>
        <v>0</v>
      </c>
      <c r="W90" s="415">
        <f t="shared" si="41"/>
        <v>0</v>
      </c>
      <c r="X90" s="402">
        <f t="shared" si="42"/>
        <v>0</v>
      </c>
      <c r="Y90" s="403">
        <f t="shared" si="42"/>
        <v>0</v>
      </c>
      <c r="Z90" s="402">
        <f t="shared" si="55"/>
        <v>0</v>
      </c>
      <c r="AA90" s="403">
        <f t="shared" si="44"/>
        <v>0</v>
      </c>
      <c r="AB90" s="402">
        <f t="shared" si="45"/>
        <v>0</v>
      </c>
      <c r="AC90" s="403">
        <f t="shared" si="46"/>
        <v>0</v>
      </c>
      <c r="AD90" s="402">
        <f t="shared" si="56"/>
        <v>25.796296296296298</v>
      </c>
      <c r="AE90" s="403">
        <f t="shared" si="48"/>
        <v>11.111111111111111</v>
      </c>
      <c r="AF90" s="383">
        <v>69</v>
      </c>
      <c r="AG90" s="402">
        <f t="shared" si="57"/>
        <v>0</v>
      </c>
      <c r="AH90" s="403">
        <f t="shared" si="58"/>
        <v>0</v>
      </c>
      <c r="AI90" s="467">
        <f t="shared" si="51"/>
        <v>0</v>
      </c>
      <c r="AJ90" s="85">
        <f t="shared" si="52"/>
        <v>0</v>
      </c>
      <c r="AK90" s="10"/>
    </row>
    <row r="91" spans="1:37" ht="12.75" customHeight="1" x14ac:dyDescent="0.2">
      <c r="A91" s="106" t="s">
        <v>28</v>
      </c>
      <c r="B91" s="338">
        <v>80726.02</v>
      </c>
      <c r="C91" s="339">
        <v>80756.02</v>
      </c>
      <c r="D91" s="340" t="s">
        <v>15</v>
      </c>
      <c r="E91" s="340" t="s">
        <v>101</v>
      </c>
      <c r="F91" s="340" t="s">
        <v>101</v>
      </c>
      <c r="G91" s="103" t="str">
        <f t="shared" si="33"/>
        <v>-</v>
      </c>
      <c r="H91" s="77">
        <f t="shared" si="34"/>
        <v>0</v>
      </c>
      <c r="I91" s="27">
        <f t="shared" si="35"/>
        <v>0</v>
      </c>
      <c r="J91" s="78">
        <f t="shared" si="36"/>
        <v>0</v>
      </c>
      <c r="K91" s="83">
        <f t="shared" si="37"/>
        <v>30</v>
      </c>
      <c r="L91" s="388" t="s">
        <v>101</v>
      </c>
      <c r="M91" s="389" t="s">
        <v>101</v>
      </c>
      <c r="N91" s="222">
        <f t="shared" si="53"/>
        <v>0</v>
      </c>
      <c r="O91" s="274">
        <f t="shared" si="38"/>
        <v>0</v>
      </c>
      <c r="P91" s="398">
        <v>1385</v>
      </c>
      <c r="Q91" s="399">
        <v>600</v>
      </c>
      <c r="R91" s="221">
        <f t="shared" si="39"/>
        <v>1385</v>
      </c>
      <c r="S91" s="269">
        <f t="shared" si="39"/>
        <v>600</v>
      </c>
      <c r="T91" s="402">
        <f t="shared" si="78"/>
        <v>0</v>
      </c>
      <c r="U91" s="403">
        <f t="shared" si="79"/>
        <v>0</v>
      </c>
      <c r="V91" s="414">
        <f t="shared" si="41"/>
        <v>0</v>
      </c>
      <c r="W91" s="415">
        <f t="shared" si="41"/>
        <v>0</v>
      </c>
      <c r="X91" s="402">
        <f t="shared" si="42"/>
        <v>0</v>
      </c>
      <c r="Y91" s="403">
        <f t="shared" si="42"/>
        <v>0</v>
      </c>
      <c r="Z91" s="402">
        <f t="shared" si="55"/>
        <v>0</v>
      </c>
      <c r="AA91" s="403">
        <f t="shared" si="44"/>
        <v>0</v>
      </c>
      <c r="AB91" s="402">
        <f t="shared" si="45"/>
        <v>0</v>
      </c>
      <c r="AC91" s="403">
        <f t="shared" si="46"/>
        <v>0</v>
      </c>
      <c r="AD91" s="402">
        <f t="shared" si="56"/>
        <v>25.648148148148149</v>
      </c>
      <c r="AE91" s="403">
        <f t="shared" si="48"/>
        <v>11.111111111111111</v>
      </c>
      <c r="AF91" s="383">
        <v>67</v>
      </c>
      <c r="AG91" s="402">
        <f t="shared" si="57"/>
        <v>0</v>
      </c>
      <c r="AH91" s="403">
        <f t="shared" si="58"/>
        <v>0</v>
      </c>
      <c r="AI91" s="467">
        <f t="shared" si="51"/>
        <v>0</v>
      </c>
      <c r="AJ91" s="85">
        <f t="shared" si="52"/>
        <v>0</v>
      </c>
      <c r="AK91" s="10"/>
    </row>
    <row r="92" spans="1:37" ht="12.75" customHeight="1" x14ac:dyDescent="0.2">
      <c r="B92" s="338">
        <v>80734.399999999994</v>
      </c>
      <c r="C92" s="339">
        <v>80756.02</v>
      </c>
      <c r="D92" s="340" t="s">
        <v>15</v>
      </c>
      <c r="E92" s="340" t="s">
        <v>106</v>
      </c>
      <c r="F92" s="340" t="s">
        <v>101</v>
      </c>
      <c r="G92" s="103" t="str">
        <f t="shared" si="33"/>
        <v>-</v>
      </c>
      <c r="H92" s="352">
        <v>1.5</v>
      </c>
      <c r="I92" s="341">
        <v>0.39</v>
      </c>
      <c r="J92" s="361">
        <v>0</v>
      </c>
      <c r="K92" s="83">
        <f t="shared" si="37"/>
        <v>21.620000000009895</v>
      </c>
      <c r="L92" s="388" t="s">
        <v>101</v>
      </c>
      <c r="M92" s="389" t="s">
        <v>101</v>
      </c>
      <c r="N92" s="222">
        <f t="shared" si="53"/>
        <v>0</v>
      </c>
      <c r="O92" s="274">
        <f t="shared" si="38"/>
        <v>0</v>
      </c>
      <c r="P92" s="398">
        <v>449</v>
      </c>
      <c r="Q92" s="399">
        <v>216</v>
      </c>
      <c r="R92" s="221">
        <f t="shared" si="39"/>
        <v>449</v>
      </c>
      <c r="S92" s="269">
        <f t="shared" si="39"/>
        <v>216</v>
      </c>
      <c r="T92" s="402">
        <f t="shared" si="78"/>
        <v>53.492222222223873</v>
      </c>
      <c r="U92" s="403">
        <f t="shared" si="79"/>
        <v>24</v>
      </c>
      <c r="V92" s="414">
        <f t="shared" si="41"/>
        <v>2.6746111111111935E-2</v>
      </c>
      <c r="W92" s="415">
        <f t="shared" si="41"/>
        <v>1.2E-2</v>
      </c>
      <c r="X92" s="402">
        <f t="shared" si="42"/>
        <v>0</v>
      </c>
      <c r="Y92" s="403">
        <f t="shared" si="42"/>
        <v>0</v>
      </c>
      <c r="Z92" s="402">
        <f t="shared" si="55"/>
        <v>0</v>
      </c>
      <c r="AA92" s="403">
        <f t="shared" si="44"/>
        <v>0</v>
      </c>
      <c r="AB92" s="402">
        <f t="shared" si="45"/>
        <v>0</v>
      </c>
      <c r="AC92" s="403">
        <f t="shared" si="46"/>
        <v>0</v>
      </c>
      <c r="AD92" s="402">
        <f t="shared" si="56"/>
        <v>8.7048148148148154</v>
      </c>
      <c r="AE92" s="403">
        <f t="shared" si="48"/>
        <v>4</v>
      </c>
      <c r="AF92" s="347">
        <v>0</v>
      </c>
      <c r="AG92" s="402">
        <f t="shared" si="57"/>
        <v>49.888888888888886</v>
      </c>
      <c r="AH92" s="403">
        <f t="shared" si="58"/>
        <v>24</v>
      </c>
      <c r="AI92" s="467">
        <f t="shared" si="51"/>
        <v>0</v>
      </c>
      <c r="AJ92" s="85">
        <f t="shared" si="52"/>
        <v>43.240000000019791</v>
      </c>
      <c r="AK92" s="10"/>
    </row>
    <row r="93" spans="1:37" ht="12.75" customHeight="1" x14ac:dyDescent="0.2">
      <c r="B93" s="338">
        <v>80756.02</v>
      </c>
      <c r="C93" s="339">
        <v>81236.52</v>
      </c>
      <c r="D93" s="340" t="s">
        <v>15</v>
      </c>
      <c r="E93" s="340" t="s">
        <v>106</v>
      </c>
      <c r="F93" s="340" t="s">
        <v>111</v>
      </c>
      <c r="G93" s="103" t="str">
        <f t="shared" si="33"/>
        <v>F/C - C/B</v>
      </c>
      <c r="H93" s="77">
        <f t="shared" si="34"/>
        <v>2</v>
      </c>
      <c r="I93" s="27">
        <f t="shared" si="35"/>
        <v>13.347222222222221</v>
      </c>
      <c r="J93" s="78">
        <f t="shared" si="36"/>
        <v>-1.42</v>
      </c>
      <c r="K93" s="83">
        <f t="shared" si="37"/>
        <v>480.5</v>
      </c>
      <c r="L93" s="388">
        <v>43.42</v>
      </c>
      <c r="M93" s="389">
        <v>20</v>
      </c>
      <c r="N93" s="222">
        <f t="shared" si="53"/>
        <v>20864</v>
      </c>
      <c r="O93" s="274">
        <f t="shared" si="38"/>
        <v>9610</v>
      </c>
      <c r="P93" s="398">
        <v>0</v>
      </c>
      <c r="Q93" s="399">
        <v>0</v>
      </c>
      <c r="R93" s="221">
        <f t="shared" si="39"/>
        <v>20864</v>
      </c>
      <c r="S93" s="269">
        <f t="shared" si="39"/>
        <v>9610</v>
      </c>
      <c r="T93" s="402">
        <f t="shared" si="78"/>
        <v>2425</v>
      </c>
      <c r="U93" s="403">
        <f t="shared" si="79"/>
        <v>1067.7777777777778</v>
      </c>
      <c r="V93" s="414">
        <f t="shared" si="41"/>
        <v>1.2124999999999999</v>
      </c>
      <c r="W93" s="415">
        <f t="shared" si="41"/>
        <v>0.53388888888888897</v>
      </c>
      <c r="X93" s="402">
        <f t="shared" si="42"/>
        <v>0</v>
      </c>
      <c r="Y93" s="403">
        <f t="shared" si="42"/>
        <v>0</v>
      </c>
      <c r="Z93" s="402">
        <f t="shared" si="55"/>
        <v>0</v>
      </c>
      <c r="AA93" s="403">
        <f t="shared" si="44"/>
        <v>0</v>
      </c>
      <c r="AB93" s="402">
        <f t="shared" si="45"/>
        <v>0</v>
      </c>
      <c r="AC93" s="403">
        <f t="shared" si="46"/>
        <v>0</v>
      </c>
      <c r="AD93" s="402">
        <f t="shared" si="56"/>
        <v>399.71759259259261</v>
      </c>
      <c r="AE93" s="403">
        <f t="shared" si="48"/>
        <v>177.96296296296296</v>
      </c>
      <c r="AF93" s="347">
        <v>0</v>
      </c>
      <c r="AG93" s="402">
        <f t="shared" si="57"/>
        <v>2242.41</v>
      </c>
      <c r="AH93" s="403">
        <f t="shared" si="58"/>
        <v>1067.7777777777778</v>
      </c>
      <c r="AI93" s="467">
        <f t="shared" si="51"/>
        <v>0</v>
      </c>
      <c r="AJ93" s="85">
        <f t="shared" si="52"/>
        <v>961</v>
      </c>
      <c r="AK93" s="10"/>
    </row>
    <row r="94" spans="1:37" ht="12.75" customHeight="1" x14ac:dyDescent="0.2">
      <c r="B94" s="338">
        <v>81236.52</v>
      </c>
      <c r="C94" s="339">
        <v>81317.06</v>
      </c>
      <c r="D94" s="340" t="s">
        <v>15</v>
      </c>
      <c r="E94" s="340" t="s">
        <v>101</v>
      </c>
      <c r="F94" s="340" t="s">
        <v>111</v>
      </c>
      <c r="G94" s="103" t="str">
        <f t="shared" si="33"/>
        <v>-</v>
      </c>
      <c r="H94" s="352">
        <v>1.5</v>
      </c>
      <c r="I94" s="341">
        <v>2.23</v>
      </c>
      <c r="J94" s="361">
        <v>-1.42</v>
      </c>
      <c r="K94" s="83">
        <f t="shared" si="37"/>
        <v>80.539999999993597</v>
      </c>
      <c r="L94" s="388" t="s">
        <v>101</v>
      </c>
      <c r="M94" s="389" t="s">
        <v>101</v>
      </c>
      <c r="N94" s="222">
        <f t="shared" si="53"/>
        <v>0</v>
      </c>
      <c r="O94" s="274">
        <f t="shared" si="38"/>
        <v>0</v>
      </c>
      <c r="P94" s="398">
        <v>1769</v>
      </c>
      <c r="Q94" s="399">
        <v>805</v>
      </c>
      <c r="R94" s="221">
        <f t="shared" si="39"/>
        <v>1769</v>
      </c>
      <c r="S94" s="269">
        <f t="shared" si="39"/>
        <v>805</v>
      </c>
      <c r="T94" s="402">
        <f t="shared" si="78"/>
        <v>209.97888888888781</v>
      </c>
      <c r="U94" s="403">
        <f t="shared" si="79"/>
        <v>89.444444444444443</v>
      </c>
      <c r="V94" s="414">
        <f t="shared" si="41"/>
        <v>0.1049894444444439</v>
      </c>
      <c r="W94" s="415">
        <f t="shared" si="41"/>
        <v>4.4722222222222219E-2</v>
      </c>
      <c r="X94" s="402">
        <f t="shared" si="42"/>
        <v>0</v>
      </c>
      <c r="Y94" s="403">
        <f t="shared" si="42"/>
        <v>0</v>
      </c>
      <c r="Z94" s="402">
        <f t="shared" si="55"/>
        <v>0</v>
      </c>
      <c r="AA94" s="403">
        <f t="shared" si="44"/>
        <v>0</v>
      </c>
      <c r="AB94" s="402">
        <f t="shared" si="45"/>
        <v>0</v>
      </c>
      <c r="AC94" s="403">
        <f t="shared" si="46"/>
        <v>0</v>
      </c>
      <c r="AD94" s="402">
        <f t="shared" si="56"/>
        <v>34.989259259259256</v>
      </c>
      <c r="AE94" s="403">
        <f t="shared" si="48"/>
        <v>14.907407407407407</v>
      </c>
      <c r="AF94" s="347">
        <v>0</v>
      </c>
      <c r="AG94" s="402">
        <f t="shared" si="57"/>
        <v>183.84813333333435</v>
      </c>
      <c r="AH94" s="403">
        <f t="shared" si="58"/>
        <v>89.444444444444443</v>
      </c>
      <c r="AI94" s="467">
        <f t="shared" si="51"/>
        <v>0</v>
      </c>
      <c r="AJ94" s="85">
        <f t="shared" si="52"/>
        <v>161.07999999998719</v>
      </c>
      <c r="AK94" s="10"/>
    </row>
    <row r="95" spans="1:37" ht="12.75" customHeight="1" x14ac:dyDescent="0.2">
      <c r="A95" s="106" t="s">
        <v>28</v>
      </c>
      <c r="B95" s="338">
        <v>81316.460000000006</v>
      </c>
      <c r="C95" s="339">
        <v>81346.460000000006</v>
      </c>
      <c r="D95" s="340" t="s">
        <v>15</v>
      </c>
      <c r="E95" s="340" t="s">
        <v>101</v>
      </c>
      <c r="F95" s="340" t="s">
        <v>101</v>
      </c>
      <c r="G95" s="103" t="str">
        <f t="shared" si="33"/>
        <v>-</v>
      </c>
      <c r="H95" s="77">
        <v>4</v>
      </c>
      <c r="I95" s="27">
        <f t="shared" si="35"/>
        <v>0</v>
      </c>
      <c r="J95" s="78">
        <f t="shared" si="36"/>
        <v>0</v>
      </c>
      <c r="K95" s="83">
        <f t="shared" si="37"/>
        <v>30</v>
      </c>
      <c r="L95" s="388" t="s">
        <v>101</v>
      </c>
      <c r="M95" s="389" t="s">
        <v>101</v>
      </c>
      <c r="N95" s="222">
        <f t="shared" si="53"/>
        <v>0</v>
      </c>
      <c r="O95" s="274">
        <f t="shared" si="38"/>
        <v>0</v>
      </c>
      <c r="P95" s="398">
        <v>1407</v>
      </c>
      <c r="Q95" s="399">
        <v>600</v>
      </c>
      <c r="R95" s="221">
        <f t="shared" si="39"/>
        <v>1407</v>
      </c>
      <c r="S95" s="269">
        <f t="shared" si="39"/>
        <v>600</v>
      </c>
      <c r="T95" s="402">
        <f>IF(OR(R95=0),0,(R95+$H95*$K95)/9)</f>
        <v>169.66666666666666</v>
      </c>
      <c r="U95" s="403">
        <f>IF($A95="",0,S95/9)</f>
        <v>66.666666666666671</v>
      </c>
      <c r="V95" s="414">
        <f t="shared" si="41"/>
        <v>8.483333333333333E-2</v>
      </c>
      <c r="W95" s="415">
        <f t="shared" si="41"/>
        <v>3.3333333333333333E-2</v>
      </c>
      <c r="X95" s="402">
        <f>IF(OR(T95&lt;&gt;0),0,Z95)</f>
        <v>0</v>
      </c>
      <c r="Y95" s="403">
        <f>IF(OR(U95&lt;&gt;0),0,AA95)</f>
        <v>0</v>
      </c>
      <c r="Z95" s="402">
        <f>IF(OR(T95&lt;&gt;0),0,(R95+$H95*$K95)/9)</f>
        <v>0</v>
      </c>
      <c r="AA95" s="403">
        <f>IF(OR(U95&lt;&gt;0),0,S95/9)</f>
        <v>0</v>
      </c>
      <c r="AB95" s="402">
        <f>IF(OR(T95&lt;&gt;0),0,$Z$1*Z95*110*0.06*0.75/2000)</f>
        <v>0</v>
      </c>
      <c r="AC95" s="403">
        <f>IF(OR(U95&lt;&gt;0),0,$Z$1*AA95*110*0.06*0.75/2000)</f>
        <v>0</v>
      </c>
      <c r="AD95" s="402">
        <f t="shared" si="56"/>
        <v>26.055555555555557</v>
      </c>
      <c r="AE95" s="403">
        <f t="shared" si="48"/>
        <v>11.111111111111111</v>
      </c>
      <c r="AF95" s="383">
        <v>102</v>
      </c>
      <c r="AG95" s="402">
        <f t="shared" si="57"/>
        <v>0</v>
      </c>
      <c r="AH95" s="403">
        <f t="shared" si="58"/>
        <v>0</v>
      </c>
      <c r="AI95" s="467">
        <f t="shared" si="51"/>
        <v>0</v>
      </c>
      <c r="AJ95" s="85">
        <f t="shared" si="52"/>
        <v>0</v>
      </c>
      <c r="AK95" s="10"/>
    </row>
    <row r="96" spans="1:37" ht="12.75" customHeight="1" x14ac:dyDescent="0.2">
      <c r="A96" s="106" t="s">
        <v>28</v>
      </c>
      <c r="B96" s="338">
        <v>81611.05</v>
      </c>
      <c r="C96" s="339">
        <v>81641.05</v>
      </c>
      <c r="D96" s="340" t="s">
        <v>15</v>
      </c>
      <c r="E96" s="340" t="s">
        <v>101</v>
      </c>
      <c r="F96" s="340" t="s">
        <v>101</v>
      </c>
      <c r="G96" s="103" t="str">
        <f t="shared" si="33"/>
        <v>-</v>
      </c>
      <c r="H96" s="77">
        <v>4</v>
      </c>
      <c r="I96" s="27">
        <f t="shared" si="35"/>
        <v>0</v>
      </c>
      <c r="J96" s="78">
        <f t="shared" si="36"/>
        <v>0</v>
      </c>
      <c r="K96" s="83">
        <f t="shared" si="37"/>
        <v>30</v>
      </c>
      <c r="L96" s="388" t="s">
        <v>101</v>
      </c>
      <c r="M96" s="389" t="s">
        <v>101</v>
      </c>
      <c r="N96" s="222">
        <f t="shared" si="53"/>
        <v>0</v>
      </c>
      <c r="O96" s="274">
        <f t="shared" si="38"/>
        <v>0</v>
      </c>
      <c r="P96" s="398">
        <v>1385</v>
      </c>
      <c r="Q96" s="399">
        <v>600</v>
      </c>
      <c r="R96" s="221">
        <f t="shared" si="39"/>
        <v>1385</v>
      </c>
      <c r="S96" s="269">
        <f t="shared" si="39"/>
        <v>600</v>
      </c>
      <c r="T96" s="402">
        <f t="shared" si="78"/>
        <v>0</v>
      </c>
      <c r="U96" s="403">
        <f t="shared" si="79"/>
        <v>0</v>
      </c>
      <c r="V96" s="414">
        <f t="shared" si="41"/>
        <v>8.3611111111111108E-2</v>
      </c>
      <c r="W96" s="415">
        <f t="shared" si="41"/>
        <v>3.3333333333333333E-2</v>
      </c>
      <c r="X96" s="402">
        <f>IF(OR(T96&lt;&gt;0),0,Z96)</f>
        <v>167.22222222222223</v>
      </c>
      <c r="Y96" s="403">
        <f>IF(OR(U96&lt;&gt;0),0,AA96)</f>
        <v>66.666666666666671</v>
      </c>
      <c r="Z96" s="402">
        <f>IF(OR(T96&lt;&gt;0),0,(R96+$H96*$K96)/9)</f>
        <v>167.22222222222223</v>
      </c>
      <c r="AA96" s="403">
        <f>IF(OR(U96&lt;&gt;0),0,S96/9)</f>
        <v>66.666666666666671</v>
      </c>
      <c r="AB96" s="402">
        <f>IF(OR(T96&lt;&gt;0),0,$Z$1*Z96*110*0.06*0.75/2000)</f>
        <v>4.9664999999999999</v>
      </c>
      <c r="AC96" s="403">
        <f>IF(OR(U96&lt;&gt;0),0,$Z$1*AA96*110*0.06*0.75/2000)</f>
        <v>1.98</v>
      </c>
      <c r="AD96" s="402">
        <f t="shared" si="56"/>
        <v>25.648148148148149</v>
      </c>
      <c r="AE96" s="403">
        <f t="shared" si="48"/>
        <v>11.111111111111111</v>
      </c>
      <c r="AF96" s="383">
        <v>88</v>
      </c>
      <c r="AG96" s="402">
        <f t="shared" si="57"/>
        <v>0</v>
      </c>
      <c r="AH96" s="403">
        <f t="shared" si="58"/>
        <v>0</v>
      </c>
      <c r="AI96" s="467">
        <f t="shared" si="51"/>
        <v>0</v>
      </c>
      <c r="AJ96" s="85">
        <f t="shared" si="52"/>
        <v>0</v>
      </c>
      <c r="AK96" s="10"/>
    </row>
    <row r="97" spans="2:54" ht="12.75" customHeight="1" x14ac:dyDescent="0.2">
      <c r="B97" s="338">
        <v>81581.45</v>
      </c>
      <c r="C97" s="339">
        <v>81641.52</v>
      </c>
      <c r="D97" s="340" t="s">
        <v>15</v>
      </c>
      <c r="E97" s="340" t="s">
        <v>106</v>
      </c>
      <c r="F97" s="340" t="s">
        <v>101</v>
      </c>
      <c r="G97" s="103" t="str">
        <f t="shared" si="33"/>
        <v>-</v>
      </c>
      <c r="H97" s="352">
        <v>1.5</v>
      </c>
      <c r="I97" s="341">
        <v>1.0900000000000001</v>
      </c>
      <c r="J97" s="361">
        <v>0</v>
      </c>
      <c r="K97" s="83">
        <f t="shared" si="37"/>
        <v>60.070000000006985</v>
      </c>
      <c r="L97" s="388" t="s">
        <v>101</v>
      </c>
      <c r="M97" s="389" t="s">
        <v>101</v>
      </c>
      <c r="N97" s="222">
        <f t="shared" si="53"/>
        <v>0</v>
      </c>
      <c r="O97" s="274">
        <f t="shared" si="38"/>
        <v>0</v>
      </c>
      <c r="P97" s="398">
        <v>1269</v>
      </c>
      <c r="Q97" s="399">
        <v>601</v>
      </c>
      <c r="R97" s="221">
        <f t="shared" si="39"/>
        <v>1269</v>
      </c>
      <c r="S97" s="269">
        <f t="shared" si="39"/>
        <v>601</v>
      </c>
      <c r="T97" s="406">
        <v>0</v>
      </c>
      <c r="U97" s="407">
        <v>0</v>
      </c>
      <c r="V97" s="414">
        <f t="shared" si="41"/>
        <v>7.550583333333391E-2</v>
      </c>
      <c r="W97" s="415">
        <f t="shared" si="41"/>
        <v>3.3388888888888885E-2</v>
      </c>
      <c r="X97" s="402">
        <f t="shared" si="42"/>
        <v>151.01166666666782</v>
      </c>
      <c r="Y97" s="403">
        <f t="shared" si="42"/>
        <v>66.777777777777771</v>
      </c>
      <c r="Z97" s="402">
        <f t="shared" si="55"/>
        <v>151.01166666666782</v>
      </c>
      <c r="AA97" s="403">
        <f t="shared" si="44"/>
        <v>66.777777777777771</v>
      </c>
      <c r="AB97" s="402">
        <f t="shared" si="45"/>
        <v>4.4850465000000348</v>
      </c>
      <c r="AC97" s="403">
        <f t="shared" si="46"/>
        <v>1.9832999999999996</v>
      </c>
      <c r="AD97" s="402">
        <f t="shared" si="56"/>
        <v>24.59</v>
      </c>
      <c r="AE97" s="403">
        <f t="shared" si="48"/>
        <v>11.12962962962963</v>
      </c>
      <c r="AF97" s="347">
        <v>0</v>
      </c>
      <c r="AG97" s="402">
        <f t="shared" si="57"/>
        <v>141</v>
      </c>
      <c r="AH97" s="403">
        <f t="shared" si="58"/>
        <v>66.777777777777771</v>
      </c>
      <c r="AI97" s="467">
        <f t="shared" si="51"/>
        <v>0</v>
      </c>
      <c r="AJ97" s="85">
        <f t="shared" si="52"/>
        <v>120.14000000001397</v>
      </c>
      <c r="AK97" s="10"/>
    </row>
    <row r="98" spans="2:54" ht="12.75" customHeight="1" x14ac:dyDescent="0.2">
      <c r="B98" s="338">
        <v>81641.52</v>
      </c>
      <c r="C98" s="339">
        <v>82187.839999999997</v>
      </c>
      <c r="D98" s="340" t="s">
        <v>15</v>
      </c>
      <c r="E98" s="340" t="s">
        <v>106</v>
      </c>
      <c r="F98" s="340" t="s">
        <v>111</v>
      </c>
      <c r="G98" s="103" t="str">
        <f t="shared" si="33"/>
        <v>F/C - C/B</v>
      </c>
      <c r="H98" s="77">
        <f t="shared" si="34"/>
        <v>2</v>
      </c>
      <c r="I98" s="27">
        <f t="shared" si="35"/>
        <v>15.175555555555345</v>
      </c>
      <c r="J98" s="78">
        <f t="shared" si="36"/>
        <v>-1.42</v>
      </c>
      <c r="K98" s="83">
        <f t="shared" si="37"/>
        <v>546.31999999999243</v>
      </c>
      <c r="L98" s="388">
        <v>43.42</v>
      </c>
      <c r="M98" s="389">
        <v>20</v>
      </c>
      <c r="N98" s="222">
        <f t="shared" si="53"/>
        <v>23722</v>
      </c>
      <c r="O98" s="274">
        <f t="shared" si="38"/>
        <v>10927</v>
      </c>
      <c r="P98" s="398">
        <v>0</v>
      </c>
      <c r="Q98" s="399">
        <v>0</v>
      </c>
      <c r="R98" s="221">
        <f t="shared" si="39"/>
        <v>23722</v>
      </c>
      <c r="S98" s="269">
        <f t="shared" si="39"/>
        <v>10927</v>
      </c>
      <c r="T98" s="406">
        <v>0</v>
      </c>
      <c r="U98" s="407">
        <v>0</v>
      </c>
      <c r="V98" s="414">
        <f t="shared" si="41"/>
        <v>1.3785911111111102</v>
      </c>
      <c r="W98" s="415">
        <f t="shared" si="41"/>
        <v>0.60705555555555557</v>
      </c>
      <c r="X98" s="402">
        <f t="shared" si="42"/>
        <v>2757.1822222222204</v>
      </c>
      <c r="Y98" s="403">
        <f t="shared" si="42"/>
        <v>1214.1111111111111</v>
      </c>
      <c r="Z98" s="402">
        <f t="shared" si="55"/>
        <v>2757.1822222222204</v>
      </c>
      <c r="AA98" s="403">
        <f t="shared" si="44"/>
        <v>1214.1111111111111</v>
      </c>
      <c r="AB98" s="402">
        <f t="shared" si="45"/>
        <v>81.888311999999942</v>
      </c>
      <c r="AC98" s="403">
        <f t="shared" si="46"/>
        <v>36.059100000000001</v>
      </c>
      <c r="AD98" s="402">
        <f t="shared" si="56"/>
        <v>454.47185185185162</v>
      </c>
      <c r="AE98" s="403">
        <f t="shared" si="48"/>
        <v>202.35185185185185</v>
      </c>
      <c r="AF98" s="347">
        <v>0</v>
      </c>
      <c r="AG98" s="402">
        <f t="shared" si="57"/>
        <v>2549.5806222222236</v>
      </c>
      <c r="AH98" s="403">
        <f t="shared" si="58"/>
        <v>1214.1111111111111</v>
      </c>
      <c r="AI98" s="467">
        <f t="shared" si="51"/>
        <v>0</v>
      </c>
      <c r="AJ98" s="85">
        <f t="shared" si="52"/>
        <v>1092.6399999999849</v>
      </c>
      <c r="AK98" s="10"/>
    </row>
    <row r="99" spans="2:54" ht="12.75" customHeight="1" x14ac:dyDescent="0.2">
      <c r="B99" s="338">
        <v>82187.839999999997</v>
      </c>
      <c r="C99" s="339">
        <v>82642.14</v>
      </c>
      <c r="D99" s="340" t="s">
        <v>15</v>
      </c>
      <c r="E99" s="340" t="s">
        <v>105</v>
      </c>
      <c r="F99" s="340" t="s">
        <v>111</v>
      </c>
      <c r="G99" s="103" t="str">
        <f t="shared" si="33"/>
        <v>E/S - C/B</v>
      </c>
      <c r="H99" s="77">
        <f t="shared" si="34"/>
        <v>1.5</v>
      </c>
      <c r="I99" s="27">
        <f t="shared" si="35"/>
        <v>12.619444444444525</v>
      </c>
      <c r="J99" s="78">
        <f t="shared" si="36"/>
        <v>-1.42</v>
      </c>
      <c r="K99" s="83">
        <f t="shared" si="37"/>
        <v>454.30000000000291</v>
      </c>
      <c r="L99" s="388" t="s">
        <v>101</v>
      </c>
      <c r="M99" s="389" t="s">
        <v>101</v>
      </c>
      <c r="N99" s="222">
        <f t="shared" si="53"/>
        <v>0</v>
      </c>
      <c r="O99" s="274">
        <f t="shared" si="38"/>
        <v>0</v>
      </c>
      <c r="P99" s="398">
        <v>26525</v>
      </c>
      <c r="Q99" s="399">
        <v>9086</v>
      </c>
      <c r="R99" s="221">
        <f t="shared" si="39"/>
        <v>26525</v>
      </c>
      <c r="S99" s="269">
        <f t="shared" si="39"/>
        <v>9086</v>
      </c>
      <c r="T99" s="406">
        <v>0</v>
      </c>
      <c r="U99" s="407">
        <v>0</v>
      </c>
      <c r="V99" s="414">
        <f t="shared" si="41"/>
        <v>1.5114694444444448</v>
      </c>
      <c r="W99" s="415">
        <f t="shared" si="41"/>
        <v>0.50477777777777777</v>
      </c>
      <c r="X99" s="402">
        <f t="shared" si="42"/>
        <v>3022.9388888888893</v>
      </c>
      <c r="Y99" s="403">
        <f t="shared" si="42"/>
        <v>1009.5555555555555</v>
      </c>
      <c r="Z99" s="402">
        <f t="shared" si="55"/>
        <v>3022.9388888888893</v>
      </c>
      <c r="AA99" s="403">
        <f t="shared" si="44"/>
        <v>1009.5555555555555</v>
      </c>
      <c r="AB99" s="402">
        <f t="shared" si="45"/>
        <v>89.781284999999997</v>
      </c>
      <c r="AC99" s="403">
        <f t="shared" si="46"/>
        <v>29.983799999999995</v>
      </c>
      <c r="AD99" s="402">
        <f t="shared" si="56"/>
        <v>503.82314814814822</v>
      </c>
      <c r="AE99" s="403">
        <f t="shared" si="48"/>
        <v>168.25925925925927</v>
      </c>
      <c r="AF99" s="347">
        <v>0</v>
      </c>
      <c r="AG99" s="402">
        <f t="shared" si="57"/>
        <v>2875.5437777777774</v>
      </c>
      <c r="AH99" s="403">
        <f t="shared" si="58"/>
        <v>1009.5555555555555</v>
      </c>
      <c r="AI99" s="467">
        <f t="shared" si="51"/>
        <v>9.114043209876602</v>
      </c>
      <c r="AJ99" s="85">
        <f t="shared" si="52"/>
        <v>908.60000000000582</v>
      </c>
      <c r="AK99" s="10"/>
    </row>
    <row r="100" spans="2:54" ht="12.75" customHeight="1" x14ac:dyDescent="0.2">
      <c r="B100" s="338">
        <v>82642.14</v>
      </c>
      <c r="C100" s="339">
        <v>82987.839999999997</v>
      </c>
      <c r="D100" s="340" t="s">
        <v>15</v>
      </c>
      <c r="E100" s="340" t="s">
        <v>105</v>
      </c>
      <c r="F100" s="340" t="s">
        <v>111</v>
      </c>
      <c r="G100" s="103" t="str">
        <f t="shared" si="33"/>
        <v>E/S - C/B</v>
      </c>
      <c r="H100" s="77">
        <f t="shared" si="34"/>
        <v>1.5</v>
      </c>
      <c r="I100" s="27">
        <f t="shared" si="35"/>
        <v>9.6027777777776961</v>
      </c>
      <c r="J100" s="78">
        <f t="shared" si="36"/>
        <v>-1.42</v>
      </c>
      <c r="K100" s="83">
        <f t="shared" si="37"/>
        <v>345.69999999999709</v>
      </c>
      <c r="L100" s="388">
        <v>49.42</v>
      </c>
      <c r="M100" s="389">
        <v>20</v>
      </c>
      <c r="N100" s="222">
        <f t="shared" si="53"/>
        <v>17085</v>
      </c>
      <c r="O100" s="274">
        <f t="shared" si="38"/>
        <v>6914</v>
      </c>
      <c r="P100" s="398">
        <v>0</v>
      </c>
      <c r="Q100" s="399">
        <v>0</v>
      </c>
      <c r="R100" s="221">
        <f t="shared" si="39"/>
        <v>17085</v>
      </c>
      <c r="S100" s="269">
        <f t="shared" si="39"/>
        <v>6914</v>
      </c>
      <c r="T100" s="406">
        <v>0</v>
      </c>
      <c r="U100" s="407">
        <v>0</v>
      </c>
      <c r="V100" s="414">
        <f t="shared" si="41"/>
        <v>0.97797499999999982</v>
      </c>
      <c r="W100" s="415">
        <f t="shared" si="41"/>
        <v>0.38411111111111107</v>
      </c>
      <c r="X100" s="402">
        <f t="shared" si="42"/>
        <v>1955.9499999999996</v>
      </c>
      <c r="Y100" s="403">
        <f t="shared" si="42"/>
        <v>768.22222222222217</v>
      </c>
      <c r="Z100" s="402">
        <f t="shared" si="55"/>
        <v>1955.9499999999996</v>
      </c>
      <c r="AA100" s="403">
        <f t="shared" si="44"/>
        <v>768.22222222222217</v>
      </c>
      <c r="AB100" s="402">
        <f t="shared" si="45"/>
        <v>58.091714999999979</v>
      </c>
      <c r="AC100" s="403">
        <f t="shared" si="46"/>
        <v>22.816199999999998</v>
      </c>
      <c r="AD100" s="402">
        <f t="shared" si="56"/>
        <v>325.99166666666662</v>
      </c>
      <c r="AE100" s="403">
        <f t="shared" si="48"/>
        <v>128.03703703703704</v>
      </c>
      <c r="AF100" s="347">
        <v>0</v>
      </c>
      <c r="AG100" s="402">
        <f t="shared" si="57"/>
        <v>1843.789555555556</v>
      </c>
      <c r="AH100" s="403">
        <f t="shared" si="58"/>
        <v>768.22222222222217</v>
      </c>
      <c r="AI100" s="467">
        <f t="shared" si="51"/>
        <v>6.9353395061727818</v>
      </c>
      <c r="AJ100" s="85">
        <f t="shared" si="52"/>
        <v>691.39999999999418</v>
      </c>
      <c r="AK100" s="10"/>
    </row>
    <row r="101" spans="2:54" ht="12.75" customHeight="1" x14ac:dyDescent="0.2">
      <c r="B101" s="338">
        <v>82987.839999999997</v>
      </c>
      <c r="C101" s="339">
        <v>83087.839999999997</v>
      </c>
      <c r="D101" s="340" t="s">
        <v>15</v>
      </c>
      <c r="E101" s="340" t="s">
        <v>105</v>
      </c>
      <c r="F101" s="340" t="s">
        <v>111</v>
      </c>
      <c r="G101" s="103" t="str">
        <f t="shared" si="33"/>
        <v>E/S - C/B</v>
      </c>
      <c r="H101" s="77">
        <f t="shared" si="34"/>
        <v>1.5</v>
      </c>
      <c r="I101" s="27">
        <f t="shared" si="35"/>
        <v>2.7777777777777777</v>
      </c>
      <c r="J101" s="78">
        <f t="shared" si="36"/>
        <v>-1.42</v>
      </c>
      <c r="K101" s="83">
        <f t="shared" si="37"/>
        <v>100</v>
      </c>
      <c r="L101" s="388">
        <v>45.42</v>
      </c>
      <c r="M101" s="389">
        <v>20</v>
      </c>
      <c r="N101" s="222">
        <f t="shared" si="53"/>
        <v>4542</v>
      </c>
      <c r="O101" s="274">
        <f t="shared" si="38"/>
        <v>2000</v>
      </c>
      <c r="P101" s="398">
        <v>0</v>
      </c>
      <c r="Q101" s="399">
        <v>0</v>
      </c>
      <c r="R101" s="221">
        <f t="shared" si="39"/>
        <v>4542</v>
      </c>
      <c r="S101" s="269">
        <f t="shared" si="39"/>
        <v>2000</v>
      </c>
      <c r="T101" s="406">
        <v>0</v>
      </c>
      <c r="U101" s="407">
        <v>0</v>
      </c>
      <c r="V101" s="414">
        <f t="shared" si="41"/>
        <v>0.26066666666666671</v>
      </c>
      <c r="W101" s="415">
        <f t="shared" si="41"/>
        <v>0.11111111111111112</v>
      </c>
      <c r="X101" s="402">
        <f t="shared" si="42"/>
        <v>521.33333333333337</v>
      </c>
      <c r="Y101" s="403">
        <f t="shared" si="42"/>
        <v>222.22222222222223</v>
      </c>
      <c r="Z101" s="402">
        <f t="shared" si="55"/>
        <v>521.33333333333337</v>
      </c>
      <c r="AA101" s="403">
        <f t="shared" si="44"/>
        <v>222.22222222222223</v>
      </c>
      <c r="AB101" s="402">
        <f t="shared" si="45"/>
        <v>15.483599999999999</v>
      </c>
      <c r="AC101" s="403">
        <f t="shared" si="46"/>
        <v>6.6</v>
      </c>
      <c r="AD101" s="402">
        <f t="shared" si="56"/>
        <v>86.888888888888886</v>
      </c>
      <c r="AE101" s="403">
        <f t="shared" si="48"/>
        <v>37.037037037037038</v>
      </c>
      <c r="AF101" s="347">
        <v>0</v>
      </c>
      <c r="AG101" s="402">
        <f t="shared" si="57"/>
        <v>488.88888888888891</v>
      </c>
      <c r="AH101" s="403">
        <f t="shared" si="58"/>
        <v>222.22222222222223</v>
      </c>
      <c r="AI101" s="467">
        <f t="shared" si="51"/>
        <v>2.0061728395061729</v>
      </c>
      <c r="AJ101" s="85">
        <f t="shared" si="52"/>
        <v>200</v>
      </c>
      <c r="AK101" s="10"/>
    </row>
    <row r="102" spans="2:54" ht="12.75" customHeight="1" x14ac:dyDescent="0.2">
      <c r="B102" s="338">
        <v>83087.839999999997</v>
      </c>
      <c r="C102" s="339">
        <v>84207.01</v>
      </c>
      <c r="D102" s="340" t="s">
        <v>15</v>
      </c>
      <c r="E102" s="340" t="s">
        <v>105</v>
      </c>
      <c r="F102" s="340" t="s">
        <v>111</v>
      </c>
      <c r="G102" s="103" t="str">
        <f t="shared" si="33"/>
        <v>E/S - C/B</v>
      </c>
      <c r="H102" s="77">
        <f t="shared" si="34"/>
        <v>1.5</v>
      </c>
      <c r="I102" s="27">
        <f t="shared" si="35"/>
        <v>31.088055555555506</v>
      </c>
      <c r="J102" s="78">
        <f t="shared" si="36"/>
        <v>-1.42</v>
      </c>
      <c r="K102" s="83">
        <f t="shared" si="37"/>
        <v>1119.1699999999983</v>
      </c>
      <c r="L102" s="388">
        <v>41.42</v>
      </c>
      <c r="M102" s="389">
        <v>20</v>
      </c>
      <c r="N102" s="222">
        <f t="shared" si="53"/>
        <v>46357</v>
      </c>
      <c r="O102" s="274">
        <f t="shared" si="38"/>
        <v>22384</v>
      </c>
      <c r="P102" s="398">
        <v>0</v>
      </c>
      <c r="Q102" s="399">
        <v>0</v>
      </c>
      <c r="R102" s="221">
        <f t="shared" si="39"/>
        <v>46357</v>
      </c>
      <c r="S102" s="269">
        <f t="shared" si="39"/>
        <v>22384</v>
      </c>
      <c r="T102" s="406">
        <v>0</v>
      </c>
      <c r="U102" s="407">
        <v>0</v>
      </c>
      <c r="V102" s="414">
        <f t="shared" si="41"/>
        <v>2.6686530555555557</v>
      </c>
      <c r="W102" s="415">
        <f t="shared" si="41"/>
        <v>1.2435555555555557</v>
      </c>
      <c r="X102" s="402">
        <f t="shared" si="42"/>
        <v>5337.306111111111</v>
      </c>
      <c r="Y102" s="403">
        <f t="shared" si="42"/>
        <v>2487.1111111111113</v>
      </c>
      <c r="Z102" s="402">
        <f t="shared" si="55"/>
        <v>5337.306111111111</v>
      </c>
      <c r="AA102" s="403">
        <f t="shared" si="44"/>
        <v>2487.1111111111113</v>
      </c>
      <c r="AB102" s="402">
        <f t="shared" si="45"/>
        <v>158.51799149999999</v>
      </c>
      <c r="AC102" s="403">
        <f t="shared" si="46"/>
        <v>73.867200000000011</v>
      </c>
      <c r="AD102" s="402">
        <f t="shared" si="56"/>
        <v>889.55101851851839</v>
      </c>
      <c r="AE102" s="403">
        <f t="shared" si="48"/>
        <v>414.51851851851853</v>
      </c>
      <c r="AF102" s="347">
        <v>0</v>
      </c>
      <c r="AG102" s="402">
        <f t="shared" si="57"/>
        <v>4974.1976222222229</v>
      </c>
      <c r="AH102" s="403">
        <f t="shared" si="58"/>
        <v>2487.1111111111113</v>
      </c>
      <c r="AI102" s="467">
        <f t="shared" si="51"/>
        <v>22.452484567901202</v>
      </c>
      <c r="AJ102" s="85">
        <f t="shared" si="52"/>
        <v>2238.3399999999965</v>
      </c>
      <c r="AK102" s="10"/>
    </row>
    <row r="103" spans="2:54" ht="12.75" customHeight="1" x14ac:dyDescent="0.2">
      <c r="B103" s="338">
        <v>84207.01</v>
      </c>
      <c r="C103" s="339">
        <v>85257.01</v>
      </c>
      <c r="D103" s="340" t="s">
        <v>15</v>
      </c>
      <c r="E103" s="340" t="s">
        <v>105</v>
      </c>
      <c r="F103" s="340" t="s">
        <v>111</v>
      </c>
      <c r="G103" s="103" t="str">
        <f t="shared" si="33"/>
        <v>E/S - C/B</v>
      </c>
      <c r="H103" s="77">
        <f t="shared" si="34"/>
        <v>1.5</v>
      </c>
      <c r="I103" s="27">
        <f t="shared" si="35"/>
        <v>29.166666666666668</v>
      </c>
      <c r="J103" s="78">
        <f t="shared" si="36"/>
        <v>-1.42</v>
      </c>
      <c r="K103" s="83">
        <f t="shared" si="37"/>
        <v>1050</v>
      </c>
      <c r="L103" s="388">
        <v>51.92</v>
      </c>
      <c r="M103" s="389">
        <v>20</v>
      </c>
      <c r="N103" s="222">
        <f t="shared" si="53"/>
        <v>54516</v>
      </c>
      <c r="O103" s="274">
        <f t="shared" si="38"/>
        <v>21000</v>
      </c>
      <c r="P103" s="398">
        <v>0</v>
      </c>
      <c r="Q103" s="399">
        <v>0</v>
      </c>
      <c r="R103" s="221">
        <f t="shared" si="39"/>
        <v>54516</v>
      </c>
      <c r="S103" s="269">
        <f t="shared" si="39"/>
        <v>21000</v>
      </c>
      <c r="T103" s="406">
        <v>0</v>
      </c>
      <c r="U103" s="407">
        <v>0</v>
      </c>
      <c r="V103" s="414">
        <f t="shared" si="41"/>
        <v>3.1161666666666665</v>
      </c>
      <c r="W103" s="415">
        <f t="shared" si="41"/>
        <v>1.1666666666666667</v>
      </c>
      <c r="X103" s="402">
        <f t="shared" si="42"/>
        <v>6232.333333333333</v>
      </c>
      <c r="Y103" s="403">
        <f t="shared" si="42"/>
        <v>2333.3333333333335</v>
      </c>
      <c r="Z103" s="402">
        <f t="shared" si="55"/>
        <v>6232.333333333333</v>
      </c>
      <c r="AA103" s="403">
        <f t="shared" si="44"/>
        <v>2333.3333333333335</v>
      </c>
      <c r="AB103" s="402">
        <f t="shared" si="45"/>
        <v>185.10029999999998</v>
      </c>
      <c r="AC103" s="403">
        <f t="shared" si="46"/>
        <v>69.3</v>
      </c>
      <c r="AD103" s="402">
        <f t="shared" si="56"/>
        <v>1038.7222222222222</v>
      </c>
      <c r="AE103" s="403">
        <f t="shared" si="48"/>
        <v>388.88888888888891</v>
      </c>
      <c r="AF103" s="347">
        <v>0</v>
      </c>
      <c r="AG103" s="402">
        <f t="shared" si="57"/>
        <v>5891.666666666667</v>
      </c>
      <c r="AH103" s="403">
        <f t="shared" si="58"/>
        <v>2333.3333333333335</v>
      </c>
      <c r="AI103" s="467">
        <f t="shared" si="51"/>
        <v>21.064814814814813</v>
      </c>
      <c r="AJ103" s="85">
        <f t="shared" si="52"/>
        <v>2100</v>
      </c>
      <c r="AK103" s="10"/>
    </row>
    <row r="104" spans="2:54" ht="12.75" customHeight="1" x14ac:dyDescent="0.2">
      <c r="B104" s="338">
        <v>85257.01</v>
      </c>
      <c r="C104" s="339">
        <v>85535.87</v>
      </c>
      <c r="D104" s="340" t="s">
        <v>15</v>
      </c>
      <c r="E104" s="340" t="s">
        <v>105</v>
      </c>
      <c r="F104" s="340" t="s">
        <v>111</v>
      </c>
      <c r="G104" s="103" t="str">
        <f t="shared" si="33"/>
        <v>E/S - C/B</v>
      </c>
      <c r="H104" s="77">
        <f t="shared" si="34"/>
        <v>1.5</v>
      </c>
      <c r="I104" s="27">
        <f t="shared" si="35"/>
        <v>7.7461111111111274</v>
      </c>
      <c r="J104" s="78">
        <f t="shared" si="36"/>
        <v>-1.42</v>
      </c>
      <c r="K104" s="83">
        <f t="shared" si="37"/>
        <v>278.86000000000058</v>
      </c>
      <c r="L104" s="388" t="s">
        <v>101</v>
      </c>
      <c r="M104" s="389" t="s">
        <v>101</v>
      </c>
      <c r="N104" s="222">
        <f t="shared" si="53"/>
        <v>0</v>
      </c>
      <c r="O104" s="274">
        <f t="shared" si="38"/>
        <v>0</v>
      </c>
      <c r="P104" s="398">
        <v>18269</v>
      </c>
      <c r="Q104" s="399">
        <v>5577</v>
      </c>
      <c r="R104" s="221">
        <f t="shared" si="39"/>
        <v>18269</v>
      </c>
      <c r="S104" s="269">
        <f t="shared" si="39"/>
        <v>5577</v>
      </c>
      <c r="T104" s="406">
        <v>0</v>
      </c>
      <c r="U104" s="407">
        <v>0</v>
      </c>
      <c r="V104" s="414">
        <f t="shared" si="41"/>
        <v>1.0381827777777779</v>
      </c>
      <c r="W104" s="415">
        <f t="shared" si="41"/>
        <v>0.30983333333333329</v>
      </c>
      <c r="X104" s="402">
        <f t="shared" si="42"/>
        <v>2076.3655555555556</v>
      </c>
      <c r="Y104" s="403">
        <f t="shared" si="42"/>
        <v>619.66666666666663</v>
      </c>
      <c r="Z104" s="402">
        <f t="shared" si="55"/>
        <v>2076.3655555555556</v>
      </c>
      <c r="AA104" s="403">
        <f t="shared" si="44"/>
        <v>619.66666666666663</v>
      </c>
      <c r="AB104" s="402">
        <f t="shared" si="45"/>
        <v>61.668056999999983</v>
      </c>
      <c r="AC104" s="403">
        <f t="shared" si="46"/>
        <v>18.4041</v>
      </c>
      <c r="AD104" s="402">
        <f t="shared" si="56"/>
        <v>346.06092592592597</v>
      </c>
      <c r="AE104" s="403">
        <f t="shared" si="48"/>
        <v>103.27777777777777</v>
      </c>
      <c r="AF104" s="347">
        <v>0</v>
      </c>
      <c r="AG104" s="402">
        <f t="shared" si="57"/>
        <v>1985.8909777777776</v>
      </c>
      <c r="AH104" s="403">
        <f t="shared" si="58"/>
        <v>619.66666666666663</v>
      </c>
      <c r="AI104" s="467">
        <f t="shared" si="51"/>
        <v>5.5944135802469255</v>
      </c>
      <c r="AJ104" s="85">
        <f t="shared" si="52"/>
        <v>557.72000000000116</v>
      </c>
      <c r="AK104" s="10"/>
    </row>
    <row r="105" spans="2:54" ht="12.75" customHeight="1" x14ac:dyDescent="0.2">
      <c r="B105" s="338">
        <v>85535.87</v>
      </c>
      <c r="C105" s="339">
        <v>86875.27</v>
      </c>
      <c r="D105" s="340" t="s">
        <v>15</v>
      </c>
      <c r="E105" s="340" t="s">
        <v>105</v>
      </c>
      <c r="F105" s="340" t="s">
        <v>111</v>
      </c>
      <c r="G105" s="103" t="str">
        <f t="shared" si="33"/>
        <v>E/S - C/B</v>
      </c>
      <c r="H105" s="77">
        <f t="shared" si="34"/>
        <v>1.5</v>
      </c>
      <c r="I105" s="27">
        <f t="shared" si="35"/>
        <v>37.205555555555797</v>
      </c>
      <c r="J105" s="78">
        <f t="shared" si="36"/>
        <v>-1.42</v>
      </c>
      <c r="K105" s="83">
        <f t="shared" si="37"/>
        <v>1339.4000000000087</v>
      </c>
      <c r="L105" s="388">
        <v>41.42</v>
      </c>
      <c r="M105" s="389">
        <v>20</v>
      </c>
      <c r="N105" s="222">
        <f t="shared" si="53"/>
        <v>55478</v>
      </c>
      <c r="O105" s="274">
        <f t="shared" si="38"/>
        <v>26789</v>
      </c>
      <c r="P105" s="398">
        <v>0</v>
      </c>
      <c r="Q105" s="399">
        <v>0</v>
      </c>
      <c r="R105" s="221">
        <f t="shared" si="39"/>
        <v>55478</v>
      </c>
      <c r="S105" s="269">
        <f t="shared" si="39"/>
        <v>26789</v>
      </c>
      <c r="T105" s="406">
        <v>0</v>
      </c>
      <c r="U105" s="407">
        <v>0</v>
      </c>
      <c r="V105" s="414">
        <f t="shared" si="41"/>
        <v>3.1937277777777786</v>
      </c>
      <c r="W105" s="415">
        <f t="shared" si="41"/>
        <v>1.4882777777777778</v>
      </c>
      <c r="X105" s="402">
        <f t="shared" si="42"/>
        <v>6387.4555555555571</v>
      </c>
      <c r="Y105" s="403">
        <f t="shared" si="42"/>
        <v>2976.5555555555557</v>
      </c>
      <c r="Z105" s="402">
        <f t="shared" si="55"/>
        <v>6387.4555555555571</v>
      </c>
      <c r="AA105" s="403">
        <f t="shared" si="44"/>
        <v>2976.5555555555557</v>
      </c>
      <c r="AB105" s="402">
        <f t="shared" si="45"/>
        <v>189.70743000000004</v>
      </c>
      <c r="AC105" s="403">
        <f t="shared" si="46"/>
        <v>88.403700000000015</v>
      </c>
      <c r="AD105" s="402">
        <f t="shared" si="56"/>
        <v>1064.5759259259262</v>
      </c>
      <c r="AE105" s="403">
        <f t="shared" si="48"/>
        <v>496.09259259259261</v>
      </c>
      <c r="AF105" s="347">
        <v>0</v>
      </c>
      <c r="AG105" s="402">
        <f t="shared" si="57"/>
        <v>5952.8946666666652</v>
      </c>
      <c r="AH105" s="403">
        <f t="shared" si="58"/>
        <v>2976.5555555555557</v>
      </c>
      <c r="AI105" s="467">
        <f t="shared" si="51"/>
        <v>26.870679012345857</v>
      </c>
      <c r="AJ105" s="85">
        <f t="shared" si="52"/>
        <v>2678.8000000000175</v>
      </c>
    </row>
    <row r="106" spans="2:54" ht="12.75" customHeight="1" x14ac:dyDescent="0.2">
      <c r="B106" s="338">
        <v>86875.27</v>
      </c>
      <c r="C106" s="339">
        <v>87200.34</v>
      </c>
      <c r="D106" s="340" t="s">
        <v>15</v>
      </c>
      <c r="E106" s="340" t="s">
        <v>105</v>
      </c>
      <c r="F106" s="340" t="s">
        <v>111</v>
      </c>
      <c r="G106" s="103" t="str">
        <f t="shared" si="33"/>
        <v>E/S - C/B</v>
      </c>
      <c r="H106" s="77">
        <f t="shared" si="34"/>
        <v>1.5</v>
      </c>
      <c r="I106" s="27">
        <f t="shared" si="35"/>
        <v>9.0297222222220128</v>
      </c>
      <c r="J106" s="78">
        <f t="shared" si="36"/>
        <v>-1.42</v>
      </c>
      <c r="K106" s="83">
        <f t="shared" si="37"/>
        <v>325.06999999999243</v>
      </c>
      <c r="L106" s="388" t="s">
        <v>101</v>
      </c>
      <c r="M106" s="389" t="s">
        <v>101</v>
      </c>
      <c r="N106" s="222">
        <f t="shared" si="53"/>
        <v>0</v>
      </c>
      <c r="O106" s="274">
        <f t="shared" si="38"/>
        <v>0</v>
      </c>
      <c r="P106" s="398">
        <v>20246</v>
      </c>
      <c r="Q106" s="399">
        <v>6501</v>
      </c>
      <c r="R106" s="221">
        <f t="shared" si="39"/>
        <v>20246</v>
      </c>
      <c r="S106" s="269">
        <f t="shared" si="39"/>
        <v>6501</v>
      </c>
      <c r="T106" s="406">
        <v>0</v>
      </c>
      <c r="U106" s="407">
        <v>0</v>
      </c>
      <c r="V106" s="414">
        <f t="shared" si="41"/>
        <v>1.1518669444444438</v>
      </c>
      <c r="W106" s="415">
        <f t="shared" si="41"/>
        <v>0.36116666666666669</v>
      </c>
      <c r="X106" s="402">
        <f t="shared" si="42"/>
        <v>2303.7338888888876</v>
      </c>
      <c r="Y106" s="403">
        <f t="shared" si="42"/>
        <v>722.33333333333337</v>
      </c>
      <c r="Z106" s="402">
        <f t="shared" si="55"/>
        <v>2303.7338888888876</v>
      </c>
      <c r="AA106" s="403">
        <f t="shared" si="44"/>
        <v>722.33333333333337</v>
      </c>
      <c r="AB106" s="402">
        <f t="shared" si="45"/>
        <v>68.420896499999941</v>
      </c>
      <c r="AC106" s="403">
        <f t="shared" si="46"/>
        <v>21.453299999999999</v>
      </c>
      <c r="AD106" s="402">
        <f t="shared" si="56"/>
        <v>383.95564814814793</v>
      </c>
      <c r="AE106" s="403">
        <f t="shared" si="48"/>
        <v>120.38888888888889</v>
      </c>
      <c r="AF106" s="347">
        <v>0</v>
      </c>
      <c r="AG106" s="402">
        <f t="shared" si="57"/>
        <v>2198.2667333333347</v>
      </c>
      <c r="AH106" s="403">
        <f t="shared" si="58"/>
        <v>722.33333333333337</v>
      </c>
      <c r="AI106" s="467">
        <f t="shared" si="51"/>
        <v>6.521466049382564</v>
      </c>
      <c r="AJ106" s="85">
        <f t="shared" si="52"/>
        <v>650.13999999998487</v>
      </c>
    </row>
    <row r="107" spans="2:54" ht="12.75" customHeight="1" x14ac:dyDescent="0.2">
      <c r="B107" s="338">
        <v>87200.34</v>
      </c>
      <c r="C107" s="339">
        <v>87372.92</v>
      </c>
      <c r="D107" s="340" t="s">
        <v>15</v>
      </c>
      <c r="E107" s="340" t="s">
        <v>106</v>
      </c>
      <c r="F107" s="340" t="s">
        <v>111</v>
      </c>
      <c r="G107" s="103" t="str">
        <f t="shared" ref="G107:G131" si="80">IF(AND($E107=$AL$2,$F107=$AL$2),$AN$2,IF(OR(AND($E107=$AL$2,$F107=$AL$3),AND($E107=$AL$3,$F107=$AL$2)),$AN$3,IF(OR(AND($E107=$AL$2,$F107=$AL$4),AND($E107=$AL$4,$F107=$AL$2)),$AN$4,IF(OR(AND($E107=$AL$3,$F107=$AL$4),AND($E107=$AL$4,$F107=$AL$3)),$AN$5,IF(AND($E107=$AL$3,$F107=$AL$3),$AN$6,IF(AND($E107=$AL$4,$F107=$AL$4),$AN$7,"-"))))))</f>
        <v>F/C - C/B</v>
      </c>
      <c r="H107" s="77">
        <f t="shared" si="34"/>
        <v>2</v>
      </c>
      <c r="I107" s="27">
        <f t="shared" si="35"/>
        <v>4.7938888888889375</v>
      </c>
      <c r="J107" s="78">
        <f t="shared" si="36"/>
        <v>-1.42</v>
      </c>
      <c r="K107" s="83">
        <f t="shared" ref="K107:K131" si="81">C107-B107</f>
        <v>172.58000000000175</v>
      </c>
      <c r="L107" s="388" t="s">
        <v>101</v>
      </c>
      <c r="M107" s="389" t="s">
        <v>101</v>
      </c>
      <c r="N107" s="222">
        <f t="shared" si="53"/>
        <v>0</v>
      </c>
      <c r="O107" s="274">
        <f t="shared" si="38"/>
        <v>0</v>
      </c>
      <c r="P107" s="398">
        <v>9158</v>
      </c>
      <c r="Q107" s="399">
        <v>3452</v>
      </c>
      <c r="R107" s="221">
        <f t="shared" si="39"/>
        <v>9158</v>
      </c>
      <c r="S107" s="269">
        <f t="shared" si="39"/>
        <v>3452</v>
      </c>
      <c r="T107" s="406">
        <v>0</v>
      </c>
      <c r="U107" s="407">
        <v>0</v>
      </c>
      <c r="V107" s="414">
        <f t="shared" si="41"/>
        <v>0.5279533333333335</v>
      </c>
      <c r="W107" s="415">
        <f t="shared" si="41"/>
        <v>0.19177777777777777</v>
      </c>
      <c r="X107" s="402">
        <f t="shared" si="42"/>
        <v>1055.906666666667</v>
      </c>
      <c r="Y107" s="403">
        <f t="shared" si="42"/>
        <v>383.55555555555554</v>
      </c>
      <c r="Z107" s="402">
        <f t="shared" si="55"/>
        <v>1055.906666666667</v>
      </c>
      <c r="AA107" s="403">
        <f t="shared" si="44"/>
        <v>383.55555555555554</v>
      </c>
      <c r="AB107" s="402">
        <f t="shared" ref="AB107:AB131" si="82">IF(OR($A107="APP SLAB",T107&lt;&gt;0),0,$Z$1*Z107*110*0.06*0.75/2000)</f>
        <v>31.360428000000013</v>
      </c>
      <c r="AC107" s="403">
        <f t="shared" ref="AC107:AC131" si="83">IF(OR($A107="APP SLAB",U107&lt;&gt;0),0,$Z$1*AA107*110*0.06*0.75/2000)</f>
        <v>11.391599999999999</v>
      </c>
      <c r="AD107" s="402">
        <f t="shared" si="56"/>
        <v>174.38648148148152</v>
      </c>
      <c r="AE107" s="403">
        <f t="shared" si="48"/>
        <v>63.925925925925924</v>
      </c>
      <c r="AF107" s="347">
        <v>0</v>
      </c>
      <c r="AG107" s="402">
        <f t="shared" si="57"/>
        <v>990.32626666666636</v>
      </c>
      <c r="AH107" s="403">
        <f t="shared" si="58"/>
        <v>383.55555555555554</v>
      </c>
      <c r="AI107" s="467">
        <f t="shared" si="51"/>
        <v>0</v>
      </c>
      <c r="AJ107" s="85">
        <f t="shared" si="52"/>
        <v>345.16000000000349</v>
      </c>
    </row>
    <row r="108" spans="2:54" ht="12.75" customHeight="1" x14ac:dyDescent="0.2">
      <c r="B108" s="338">
        <v>87372.92</v>
      </c>
      <c r="C108" s="339">
        <v>87675.37</v>
      </c>
      <c r="D108" s="340" t="s">
        <v>15</v>
      </c>
      <c r="E108" s="340" t="s">
        <v>106</v>
      </c>
      <c r="F108" s="340" t="s">
        <v>111</v>
      </c>
      <c r="G108" s="103" t="str">
        <f t="shared" si="80"/>
        <v>F/C - C/B</v>
      </c>
      <c r="H108" s="77">
        <f t="shared" si="34"/>
        <v>2</v>
      </c>
      <c r="I108" s="27">
        <f t="shared" si="35"/>
        <v>8.4013888888888086</v>
      </c>
      <c r="J108" s="78">
        <f t="shared" si="36"/>
        <v>-1.42</v>
      </c>
      <c r="K108" s="83">
        <f t="shared" si="81"/>
        <v>302.44999999999709</v>
      </c>
      <c r="L108" s="388">
        <v>51.42</v>
      </c>
      <c r="M108" s="389">
        <v>20</v>
      </c>
      <c r="N108" s="222">
        <f t="shared" si="53"/>
        <v>15552</v>
      </c>
      <c r="O108" s="274">
        <f t="shared" si="38"/>
        <v>6049</v>
      </c>
      <c r="P108" s="398">
        <v>0</v>
      </c>
      <c r="Q108" s="399">
        <v>0</v>
      </c>
      <c r="R108" s="221">
        <f t="shared" si="39"/>
        <v>15552</v>
      </c>
      <c r="S108" s="269">
        <f t="shared" si="39"/>
        <v>6049</v>
      </c>
      <c r="T108" s="406">
        <v>0</v>
      </c>
      <c r="U108" s="407">
        <v>0</v>
      </c>
      <c r="V108" s="414">
        <f t="shared" si="41"/>
        <v>0.89760555555555532</v>
      </c>
      <c r="W108" s="415">
        <f t="shared" si="41"/>
        <v>0.33605555555555555</v>
      </c>
      <c r="X108" s="402">
        <f t="shared" si="42"/>
        <v>1795.2111111111105</v>
      </c>
      <c r="Y108" s="403">
        <f t="shared" si="42"/>
        <v>672.11111111111109</v>
      </c>
      <c r="Z108" s="402">
        <f t="shared" si="55"/>
        <v>1795.2111111111105</v>
      </c>
      <c r="AA108" s="403">
        <f t="shared" si="44"/>
        <v>672.11111111111109</v>
      </c>
      <c r="AB108" s="402">
        <f t="shared" si="82"/>
        <v>53.317769999999975</v>
      </c>
      <c r="AC108" s="403">
        <f t="shared" si="83"/>
        <v>19.961699999999997</v>
      </c>
      <c r="AD108" s="402">
        <f t="shared" si="56"/>
        <v>296.40138888888879</v>
      </c>
      <c r="AE108" s="403">
        <f t="shared" si="48"/>
        <v>112.01851851851852</v>
      </c>
      <c r="AF108" s="347">
        <v>0</v>
      </c>
      <c r="AG108" s="402">
        <f t="shared" si="57"/>
        <v>1680.2801111111116</v>
      </c>
      <c r="AH108" s="403">
        <f t="shared" si="58"/>
        <v>672.11111111111109</v>
      </c>
      <c r="AI108" s="467">
        <f t="shared" si="51"/>
        <v>0</v>
      </c>
      <c r="AJ108" s="85">
        <f t="shared" si="52"/>
        <v>604.89999999999418</v>
      </c>
    </row>
    <row r="109" spans="2:54" ht="12.75" customHeight="1" x14ac:dyDescent="0.2">
      <c r="B109" s="338">
        <v>87675.37</v>
      </c>
      <c r="C109" s="339">
        <v>87775.37</v>
      </c>
      <c r="D109" s="340" t="s">
        <v>15</v>
      </c>
      <c r="E109" s="340" t="s">
        <v>106</v>
      </c>
      <c r="F109" s="340" t="s">
        <v>111</v>
      </c>
      <c r="G109" s="103" t="str">
        <f t="shared" si="80"/>
        <v>F/C - C/B</v>
      </c>
      <c r="H109" s="77">
        <f t="shared" si="34"/>
        <v>2</v>
      </c>
      <c r="I109" s="27">
        <f t="shared" si="35"/>
        <v>2.7777777777777777</v>
      </c>
      <c r="J109" s="78">
        <f t="shared" si="36"/>
        <v>-1.42</v>
      </c>
      <c r="K109" s="83">
        <f t="shared" si="81"/>
        <v>100</v>
      </c>
      <c r="L109" s="388">
        <v>47.42</v>
      </c>
      <c r="M109" s="389">
        <v>20</v>
      </c>
      <c r="N109" s="222">
        <f t="shared" si="53"/>
        <v>4742</v>
      </c>
      <c r="O109" s="274">
        <f t="shared" si="38"/>
        <v>2000</v>
      </c>
      <c r="P109" s="398">
        <v>0</v>
      </c>
      <c r="Q109" s="399">
        <v>0</v>
      </c>
      <c r="R109" s="221">
        <f t="shared" si="39"/>
        <v>4742</v>
      </c>
      <c r="S109" s="269">
        <f t="shared" si="39"/>
        <v>2000</v>
      </c>
      <c r="T109" s="406">
        <v>0</v>
      </c>
      <c r="U109" s="407">
        <v>0</v>
      </c>
      <c r="V109" s="414">
        <f t="shared" si="41"/>
        <v>0.27455555555555555</v>
      </c>
      <c r="W109" s="415">
        <f t="shared" si="41"/>
        <v>0.11111111111111112</v>
      </c>
      <c r="X109" s="402">
        <f t="shared" si="42"/>
        <v>549.11111111111109</v>
      </c>
      <c r="Y109" s="403">
        <f t="shared" si="42"/>
        <v>222.22222222222223</v>
      </c>
      <c r="Z109" s="402">
        <f t="shared" si="55"/>
        <v>549.11111111111109</v>
      </c>
      <c r="AA109" s="403">
        <f t="shared" si="44"/>
        <v>222.22222222222223</v>
      </c>
      <c r="AB109" s="402">
        <f t="shared" si="82"/>
        <v>16.308599999999998</v>
      </c>
      <c r="AC109" s="403">
        <f t="shared" si="83"/>
        <v>6.6</v>
      </c>
      <c r="AD109" s="402">
        <f t="shared" si="56"/>
        <v>90.592592592592581</v>
      </c>
      <c r="AE109" s="403">
        <f t="shared" si="48"/>
        <v>37.037037037037038</v>
      </c>
      <c r="AF109" s="347">
        <v>0</v>
      </c>
      <c r="AG109" s="402">
        <f t="shared" si="57"/>
        <v>511.11111111111109</v>
      </c>
      <c r="AH109" s="403">
        <f t="shared" si="58"/>
        <v>222.22222222222223</v>
      </c>
      <c r="AI109" s="467">
        <f t="shared" si="51"/>
        <v>0</v>
      </c>
      <c r="AJ109" s="85">
        <f t="shared" si="52"/>
        <v>200</v>
      </c>
    </row>
    <row r="110" spans="2:54" ht="12.75" customHeight="1" x14ac:dyDescent="0.2">
      <c r="B110" s="338">
        <v>87775.37</v>
      </c>
      <c r="C110" s="339">
        <v>87820</v>
      </c>
      <c r="D110" s="340" t="s">
        <v>15</v>
      </c>
      <c r="E110" s="340" t="s">
        <v>106</v>
      </c>
      <c r="F110" s="340" t="s">
        <v>111</v>
      </c>
      <c r="G110" s="103" t="str">
        <f t="shared" si="80"/>
        <v>F/C - C/B</v>
      </c>
      <c r="H110" s="77">
        <f t="shared" si="34"/>
        <v>2</v>
      </c>
      <c r="I110" s="27">
        <f t="shared" si="35"/>
        <v>1.2397222222223516</v>
      </c>
      <c r="J110" s="78">
        <f t="shared" si="36"/>
        <v>-1.42</v>
      </c>
      <c r="K110" s="83">
        <f t="shared" si="81"/>
        <v>44.630000000004657</v>
      </c>
      <c r="L110" s="388">
        <v>43.42</v>
      </c>
      <c r="M110" s="389">
        <v>20</v>
      </c>
      <c r="N110" s="222">
        <f t="shared" si="53"/>
        <v>1938</v>
      </c>
      <c r="O110" s="274">
        <f t="shared" si="38"/>
        <v>893</v>
      </c>
      <c r="P110" s="398">
        <v>0</v>
      </c>
      <c r="Q110" s="399">
        <v>0</v>
      </c>
      <c r="R110" s="221">
        <f t="shared" si="39"/>
        <v>1938</v>
      </c>
      <c r="S110" s="269">
        <f t="shared" si="39"/>
        <v>893</v>
      </c>
      <c r="T110" s="406">
        <v>0</v>
      </c>
      <c r="U110" s="407">
        <v>0</v>
      </c>
      <c r="V110" s="414">
        <f t="shared" si="41"/>
        <v>0.11262555555555608</v>
      </c>
      <c r="W110" s="415">
        <f t="shared" si="41"/>
        <v>4.9611111111111113E-2</v>
      </c>
      <c r="X110" s="402">
        <f t="shared" si="42"/>
        <v>225.25111111111215</v>
      </c>
      <c r="Y110" s="403">
        <f t="shared" si="42"/>
        <v>99.222222222222229</v>
      </c>
      <c r="Z110" s="402">
        <f t="shared" si="55"/>
        <v>225.25111111111215</v>
      </c>
      <c r="AA110" s="403">
        <f t="shared" si="44"/>
        <v>99.222222222222229</v>
      </c>
      <c r="AB110" s="402">
        <f t="shared" si="82"/>
        <v>6.6899580000000318</v>
      </c>
      <c r="AC110" s="403">
        <f t="shared" si="83"/>
        <v>2.9469000000000003</v>
      </c>
      <c r="AD110" s="402">
        <f t="shared" si="56"/>
        <v>37.12861111111124</v>
      </c>
      <c r="AE110" s="403">
        <f t="shared" si="48"/>
        <v>16.537037037037038</v>
      </c>
      <c r="AF110" s="347">
        <v>0</v>
      </c>
      <c r="AG110" s="402">
        <f t="shared" si="57"/>
        <v>208.29171111111037</v>
      </c>
      <c r="AH110" s="403">
        <f t="shared" si="58"/>
        <v>99.222222222222229</v>
      </c>
      <c r="AI110" s="467">
        <f t="shared" si="51"/>
        <v>0</v>
      </c>
      <c r="AJ110" s="85">
        <f t="shared" si="52"/>
        <v>89.260000000009313</v>
      </c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</row>
    <row r="111" spans="2:54" ht="12.75" customHeight="1" x14ac:dyDescent="0.2">
      <c r="B111" s="338">
        <v>87820</v>
      </c>
      <c r="C111" s="339">
        <v>89190.3</v>
      </c>
      <c r="D111" s="340" t="s">
        <v>15</v>
      </c>
      <c r="E111" s="340" t="s">
        <v>105</v>
      </c>
      <c r="F111" s="340" t="s">
        <v>111</v>
      </c>
      <c r="G111" s="103" t="str">
        <f t="shared" si="80"/>
        <v>E/S - C/B</v>
      </c>
      <c r="H111" s="77">
        <f t="shared" si="34"/>
        <v>1.5</v>
      </c>
      <c r="I111" s="27">
        <f t="shared" si="35"/>
        <v>38.063888888888968</v>
      </c>
      <c r="J111" s="78">
        <f t="shared" si="36"/>
        <v>-1.42</v>
      </c>
      <c r="K111" s="83">
        <f t="shared" si="81"/>
        <v>1370.3000000000029</v>
      </c>
      <c r="L111" s="388">
        <v>41.42</v>
      </c>
      <c r="M111" s="389">
        <v>20</v>
      </c>
      <c r="N111" s="222">
        <f t="shared" si="53"/>
        <v>56758</v>
      </c>
      <c r="O111" s="274">
        <f t="shared" si="38"/>
        <v>27407</v>
      </c>
      <c r="P111" s="398">
        <v>0</v>
      </c>
      <c r="Q111" s="399">
        <v>0</v>
      </c>
      <c r="R111" s="221">
        <f t="shared" si="39"/>
        <v>56758</v>
      </c>
      <c r="S111" s="269">
        <f t="shared" si="39"/>
        <v>27407</v>
      </c>
      <c r="T111" s="406">
        <v>0</v>
      </c>
      <c r="U111" s="407">
        <v>0</v>
      </c>
      <c r="V111" s="414">
        <f t="shared" si="41"/>
        <v>3.2674138888888891</v>
      </c>
      <c r="W111" s="415">
        <f t="shared" si="41"/>
        <v>1.5226111111111111</v>
      </c>
      <c r="X111" s="402">
        <f t="shared" si="42"/>
        <v>6534.8277777777785</v>
      </c>
      <c r="Y111" s="403">
        <f t="shared" si="42"/>
        <v>3045.2222222222222</v>
      </c>
      <c r="Z111" s="402">
        <f t="shared" si="55"/>
        <v>6534.8277777777785</v>
      </c>
      <c r="AA111" s="403">
        <f t="shared" si="44"/>
        <v>3045.2222222222222</v>
      </c>
      <c r="AB111" s="402">
        <f t="shared" si="82"/>
        <v>194.084385</v>
      </c>
      <c r="AC111" s="403">
        <f t="shared" si="83"/>
        <v>90.443099999999987</v>
      </c>
      <c r="AD111" s="402">
        <f t="shared" si="56"/>
        <v>1089.137962962963</v>
      </c>
      <c r="AE111" s="403">
        <f t="shared" si="48"/>
        <v>507.53703703703701</v>
      </c>
      <c r="AF111" s="347">
        <v>0</v>
      </c>
      <c r="AG111" s="402">
        <f t="shared" si="57"/>
        <v>6090.2415555555554</v>
      </c>
      <c r="AH111" s="403">
        <f t="shared" si="58"/>
        <v>3045.2222222222222</v>
      </c>
      <c r="AI111" s="467">
        <f t="shared" si="51"/>
        <v>27.490586419753143</v>
      </c>
      <c r="AJ111" s="85">
        <f t="shared" si="52"/>
        <v>2740.6000000000058</v>
      </c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</row>
    <row r="112" spans="2:54" ht="12.75" customHeight="1" x14ac:dyDescent="0.2">
      <c r="B112" s="338">
        <v>89190.3</v>
      </c>
      <c r="C112" s="339">
        <v>89617.84</v>
      </c>
      <c r="D112" s="340" t="s">
        <v>15</v>
      </c>
      <c r="E112" s="340" t="s">
        <v>106</v>
      </c>
      <c r="F112" s="340" t="s">
        <v>111</v>
      </c>
      <c r="G112" s="103" t="str">
        <f t="shared" si="80"/>
        <v>F/C - C/B</v>
      </c>
      <c r="H112" s="77">
        <f t="shared" si="34"/>
        <v>2</v>
      </c>
      <c r="I112" s="27">
        <f t="shared" si="35"/>
        <v>11.876111111110934</v>
      </c>
      <c r="J112" s="78">
        <f t="shared" si="36"/>
        <v>-1.42</v>
      </c>
      <c r="K112" s="83">
        <f t="shared" si="81"/>
        <v>427.5399999999936</v>
      </c>
      <c r="L112" s="388">
        <v>43.42</v>
      </c>
      <c r="M112" s="389">
        <v>20</v>
      </c>
      <c r="N112" s="222">
        <f t="shared" si="53"/>
        <v>18564</v>
      </c>
      <c r="O112" s="274">
        <f t="shared" si="38"/>
        <v>8551</v>
      </c>
      <c r="P112" s="398">
        <v>0</v>
      </c>
      <c r="Q112" s="399">
        <v>0</v>
      </c>
      <c r="R112" s="221">
        <f t="shared" si="39"/>
        <v>18564</v>
      </c>
      <c r="S112" s="269">
        <f t="shared" si="39"/>
        <v>8551</v>
      </c>
      <c r="T112" s="406">
        <v>0</v>
      </c>
      <c r="U112" s="407">
        <v>0</v>
      </c>
      <c r="V112" s="414">
        <f t="shared" si="41"/>
        <v>1.0788377777777771</v>
      </c>
      <c r="W112" s="415">
        <f t="shared" si="41"/>
        <v>0.47505555555555556</v>
      </c>
      <c r="X112" s="402">
        <f t="shared" si="42"/>
        <v>2157.6755555555542</v>
      </c>
      <c r="Y112" s="403">
        <f t="shared" si="42"/>
        <v>950.11111111111109</v>
      </c>
      <c r="Z112" s="402">
        <f t="shared" si="55"/>
        <v>2157.6755555555542</v>
      </c>
      <c r="AA112" s="403">
        <f t="shared" si="44"/>
        <v>950.11111111111109</v>
      </c>
      <c r="AB112" s="402">
        <f t="shared" si="82"/>
        <v>64.082963999999961</v>
      </c>
      <c r="AC112" s="403">
        <f t="shared" si="83"/>
        <v>28.218299999999996</v>
      </c>
      <c r="AD112" s="402">
        <f t="shared" si="56"/>
        <v>355.65388888888873</v>
      </c>
      <c r="AE112" s="403">
        <f t="shared" si="48"/>
        <v>158.35185185185185</v>
      </c>
      <c r="AF112" s="347">
        <v>0</v>
      </c>
      <c r="AG112" s="402">
        <f t="shared" si="57"/>
        <v>1995.2103555555566</v>
      </c>
      <c r="AH112" s="403">
        <f t="shared" si="58"/>
        <v>950.11111111111109</v>
      </c>
      <c r="AI112" s="467">
        <f t="shared" si="51"/>
        <v>0</v>
      </c>
      <c r="AJ112" s="85">
        <f t="shared" si="52"/>
        <v>855.07999999998719</v>
      </c>
    </row>
    <row r="113" spans="1:36" ht="12.75" customHeight="1" x14ac:dyDescent="0.2">
      <c r="B113" s="338">
        <v>89617.84</v>
      </c>
      <c r="C113" s="339">
        <v>89637.55</v>
      </c>
      <c r="D113" s="340" t="s">
        <v>15</v>
      </c>
      <c r="E113" s="340" t="s">
        <v>106</v>
      </c>
      <c r="F113" s="340" t="s">
        <v>101</v>
      </c>
      <c r="G113" s="103" t="str">
        <f t="shared" si="80"/>
        <v>-</v>
      </c>
      <c r="H113" s="352">
        <v>1.5</v>
      </c>
      <c r="I113" s="341">
        <v>0.37</v>
      </c>
      <c r="J113" s="361">
        <v>0</v>
      </c>
      <c r="K113" s="83">
        <f t="shared" si="81"/>
        <v>19.710000000006403</v>
      </c>
      <c r="L113" s="388" t="s">
        <v>101</v>
      </c>
      <c r="M113" s="389" t="s">
        <v>101</v>
      </c>
      <c r="N113" s="222">
        <f t="shared" si="53"/>
        <v>0</v>
      </c>
      <c r="O113" s="274">
        <f t="shared" si="38"/>
        <v>0</v>
      </c>
      <c r="P113" s="398">
        <v>432</v>
      </c>
      <c r="Q113" s="399">
        <v>197</v>
      </c>
      <c r="R113" s="221">
        <f t="shared" si="39"/>
        <v>432</v>
      </c>
      <c r="S113" s="269">
        <f t="shared" si="39"/>
        <v>197</v>
      </c>
      <c r="T113" s="406">
        <v>0</v>
      </c>
      <c r="U113" s="407">
        <v>0</v>
      </c>
      <c r="V113" s="414">
        <f t="shared" si="41"/>
        <v>2.5642500000000536E-2</v>
      </c>
      <c r="W113" s="415">
        <f t="shared" si="41"/>
        <v>1.0944444444444444E-2</v>
      </c>
      <c r="X113" s="402">
        <f t="shared" si="42"/>
        <v>51.28500000000107</v>
      </c>
      <c r="Y113" s="403">
        <f t="shared" si="42"/>
        <v>21.888888888888889</v>
      </c>
      <c r="Z113" s="402">
        <f t="shared" si="55"/>
        <v>51.28500000000107</v>
      </c>
      <c r="AA113" s="403">
        <f t="shared" si="44"/>
        <v>21.888888888888889</v>
      </c>
      <c r="AB113" s="402">
        <f t="shared" si="82"/>
        <v>1.5231645000000318</v>
      </c>
      <c r="AC113" s="403">
        <f t="shared" si="83"/>
        <v>0.65010000000000001</v>
      </c>
      <c r="AD113" s="402">
        <f t="shared" si="56"/>
        <v>8.3699999999999992</v>
      </c>
      <c r="AE113" s="403">
        <f t="shared" si="48"/>
        <v>3.6481481481481484</v>
      </c>
      <c r="AF113" s="347">
        <v>0</v>
      </c>
      <c r="AG113" s="402">
        <f t="shared" si="57"/>
        <v>48</v>
      </c>
      <c r="AH113" s="403">
        <f t="shared" si="58"/>
        <v>21.888888888888889</v>
      </c>
      <c r="AI113" s="467">
        <f t="shared" si="51"/>
        <v>0</v>
      </c>
      <c r="AJ113" s="85">
        <f t="shared" si="52"/>
        <v>39.420000000012806</v>
      </c>
    </row>
    <row r="114" spans="1:36" ht="12.75" customHeight="1" x14ac:dyDescent="0.2">
      <c r="A114" s="106" t="s">
        <v>28</v>
      </c>
      <c r="B114" s="338">
        <v>89617.38</v>
      </c>
      <c r="C114" s="339">
        <v>89642.38</v>
      </c>
      <c r="D114" s="340" t="s">
        <v>15</v>
      </c>
      <c r="E114" s="340" t="s">
        <v>101</v>
      </c>
      <c r="F114" s="340" t="s">
        <v>101</v>
      </c>
      <c r="G114" s="103" t="str">
        <f t="shared" si="80"/>
        <v>-</v>
      </c>
      <c r="H114" s="77">
        <v>4</v>
      </c>
      <c r="I114" s="27">
        <f t="shared" si="35"/>
        <v>0</v>
      </c>
      <c r="J114" s="78">
        <f t="shared" si="36"/>
        <v>0</v>
      </c>
      <c r="K114" s="83">
        <f t="shared" si="81"/>
        <v>25</v>
      </c>
      <c r="L114" s="388" t="s">
        <v>101</v>
      </c>
      <c r="M114" s="389" t="s">
        <v>101</v>
      </c>
      <c r="N114" s="222">
        <f t="shared" si="53"/>
        <v>0</v>
      </c>
      <c r="O114" s="274">
        <f t="shared" si="38"/>
        <v>0</v>
      </c>
      <c r="P114" s="398">
        <v>1123</v>
      </c>
      <c r="Q114" s="399">
        <v>500</v>
      </c>
      <c r="R114" s="221">
        <f t="shared" si="39"/>
        <v>1123</v>
      </c>
      <c r="S114" s="269">
        <f t="shared" si="39"/>
        <v>500</v>
      </c>
      <c r="T114" s="406">
        <v>0</v>
      </c>
      <c r="U114" s="407">
        <v>0</v>
      </c>
      <c r="V114" s="414">
        <f t="shared" si="41"/>
        <v>6.7944444444444446E-2</v>
      </c>
      <c r="W114" s="415">
        <f t="shared" si="41"/>
        <v>2.777777777777778E-2</v>
      </c>
      <c r="X114" s="402">
        <f>IF(OR(T114&lt;&gt;0),0,Z114)</f>
        <v>135.88888888888889</v>
      </c>
      <c r="Y114" s="403">
        <f>IF(OR(U114&lt;&gt;0),0,AA114)</f>
        <v>55.555555555555557</v>
      </c>
      <c r="Z114" s="402">
        <f>IF(OR(T114&lt;&gt;0),0,(R114+$H114*$K114)/9)</f>
        <v>135.88888888888889</v>
      </c>
      <c r="AA114" s="403">
        <f>IF(OR(U114&lt;&gt;0),0,S114/9)</f>
        <v>55.555555555555557</v>
      </c>
      <c r="AB114" s="402">
        <f>IF(OR(T114&lt;&gt;0),0,$Z$1*Z114*110*0.06*0.75/2000)</f>
        <v>4.0358999999999989</v>
      </c>
      <c r="AC114" s="403">
        <f>IF(OR(U114&lt;&gt;0),0,$Z$1*AA114*110*0.06*0.75/2000)</f>
        <v>1.65</v>
      </c>
      <c r="AD114" s="402">
        <f t="shared" si="56"/>
        <v>20.796296296296298</v>
      </c>
      <c r="AE114" s="403">
        <f t="shared" si="48"/>
        <v>9.2592592592592595</v>
      </c>
      <c r="AF114" s="383">
        <v>67</v>
      </c>
      <c r="AG114" s="402">
        <f t="shared" si="57"/>
        <v>0</v>
      </c>
      <c r="AH114" s="403">
        <f t="shared" si="58"/>
        <v>0</v>
      </c>
      <c r="AI114" s="467">
        <f t="shared" si="51"/>
        <v>0</v>
      </c>
      <c r="AJ114" s="85">
        <f t="shared" si="52"/>
        <v>0</v>
      </c>
    </row>
    <row r="115" spans="1:36" ht="12.75" customHeight="1" x14ac:dyDescent="0.2">
      <c r="A115" s="106" t="s">
        <v>28</v>
      </c>
      <c r="B115" s="338">
        <v>89984.24</v>
      </c>
      <c r="C115" s="339">
        <v>90009.24</v>
      </c>
      <c r="D115" s="340" t="s">
        <v>15</v>
      </c>
      <c r="E115" s="340" t="s">
        <v>101</v>
      </c>
      <c r="F115" s="340" t="s">
        <v>101</v>
      </c>
      <c r="G115" s="103" t="str">
        <f t="shared" si="80"/>
        <v>-</v>
      </c>
      <c r="H115" s="77">
        <v>4</v>
      </c>
      <c r="I115" s="27">
        <f t="shared" si="35"/>
        <v>0</v>
      </c>
      <c r="J115" s="78">
        <f t="shared" si="36"/>
        <v>0</v>
      </c>
      <c r="K115" s="83">
        <f t="shared" si="81"/>
        <v>25</v>
      </c>
      <c r="L115" s="388" t="s">
        <v>101</v>
      </c>
      <c r="M115" s="389" t="s">
        <v>101</v>
      </c>
      <c r="N115" s="222">
        <f t="shared" si="53"/>
        <v>0</v>
      </c>
      <c r="O115" s="274">
        <f t="shared" si="38"/>
        <v>0</v>
      </c>
      <c r="P115" s="398">
        <v>1123</v>
      </c>
      <c r="Q115" s="399">
        <v>500</v>
      </c>
      <c r="R115" s="221">
        <f t="shared" si="39"/>
        <v>1123</v>
      </c>
      <c r="S115" s="269">
        <f t="shared" si="39"/>
        <v>500</v>
      </c>
      <c r="T115" s="406">
        <v>0</v>
      </c>
      <c r="U115" s="407">
        <v>0</v>
      </c>
      <c r="V115" s="414">
        <f t="shared" si="41"/>
        <v>6.7944444444444446E-2</v>
      </c>
      <c r="W115" s="415">
        <f t="shared" si="41"/>
        <v>2.777777777777778E-2</v>
      </c>
      <c r="X115" s="402">
        <f>IF(OR(T115&lt;&gt;0),0,Z115)</f>
        <v>135.88888888888889</v>
      </c>
      <c r="Y115" s="403">
        <f>IF(OR(U115&lt;&gt;0),0,AA115)</f>
        <v>55.555555555555557</v>
      </c>
      <c r="Z115" s="402">
        <f>IF(OR(T115&lt;&gt;0),0,(R115+$H115*$K115)/9)</f>
        <v>135.88888888888889</v>
      </c>
      <c r="AA115" s="403">
        <f>IF(OR(U115&lt;&gt;0),0,S115/9)</f>
        <v>55.555555555555557</v>
      </c>
      <c r="AB115" s="402">
        <f>IF(OR(T115&lt;&gt;0),0,$Z$1*Z115*110*0.06*0.75/2000)</f>
        <v>4.0358999999999989</v>
      </c>
      <c r="AC115" s="403">
        <f>IF(OR(U115&lt;&gt;0),0,$Z$1*AA115*110*0.06*0.75/2000)</f>
        <v>1.65</v>
      </c>
      <c r="AD115" s="402">
        <f t="shared" si="56"/>
        <v>20.796296296296298</v>
      </c>
      <c r="AE115" s="403">
        <f t="shared" si="48"/>
        <v>9.2592592592592595</v>
      </c>
      <c r="AF115" s="383">
        <v>67</v>
      </c>
      <c r="AG115" s="402">
        <f t="shared" si="57"/>
        <v>0</v>
      </c>
      <c r="AH115" s="403">
        <f t="shared" si="58"/>
        <v>0</v>
      </c>
      <c r="AI115" s="467">
        <f t="shared" si="51"/>
        <v>0</v>
      </c>
      <c r="AJ115" s="85">
        <f t="shared" si="52"/>
        <v>0</v>
      </c>
    </row>
    <row r="116" spans="1:36" ht="12.75" customHeight="1" x14ac:dyDescent="0.2">
      <c r="B116" s="338">
        <v>90009.24</v>
      </c>
      <c r="C116" s="339">
        <v>90029.24</v>
      </c>
      <c r="D116" s="340" t="s">
        <v>15</v>
      </c>
      <c r="E116" s="340" t="s">
        <v>101</v>
      </c>
      <c r="F116" s="340" t="s">
        <v>111</v>
      </c>
      <c r="G116" s="103" t="str">
        <f t="shared" si="80"/>
        <v>-</v>
      </c>
      <c r="H116" s="352">
        <v>1.5</v>
      </c>
      <c r="I116" s="341">
        <v>0.56000000000000005</v>
      </c>
      <c r="J116" s="361">
        <v>-1.42</v>
      </c>
      <c r="K116" s="83">
        <f t="shared" si="81"/>
        <v>20</v>
      </c>
      <c r="L116" s="388" t="s">
        <v>101</v>
      </c>
      <c r="M116" s="389" t="s">
        <v>101</v>
      </c>
      <c r="N116" s="222">
        <f t="shared" si="53"/>
        <v>0</v>
      </c>
      <c r="O116" s="274">
        <f t="shared" si="38"/>
        <v>0</v>
      </c>
      <c r="P116" s="398">
        <v>435</v>
      </c>
      <c r="Q116" s="399">
        <v>200</v>
      </c>
      <c r="R116" s="221">
        <f t="shared" si="39"/>
        <v>435</v>
      </c>
      <c r="S116" s="269">
        <f t="shared" si="39"/>
        <v>200</v>
      </c>
      <c r="T116" s="406">
        <v>0</v>
      </c>
      <c r="U116" s="407">
        <v>0</v>
      </c>
      <c r="V116" s="414">
        <f t="shared" si="41"/>
        <v>2.5833333333333333E-2</v>
      </c>
      <c r="W116" s="415">
        <f t="shared" si="41"/>
        <v>1.1111111111111112E-2</v>
      </c>
      <c r="X116" s="402">
        <f t="shared" si="42"/>
        <v>51.666666666666664</v>
      </c>
      <c r="Y116" s="403">
        <f t="shared" si="42"/>
        <v>22.222222222222221</v>
      </c>
      <c r="Z116" s="402">
        <f t="shared" si="55"/>
        <v>51.666666666666664</v>
      </c>
      <c r="AA116" s="403">
        <f t="shared" si="44"/>
        <v>22.222222222222221</v>
      </c>
      <c r="AB116" s="402">
        <f t="shared" si="82"/>
        <v>1.5345</v>
      </c>
      <c r="AC116" s="403">
        <f t="shared" si="83"/>
        <v>0.65999999999999981</v>
      </c>
      <c r="AD116" s="402">
        <f t="shared" si="56"/>
        <v>8.6155555555555559</v>
      </c>
      <c r="AE116" s="403">
        <f t="shared" si="48"/>
        <v>3.7037037037037037</v>
      </c>
      <c r="AF116" s="347">
        <v>0</v>
      </c>
      <c r="AG116" s="402">
        <f t="shared" si="57"/>
        <v>45.177777777777777</v>
      </c>
      <c r="AH116" s="403">
        <f t="shared" si="58"/>
        <v>22.222222222222221</v>
      </c>
      <c r="AI116" s="467">
        <f t="shared" si="51"/>
        <v>0</v>
      </c>
      <c r="AJ116" s="85">
        <f t="shared" si="52"/>
        <v>40</v>
      </c>
    </row>
    <row r="117" spans="1:36" ht="12.75" customHeight="1" x14ac:dyDescent="0.2">
      <c r="B117" s="338">
        <v>90029.24</v>
      </c>
      <c r="C117" s="339">
        <v>90318.11</v>
      </c>
      <c r="D117" s="340" t="s">
        <v>15</v>
      </c>
      <c r="E117" s="340" t="s">
        <v>106</v>
      </c>
      <c r="F117" s="340" t="s">
        <v>111</v>
      </c>
      <c r="G117" s="103" t="str">
        <f t="shared" si="80"/>
        <v>F/C - C/B</v>
      </c>
      <c r="H117" s="77">
        <f t="shared" si="34"/>
        <v>2</v>
      </c>
      <c r="I117" s="27">
        <f t="shared" si="35"/>
        <v>8.0241666666665381</v>
      </c>
      <c r="J117" s="78">
        <f t="shared" si="36"/>
        <v>-1.42</v>
      </c>
      <c r="K117" s="83">
        <f t="shared" si="81"/>
        <v>288.86999999999534</v>
      </c>
      <c r="L117" s="388">
        <v>43.42</v>
      </c>
      <c r="M117" s="389">
        <v>20</v>
      </c>
      <c r="N117" s="222">
        <f t="shared" si="53"/>
        <v>12543</v>
      </c>
      <c r="O117" s="274">
        <f t="shared" si="38"/>
        <v>5778</v>
      </c>
      <c r="P117" s="398">
        <v>0</v>
      </c>
      <c r="Q117" s="399">
        <v>0</v>
      </c>
      <c r="R117" s="221">
        <f t="shared" si="39"/>
        <v>12543</v>
      </c>
      <c r="S117" s="269">
        <f t="shared" si="39"/>
        <v>5778</v>
      </c>
      <c r="T117" s="406">
        <v>0</v>
      </c>
      <c r="U117" s="407">
        <v>0</v>
      </c>
      <c r="V117" s="414">
        <f t="shared" si="41"/>
        <v>0.72892999999999952</v>
      </c>
      <c r="W117" s="415">
        <f t="shared" si="41"/>
        <v>0.32100000000000001</v>
      </c>
      <c r="X117" s="402">
        <f t="shared" si="42"/>
        <v>1457.859999999999</v>
      </c>
      <c r="Y117" s="403">
        <f t="shared" si="42"/>
        <v>642</v>
      </c>
      <c r="Z117" s="402">
        <f t="shared" si="55"/>
        <v>1457.859999999999</v>
      </c>
      <c r="AA117" s="403">
        <f t="shared" si="44"/>
        <v>642</v>
      </c>
      <c r="AB117" s="402">
        <f t="shared" si="82"/>
        <v>43.298441999999973</v>
      </c>
      <c r="AC117" s="403">
        <f t="shared" si="83"/>
        <v>19.067400000000003</v>
      </c>
      <c r="AD117" s="402">
        <f t="shared" si="56"/>
        <v>240.3019444444443</v>
      </c>
      <c r="AE117" s="403">
        <f t="shared" si="48"/>
        <v>107</v>
      </c>
      <c r="AF117" s="347">
        <v>0</v>
      </c>
      <c r="AG117" s="402">
        <f t="shared" si="57"/>
        <v>1348.0894000000008</v>
      </c>
      <c r="AH117" s="403">
        <f t="shared" si="58"/>
        <v>642</v>
      </c>
      <c r="AI117" s="467">
        <f t="shared" si="51"/>
        <v>0</v>
      </c>
      <c r="AJ117" s="85">
        <f t="shared" si="52"/>
        <v>577.73999999999069</v>
      </c>
    </row>
    <row r="118" spans="1:36" ht="12.75" customHeight="1" x14ac:dyDescent="0.2">
      <c r="B118" s="338">
        <v>90318.11</v>
      </c>
      <c r="C118" s="339">
        <v>91368.11</v>
      </c>
      <c r="D118" s="340" t="s">
        <v>15</v>
      </c>
      <c r="E118" s="340" t="s">
        <v>106</v>
      </c>
      <c r="F118" s="340" t="s">
        <v>111</v>
      </c>
      <c r="G118" s="103" t="str">
        <f t="shared" si="80"/>
        <v>F/C - C/B</v>
      </c>
      <c r="H118" s="77">
        <f t="shared" si="34"/>
        <v>2</v>
      </c>
      <c r="I118" s="27">
        <f t="shared" si="35"/>
        <v>29.166666666666668</v>
      </c>
      <c r="J118" s="78">
        <f t="shared" si="36"/>
        <v>-1.42</v>
      </c>
      <c r="K118" s="83">
        <f t="shared" si="81"/>
        <v>1050</v>
      </c>
      <c r="L118" s="388">
        <v>53.92</v>
      </c>
      <c r="M118" s="389">
        <v>20</v>
      </c>
      <c r="N118" s="222">
        <f t="shared" si="53"/>
        <v>56616</v>
      </c>
      <c r="O118" s="274">
        <f t="shared" si="38"/>
        <v>21000</v>
      </c>
      <c r="P118" s="398">
        <v>0</v>
      </c>
      <c r="Q118" s="399">
        <v>0</v>
      </c>
      <c r="R118" s="221">
        <f t="shared" si="39"/>
        <v>56616</v>
      </c>
      <c r="S118" s="269">
        <f t="shared" si="39"/>
        <v>21000</v>
      </c>
      <c r="T118" s="406">
        <v>0</v>
      </c>
      <c r="U118" s="407">
        <v>0</v>
      </c>
      <c r="V118" s="414">
        <f t="shared" si="41"/>
        <v>3.262</v>
      </c>
      <c r="W118" s="415">
        <f t="shared" si="41"/>
        <v>1.1666666666666667</v>
      </c>
      <c r="X118" s="402">
        <f t="shared" si="42"/>
        <v>6524</v>
      </c>
      <c r="Y118" s="403">
        <f t="shared" si="42"/>
        <v>2333.3333333333335</v>
      </c>
      <c r="Z118" s="402">
        <f t="shared" si="55"/>
        <v>6524</v>
      </c>
      <c r="AA118" s="403">
        <f t="shared" si="44"/>
        <v>2333.3333333333335</v>
      </c>
      <c r="AB118" s="402">
        <f t="shared" si="82"/>
        <v>193.7628</v>
      </c>
      <c r="AC118" s="403">
        <f t="shared" si="83"/>
        <v>69.3</v>
      </c>
      <c r="AD118" s="402">
        <f t="shared" si="56"/>
        <v>1077.6111111111111</v>
      </c>
      <c r="AE118" s="403">
        <f t="shared" si="48"/>
        <v>388.88888888888891</v>
      </c>
      <c r="AF118" s="347">
        <v>0</v>
      </c>
      <c r="AG118" s="402">
        <f t="shared" si="57"/>
        <v>6125</v>
      </c>
      <c r="AH118" s="403">
        <f t="shared" si="58"/>
        <v>2333.3333333333335</v>
      </c>
      <c r="AI118" s="467">
        <f t="shared" si="51"/>
        <v>0</v>
      </c>
      <c r="AJ118" s="85">
        <f t="shared" si="52"/>
        <v>2100</v>
      </c>
    </row>
    <row r="119" spans="1:36" ht="12.75" customHeight="1" x14ac:dyDescent="0.2">
      <c r="B119" s="338">
        <v>91368.11</v>
      </c>
      <c r="C119" s="339">
        <v>91745.83</v>
      </c>
      <c r="D119" s="340" t="s">
        <v>15</v>
      </c>
      <c r="E119" s="340" t="s">
        <v>106</v>
      </c>
      <c r="F119" s="340" t="s">
        <v>111</v>
      </c>
      <c r="G119" s="103" t="str">
        <f t="shared" si="80"/>
        <v>F/C - C/B</v>
      </c>
      <c r="H119" s="77">
        <f t="shared" si="34"/>
        <v>2</v>
      </c>
      <c r="I119" s="27">
        <f t="shared" si="35"/>
        <v>10.492222222222255</v>
      </c>
      <c r="J119" s="78">
        <f t="shared" si="36"/>
        <v>-1.42</v>
      </c>
      <c r="K119" s="83">
        <f t="shared" si="81"/>
        <v>377.72000000000116</v>
      </c>
      <c r="L119" s="388" t="s">
        <v>101</v>
      </c>
      <c r="M119" s="389" t="s">
        <v>101</v>
      </c>
      <c r="N119" s="222">
        <f t="shared" si="53"/>
        <v>0</v>
      </c>
      <c r="O119" s="274">
        <f t="shared" si="38"/>
        <v>0</v>
      </c>
      <c r="P119" s="398">
        <v>25013</v>
      </c>
      <c r="Q119" s="399">
        <v>7554</v>
      </c>
      <c r="R119" s="221">
        <f t="shared" si="39"/>
        <v>25013</v>
      </c>
      <c r="S119" s="269">
        <f t="shared" si="39"/>
        <v>7554</v>
      </c>
      <c r="T119" s="406">
        <v>0</v>
      </c>
      <c r="U119" s="407">
        <v>0</v>
      </c>
      <c r="V119" s="414">
        <f t="shared" si="41"/>
        <v>1.4315800000000001</v>
      </c>
      <c r="W119" s="415">
        <f t="shared" si="41"/>
        <v>0.41966666666666669</v>
      </c>
      <c r="X119" s="402">
        <f t="shared" si="42"/>
        <v>2863.1600000000003</v>
      </c>
      <c r="Y119" s="403">
        <f t="shared" si="42"/>
        <v>839.33333333333337</v>
      </c>
      <c r="Z119" s="402">
        <f t="shared" si="55"/>
        <v>2863.1600000000003</v>
      </c>
      <c r="AA119" s="403">
        <f t="shared" si="44"/>
        <v>839.33333333333337</v>
      </c>
      <c r="AB119" s="402">
        <f t="shared" si="82"/>
        <v>85.03585200000002</v>
      </c>
      <c r="AC119" s="403">
        <f t="shared" si="83"/>
        <v>24.928199999999997</v>
      </c>
      <c r="AD119" s="402">
        <f t="shared" si="56"/>
        <v>473.69592592592596</v>
      </c>
      <c r="AE119" s="403">
        <f t="shared" si="48"/>
        <v>139.88888888888889</v>
      </c>
      <c r="AF119" s="347">
        <v>0</v>
      </c>
      <c r="AG119" s="402">
        <f t="shared" si="57"/>
        <v>2719.6263999999996</v>
      </c>
      <c r="AH119" s="403">
        <f t="shared" si="58"/>
        <v>839.33333333333337</v>
      </c>
      <c r="AI119" s="467">
        <f t="shared" si="51"/>
        <v>0</v>
      </c>
      <c r="AJ119" s="85">
        <f t="shared" si="52"/>
        <v>755.44000000000233</v>
      </c>
    </row>
    <row r="120" spans="1:36" ht="12.75" customHeight="1" x14ac:dyDescent="0.2">
      <c r="B120" s="338">
        <v>91745.83</v>
      </c>
      <c r="C120" s="339">
        <v>93258.71</v>
      </c>
      <c r="D120" s="340" t="s">
        <v>15</v>
      </c>
      <c r="E120" s="340" t="s">
        <v>105</v>
      </c>
      <c r="F120" s="340" t="s">
        <v>111</v>
      </c>
      <c r="G120" s="103" t="str">
        <f t="shared" si="80"/>
        <v>E/S - C/B</v>
      </c>
      <c r="H120" s="77">
        <f t="shared" si="34"/>
        <v>1.5</v>
      </c>
      <c r="I120" s="27">
        <f t="shared" si="35"/>
        <v>42.024444444444576</v>
      </c>
      <c r="J120" s="78">
        <f t="shared" si="36"/>
        <v>-1.42</v>
      </c>
      <c r="K120" s="83">
        <f t="shared" si="81"/>
        <v>1512.8800000000047</v>
      </c>
      <c r="L120" s="388">
        <v>41.42</v>
      </c>
      <c r="M120" s="389">
        <v>20</v>
      </c>
      <c r="N120" s="222">
        <f t="shared" si="53"/>
        <v>62664</v>
      </c>
      <c r="O120" s="274">
        <f t="shared" si="38"/>
        <v>30258</v>
      </c>
      <c r="P120" s="398">
        <v>0</v>
      </c>
      <c r="Q120" s="399">
        <v>0</v>
      </c>
      <c r="R120" s="221">
        <f t="shared" si="39"/>
        <v>62664</v>
      </c>
      <c r="S120" s="269">
        <f t="shared" si="39"/>
        <v>30258</v>
      </c>
      <c r="T120" s="406">
        <v>0</v>
      </c>
      <c r="U120" s="407">
        <v>0</v>
      </c>
      <c r="V120" s="414">
        <f t="shared" si="41"/>
        <v>3.6074066666666673</v>
      </c>
      <c r="W120" s="415">
        <f t="shared" si="41"/>
        <v>1.681</v>
      </c>
      <c r="X120" s="402">
        <f t="shared" si="42"/>
        <v>7214.8133333333344</v>
      </c>
      <c r="Y120" s="403">
        <f t="shared" si="42"/>
        <v>3362</v>
      </c>
      <c r="Z120" s="402">
        <f t="shared" si="55"/>
        <v>7214.8133333333344</v>
      </c>
      <c r="AA120" s="403">
        <f t="shared" si="44"/>
        <v>3362</v>
      </c>
      <c r="AB120" s="402">
        <f t="shared" si="82"/>
        <v>214.279956</v>
      </c>
      <c r="AC120" s="403">
        <f t="shared" si="83"/>
        <v>99.851399999999998</v>
      </c>
      <c r="AD120" s="402">
        <f t="shared" si="56"/>
        <v>1202.4688888888888</v>
      </c>
      <c r="AE120" s="403">
        <f t="shared" si="48"/>
        <v>560.33333333333337</v>
      </c>
      <c r="AF120" s="347">
        <v>0</v>
      </c>
      <c r="AG120" s="402">
        <f t="shared" si="57"/>
        <v>6723.9678222222219</v>
      </c>
      <c r="AH120" s="403">
        <f t="shared" si="58"/>
        <v>3362</v>
      </c>
      <c r="AI120" s="467">
        <f t="shared" si="51"/>
        <v>30.350987654321081</v>
      </c>
      <c r="AJ120" s="85">
        <f t="shared" si="52"/>
        <v>3025.7600000000093</v>
      </c>
    </row>
    <row r="121" spans="1:36" ht="12.75" customHeight="1" x14ac:dyDescent="0.2">
      <c r="B121" s="338">
        <v>93258.71</v>
      </c>
      <c r="C121" s="339">
        <v>93710.71</v>
      </c>
      <c r="D121" s="340" t="s">
        <v>15</v>
      </c>
      <c r="E121" s="340" t="s">
        <v>105</v>
      </c>
      <c r="F121" s="340" t="s">
        <v>111</v>
      </c>
      <c r="G121" s="103" t="str">
        <f t="shared" si="80"/>
        <v>E/S - C/B</v>
      </c>
      <c r="H121" s="77">
        <f t="shared" si="34"/>
        <v>1.5</v>
      </c>
      <c r="I121" s="27">
        <f t="shared" si="35"/>
        <v>12.555555555555555</v>
      </c>
      <c r="J121" s="78">
        <f t="shared" si="36"/>
        <v>-1.42</v>
      </c>
      <c r="K121" s="83">
        <f t="shared" si="81"/>
        <v>452</v>
      </c>
      <c r="L121" s="388" t="s">
        <v>101</v>
      </c>
      <c r="M121" s="389" t="s">
        <v>101</v>
      </c>
      <c r="N121" s="222">
        <f t="shared" si="53"/>
        <v>0</v>
      </c>
      <c r="O121" s="274">
        <f t="shared" si="38"/>
        <v>0</v>
      </c>
      <c r="P121" s="398">
        <v>26355</v>
      </c>
      <c r="Q121" s="399">
        <v>9040</v>
      </c>
      <c r="R121" s="221">
        <f t="shared" si="39"/>
        <v>26355</v>
      </c>
      <c r="S121" s="269">
        <f t="shared" si="39"/>
        <v>9040</v>
      </c>
      <c r="T121" s="406">
        <v>0</v>
      </c>
      <c r="U121" s="407">
        <v>0</v>
      </c>
      <c r="V121" s="414">
        <f t="shared" si="41"/>
        <v>1.5018333333333334</v>
      </c>
      <c r="W121" s="415">
        <f t="shared" si="41"/>
        <v>0.50222222222222224</v>
      </c>
      <c r="X121" s="402">
        <f t="shared" si="42"/>
        <v>3003.6666666666665</v>
      </c>
      <c r="Y121" s="403">
        <f t="shared" si="42"/>
        <v>1004.4444444444445</v>
      </c>
      <c r="Z121" s="402">
        <f t="shared" si="55"/>
        <v>3003.6666666666665</v>
      </c>
      <c r="AA121" s="403">
        <f t="shared" si="44"/>
        <v>1004.4444444444445</v>
      </c>
      <c r="AB121" s="402">
        <f t="shared" si="82"/>
        <v>89.2089</v>
      </c>
      <c r="AC121" s="403">
        <f t="shared" si="83"/>
        <v>29.832000000000001</v>
      </c>
      <c r="AD121" s="402">
        <f t="shared" si="56"/>
        <v>500.61111111111109</v>
      </c>
      <c r="AE121" s="403">
        <f t="shared" si="48"/>
        <v>167.40740740740742</v>
      </c>
      <c r="AF121" s="347">
        <v>0</v>
      </c>
      <c r="AG121" s="402">
        <f t="shared" si="57"/>
        <v>2857.0177777777776</v>
      </c>
      <c r="AH121" s="403">
        <f t="shared" si="58"/>
        <v>1004.4444444444445</v>
      </c>
      <c r="AI121" s="467">
        <f t="shared" si="51"/>
        <v>9.067901234567902</v>
      </c>
      <c r="AJ121" s="85">
        <f t="shared" si="52"/>
        <v>904</v>
      </c>
    </row>
    <row r="122" spans="1:36" ht="12.75" customHeight="1" x14ac:dyDescent="0.2">
      <c r="B122" s="338">
        <v>93710.71</v>
      </c>
      <c r="C122" s="339">
        <v>94058.71</v>
      </c>
      <c r="D122" s="340" t="s">
        <v>15</v>
      </c>
      <c r="E122" s="340" t="s">
        <v>105</v>
      </c>
      <c r="F122" s="340" t="s">
        <v>111</v>
      </c>
      <c r="G122" s="103" t="str">
        <f t="shared" si="80"/>
        <v>E/S - C/B</v>
      </c>
      <c r="H122" s="77">
        <f t="shared" si="34"/>
        <v>1.5</v>
      </c>
      <c r="I122" s="27">
        <f t="shared" si="35"/>
        <v>9.6666666666666661</v>
      </c>
      <c r="J122" s="78">
        <f t="shared" si="36"/>
        <v>-1.42</v>
      </c>
      <c r="K122" s="83">
        <f t="shared" si="81"/>
        <v>348</v>
      </c>
      <c r="L122" s="388">
        <v>49.42</v>
      </c>
      <c r="M122" s="389">
        <v>20</v>
      </c>
      <c r="N122" s="222">
        <f t="shared" si="53"/>
        <v>17199</v>
      </c>
      <c r="O122" s="274">
        <f t="shared" si="38"/>
        <v>6960</v>
      </c>
      <c r="P122" s="398">
        <v>0</v>
      </c>
      <c r="Q122" s="399">
        <v>0</v>
      </c>
      <c r="R122" s="221">
        <f t="shared" si="39"/>
        <v>17199</v>
      </c>
      <c r="S122" s="269">
        <f t="shared" si="39"/>
        <v>6960</v>
      </c>
      <c r="T122" s="406">
        <v>0</v>
      </c>
      <c r="U122" s="407">
        <v>0</v>
      </c>
      <c r="V122" s="414">
        <f t="shared" si="41"/>
        <v>0.98450000000000004</v>
      </c>
      <c r="W122" s="415">
        <f t="shared" si="41"/>
        <v>0.38666666666666666</v>
      </c>
      <c r="X122" s="402">
        <f t="shared" si="42"/>
        <v>1969</v>
      </c>
      <c r="Y122" s="403">
        <f t="shared" si="42"/>
        <v>773.33333333333337</v>
      </c>
      <c r="Z122" s="402">
        <f t="shared" si="55"/>
        <v>1969</v>
      </c>
      <c r="AA122" s="403">
        <f t="shared" si="44"/>
        <v>773.33333333333337</v>
      </c>
      <c r="AB122" s="402">
        <f t="shared" si="82"/>
        <v>58.479299999999995</v>
      </c>
      <c r="AC122" s="403">
        <f t="shared" si="83"/>
        <v>22.968</v>
      </c>
      <c r="AD122" s="402">
        <f t="shared" si="56"/>
        <v>328.16666666666669</v>
      </c>
      <c r="AE122" s="403">
        <f t="shared" si="48"/>
        <v>128.88888888888889</v>
      </c>
      <c r="AF122" s="347">
        <v>0</v>
      </c>
      <c r="AG122" s="402">
        <f t="shared" si="57"/>
        <v>1856.0933333333332</v>
      </c>
      <c r="AH122" s="403">
        <f t="shared" si="58"/>
        <v>773.33333333333337</v>
      </c>
      <c r="AI122" s="467">
        <f t="shared" si="51"/>
        <v>6.9814814814814818</v>
      </c>
      <c r="AJ122" s="85">
        <f t="shared" si="52"/>
        <v>696</v>
      </c>
    </row>
    <row r="123" spans="1:36" ht="12.75" customHeight="1" x14ac:dyDescent="0.2">
      <c r="B123" s="338">
        <v>94058.71</v>
      </c>
      <c r="C123" s="339">
        <v>94158.71</v>
      </c>
      <c r="D123" s="340" t="s">
        <v>15</v>
      </c>
      <c r="E123" s="340" t="s">
        <v>105</v>
      </c>
      <c r="F123" s="340" t="s">
        <v>111</v>
      </c>
      <c r="G123" s="103" t="str">
        <f t="shared" si="80"/>
        <v>E/S - C/B</v>
      </c>
      <c r="H123" s="77">
        <f t="shared" si="34"/>
        <v>1.5</v>
      </c>
      <c r="I123" s="27">
        <f t="shared" si="35"/>
        <v>2.7777777777777777</v>
      </c>
      <c r="J123" s="78">
        <f t="shared" si="36"/>
        <v>-1.42</v>
      </c>
      <c r="K123" s="83">
        <f t="shared" si="81"/>
        <v>100</v>
      </c>
      <c r="L123" s="388">
        <v>45.42</v>
      </c>
      <c r="M123" s="389">
        <v>20</v>
      </c>
      <c r="N123" s="222">
        <f t="shared" si="53"/>
        <v>4542</v>
      </c>
      <c r="O123" s="274">
        <f t="shared" si="38"/>
        <v>2000</v>
      </c>
      <c r="P123" s="398">
        <v>0</v>
      </c>
      <c r="Q123" s="399">
        <v>0</v>
      </c>
      <c r="R123" s="221">
        <f t="shared" si="39"/>
        <v>4542</v>
      </c>
      <c r="S123" s="269">
        <f t="shared" si="39"/>
        <v>2000</v>
      </c>
      <c r="T123" s="406">
        <v>0</v>
      </c>
      <c r="U123" s="407">
        <v>0</v>
      </c>
      <c r="V123" s="414">
        <f t="shared" si="41"/>
        <v>0.26066666666666671</v>
      </c>
      <c r="W123" s="415">
        <f t="shared" si="41"/>
        <v>0.11111111111111112</v>
      </c>
      <c r="X123" s="402">
        <f t="shared" si="42"/>
        <v>521.33333333333337</v>
      </c>
      <c r="Y123" s="403">
        <f t="shared" si="42"/>
        <v>222.22222222222223</v>
      </c>
      <c r="Z123" s="402">
        <f t="shared" si="55"/>
        <v>521.33333333333337</v>
      </c>
      <c r="AA123" s="403">
        <f t="shared" si="44"/>
        <v>222.22222222222223</v>
      </c>
      <c r="AB123" s="402">
        <f t="shared" si="82"/>
        <v>15.483599999999999</v>
      </c>
      <c r="AC123" s="403">
        <f t="shared" si="83"/>
        <v>6.6</v>
      </c>
      <c r="AD123" s="402">
        <f t="shared" si="56"/>
        <v>86.888888888888886</v>
      </c>
      <c r="AE123" s="403">
        <f t="shared" si="48"/>
        <v>37.037037037037038</v>
      </c>
      <c r="AF123" s="347">
        <v>0</v>
      </c>
      <c r="AG123" s="402">
        <f t="shared" si="57"/>
        <v>488.88888888888891</v>
      </c>
      <c r="AH123" s="403">
        <f t="shared" si="58"/>
        <v>222.22222222222223</v>
      </c>
      <c r="AI123" s="467">
        <f t="shared" si="51"/>
        <v>2.0061728395061729</v>
      </c>
      <c r="AJ123" s="85">
        <f t="shared" si="52"/>
        <v>200</v>
      </c>
    </row>
    <row r="124" spans="1:36" ht="12.75" customHeight="1" x14ac:dyDescent="0.2">
      <c r="B124" s="338">
        <v>94158.71</v>
      </c>
      <c r="C124" s="339">
        <v>94895</v>
      </c>
      <c r="D124" s="340" t="s">
        <v>15</v>
      </c>
      <c r="E124" s="340" t="s">
        <v>105</v>
      </c>
      <c r="F124" s="340" t="s">
        <v>111</v>
      </c>
      <c r="G124" s="103" t="str">
        <f t="shared" si="80"/>
        <v>E/S - C/B</v>
      </c>
      <c r="H124" s="77">
        <f t="shared" si="34"/>
        <v>1.5</v>
      </c>
      <c r="I124" s="27">
        <f t="shared" si="35"/>
        <v>20.452499999999823</v>
      </c>
      <c r="J124" s="78">
        <f t="shared" si="36"/>
        <v>-1.42</v>
      </c>
      <c r="K124" s="83">
        <f t="shared" si="81"/>
        <v>736.2899999999936</v>
      </c>
      <c r="L124" s="388">
        <v>41.42</v>
      </c>
      <c r="M124" s="389">
        <v>20</v>
      </c>
      <c r="N124" s="222">
        <f t="shared" si="53"/>
        <v>30498</v>
      </c>
      <c r="O124" s="274">
        <f t="shared" si="38"/>
        <v>14726</v>
      </c>
      <c r="P124" s="398">
        <v>0</v>
      </c>
      <c r="Q124" s="399">
        <v>0</v>
      </c>
      <c r="R124" s="221">
        <f t="shared" si="39"/>
        <v>30498</v>
      </c>
      <c r="S124" s="269">
        <f t="shared" si="39"/>
        <v>14726</v>
      </c>
      <c r="T124" s="406">
        <v>0</v>
      </c>
      <c r="U124" s="407">
        <v>0</v>
      </c>
      <c r="V124" s="414">
        <f t="shared" si="41"/>
        <v>1.755690833333333</v>
      </c>
      <c r="W124" s="415">
        <f t="shared" si="41"/>
        <v>0.81811111111111112</v>
      </c>
      <c r="X124" s="402">
        <f t="shared" si="42"/>
        <v>3511.3816666666658</v>
      </c>
      <c r="Y124" s="403">
        <f t="shared" si="42"/>
        <v>1636.2222222222222</v>
      </c>
      <c r="Z124" s="402">
        <f t="shared" si="55"/>
        <v>3511.3816666666658</v>
      </c>
      <c r="AA124" s="403">
        <f t="shared" si="44"/>
        <v>1636.2222222222222</v>
      </c>
      <c r="AB124" s="402">
        <f t="shared" si="82"/>
        <v>104.28803549999996</v>
      </c>
      <c r="AC124" s="403">
        <f t="shared" si="83"/>
        <v>48.59579999999999</v>
      </c>
      <c r="AD124" s="402">
        <f t="shared" si="56"/>
        <v>585.2302777777777</v>
      </c>
      <c r="AE124" s="403">
        <f t="shared" si="48"/>
        <v>272.7037037037037</v>
      </c>
      <c r="AF124" s="347">
        <v>0</v>
      </c>
      <c r="AG124" s="402">
        <f t="shared" si="57"/>
        <v>3272.4964666666679</v>
      </c>
      <c r="AH124" s="403">
        <f t="shared" si="58"/>
        <v>1636.2222222222222</v>
      </c>
      <c r="AI124" s="467">
        <f t="shared" si="51"/>
        <v>14.771249999999872</v>
      </c>
      <c r="AJ124" s="85">
        <f t="shared" si="52"/>
        <v>1472.5799999999872</v>
      </c>
    </row>
    <row r="125" spans="1:36" ht="12.75" customHeight="1" x14ac:dyDescent="0.2">
      <c r="B125" s="338">
        <v>94895</v>
      </c>
      <c r="C125" s="339">
        <v>95726.25</v>
      </c>
      <c r="D125" s="340" t="s">
        <v>15</v>
      </c>
      <c r="E125" s="340" t="s">
        <v>112</v>
      </c>
      <c r="F125" s="340" t="s">
        <v>111</v>
      </c>
      <c r="G125" s="103" t="str">
        <f t="shared" si="80"/>
        <v>-</v>
      </c>
      <c r="H125" s="352">
        <v>3.17</v>
      </c>
      <c r="I125" s="341">
        <v>33.56</v>
      </c>
      <c r="J125" s="361">
        <v>-1.42</v>
      </c>
      <c r="K125" s="83">
        <f t="shared" si="81"/>
        <v>831.25</v>
      </c>
      <c r="L125" s="388">
        <v>43.42</v>
      </c>
      <c r="M125" s="389">
        <v>20</v>
      </c>
      <c r="N125" s="222">
        <f t="shared" si="53"/>
        <v>36093</v>
      </c>
      <c r="O125" s="274">
        <f t="shared" si="38"/>
        <v>16625</v>
      </c>
      <c r="P125" s="398">
        <v>0</v>
      </c>
      <c r="Q125" s="399">
        <v>0</v>
      </c>
      <c r="R125" s="221">
        <f t="shared" si="39"/>
        <v>36093</v>
      </c>
      <c r="S125" s="269">
        <f t="shared" si="39"/>
        <v>16625</v>
      </c>
      <c r="T125" s="406">
        <v>0</v>
      </c>
      <c r="U125" s="407">
        <v>0</v>
      </c>
      <c r="V125" s="414">
        <f t="shared" si="41"/>
        <v>2.1515590277777776</v>
      </c>
      <c r="W125" s="415">
        <f t="shared" si="41"/>
        <v>0.92361111111111105</v>
      </c>
      <c r="X125" s="402">
        <f t="shared" si="42"/>
        <v>4303.1180555555557</v>
      </c>
      <c r="Y125" s="403">
        <f t="shared" si="42"/>
        <v>1847.2222222222222</v>
      </c>
      <c r="Z125" s="402">
        <f t="shared" si="55"/>
        <v>4303.1180555555557</v>
      </c>
      <c r="AA125" s="403">
        <f t="shared" si="44"/>
        <v>1847.2222222222222</v>
      </c>
      <c r="AB125" s="402">
        <f t="shared" si="82"/>
        <v>127.80260625000001</v>
      </c>
      <c r="AC125" s="403">
        <f t="shared" si="83"/>
        <v>54.862499999999983</v>
      </c>
      <c r="AD125" s="402">
        <f t="shared" si="56"/>
        <v>701.94888888888886</v>
      </c>
      <c r="AE125" s="403">
        <f t="shared" si="48"/>
        <v>307.87037037037038</v>
      </c>
      <c r="AF125" s="347">
        <v>0</v>
      </c>
      <c r="AG125" s="402">
        <f t="shared" si="57"/>
        <v>3879.1805555555557</v>
      </c>
      <c r="AH125" s="403">
        <f t="shared" si="58"/>
        <v>1847.2222222222222</v>
      </c>
      <c r="AI125" s="467">
        <f t="shared" si="51"/>
        <v>0</v>
      </c>
      <c r="AJ125" s="85">
        <f t="shared" si="52"/>
        <v>1662.5</v>
      </c>
    </row>
    <row r="126" spans="1:36" ht="12.75" customHeight="1" x14ac:dyDescent="0.2">
      <c r="B126" s="338">
        <v>95726.25</v>
      </c>
      <c r="C126" s="339">
        <v>98057.71</v>
      </c>
      <c r="D126" s="340" t="s">
        <v>15</v>
      </c>
      <c r="E126" s="340" t="s">
        <v>105</v>
      </c>
      <c r="F126" s="340" t="s">
        <v>111</v>
      </c>
      <c r="G126" s="103" t="str">
        <f t="shared" si="80"/>
        <v>E/S - C/B</v>
      </c>
      <c r="H126" s="77">
        <f t="shared" si="34"/>
        <v>1.5</v>
      </c>
      <c r="I126" s="27">
        <f t="shared" si="35"/>
        <v>64.762777777777956</v>
      </c>
      <c r="J126" s="78">
        <f t="shared" si="36"/>
        <v>-1.42</v>
      </c>
      <c r="K126" s="83">
        <f t="shared" si="81"/>
        <v>2331.4600000000064</v>
      </c>
      <c r="L126" s="388">
        <v>41.42</v>
      </c>
      <c r="M126" s="389">
        <v>20</v>
      </c>
      <c r="N126" s="222">
        <f t="shared" si="53"/>
        <v>96570</v>
      </c>
      <c r="O126" s="274">
        <f t="shared" si="38"/>
        <v>46630</v>
      </c>
      <c r="P126" s="398">
        <v>0</v>
      </c>
      <c r="Q126" s="399">
        <v>0</v>
      </c>
      <c r="R126" s="221">
        <f t="shared" si="39"/>
        <v>96570</v>
      </c>
      <c r="S126" s="269">
        <f t="shared" si="39"/>
        <v>46630</v>
      </c>
      <c r="T126" s="406">
        <v>0</v>
      </c>
      <c r="U126" s="407">
        <v>0</v>
      </c>
      <c r="V126" s="414">
        <f t="shared" si="41"/>
        <v>5.5592883333333338</v>
      </c>
      <c r="W126" s="415">
        <f t="shared" si="41"/>
        <v>2.5905555555555555</v>
      </c>
      <c r="X126" s="402">
        <f t="shared" si="42"/>
        <v>11118.576666666668</v>
      </c>
      <c r="Y126" s="403">
        <f t="shared" si="42"/>
        <v>5181.1111111111113</v>
      </c>
      <c r="Z126" s="402">
        <f t="shared" si="55"/>
        <v>11118.576666666668</v>
      </c>
      <c r="AA126" s="403">
        <f t="shared" si="44"/>
        <v>5181.1111111111113</v>
      </c>
      <c r="AB126" s="402">
        <f t="shared" si="82"/>
        <v>330.22172699999999</v>
      </c>
      <c r="AC126" s="403">
        <f t="shared" si="83"/>
        <v>153.87899999999999</v>
      </c>
      <c r="AD126" s="402">
        <f t="shared" si="56"/>
        <v>1853.0961111111112</v>
      </c>
      <c r="AE126" s="403">
        <f t="shared" si="48"/>
        <v>863.51851851851848</v>
      </c>
      <c r="AF126" s="347">
        <v>0</v>
      </c>
      <c r="AG126" s="402">
        <f t="shared" si="57"/>
        <v>10362.147422222222</v>
      </c>
      <c r="AH126" s="403">
        <f t="shared" si="58"/>
        <v>5181.1111111111113</v>
      </c>
      <c r="AI126" s="467">
        <f t="shared" si="51"/>
        <v>46.773117283950747</v>
      </c>
      <c r="AJ126" s="85">
        <f t="shared" si="52"/>
        <v>4662.9200000000128</v>
      </c>
    </row>
    <row r="127" spans="1:36" ht="12.75" customHeight="1" x14ac:dyDescent="0.2">
      <c r="B127" s="338">
        <v>98057.71</v>
      </c>
      <c r="C127" s="339">
        <v>98116.800000000003</v>
      </c>
      <c r="D127" s="340" t="s">
        <v>15</v>
      </c>
      <c r="E127" s="340" t="s">
        <v>112</v>
      </c>
      <c r="F127" s="340" t="s">
        <v>111</v>
      </c>
      <c r="G127" s="103" t="str">
        <f t="shared" si="80"/>
        <v>-</v>
      </c>
      <c r="H127" s="352">
        <v>3.17</v>
      </c>
      <c r="I127" s="341">
        <v>2.39</v>
      </c>
      <c r="J127" s="361">
        <v>-1.42</v>
      </c>
      <c r="K127" s="83">
        <f t="shared" si="81"/>
        <v>59.089999999996508</v>
      </c>
      <c r="L127" s="388">
        <v>41.42</v>
      </c>
      <c r="M127" s="389">
        <v>20</v>
      </c>
      <c r="N127" s="222">
        <f t="shared" si="53"/>
        <v>2448</v>
      </c>
      <c r="O127" s="274">
        <f t="shared" si="38"/>
        <v>1182</v>
      </c>
      <c r="P127" s="398">
        <v>0</v>
      </c>
      <c r="Q127" s="399">
        <v>0</v>
      </c>
      <c r="R127" s="221">
        <f t="shared" si="39"/>
        <v>2448</v>
      </c>
      <c r="S127" s="269">
        <f t="shared" si="39"/>
        <v>1182</v>
      </c>
      <c r="T127" s="406">
        <v>0</v>
      </c>
      <c r="U127" s="407">
        <v>0</v>
      </c>
      <c r="V127" s="414">
        <f t="shared" si="41"/>
        <v>0.14640640555555492</v>
      </c>
      <c r="W127" s="415">
        <f t="shared" si="41"/>
        <v>6.5666666666666665E-2</v>
      </c>
      <c r="X127" s="402">
        <f t="shared" si="42"/>
        <v>292.81281111110985</v>
      </c>
      <c r="Y127" s="403">
        <f t="shared" si="42"/>
        <v>131.33333333333334</v>
      </c>
      <c r="Z127" s="402">
        <f t="shared" si="55"/>
        <v>292.81281111110985</v>
      </c>
      <c r="AA127" s="403">
        <f t="shared" si="44"/>
        <v>131.33333333333334</v>
      </c>
      <c r="AB127" s="402">
        <f t="shared" si="82"/>
        <v>8.6965404899999612</v>
      </c>
      <c r="AC127" s="403">
        <f t="shared" si="83"/>
        <v>3.9006000000000003</v>
      </c>
      <c r="AD127" s="402">
        <f t="shared" si="56"/>
        <v>47.723333333333336</v>
      </c>
      <c r="AE127" s="403">
        <f t="shared" si="48"/>
        <v>21.888888888888889</v>
      </c>
      <c r="AF127" s="347">
        <v>0</v>
      </c>
      <c r="AG127" s="402">
        <f t="shared" si="57"/>
        <v>262.67691111111168</v>
      </c>
      <c r="AH127" s="403">
        <f t="shared" si="58"/>
        <v>131.33333333333334</v>
      </c>
      <c r="AI127" s="467">
        <f t="shared" si="51"/>
        <v>0</v>
      </c>
      <c r="AJ127" s="85">
        <f t="shared" si="52"/>
        <v>118.17999999999302</v>
      </c>
    </row>
    <row r="128" spans="1:36" ht="12.75" customHeight="1" x14ac:dyDescent="0.2">
      <c r="B128" s="338">
        <v>98116.800000000003</v>
      </c>
      <c r="C128" s="339">
        <v>98141.8</v>
      </c>
      <c r="D128" s="340" t="s">
        <v>15</v>
      </c>
      <c r="E128" s="340" t="s">
        <v>106</v>
      </c>
      <c r="F128" s="340" t="s">
        <v>111</v>
      </c>
      <c r="G128" s="103" t="str">
        <f t="shared" si="80"/>
        <v>F/C - C/B</v>
      </c>
      <c r="H128" s="77">
        <f t="shared" si="34"/>
        <v>2</v>
      </c>
      <c r="I128" s="27">
        <f t="shared" si="35"/>
        <v>0.69444444444444442</v>
      </c>
      <c r="J128" s="78">
        <f t="shared" si="36"/>
        <v>-1.42</v>
      </c>
      <c r="K128" s="83">
        <f t="shared" si="81"/>
        <v>25</v>
      </c>
      <c r="L128" s="388">
        <v>41.42</v>
      </c>
      <c r="M128" s="389">
        <v>20</v>
      </c>
      <c r="N128" s="222">
        <f t="shared" si="53"/>
        <v>1036</v>
      </c>
      <c r="O128" s="274">
        <f t="shared" si="38"/>
        <v>500</v>
      </c>
      <c r="P128" s="398">
        <v>0</v>
      </c>
      <c r="Q128" s="399">
        <v>0</v>
      </c>
      <c r="R128" s="221">
        <f t="shared" si="39"/>
        <v>1036</v>
      </c>
      <c r="S128" s="269">
        <f t="shared" si="39"/>
        <v>500</v>
      </c>
      <c r="T128" s="406">
        <v>0</v>
      </c>
      <c r="U128" s="407">
        <v>0</v>
      </c>
      <c r="V128" s="414">
        <f t="shared" si="41"/>
        <v>6.0333333333333336E-2</v>
      </c>
      <c r="W128" s="415">
        <f t="shared" si="41"/>
        <v>2.777777777777778E-2</v>
      </c>
      <c r="X128" s="402">
        <f t="shared" si="42"/>
        <v>120.66666666666667</v>
      </c>
      <c r="Y128" s="403">
        <f t="shared" si="42"/>
        <v>55.555555555555557</v>
      </c>
      <c r="Z128" s="402">
        <f t="shared" si="55"/>
        <v>120.66666666666667</v>
      </c>
      <c r="AA128" s="403">
        <f t="shared" si="44"/>
        <v>55.555555555555557</v>
      </c>
      <c r="AB128" s="402">
        <f t="shared" si="82"/>
        <v>3.5837999999999997</v>
      </c>
      <c r="AC128" s="403">
        <f t="shared" si="83"/>
        <v>1.65</v>
      </c>
      <c r="AD128" s="402">
        <f t="shared" si="56"/>
        <v>19.87962962962963</v>
      </c>
      <c r="AE128" s="403">
        <f t="shared" si="48"/>
        <v>9.2592592592592595</v>
      </c>
      <c r="AF128" s="347">
        <v>0</v>
      </c>
      <c r="AG128" s="402">
        <f t="shared" si="57"/>
        <v>111.16666666666667</v>
      </c>
      <c r="AH128" s="403">
        <f t="shared" si="58"/>
        <v>55.555555555555557</v>
      </c>
      <c r="AI128" s="467">
        <f t="shared" si="51"/>
        <v>0</v>
      </c>
      <c r="AJ128" s="85">
        <f t="shared" si="52"/>
        <v>50</v>
      </c>
    </row>
    <row r="129" spans="1:54" ht="12.75" customHeight="1" x14ac:dyDescent="0.2">
      <c r="B129" s="338">
        <v>98141.8</v>
      </c>
      <c r="C129" s="339">
        <v>98171.8</v>
      </c>
      <c r="D129" s="340" t="s">
        <v>15</v>
      </c>
      <c r="E129" s="340" t="s">
        <v>106</v>
      </c>
      <c r="F129" s="340" t="s">
        <v>111</v>
      </c>
      <c r="G129" s="103" t="str">
        <f t="shared" si="80"/>
        <v>F/C - C/B</v>
      </c>
      <c r="H129" s="77">
        <f t="shared" si="34"/>
        <v>2</v>
      </c>
      <c r="I129" s="27">
        <f t="shared" si="35"/>
        <v>0.83333333333333337</v>
      </c>
      <c r="J129" s="78">
        <f t="shared" si="36"/>
        <v>-1.42</v>
      </c>
      <c r="K129" s="83">
        <f t="shared" si="81"/>
        <v>30</v>
      </c>
      <c r="L129" s="388">
        <v>42.42</v>
      </c>
      <c r="M129" s="389">
        <v>20</v>
      </c>
      <c r="N129" s="222">
        <f t="shared" si="53"/>
        <v>1273</v>
      </c>
      <c r="O129" s="274">
        <f t="shared" si="38"/>
        <v>600</v>
      </c>
      <c r="P129" s="398">
        <v>0</v>
      </c>
      <c r="Q129" s="399">
        <v>0</v>
      </c>
      <c r="R129" s="221">
        <f t="shared" si="39"/>
        <v>1273</v>
      </c>
      <c r="S129" s="269">
        <f t="shared" si="39"/>
        <v>600</v>
      </c>
      <c r="T129" s="406">
        <v>0</v>
      </c>
      <c r="U129" s="407">
        <v>0</v>
      </c>
      <c r="V129" s="414">
        <f t="shared" si="41"/>
        <v>7.4055555555555555E-2</v>
      </c>
      <c r="W129" s="415">
        <f t="shared" si="41"/>
        <v>3.3333333333333333E-2</v>
      </c>
      <c r="X129" s="402">
        <f t="shared" si="42"/>
        <v>148.11111111111111</v>
      </c>
      <c r="Y129" s="403">
        <f t="shared" si="42"/>
        <v>66.666666666666671</v>
      </c>
      <c r="Z129" s="402">
        <f t="shared" si="55"/>
        <v>148.11111111111111</v>
      </c>
      <c r="AA129" s="403">
        <f t="shared" si="44"/>
        <v>66.666666666666671</v>
      </c>
      <c r="AB129" s="402">
        <f t="shared" si="82"/>
        <v>4.3989000000000003</v>
      </c>
      <c r="AC129" s="403">
        <f t="shared" si="83"/>
        <v>1.98</v>
      </c>
      <c r="AD129" s="402">
        <f t="shared" si="56"/>
        <v>24.407407407407405</v>
      </c>
      <c r="AE129" s="403">
        <f t="shared" si="48"/>
        <v>11.111111111111111</v>
      </c>
      <c r="AF129" s="347">
        <v>0</v>
      </c>
      <c r="AG129" s="402">
        <f t="shared" si="57"/>
        <v>136.71111111111111</v>
      </c>
      <c r="AH129" s="403">
        <f t="shared" si="58"/>
        <v>66.666666666666671</v>
      </c>
      <c r="AI129" s="467">
        <f t="shared" si="51"/>
        <v>0</v>
      </c>
      <c r="AJ129" s="85">
        <f t="shared" si="52"/>
        <v>60</v>
      </c>
    </row>
    <row r="130" spans="1:54" ht="12.75" customHeight="1" x14ac:dyDescent="0.2">
      <c r="B130" s="338">
        <v>98171.8</v>
      </c>
      <c r="C130" s="339">
        <v>98778.16</v>
      </c>
      <c r="D130" s="340" t="s">
        <v>15</v>
      </c>
      <c r="E130" s="340" t="s">
        <v>106</v>
      </c>
      <c r="F130" s="340" t="s">
        <v>111</v>
      </c>
      <c r="G130" s="103" t="str">
        <f t="shared" si="80"/>
        <v>F/C - C/B</v>
      </c>
      <c r="H130" s="77">
        <f t="shared" si="34"/>
        <v>2</v>
      </c>
      <c r="I130" s="27">
        <f t="shared" si="35"/>
        <v>16.843333333333348</v>
      </c>
      <c r="J130" s="78">
        <f t="shared" si="36"/>
        <v>-1.42</v>
      </c>
      <c r="K130" s="83">
        <f t="shared" si="81"/>
        <v>606.36000000000058</v>
      </c>
      <c r="L130" s="388">
        <v>43.42</v>
      </c>
      <c r="M130" s="389">
        <v>20</v>
      </c>
      <c r="N130" s="222">
        <f t="shared" si="53"/>
        <v>26329</v>
      </c>
      <c r="O130" s="274">
        <f t="shared" si="38"/>
        <v>12128</v>
      </c>
      <c r="P130" s="398">
        <v>0</v>
      </c>
      <c r="Q130" s="399">
        <v>0</v>
      </c>
      <c r="R130" s="221">
        <f t="shared" si="39"/>
        <v>26329</v>
      </c>
      <c r="S130" s="269">
        <f t="shared" si="39"/>
        <v>12128</v>
      </c>
      <c r="T130" s="406">
        <v>0</v>
      </c>
      <c r="U130" s="407">
        <v>0</v>
      </c>
      <c r="V130" s="414">
        <f t="shared" si="41"/>
        <v>1.5300955555555555</v>
      </c>
      <c r="W130" s="415">
        <f t="shared" si="41"/>
        <v>0.67377777777777781</v>
      </c>
      <c r="X130" s="402">
        <f t="shared" si="42"/>
        <v>3060.1911111111112</v>
      </c>
      <c r="Y130" s="403">
        <f t="shared" si="42"/>
        <v>1347.5555555555557</v>
      </c>
      <c r="Z130" s="402">
        <f t="shared" si="55"/>
        <v>3060.1911111111112</v>
      </c>
      <c r="AA130" s="403">
        <f t="shared" si="44"/>
        <v>1347.5555555555557</v>
      </c>
      <c r="AB130" s="402">
        <f t="shared" si="82"/>
        <v>90.887676000000013</v>
      </c>
      <c r="AC130" s="403">
        <f t="shared" si="83"/>
        <v>40.022400000000005</v>
      </c>
      <c r="AD130" s="402">
        <f t="shared" si="56"/>
        <v>504.41740740740744</v>
      </c>
      <c r="AE130" s="403">
        <f t="shared" si="48"/>
        <v>224.59259259259258</v>
      </c>
      <c r="AF130" s="347">
        <v>0</v>
      </c>
      <c r="AG130" s="402">
        <f t="shared" si="57"/>
        <v>2829.7743111111108</v>
      </c>
      <c r="AH130" s="403">
        <f t="shared" si="58"/>
        <v>1347.5555555555557</v>
      </c>
      <c r="AI130" s="467">
        <f t="shared" si="51"/>
        <v>0</v>
      </c>
      <c r="AJ130" s="85">
        <f t="shared" si="52"/>
        <v>1212.7200000000012</v>
      </c>
    </row>
    <row r="131" spans="1:54" ht="12.75" customHeight="1" x14ac:dyDescent="0.2">
      <c r="B131" s="338">
        <v>98778.16</v>
      </c>
      <c r="C131" s="339">
        <v>101500</v>
      </c>
      <c r="D131" s="340" t="s">
        <v>15</v>
      </c>
      <c r="E131" s="340" t="s">
        <v>105</v>
      </c>
      <c r="F131" s="340" t="s">
        <v>111</v>
      </c>
      <c r="G131" s="103" t="str">
        <f t="shared" si="80"/>
        <v>E/S - C/B</v>
      </c>
      <c r="H131" s="77">
        <f t="shared" si="34"/>
        <v>1.5</v>
      </c>
      <c r="I131" s="27">
        <f t="shared" si="35"/>
        <v>75.60666666666657</v>
      </c>
      <c r="J131" s="78">
        <f t="shared" si="36"/>
        <v>-1.42</v>
      </c>
      <c r="K131" s="83">
        <f t="shared" si="81"/>
        <v>2721.8399999999965</v>
      </c>
      <c r="L131" s="388">
        <v>41.42</v>
      </c>
      <c r="M131" s="389">
        <v>20</v>
      </c>
      <c r="N131" s="222">
        <f>IF(L131="-",0,ROUNDUP($K131*L131,0))</f>
        <v>112739</v>
      </c>
      <c r="O131" s="274">
        <f t="shared" si="38"/>
        <v>54437</v>
      </c>
      <c r="P131" s="398">
        <v>0</v>
      </c>
      <c r="Q131" s="399">
        <v>0</v>
      </c>
      <c r="R131" s="221">
        <f t="shared" si="39"/>
        <v>112739</v>
      </c>
      <c r="S131" s="269">
        <f t="shared" si="39"/>
        <v>54437</v>
      </c>
      <c r="T131" s="406">
        <v>0</v>
      </c>
      <c r="U131" s="407">
        <v>0</v>
      </c>
      <c r="V131" s="414">
        <f t="shared" si="41"/>
        <v>6.4900977777777769</v>
      </c>
      <c r="W131" s="415">
        <f t="shared" si="41"/>
        <v>3.0242777777777778</v>
      </c>
      <c r="X131" s="402">
        <f t="shared" si="42"/>
        <v>12980.195555555554</v>
      </c>
      <c r="Y131" s="403">
        <f t="shared" si="42"/>
        <v>6048.5555555555557</v>
      </c>
      <c r="Z131" s="402">
        <f t="shared" si="55"/>
        <v>12980.195555555554</v>
      </c>
      <c r="AA131" s="403">
        <f t="shared" si="44"/>
        <v>6048.5555555555557</v>
      </c>
      <c r="AB131" s="402">
        <f t="shared" si="82"/>
        <v>385.51180799999997</v>
      </c>
      <c r="AC131" s="403">
        <f t="shared" si="83"/>
        <v>179.6421</v>
      </c>
      <c r="AD131" s="402">
        <f t="shared" si="56"/>
        <v>2163.3659259259257</v>
      </c>
      <c r="AE131" s="403">
        <f t="shared" si="48"/>
        <v>1008.0925925925926</v>
      </c>
      <c r="AF131" s="347">
        <v>0</v>
      </c>
      <c r="AG131" s="402">
        <f t="shared" si="57"/>
        <v>12097.10968888889</v>
      </c>
      <c r="AH131" s="403">
        <f t="shared" si="58"/>
        <v>6048.5555555555557</v>
      </c>
      <c r="AI131" s="467">
        <f t="shared" si="51"/>
        <v>54.604814814814745</v>
      </c>
      <c r="AJ131" s="85">
        <f t="shared" si="52"/>
        <v>5443.679999999993</v>
      </c>
    </row>
    <row r="132" spans="1:54" ht="12.75" customHeight="1" thickBot="1" x14ac:dyDescent="0.25">
      <c r="B132" s="107"/>
      <c r="C132" s="82"/>
      <c r="D132" s="32"/>
      <c r="E132" s="32"/>
      <c r="F132" s="32"/>
      <c r="G132" s="32"/>
      <c r="H132" s="26"/>
      <c r="I132" s="27"/>
      <c r="J132" s="27"/>
      <c r="K132" s="83"/>
      <c r="L132" s="390"/>
      <c r="M132" s="391"/>
      <c r="N132" s="396"/>
      <c r="O132" s="397"/>
      <c r="P132" s="223"/>
      <c r="Q132" s="280"/>
      <c r="R132" s="223"/>
      <c r="S132" s="280"/>
      <c r="T132" s="221"/>
      <c r="U132" s="269"/>
      <c r="V132" s="402"/>
      <c r="W132" s="403"/>
      <c r="X132" s="402"/>
      <c r="Y132" s="403"/>
      <c r="Z132" s="402"/>
      <c r="AA132" s="403"/>
      <c r="AB132" s="402"/>
      <c r="AC132" s="403"/>
      <c r="AD132" s="425"/>
      <c r="AE132" s="426"/>
      <c r="AF132" s="83"/>
      <c r="AG132" s="424"/>
      <c r="AH132" s="403"/>
      <c r="AI132" s="111"/>
      <c r="AJ132" s="85"/>
    </row>
    <row r="133" spans="1:54" s="94" customFormat="1" ht="12.75" customHeight="1" x14ac:dyDescent="0.2">
      <c r="A133" s="81"/>
      <c r="B133" s="707" t="s">
        <v>273</v>
      </c>
      <c r="C133" s="664"/>
      <c r="D133" s="585" t="s">
        <v>246</v>
      </c>
      <c r="E133" s="586"/>
      <c r="F133" s="586"/>
      <c r="G133" s="586"/>
      <c r="H133" s="586"/>
      <c r="I133" s="586"/>
      <c r="J133" s="586"/>
      <c r="K133" s="586"/>
      <c r="L133" s="586"/>
      <c r="M133" s="586"/>
      <c r="N133" s="586"/>
      <c r="O133" s="586"/>
      <c r="P133" s="586"/>
      <c r="Q133" s="586"/>
      <c r="R133" s="586"/>
      <c r="S133" s="587"/>
      <c r="T133" s="594">
        <f>ROUNDUP(SUM(T74:T131),0)</f>
        <v>19881</v>
      </c>
      <c r="U133" s="596">
        <f t="shared" ref="U133:AJ133" si="84">ROUNDUP(SUM(U74:U131),0)</f>
        <v>8388</v>
      </c>
      <c r="V133" s="594">
        <f t="shared" si="84"/>
        <v>69</v>
      </c>
      <c r="W133" s="596">
        <f t="shared" si="84"/>
        <v>29</v>
      </c>
      <c r="X133" s="594">
        <f t="shared" si="84"/>
        <v>117217</v>
      </c>
      <c r="Y133" s="596">
        <f t="shared" si="84"/>
        <v>49292</v>
      </c>
      <c r="Z133" s="594">
        <f t="shared" si="84"/>
        <v>117217</v>
      </c>
      <c r="AA133" s="596">
        <f t="shared" si="84"/>
        <v>49292</v>
      </c>
      <c r="AB133" s="594">
        <f t="shared" si="84"/>
        <v>3482</v>
      </c>
      <c r="AC133" s="596">
        <f t="shared" si="84"/>
        <v>1464</v>
      </c>
      <c r="AD133" s="594">
        <f t="shared" si="84"/>
        <v>22818</v>
      </c>
      <c r="AE133" s="596">
        <f t="shared" si="84"/>
        <v>9636</v>
      </c>
      <c r="AF133" s="592">
        <f t="shared" si="84"/>
        <v>461</v>
      </c>
      <c r="AG133" s="594">
        <f t="shared" si="84"/>
        <v>127430</v>
      </c>
      <c r="AH133" s="596">
        <f t="shared" si="84"/>
        <v>57436</v>
      </c>
      <c r="AI133" s="592">
        <f t="shared" ref="AI133" si="85">ROUNDUP(SUM(AI74:AI131),0)</f>
        <v>385</v>
      </c>
      <c r="AJ133" s="592">
        <f t="shared" si="84"/>
        <v>52536</v>
      </c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</row>
    <row r="134" spans="1:54" s="94" customFormat="1" ht="12.75" customHeight="1" thickBot="1" x14ac:dyDescent="0.25">
      <c r="A134" s="81"/>
      <c r="B134" s="764"/>
      <c r="C134" s="765"/>
      <c r="D134" s="588"/>
      <c r="E134" s="589"/>
      <c r="F134" s="589"/>
      <c r="G134" s="589"/>
      <c r="H134" s="589"/>
      <c r="I134" s="589"/>
      <c r="J134" s="589"/>
      <c r="K134" s="589"/>
      <c r="L134" s="589"/>
      <c r="M134" s="589"/>
      <c r="N134" s="589"/>
      <c r="O134" s="589"/>
      <c r="P134" s="589"/>
      <c r="Q134" s="589"/>
      <c r="R134" s="589"/>
      <c r="S134" s="590"/>
      <c r="T134" s="595"/>
      <c r="U134" s="597"/>
      <c r="V134" s="595"/>
      <c r="W134" s="597"/>
      <c r="X134" s="595"/>
      <c r="Y134" s="597"/>
      <c r="Z134" s="595"/>
      <c r="AA134" s="597"/>
      <c r="AB134" s="595"/>
      <c r="AC134" s="597"/>
      <c r="AD134" s="595"/>
      <c r="AE134" s="597"/>
      <c r="AF134" s="593"/>
      <c r="AG134" s="595"/>
      <c r="AH134" s="597"/>
      <c r="AI134" s="593"/>
      <c r="AJ134" s="593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</row>
    <row r="135" spans="1:54" x14ac:dyDescent="0.2">
      <c r="B135" s="764"/>
      <c r="C135" s="765"/>
      <c r="D135" s="585" t="s">
        <v>255</v>
      </c>
      <c r="E135" s="586"/>
      <c r="F135" s="586"/>
      <c r="G135" s="586"/>
      <c r="H135" s="586"/>
      <c r="I135" s="586"/>
      <c r="J135" s="586"/>
      <c r="K135" s="586"/>
      <c r="L135" s="586"/>
      <c r="M135" s="586"/>
      <c r="N135" s="586"/>
      <c r="O135" s="586"/>
      <c r="P135" s="586"/>
      <c r="Q135" s="586"/>
      <c r="R135" s="586"/>
      <c r="S135" s="587"/>
      <c r="T135" s="594">
        <f>T133+T71</f>
        <v>38701</v>
      </c>
      <c r="U135" s="596">
        <f t="shared" ref="U135:AJ135" si="86">U133+U71</f>
        <v>12767</v>
      </c>
      <c r="V135" s="594">
        <f t="shared" si="86"/>
        <v>138</v>
      </c>
      <c r="W135" s="596">
        <f t="shared" si="86"/>
        <v>57</v>
      </c>
      <c r="X135" s="594">
        <f t="shared" si="86"/>
        <v>235651</v>
      </c>
      <c r="Y135" s="596">
        <f t="shared" si="86"/>
        <v>99191</v>
      </c>
      <c r="Z135" s="594">
        <f t="shared" si="86"/>
        <v>235651</v>
      </c>
      <c r="AA135" s="596">
        <f t="shared" si="86"/>
        <v>99191</v>
      </c>
      <c r="AB135" s="594">
        <f t="shared" si="86"/>
        <v>7000</v>
      </c>
      <c r="AC135" s="596">
        <f t="shared" si="86"/>
        <v>2946</v>
      </c>
      <c r="AD135" s="594">
        <f t="shared" si="86"/>
        <v>45674</v>
      </c>
      <c r="AE135" s="596">
        <f t="shared" si="86"/>
        <v>18705</v>
      </c>
      <c r="AF135" s="592">
        <f t="shared" si="86"/>
        <v>991</v>
      </c>
      <c r="AG135" s="594">
        <f t="shared" si="86"/>
        <v>255017</v>
      </c>
      <c r="AH135" s="596">
        <f t="shared" si="86"/>
        <v>111469</v>
      </c>
      <c r="AI135" s="592">
        <f t="shared" ref="AI135" si="87">AI133+AI71</f>
        <v>779</v>
      </c>
      <c r="AJ135" s="592">
        <f t="shared" si="86"/>
        <v>105037</v>
      </c>
    </row>
    <row r="136" spans="1:54" ht="13.5" thickBot="1" x14ac:dyDescent="0.25">
      <c r="B136" s="764"/>
      <c r="C136" s="765"/>
      <c r="D136" s="588"/>
      <c r="E136" s="589"/>
      <c r="F136" s="589"/>
      <c r="G136" s="589"/>
      <c r="H136" s="589"/>
      <c r="I136" s="589"/>
      <c r="J136" s="589"/>
      <c r="K136" s="589"/>
      <c r="L136" s="589"/>
      <c r="M136" s="589"/>
      <c r="N136" s="589"/>
      <c r="O136" s="589"/>
      <c r="P136" s="589"/>
      <c r="Q136" s="589"/>
      <c r="R136" s="589"/>
      <c r="S136" s="590"/>
      <c r="T136" s="595"/>
      <c r="U136" s="597"/>
      <c r="V136" s="595"/>
      <c r="W136" s="597"/>
      <c r="X136" s="595"/>
      <c r="Y136" s="597"/>
      <c r="Z136" s="595"/>
      <c r="AA136" s="597"/>
      <c r="AB136" s="595"/>
      <c r="AC136" s="597"/>
      <c r="AD136" s="595"/>
      <c r="AE136" s="597"/>
      <c r="AF136" s="593"/>
      <c r="AG136" s="595"/>
      <c r="AH136" s="597"/>
      <c r="AI136" s="593"/>
      <c r="AJ136" s="593"/>
    </row>
    <row r="137" spans="1:54" x14ac:dyDescent="0.2">
      <c r="B137" s="764"/>
      <c r="C137" s="765"/>
      <c r="D137" s="585" t="s">
        <v>256</v>
      </c>
      <c r="E137" s="586"/>
      <c r="F137" s="586"/>
      <c r="G137" s="586"/>
      <c r="H137" s="586"/>
      <c r="I137" s="586"/>
      <c r="J137" s="586"/>
      <c r="K137" s="586"/>
      <c r="L137" s="586"/>
      <c r="M137" s="586"/>
      <c r="N137" s="586"/>
      <c r="O137" s="586"/>
      <c r="P137" s="586"/>
      <c r="Q137" s="586"/>
      <c r="R137" s="586"/>
      <c r="S137" s="587"/>
      <c r="T137" s="766">
        <f>T135+U135</f>
        <v>51468</v>
      </c>
      <c r="U137" s="767"/>
      <c r="V137" s="766">
        <f t="shared" ref="V137" si="88">V135+W135</f>
        <v>195</v>
      </c>
      <c r="W137" s="767"/>
      <c r="X137" s="766">
        <f t="shared" ref="X137" si="89">X135+Y135</f>
        <v>334842</v>
      </c>
      <c r="Y137" s="767"/>
      <c r="Z137" s="766">
        <f t="shared" ref="Z137" si="90">Z135+AA135</f>
        <v>334842</v>
      </c>
      <c r="AA137" s="767"/>
      <c r="AB137" s="766">
        <f t="shared" ref="AB137" si="91">AB135+AC135</f>
        <v>9946</v>
      </c>
      <c r="AC137" s="767"/>
      <c r="AD137" s="766">
        <f t="shared" ref="AD137" si="92">AD135+AE135</f>
        <v>64379</v>
      </c>
      <c r="AE137" s="767"/>
      <c r="AF137" s="592">
        <f>AF135</f>
        <v>991</v>
      </c>
      <c r="AG137" s="766">
        <f t="shared" ref="AG137" si="93">AG135+AH135</f>
        <v>366486</v>
      </c>
      <c r="AH137" s="767"/>
      <c r="AI137" s="592">
        <f>AI135</f>
        <v>779</v>
      </c>
      <c r="AJ137" s="592">
        <f>AJ135</f>
        <v>105037</v>
      </c>
    </row>
    <row r="138" spans="1:54" ht="13.5" thickBot="1" x14ac:dyDescent="0.25">
      <c r="B138" s="709"/>
      <c r="C138" s="665"/>
      <c r="D138" s="588"/>
      <c r="E138" s="589"/>
      <c r="F138" s="589"/>
      <c r="G138" s="589"/>
      <c r="H138" s="589"/>
      <c r="I138" s="589"/>
      <c r="J138" s="589"/>
      <c r="K138" s="589"/>
      <c r="L138" s="589"/>
      <c r="M138" s="589"/>
      <c r="N138" s="589"/>
      <c r="O138" s="589"/>
      <c r="P138" s="589"/>
      <c r="Q138" s="589"/>
      <c r="R138" s="589"/>
      <c r="S138" s="590"/>
      <c r="T138" s="768"/>
      <c r="U138" s="769"/>
      <c r="V138" s="768"/>
      <c r="W138" s="769"/>
      <c r="X138" s="768"/>
      <c r="Y138" s="769"/>
      <c r="Z138" s="768"/>
      <c r="AA138" s="769"/>
      <c r="AB138" s="768"/>
      <c r="AC138" s="769"/>
      <c r="AD138" s="768"/>
      <c r="AE138" s="769"/>
      <c r="AF138" s="593"/>
      <c r="AG138" s="768"/>
      <c r="AH138" s="769"/>
      <c r="AI138" s="593"/>
      <c r="AJ138" s="593"/>
    </row>
  </sheetData>
  <mergeCells count="143">
    <mergeCell ref="B2:C2"/>
    <mergeCell ref="B3:C3"/>
    <mergeCell ref="B4:C4"/>
    <mergeCell ref="AN14:AP14"/>
    <mergeCell ref="AQ14:AS14"/>
    <mergeCell ref="D137:S138"/>
    <mergeCell ref="B133:C138"/>
    <mergeCell ref="T137:U138"/>
    <mergeCell ref="V137:W138"/>
    <mergeCell ref="X137:Y138"/>
    <mergeCell ref="Z137:AA138"/>
    <mergeCell ref="AB137:AC138"/>
    <mergeCell ref="AD137:AE138"/>
    <mergeCell ref="AG137:AH138"/>
    <mergeCell ref="AF137:AF138"/>
    <mergeCell ref="AJ137:AJ138"/>
    <mergeCell ref="AB133:AB134"/>
    <mergeCell ref="B73:C73"/>
    <mergeCell ref="D133:S134"/>
    <mergeCell ref="T133:T134"/>
    <mergeCell ref="U133:U134"/>
    <mergeCell ref="AL9:AV9"/>
    <mergeCell ref="AL10:AL11"/>
    <mergeCell ref="AM10:AM11"/>
    <mergeCell ref="AN10:AP10"/>
    <mergeCell ref="AQ10:AS10"/>
    <mergeCell ref="AT10:AV10"/>
    <mergeCell ref="AN11:AP11"/>
    <mergeCell ref="AQ11:AS11"/>
    <mergeCell ref="AT11:AV11"/>
    <mergeCell ref="AT14:AV14"/>
    <mergeCell ref="AN15:AP15"/>
    <mergeCell ref="AQ15:AS15"/>
    <mergeCell ref="AT15:AV15"/>
    <mergeCell ref="AT12:AV12"/>
    <mergeCell ref="AN13:AP13"/>
    <mergeCell ref="AQ13:AS13"/>
    <mergeCell ref="AT13:AV13"/>
    <mergeCell ref="AN12:AP12"/>
    <mergeCell ref="AQ12:AS12"/>
    <mergeCell ref="K16:K17"/>
    <mergeCell ref="B18:C18"/>
    <mergeCell ref="AN16:AP16"/>
    <mergeCell ref="AQ16:AS16"/>
    <mergeCell ref="AT16:AV16"/>
    <mergeCell ref="V16:W16"/>
    <mergeCell ref="X16:Y16"/>
    <mergeCell ref="Z16:AA16"/>
    <mergeCell ref="AB16:AC16"/>
    <mergeCell ref="AD16:AE16"/>
    <mergeCell ref="B16:B17"/>
    <mergeCell ref="C16:C17"/>
    <mergeCell ref="L16:M16"/>
    <mergeCell ref="N16:O16"/>
    <mergeCell ref="P16:Q16"/>
    <mergeCell ref="R16:S16"/>
    <mergeCell ref="AG16:AH16"/>
    <mergeCell ref="E5:E17"/>
    <mergeCell ref="F5:F17"/>
    <mergeCell ref="G5:G17"/>
    <mergeCell ref="H16:H17"/>
    <mergeCell ref="I16:I17"/>
    <mergeCell ref="J16:J17"/>
    <mergeCell ref="T16:U16"/>
    <mergeCell ref="AJ6:AJ15"/>
    <mergeCell ref="AG5:AH5"/>
    <mergeCell ref="AF6:AF15"/>
    <mergeCell ref="AG6:AH15"/>
    <mergeCell ref="AI6:AI15"/>
    <mergeCell ref="AI71:AI72"/>
    <mergeCell ref="B5:C15"/>
    <mergeCell ref="D5:D17"/>
    <mergeCell ref="H5:H15"/>
    <mergeCell ref="I5:I15"/>
    <mergeCell ref="J5:J15"/>
    <mergeCell ref="X5:AC5"/>
    <mergeCell ref="AD5:AE5"/>
    <mergeCell ref="K5:K15"/>
    <mergeCell ref="L5:M15"/>
    <mergeCell ref="N5:O15"/>
    <mergeCell ref="P5:Q15"/>
    <mergeCell ref="R5:S15"/>
    <mergeCell ref="V6:W15"/>
    <mergeCell ref="X6:Y15"/>
    <mergeCell ref="Z6:AA15"/>
    <mergeCell ref="AB6:AC15"/>
    <mergeCell ref="AD6:AE15"/>
    <mergeCell ref="T5:W5"/>
    <mergeCell ref="Z1:AA1"/>
    <mergeCell ref="AD1:AE1"/>
    <mergeCell ref="AF1:AG1"/>
    <mergeCell ref="T71:T72"/>
    <mergeCell ref="U71:U72"/>
    <mergeCell ref="V71:V72"/>
    <mergeCell ref="W71:W72"/>
    <mergeCell ref="X71:X72"/>
    <mergeCell ref="Y71:Y72"/>
    <mergeCell ref="Z71:Z72"/>
    <mergeCell ref="AA71:AA72"/>
    <mergeCell ref="AB71:AB72"/>
    <mergeCell ref="AC71:AC72"/>
    <mergeCell ref="AD71:AD72"/>
    <mergeCell ref="AE71:AE72"/>
    <mergeCell ref="T6:U15"/>
    <mergeCell ref="AF71:AF72"/>
    <mergeCell ref="AG71:AG72"/>
    <mergeCell ref="AH71:AH72"/>
    <mergeCell ref="AJ71:AJ72"/>
    <mergeCell ref="B71:C72"/>
    <mergeCell ref="D71:S72"/>
    <mergeCell ref="V133:V134"/>
    <mergeCell ref="AJ133:AJ134"/>
    <mergeCell ref="AC133:AC134"/>
    <mergeCell ref="AD133:AD134"/>
    <mergeCell ref="AE133:AE134"/>
    <mergeCell ref="AF133:AF134"/>
    <mergeCell ref="AG133:AG134"/>
    <mergeCell ref="AH133:AH134"/>
    <mergeCell ref="W133:W134"/>
    <mergeCell ref="X133:X134"/>
    <mergeCell ref="Y133:Y134"/>
    <mergeCell ref="Z133:Z134"/>
    <mergeCell ref="AA133:AA134"/>
    <mergeCell ref="AI133:AI134"/>
    <mergeCell ref="W135:W136"/>
    <mergeCell ref="X135:X136"/>
    <mergeCell ref="Y135:Y136"/>
    <mergeCell ref="Z135:Z136"/>
    <mergeCell ref="AA135:AA136"/>
    <mergeCell ref="D135:S136"/>
    <mergeCell ref="T135:T136"/>
    <mergeCell ref="U135:U136"/>
    <mergeCell ref="V135:V136"/>
    <mergeCell ref="AI135:AI136"/>
    <mergeCell ref="AI137:AI138"/>
    <mergeCell ref="AH135:AH136"/>
    <mergeCell ref="AJ135:AJ136"/>
    <mergeCell ref="AB135:AB136"/>
    <mergeCell ref="AC135:AC136"/>
    <mergeCell ref="AD135:AD136"/>
    <mergeCell ref="AE135:AE136"/>
    <mergeCell ref="AF135:AF136"/>
    <mergeCell ref="AG135:AG136"/>
  </mergeCells>
  <dataValidations count="1">
    <dataValidation type="list" allowBlank="1" showInputMessage="1" showErrorMessage="1" sqref="E19:F70 E74:F131">
      <formula1>$AL$2:$AL$6</formula1>
    </dataValidation>
  </dataValidations>
  <printOptions horizontalCentered="1" verticalCentered="1"/>
  <pageMargins left="0.73" right="0.25" top="0.66" bottom="0.4" header="0.65" footer="0.25"/>
  <pageSetup paperSize="17" scale="68" orientation="landscape" r:id="rId1"/>
  <headerFooter scaleWithDoc="0" alignWithMargins="0">
    <oddHeader>&amp;LHAN-75-14.39</oddHeader>
    <oddFooter>&amp;R&amp;A</oddFooter>
  </headerFooter>
  <rowBreaks count="1" manualBreakCount="1">
    <brk id="72" min="1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SUMMARY</vt:lpstr>
      <vt:lpstr>IR75 FLEXIBLE</vt:lpstr>
      <vt:lpstr>US68 FLEXIBLE</vt:lpstr>
      <vt:lpstr>US68 RAMPS FLEXIBLE</vt:lpstr>
      <vt:lpstr>LIMA RAMPS</vt:lpstr>
      <vt:lpstr>SR12,US224 RAMPS</vt:lpstr>
      <vt:lpstr>LIMA,GRAY,LOGAN,BIKE PATH</vt:lpstr>
      <vt:lpstr>HARRISON,SERVICE RD</vt:lpstr>
      <vt:lpstr>IR75 RIGID</vt:lpstr>
      <vt:lpstr>US68 RIGID</vt:lpstr>
      <vt:lpstr>US68 RAMPS RIGID</vt:lpstr>
      <vt:lpstr>CABLE BARRIER</vt:lpstr>
      <vt:lpstr>Area Split Calcs</vt:lpstr>
      <vt:lpstr>'CABLE BARRIER'!Print_Area</vt:lpstr>
      <vt:lpstr>'HARRISON,SERVICE RD'!Print_Area</vt:lpstr>
      <vt:lpstr>'IR75 FLEXIBLE'!Print_Area</vt:lpstr>
      <vt:lpstr>'IR75 RIGID'!Print_Area</vt:lpstr>
      <vt:lpstr>'LIMA RAMPS'!Print_Area</vt:lpstr>
      <vt:lpstr>'LIMA,GRAY,LOGAN,BIKE PATH'!Print_Area</vt:lpstr>
      <vt:lpstr>'SR12,US224 RAMPS'!Print_Area</vt:lpstr>
      <vt:lpstr>SUMMARY!Print_Area</vt:lpstr>
      <vt:lpstr>'US68 FLEXIBLE'!Print_Area</vt:lpstr>
      <vt:lpstr>'US68 RAMPS FLEXIBLE'!Print_Area</vt:lpstr>
      <vt:lpstr>'US68 RAMPS RIGID'!Print_Area</vt:lpstr>
      <vt:lpstr>'US68 RIGID'!Print_Area</vt:lpstr>
      <vt:lpstr>'IR75 FLEXIBLE'!Print_Titles</vt:lpstr>
      <vt:lpstr>'IR75 RIGID'!Print_Titles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Cavello</dc:creator>
  <cp:lastModifiedBy>Schetter, Andrew B.</cp:lastModifiedBy>
  <cp:lastPrinted>2016-07-28T07:24:07Z</cp:lastPrinted>
  <dcterms:created xsi:type="dcterms:W3CDTF">2007-01-18T14:43:23Z</dcterms:created>
  <dcterms:modified xsi:type="dcterms:W3CDTF">2016-07-28T07:31:48Z</dcterms:modified>
</cp:coreProperties>
</file>