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s\HAN\87005\roadway\spreadsheets\"/>
    </mc:Choice>
  </mc:AlternateContent>
  <bookViews>
    <workbookView xWindow="25035" yWindow="120" windowWidth="24915" windowHeight="12480" tabRatio="864"/>
  </bookViews>
  <sheets>
    <sheet name="SUMMARY" sheetId="1" r:id="rId1"/>
    <sheet name="IR75 FLEXIBLE" sheetId="2" r:id="rId2"/>
    <sheet name="US68 FLEXIBLE" sheetId="3" r:id="rId3"/>
    <sheet name="US68 RAMPS FLEXIBLE" sheetId="4" r:id="rId4"/>
    <sheet name="LIMA RAMPS" sheetId="7" r:id="rId5"/>
    <sheet name="SR12,US224 RAMPS" sheetId="8" r:id="rId6"/>
    <sheet name="LIMA,GRAY,LOGAN,BIKE PATH" sheetId="5" r:id="rId7"/>
    <sheet name="HARRISON,SERVICE RD" sheetId="10" r:id="rId8"/>
    <sheet name="IR75 RIGID" sheetId="17" r:id="rId9"/>
    <sheet name="US68 RIGID" sheetId="16" r:id="rId10"/>
    <sheet name="US68 RAMPS RIGID" sheetId="18" r:id="rId11"/>
    <sheet name="CABLE BARRIER" sheetId="11" r:id="rId12"/>
    <sheet name="Area Split Calcs" sheetId="15" r:id="rId13"/>
  </sheets>
  <definedNames>
    <definedName name="_xlnm.Print_Area" localSheetId="11">'CABLE BARRIER'!$B$2:$M$29</definedName>
    <definedName name="_xlnm.Print_Area" localSheetId="7">'HARRISON,SERVICE RD'!$B$2:$AA$48</definedName>
    <definedName name="_xlnm.Print_Area" localSheetId="1">'IR75 FLEXIBLE'!$B$2:$AS$183</definedName>
    <definedName name="_xlnm.Print_Area" localSheetId="8">'IR75 RIGID'!$B$2:$AJ$138</definedName>
    <definedName name="_xlnm.Print_Area" localSheetId="4">'LIMA RAMPS'!$B$2:$W$66</definedName>
    <definedName name="_xlnm.Print_Area" localSheetId="6">'LIMA,GRAY,LOGAN,BIKE PATH'!$B$2:$W$69</definedName>
    <definedName name="_xlnm.Print_Area" localSheetId="5">'SR12,US224 RAMPS'!$B$2:$X$70</definedName>
    <definedName name="_xlnm.Print_Area" localSheetId="0">SUMMARY!$B$3:$AX$44</definedName>
    <definedName name="_xlnm.Print_Area" localSheetId="2">'US68 FLEXIBLE'!$B$2:$AG$79</definedName>
    <definedName name="_xlnm.Print_Area" localSheetId="3">'US68 RAMPS FLEXIBLE'!$B$2:$AC$67</definedName>
    <definedName name="_xlnm.Print_Area" localSheetId="10">'US68 RAMPS RIGID'!$B$2:$Y$66</definedName>
    <definedName name="_xlnm.Print_Area" localSheetId="9">'US68 RIGID'!$B$2:$Y$57</definedName>
    <definedName name="_xlnm.Print_Titles" localSheetId="1">'IR75 FLEXIBLE'!$2:$18</definedName>
    <definedName name="_xlnm.Print_Titles" localSheetId="8">'IR75 RIGID'!$2:$17</definedName>
    <definedName name="Z_221143F3_72E3_4C4A_9811_2F859DD19779_.wvu.Cols" localSheetId="1" hidden="1">'IR75 FLEXIBLE'!$E:$L</definedName>
    <definedName name="Z_221143F3_72E3_4C4A_9811_2F859DD19779_.wvu.Cols" localSheetId="8" hidden="1">'IR75 RIGID'!$E:$J</definedName>
    <definedName name="Z_221143F3_72E3_4C4A_9811_2F859DD19779_.wvu.Cols" localSheetId="2" hidden="1">'US68 FLEXIBLE'!#REF!</definedName>
    <definedName name="Z_221143F3_72E3_4C4A_9811_2F859DD19779_.wvu.Cols" localSheetId="3" hidden="1">'US68 RAMPS FLEXIBLE'!#REF!</definedName>
    <definedName name="Z_221143F3_72E3_4C4A_9811_2F859DD19779_.wvu.Cols" localSheetId="10" hidden="1">'US68 RAMPS RIGID'!#REF!</definedName>
    <definedName name="Z_221143F3_72E3_4C4A_9811_2F859DD19779_.wvu.Cols" localSheetId="9" hidden="1">'US68 RIGID'!#REF!</definedName>
    <definedName name="Z_221143F3_72E3_4C4A_9811_2F859DD19779_.wvu.PrintArea" localSheetId="11" hidden="1">'CABLE BARRIER'!$A$5:$L$31</definedName>
    <definedName name="Z_221143F3_72E3_4C4A_9811_2F859DD19779_.wvu.PrintArea" localSheetId="1" hidden="1">'IR75 FLEXIBLE'!$B$6:$AS$183</definedName>
    <definedName name="Z_221143F3_72E3_4C4A_9811_2F859DD19779_.wvu.PrintArea" localSheetId="8" hidden="1">'IR75 RIGID'!$B$5:$AJ$134</definedName>
    <definedName name="Z_221143F3_72E3_4C4A_9811_2F859DD19779_.wvu.PrintArea" localSheetId="4" hidden="1">'LIMA RAMPS'!$A$5:$S$70</definedName>
    <definedName name="Z_221143F3_72E3_4C4A_9811_2F859DD19779_.wvu.PrintArea" localSheetId="6" hidden="1">'LIMA,GRAY,LOGAN,BIKE PATH'!$A$6:$V$159</definedName>
    <definedName name="Z_221143F3_72E3_4C4A_9811_2F859DD19779_.wvu.PrintArea" localSheetId="5" hidden="1">'SR12,US224 RAMPS'!$A$5:$S$76</definedName>
    <definedName name="Z_221143F3_72E3_4C4A_9811_2F859DD19779_.wvu.PrintArea" localSheetId="0" hidden="1">SUMMARY!$B$2:$AX$42</definedName>
    <definedName name="Z_221143F3_72E3_4C4A_9811_2F859DD19779_.wvu.PrintArea" localSheetId="2" hidden="1">'US68 FLEXIBLE'!$B$6:$AD$83</definedName>
    <definedName name="Z_221143F3_72E3_4C4A_9811_2F859DD19779_.wvu.PrintArea" localSheetId="3" hidden="1">'US68 RAMPS FLEXIBLE'!$A$6:$AD$71</definedName>
    <definedName name="Z_221143F3_72E3_4C4A_9811_2F859DD19779_.wvu.PrintArea" localSheetId="10" hidden="1">'US68 RAMPS RIGID'!$A$5:$Z$70</definedName>
    <definedName name="Z_221143F3_72E3_4C4A_9811_2F859DD19779_.wvu.PrintArea" localSheetId="9" hidden="1">'US68 RIGID'!$B$5:$Y$72</definedName>
    <definedName name="Z_221143F3_72E3_4C4A_9811_2F859DD19779_.wvu.PrintTitles" localSheetId="1" hidden="1">'IR75 FLEXIBLE'!$6:$18</definedName>
    <definedName name="Z_221143F3_72E3_4C4A_9811_2F859DD19779_.wvu.PrintTitles" localSheetId="8" hidden="1">'IR75 RIGID'!$5:$17</definedName>
  </definedNames>
  <calcPr calcId="152511"/>
  <customWorkbookViews>
    <customWorkbookView name="schetter - Personal View" guid="{221143F3-72E3-4C4A-9811-2F859DD19779}" mergeInterval="0" personalView="1" maximized="1" windowWidth="1901" windowHeight="799" tabRatio="871" activeSheetId="3"/>
  </customWorkbookViews>
</workbook>
</file>

<file path=xl/calcChain.xml><?xml version="1.0" encoding="utf-8"?>
<calcChain xmlns="http://schemas.openxmlformats.org/spreadsheetml/2006/main">
  <c r="C29" i="1" l="1"/>
  <c r="C30" i="1" s="1"/>
  <c r="V176" i="2"/>
  <c r="V175" i="2"/>
  <c r="V174" i="2"/>
  <c r="V173" i="2"/>
  <c r="V172" i="2"/>
  <c r="V171" i="2"/>
  <c r="V168" i="2"/>
  <c r="V167" i="2"/>
  <c r="V166" i="2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D29" i="1"/>
  <c r="AX23" i="1" l="1"/>
  <c r="AX30" i="1" s="1"/>
  <c r="E23" i="1"/>
  <c r="E30" i="1" s="1"/>
  <c r="Y47" i="10"/>
  <c r="P38" i="18" l="1"/>
  <c r="P37" i="18"/>
  <c r="R39" i="4"/>
  <c r="R38" i="4"/>
  <c r="P48" i="16"/>
  <c r="P47" i="16"/>
  <c r="P29" i="16"/>
  <c r="P28" i="16"/>
  <c r="S49" i="3"/>
  <c r="S48" i="3"/>
  <c r="S30" i="3"/>
  <c r="S29" i="3"/>
  <c r="V29" i="3" s="1"/>
  <c r="AC115" i="17"/>
  <c r="AB115" i="17"/>
  <c r="AC114" i="17"/>
  <c r="AB114" i="17"/>
  <c r="Y115" i="17"/>
  <c r="X115" i="17"/>
  <c r="Y114" i="17"/>
  <c r="X114" i="17"/>
  <c r="AA115" i="17"/>
  <c r="Z115" i="17"/>
  <c r="AA114" i="17"/>
  <c r="Z114" i="17"/>
  <c r="X95" i="17"/>
  <c r="Y95" i="17"/>
  <c r="Z95" i="17"/>
  <c r="AA95" i="17"/>
  <c r="AB95" i="17"/>
  <c r="AC95" i="17"/>
  <c r="AC96" i="17"/>
  <c r="AB96" i="17"/>
  <c r="AA96" i="17"/>
  <c r="Z96" i="17"/>
  <c r="Y96" i="17"/>
  <c r="X96" i="17"/>
  <c r="U95" i="17"/>
  <c r="T95" i="17"/>
  <c r="AC55" i="17"/>
  <c r="AC54" i="17"/>
  <c r="AB54" i="17"/>
  <c r="AB55" i="17"/>
  <c r="Y55" i="17"/>
  <c r="Y54" i="17"/>
  <c r="X55" i="17"/>
  <c r="X54" i="17"/>
  <c r="AF117" i="2"/>
  <c r="AF116" i="2"/>
  <c r="AE117" i="2"/>
  <c r="AE116" i="2"/>
  <c r="AD117" i="2"/>
  <c r="AD116" i="2"/>
  <c r="AC117" i="2"/>
  <c r="AA117" i="2" s="1"/>
  <c r="AC116" i="2"/>
  <c r="AA116" i="2" s="1"/>
  <c r="AB117" i="2"/>
  <c r="AB116" i="2"/>
  <c r="AA97" i="2"/>
  <c r="AB97" i="2"/>
  <c r="AC97" i="2"/>
  <c r="AD97" i="2"/>
  <c r="AE97" i="2"/>
  <c r="AF97" i="2"/>
  <c r="AF98" i="2"/>
  <c r="AE98" i="2"/>
  <c r="AD98" i="2"/>
  <c r="AC98" i="2"/>
  <c r="AA98" i="2" s="1"/>
  <c r="AB98" i="2"/>
  <c r="X97" i="2"/>
  <c r="W97" i="2"/>
  <c r="AF56" i="2"/>
  <c r="AF55" i="2"/>
  <c r="AE56" i="2"/>
  <c r="AE55" i="2"/>
  <c r="AB56" i="2"/>
  <c r="AB55" i="2"/>
  <c r="AA56" i="2"/>
  <c r="AA55" i="2"/>
  <c r="AB38" i="17"/>
  <c r="AC38" i="17"/>
  <c r="AC39" i="17"/>
  <c r="AB39" i="17"/>
  <c r="X38" i="17"/>
  <c r="Y38" i="17"/>
  <c r="Y39" i="17"/>
  <c r="X39" i="17"/>
  <c r="U38" i="17"/>
  <c r="T38" i="17"/>
  <c r="AA38" i="17"/>
  <c r="Z38" i="17"/>
  <c r="AE39" i="2"/>
  <c r="AF39" i="2"/>
  <c r="AF40" i="2"/>
  <c r="AE40" i="2"/>
  <c r="AC39" i="2"/>
  <c r="AD39" i="2"/>
  <c r="AA39" i="2"/>
  <c r="AB39" i="2"/>
  <c r="X39" i="2"/>
  <c r="W39" i="2"/>
  <c r="AB40" i="2"/>
  <c r="AA40" i="2"/>
  <c r="V30" i="3"/>
  <c r="AA55" i="17"/>
  <c r="AA54" i="17"/>
  <c r="Z55" i="17"/>
  <c r="Z54" i="17"/>
  <c r="AA39" i="17"/>
  <c r="Z39" i="17"/>
  <c r="AD40" i="2"/>
  <c r="AC40" i="2"/>
  <c r="AD56" i="2"/>
  <c r="AD55" i="2"/>
  <c r="AC56" i="2"/>
  <c r="AC55" i="2"/>
  <c r="G25" i="1" l="1"/>
  <c r="S52" i="7"/>
  <c r="Q52" i="7" s="1"/>
  <c r="S53" i="7"/>
  <c r="Q53" i="7" s="1"/>
  <c r="S54" i="7"/>
  <c r="Q54" i="7" s="1"/>
  <c r="S55" i="7"/>
  <c r="S56" i="7"/>
  <c r="S51" i="7"/>
  <c r="P55" i="7"/>
  <c r="Q55" i="7" s="1"/>
  <c r="P56" i="7"/>
  <c r="H54" i="7"/>
  <c r="R60" i="7"/>
  <c r="T60" i="7"/>
  <c r="T59" i="7"/>
  <c r="R59" i="7"/>
  <c r="S60" i="7"/>
  <c r="Q60" i="7"/>
  <c r="P60" i="7"/>
  <c r="P59" i="7"/>
  <c r="S59" i="7" s="1"/>
  <c r="Q59" i="7" s="1"/>
  <c r="S63" i="7"/>
  <c r="Q63" i="7" s="1"/>
  <c r="S48" i="7"/>
  <c r="Q48" i="7" s="1"/>
  <c r="S45" i="7"/>
  <c r="S46" i="7"/>
  <c r="P45" i="7"/>
  <c r="P46" i="7"/>
  <c r="S44" i="7"/>
  <c r="P44" i="7"/>
  <c r="G47" i="7"/>
  <c r="H47" i="7"/>
  <c r="I47" i="7"/>
  <c r="J47" i="7"/>
  <c r="K47" i="7"/>
  <c r="W47" i="7" s="1"/>
  <c r="S39" i="7"/>
  <c r="Q39" i="7"/>
  <c r="P39" i="7"/>
  <c r="G39" i="7"/>
  <c r="H39" i="7"/>
  <c r="J39" i="7"/>
  <c r="K39" i="7"/>
  <c r="W39" i="7" s="1"/>
  <c r="S52" i="18"/>
  <c r="S53" i="18"/>
  <c r="S54" i="18"/>
  <c r="S55" i="18"/>
  <c r="S56" i="18"/>
  <c r="Q56" i="18" s="1"/>
  <c r="S57" i="18"/>
  <c r="Q57" i="18" s="1"/>
  <c r="S58" i="18"/>
  <c r="Q58" i="18" s="1"/>
  <c r="S59" i="18"/>
  <c r="S60" i="18"/>
  <c r="S61" i="18"/>
  <c r="S62" i="18"/>
  <c r="S63" i="18"/>
  <c r="Q52" i="18"/>
  <c r="Q53" i="18"/>
  <c r="Q54" i="18"/>
  <c r="Q55" i="18"/>
  <c r="Q59" i="18"/>
  <c r="Q60" i="18"/>
  <c r="Q61" i="18"/>
  <c r="Q62" i="18"/>
  <c r="Q63" i="18"/>
  <c r="P52" i="18"/>
  <c r="P53" i="18"/>
  <c r="P54" i="18"/>
  <c r="P55" i="18"/>
  <c r="P56" i="18"/>
  <c r="P57" i="18"/>
  <c r="P58" i="18"/>
  <c r="P59" i="18"/>
  <c r="P60" i="18"/>
  <c r="P61" i="18"/>
  <c r="P62" i="18"/>
  <c r="P63" i="18"/>
  <c r="S51" i="18"/>
  <c r="P51" i="18"/>
  <c r="S32" i="18"/>
  <c r="S33" i="18"/>
  <c r="S34" i="18"/>
  <c r="S35" i="18"/>
  <c r="S36" i="18"/>
  <c r="S39" i="18"/>
  <c r="Q39" i="18" s="1"/>
  <c r="S40" i="18"/>
  <c r="Q40" i="18" s="1"/>
  <c r="S41" i="18"/>
  <c r="Q41" i="18" s="1"/>
  <c r="S42" i="18"/>
  <c r="Q42" i="18" s="1"/>
  <c r="S43" i="18"/>
  <c r="Q43" i="18" s="1"/>
  <c r="S44" i="18"/>
  <c r="S45" i="18"/>
  <c r="S46" i="18"/>
  <c r="S47" i="18"/>
  <c r="S48" i="18"/>
  <c r="Q32" i="18"/>
  <c r="Q33" i="18"/>
  <c r="Q34" i="18"/>
  <c r="Q35" i="18"/>
  <c r="Q36" i="18"/>
  <c r="Q44" i="18"/>
  <c r="Q45" i="18"/>
  <c r="Q46" i="18"/>
  <c r="Q47" i="18"/>
  <c r="Q48" i="18"/>
  <c r="P32" i="18"/>
  <c r="P33" i="18"/>
  <c r="P34" i="18"/>
  <c r="P35" i="18"/>
  <c r="P36" i="18"/>
  <c r="P39" i="18"/>
  <c r="P40" i="18"/>
  <c r="P41" i="18"/>
  <c r="P42" i="18"/>
  <c r="P43" i="18"/>
  <c r="P44" i="18"/>
  <c r="P45" i="18"/>
  <c r="P46" i="18"/>
  <c r="P47" i="18"/>
  <c r="P48" i="18"/>
  <c r="S31" i="18"/>
  <c r="Q31" i="18" s="1"/>
  <c r="P31" i="18"/>
  <c r="U55" i="4"/>
  <c r="U56" i="4"/>
  <c r="U57" i="4"/>
  <c r="U60" i="4"/>
  <c r="U61" i="4"/>
  <c r="U62" i="4"/>
  <c r="U63" i="4"/>
  <c r="S63" i="4" s="1"/>
  <c r="U64" i="4"/>
  <c r="S64" i="4" s="1"/>
  <c r="S55" i="4"/>
  <c r="S56" i="4"/>
  <c r="S57" i="4"/>
  <c r="S60" i="4"/>
  <c r="S61" i="4"/>
  <c r="S62" i="4"/>
  <c r="R55" i="4"/>
  <c r="R56" i="4"/>
  <c r="R57" i="4"/>
  <c r="R58" i="4"/>
  <c r="U58" i="4" s="1"/>
  <c r="R59" i="4"/>
  <c r="U59" i="4" s="1"/>
  <c r="R60" i="4"/>
  <c r="R61" i="4"/>
  <c r="R62" i="4"/>
  <c r="R63" i="4"/>
  <c r="R64" i="4"/>
  <c r="U37" i="4"/>
  <c r="U36" i="4"/>
  <c r="S36" i="4" s="1"/>
  <c r="U35" i="4"/>
  <c r="S35" i="4"/>
  <c r="S37" i="4"/>
  <c r="R35" i="4"/>
  <c r="R36" i="4"/>
  <c r="R37" i="4"/>
  <c r="U38" i="4"/>
  <c r="S38" i="4" s="1"/>
  <c r="U39" i="4"/>
  <c r="S39" i="4" s="1"/>
  <c r="R43" i="4"/>
  <c r="R44" i="4"/>
  <c r="U44" i="4" s="1"/>
  <c r="U32" i="4"/>
  <c r="S32" i="4" s="1"/>
  <c r="R32" i="4"/>
  <c r="S44" i="4" l="1"/>
  <c r="U43" i="4"/>
  <c r="S43" i="4" s="1"/>
  <c r="S59" i="4"/>
  <c r="S58" i="4"/>
  <c r="S38" i="18"/>
  <c r="Q38" i="18" s="1"/>
  <c r="S37" i="18"/>
  <c r="Q37" i="18" s="1"/>
  <c r="Q56" i="7"/>
  <c r="P65" i="7"/>
  <c r="Q51" i="7"/>
  <c r="Q46" i="7"/>
  <c r="Q45" i="7"/>
  <c r="Q44" i="7"/>
  <c r="M47" i="7"/>
  <c r="O47" i="7" s="1"/>
  <c r="S47" i="7" s="1"/>
  <c r="Q47" i="7" s="1"/>
  <c r="I39" i="7"/>
  <c r="M39" i="7"/>
  <c r="O39" i="7" s="1"/>
  <c r="Q51" i="18"/>
  <c r="S27" i="18"/>
  <c r="Q27" i="18" s="1"/>
  <c r="S28" i="18"/>
  <c r="Q28" i="18" s="1"/>
  <c r="S26" i="18"/>
  <c r="P28" i="18"/>
  <c r="Q26" i="18"/>
  <c r="G27" i="18"/>
  <c r="H27" i="18"/>
  <c r="J27" i="18"/>
  <c r="K27" i="18"/>
  <c r="I27" i="18" s="1"/>
  <c r="X27" i="18"/>
  <c r="Y27" i="18"/>
  <c r="U28" i="4"/>
  <c r="S28" i="4" s="1"/>
  <c r="U29" i="4"/>
  <c r="U27" i="4"/>
  <c r="S27" i="4" s="1"/>
  <c r="S29" i="4"/>
  <c r="R29" i="4"/>
  <c r="G28" i="4"/>
  <c r="H28" i="4"/>
  <c r="K28" i="4"/>
  <c r="M28" i="4"/>
  <c r="I28" i="4" s="1"/>
  <c r="O28" i="4"/>
  <c r="Q28" i="4" s="1"/>
  <c r="AB28" i="4"/>
  <c r="S20" i="18"/>
  <c r="Q20" i="18" s="1"/>
  <c r="G20" i="18"/>
  <c r="H20" i="18"/>
  <c r="J20" i="18"/>
  <c r="K20" i="18"/>
  <c r="I20" i="18" s="1"/>
  <c r="U21" i="4"/>
  <c r="S21" i="4"/>
  <c r="G21" i="4"/>
  <c r="H21" i="4"/>
  <c r="K21" i="4"/>
  <c r="M21" i="4"/>
  <c r="I21" i="4" s="1"/>
  <c r="P42" i="16"/>
  <c r="P43" i="16"/>
  <c r="P44" i="16"/>
  <c r="P45" i="16"/>
  <c r="P46" i="16"/>
  <c r="P49" i="16"/>
  <c r="P50" i="16"/>
  <c r="P51" i="16"/>
  <c r="P41" i="16"/>
  <c r="P26" i="16"/>
  <c r="P27" i="16"/>
  <c r="P30" i="16"/>
  <c r="P31" i="16"/>
  <c r="P32" i="16"/>
  <c r="G52" i="16"/>
  <c r="H52" i="16"/>
  <c r="I52" i="16"/>
  <c r="J52" i="16"/>
  <c r="K52" i="16"/>
  <c r="M52" i="16" s="1"/>
  <c r="O52" i="16" s="1"/>
  <c r="R52" i="16"/>
  <c r="S52" i="16"/>
  <c r="Q52" i="16" s="1"/>
  <c r="T52" i="16"/>
  <c r="X52" i="16"/>
  <c r="G41" i="16"/>
  <c r="H41" i="16"/>
  <c r="I41" i="16"/>
  <c r="J41" i="16"/>
  <c r="K41" i="16"/>
  <c r="M41" i="16"/>
  <c r="O41" i="16" s="1"/>
  <c r="X41" i="16"/>
  <c r="Y41" i="16"/>
  <c r="G33" i="16"/>
  <c r="H33" i="16"/>
  <c r="S33" i="16" s="1"/>
  <c r="Q33" i="16" s="1"/>
  <c r="J33" i="16"/>
  <c r="K33" i="16"/>
  <c r="I33" i="16" s="1"/>
  <c r="M33" i="16"/>
  <c r="O33" i="16" s="1"/>
  <c r="X33" i="16"/>
  <c r="G25" i="16"/>
  <c r="H25" i="16"/>
  <c r="I25" i="16"/>
  <c r="J25" i="16"/>
  <c r="K25" i="16"/>
  <c r="Y25" i="16" s="1"/>
  <c r="M25" i="16"/>
  <c r="O25" i="16" s="1"/>
  <c r="P25" i="16" s="1"/>
  <c r="T25" i="16" s="1"/>
  <c r="X25" i="16"/>
  <c r="S28" i="3"/>
  <c r="S31" i="3"/>
  <c r="S32" i="3"/>
  <c r="S33" i="3"/>
  <c r="G34" i="3"/>
  <c r="H34" i="3"/>
  <c r="I34" i="3"/>
  <c r="J34" i="3"/>
  <c r="M34" i="3"/>
  <c r="K34" i="3" s="1"/>
  <c r="O34" i="3"/>
  <c r="Q34" i="3"/>
  <c r="AF34" i="3"/>
  <c r="AG34" i="3"/>
  <c r="G53" i="3"/>
  <c r="H53" i="3"/>
  <c r="I53" i="3"/>
  <c r="J53" i="3"/>
  <c r="K53" i="3"/>
  <c r="M53" i="3"/>
  <c r="O53" i="3"/>
  <c r="Q53" i="3" s="1"/>
  <c r="AF53" i="3"/>
  <c r="AG53" i="3"/>
  <c r="G42" i="3"/>
  <c r="H42" i="3"/>
  <c r="I42" i="3"/>
  <c r="J42" i="3"/>
  <c r="M42" i="3"/>
  <c r="K42" i="3" s="1"/>
  <c r="AF42" i="3"/>
  <c r="M26" i="3"/>
  <c r="AG26" i="3" s="1"/>
  <c r="K26" i="3"/>
  <c r="J26" i="3"/>
  <c r="I26" i="3"/>
  <c r="H26" i="3"/>
  <c r="G26" i="3"/>
  <c r="U47" i="7" l="1"/>
  <c r="V47" i="7"/>
  <c r="V39" i="7"/>
  <c r="U39" i="7"/>
  <c r="M27" i="18"/>
  <c r="O27" i="18" s="1"/>
  <c r="R27" i="18" s="1"/>
  <c r="W28" i="4"/>
  <c r="T28" i="4"/>
  <c r="AC28" i="4"/>
  <c r="AA28" i="4"/>
  <c r="Z28" i="4"/>
  <c r="J28" i="4"/>
  <c r="X28" i="4" s="1"/>
  <c r="Y28" i="4"/>
  <c r="X20" i="18"/>
  <c r="Y20" i="18"/>
  <c r="M20" i="18"/>
  <c r="O20" i="18" s="1"/>
  <c r="AC21" i="4"/>
  <c r="AB21" i="4"/>
  <c r="O21" i="4"/>
  <c r="Q21" i="4" s="1"/>
  <c r="W21" i="4" s="1"/>
  <c r="AA21" i="4"/>
  <c r="Z21" i="4"/>
  <c r="J21" i="4"/>
  <c r="R25" i="16"/>
  <c r="S25" i="16"/>
  <c r="Q25" i="16" s="1"/>
  <c r="U52" i="16"/>
  <c r="W52" i="16"/>
  <c r="Y52" i="16"/>
  <c r="S41" i="16"/>
  <c r="Q41" i="16" s="1"/>
  <c r="U41" i="16"/>
  <c r="W41" i="16"/>
  <c r="T33" i="16"/>
  <c r="R33" i="16"/>
  <c r="U33" i="16"/>
  <c r="W33" i="16"/>
  <c r="Y33" i="16"/>
  <c r="W25" i="16"/>
  <c r="U25" i="16"/>
  <c r="Z34" i="3"/>
  <c r="V34" i="3"/>
  <c r="AC34" i="3"/>
  <c r="AE34" i="3"/>
  <c r="AD34" i="3"/>
  <c r="AA34" i="3"/>
  <c r="AC53" i="3"/>
  <c r="AA53" i="3"/>
  <c r="AD53" i="3"/>
  <c r="AE53" i="3"/>
  <c r="Z53" i="3"/>
  <c r="V53" i="3"/>
  <c r="AF26" i="3"/>
  <c r="AG42" i="3"/>
  <c r="O42" i="3"/>
  <c r="Q42" i="3" s="1"/>
  <c r="O26" i="3"/>
  <c r="Q26" i="3" s="1"/>
  <c r="S26" i="3" s="1"/>
  <c r="T88" i="17"/>
  <c r="U88" i="17"/>
  <c r="T89" i="17"/>
  <c r="U89" i="17"/>
  <c r="T90" i="17"/>
  <c r="U90" i="17"/>
  <c r="T91" i="17"/>
  <c r="U91" i="17"/>
  <c r="T92" i="17"/>
  <c r="U92" i="17"/>
  <c r="T93" i="17"/>
  <c r="U93" i="17"/>
  <c r="T94" i="17"/>
  <c r="U94" i="17"/>
  <c r="T96" i="17"/>
  <c r="U96" i="17"/>
  <c r="U87" i="17"/>
  <c r="T87" i="17"/>
  <c r="G87" i="17"/>
  <c r="H87" i="17"/>
  <c r="I87" i="17"/>
  <c r="J87" i="17"/>
  <c r="K87" i="17"/>
  <c r="N87" i="17" s="1"/>
  <c r="R87" i="17" s="1"/>
  <c r="U32" i="17"/>
  <c r="U33" i="17"/>
  <c r="U39" i="17"/>
  <c r="X90" i="2"/>
  <c r="W91" i="2"/>
  <c r="X91" i="2"/>
  <c r="W92" i="2"/>
  <c r="X92" i="2"/>
  <c r="W93" i="2"/>
  <c r="X93" i="2"/>
  <c r="W94" i="2"/>
  <c r="X94" i="2"/>
  <c r="W95" i="2"/>
  <c r="X95" i="2"/>
  <c r="W96" i="2"/>
  <c r="X96" i="2"/>
  <c r="W98" i="2"/>
  <c r="X98" i="2"/>
  <c r="X89" i="2"/>
  <c r="W89" i="2"/>
  <c r="G89" i="2"/>
  <c r="H89" i="2"/>
  <c r="I89" i="2"/>
  <c r="J89" i="2"/>
  <c r="K89" i="2"/>
  <c r="M89" i="2"/>
  <c r="Q89" i="2" s="1"/>
  <c r="U89" i="2" s="1"/>
  <c r="P89" i="2"/>
  <c r="T89" i="2" s="1"/>
  <c r="AR89" i="2"/>
  <c r="X33" i="2"/>
  <c r="X34" i="2"/>
  <c r="X40" i="2"/>
  <c r="T47" i="7" l="1"/>
  <c r="R47" i="7"/>
  <c r="R39" i="7"/>
  <c r="T39" i="7"/>
  <c r="U27" i="18"/>
  <c r="W27" i="18"/>
  <c r="T27" i="18"/>
  <c r="V28" i="4"/>
  <c r="U20" i="18"/>
  <c r="W20" i="18"/>
  <c r="Y21" i="4"/>
  <c r="X21" i="4"/>
  <c r="T21" i="4"/>
  <c r="V21" i="4"/>
  <c r="T41" i="16"/>
  <c r="R41" i="16"/>
  <c r="T34" i="3"/>
  <c r="U34" i="3"/>
  <c r="W34" i="3"/>
  <c r="W53" i="3"/>
  <c r="T53" i="3"/>
  <c r="U53" i="3"/>
  <c r="S42" i="3"/>
  <c r="V42" i="3" s="1"/>
  <c r="T42" i="3" s="1"/>
  <c r="AC42" i="3"/>
  <c r="AD42" i="3"/>
  <c r="AE42" i="3"/>
  <c r="AA42" i="3"/>
  <c r="Z42" i="3"/>
  <c r="Z26" i="3"/>
  <c r="V26" i="3"/>
  <c r="AE26" i="3"/>
  <c r="AD26" i="3"/>
  <c r="AC26" i="3"/>
  <c r="AA26" i="3"/>
  <c r="AD87" i="17"/>
  <c r="Z87" i="17"/>
  <c r="AG87" i="17"/>
  <c r="AJ87" i="17"/>
  <c r="O87" i="17"/>
  <c r="S87" i="17" s="1"/>
  <c r="AI87" i="17"/>
  <c r="AN89" i="2"/>
  <c r="AC89" i="2"/>
  <c r="AA89" i="2" s="1"/>
  <c r="Y89" i="2" s="1"/>
  <c r="AL89" i="2"/>
  <c r="AP89" i="2"/>
  <c r="AI89" i="2"/>
  <c r="AQ89" i="2"/>
  <c r="AD89" i="2"/>
  <c r="AF89" i="2" s="1"/>
  <c r="AK89" i="2"/>
  <c r="AM89" i="2"/>
  <c r="AO89" i="2"/>
  <c r="AJ89" i="2"/>
  <c r="AS89" i="2"/>
  <c r="AH89" i="2"/>
  <c r="AE89" i="2"/>
  <c r="S47" i="10"/>
  <c r="M28" i="1" s="1"/>
  <c r="R47" i="10"/>
  <c r="K28" i="1" s="1"/>
  <c r="Q47" i="10"/>
  <c r="I28" i="1" s="1"/>
  <c r="W47" i="10"/>
  <c r="U28" i="1" s="1"/>
  <c r="V47" i="10"/>
  <c r="T28" i="1" s="1"/>
  <c r="R20" i="18" l="1"/>
  <c r="T20" i="18"/>
  <c r="U42" i="3"/>
  <c r="W42" i="3"/>
  <c r="W26" i="3"/>
  <c r="U26" i="3"/>
  <c r="T26" i="3"/>
  <c r="AE87" i="17"/>
  <c r="AA87" i="17"/>
  <c r="AH87" i="17"/>
  <c r="AB87" i="17"/>
  <c r="X87" i="17"/>
  <c r="V87" i="17" s="1"/>
  <c r="AB89" i="2"/>
  <c r="Z89" i="2" s="1"/>
  <c r="AG136" i="2"/>
  <c r="V136" i="2"/>
  <c r="V73" i="2"/>
  <c r="AG73" i="2"/>
  <c r="AC87" i="17" l="1"/>
  <c r="Y87" i="17"/>
  <c r="W87" i="17" s="1"/>
  <c r="Q134" i="2"/>
  <c r="U134" i="2" s="1"/>
  <c r="P134" i="2"/>
  <c r="T134" i="2" s="1"/>
  <c r="G134" i="2"/>
  <c r="H134" i="2"/>
  <c r="I134" i="2"/>
  <c r="J134" i="2"/>
  <c r="K134" i="2"/>
  <c r="M134" i="2"/>
  <c r="AR134" i="2" s="1"/>
  <c r="Q71" i="2"/>
  <c r="U71" i="2" s="1"/>
  <c r="G71" i="2"/>
  <c r="H71" i="2"/>
  <c r="M71" i="2"/>
  <c r="AR71" i="2" s="1"/>
  <c r="AJ134" i="2" l="1"/>
  <c r="AH134" i="2"/>
  <c r="AI134" i="2"/>
  <c r="AQ134" i="2"/>
  <c r="AS71" i="2"/>
  <c r="K71" i="2"/>
  <c r="AS134" i="2"/>
  <c r="J71" i="2"/>
  <c r="AP134" i="2"/>
  <c r="P71" i="2"/>
  <c r="T71" i="2" s="1"/>
  <c r="AN71" i="2" s="1"/>
  <c r="AN134" i="2"/>
  <c r="AC134" i="2"/>
  <c r="AL134" i="2"/>
  <c r="AD134" i="2"/>
  <c r="I71" i="2"/>
  <c r="AM134" i="2"/>
  <c r="AO134" i="2"/>
  <c r="AK134" i="2"/>
  <c r="AM71" i="2"/>
  <c r="AD71" i="2"/>
  <c r="AO71" i="2"/>
  <c r="AQ71" i="2"/>
  <c r="AI71" i="2"/>
  <c r="AK71" i="2"/>
  <c r="AH71" i="2" l="1"/>
  <c r="AL71" i="2"/>
  <c r="AA134" i="2"/>
  <c r="Y134" i="2" s="1"/>
  <c r="AE134" i="2"/>
  <c r="AC71" i="2"/>
  <c r="AA71" i="2" s="1"/>
  <c r="Y71" i="2" s="1"/>
  <c r="AB134" i="2"/>
  <c r="Z134" i="2" s="1"/>
  <c r="AF134" i="2"/>
  <c r="AP71" i="2"/>
  <c r="AJ71" i="2"/>
  <c r="AF71" i="2"/>
  <c r="AB71" i="2"/>
  <c r="Z71" i="2" s="1"/>
  <c r="AE71" i="2"/>
  <c r="Y37" i="18"/>
  <c r="X54" i="18"/>
  <c r="X55" i="18"/>
  <c r="X56" i="18"/>
  <c r="X57" i="18"/>
  <c r="X58" i="18"/>
  <c r="X59" i="18"/>
  <c r="X60" i="18"/>
  <c r="X61" i="18"/>
  <c r="X63" i="18"/>
  <c r="X34" i="18"/>
  <c r="X35" i="18"/>
  <c r="X36" i="18"/>
  <c r="X37" i="18"/>
  <c r="X38" i="18"/>
  <c r="X39" i="18"/>
  <c r="X40" i="18"/>
  <c r="X41" i="18"/>
  <c r="X42" i="18"/>
  <c r="X43" i="18"/>
  <c r="X44" i="18"/>
  <c r="X40" i="16"/>
  <c r="X42" i="16"/>
  <c r="X43" i="16"/>
  <c r="X44" i="16"/>
  <c r="X45" i="16"/>
  <c r="X46" i="16"/>
  <c r="X47" i="16"/>
  <c r="X48" i="16"/>
  <c r="X49" i="16"/>
  <c r="X50" i="16"/>
  <c r="X51" i="16"/>
  <c r="X53" i="16"/>
  <c r="X26" i="16"/>
  <c r="X27" i="16"/>
  <c r="X28" i="16"/>
  <c r="X29" i="16"/>
  <c r="X30" i="16"/>
  <c r="X31" i="16"/>
  <c r="X32" i="16"/>
  <c r="AI80" i="17"/>
  <c r="AI81" i="17"/>
  <c r="AI82" i="17"/>
  <c r="AI88" i="17"/>
  <c r="AI89" i="17"/>
  <c r="AI90" i="17"/>
  <c r="AI91" i="17"/>
  <c r="AI92" i="17"/>
  <c r="AI93" i="17"/>
  <c r="AI94" i="17"/>
  <c r="AI95" i="17"/>
  <c r="AI96" i="17"/>
  <c r="AI97" i="17"/>
  <c r="AI98" i="17"/>
  <c r="AI107" i="17"/>
  <c r="AI108" i="17"/>
  <c r="AI109" i="17"/>
  <c r="AI110" i="17"/>
  <c r="AI112" i="17"/>
  <c r="AI113" i="17"/>
  <c r="AI114" i="17"/>
  <c r="AI115" i="17"/>
  <c r="AI116" i="17"/>
  <c r="AI117" i="17"/>
  <c r="AI118" i="17"/>
  <c r="AI119" i="17"/>
  <c r="AI125" i="17"/>
  <c r="AI127" i="17"/>
  <c r="AI128" i="17"/>
  <c r="AI129" i="17"/>
  <c r="AI130" i="17"/>
  <c r="AI27" i="17"/>
  <c r="AI28" i="17"/>
  <c r="AI29" i="17"/>
  <c r="AI30" i="17"/>
  <c r="AI31" i="17"/>
  <c r="AI32" i="17"/>
  <c r="AI33" i="17"/>
  <c r="AI34" i="17"/>
  <c r="AI35" i="17"/>
  <c r="AI38" i="17"/>
  <c r="AI39" i="17"/>
  <c r="AI40" i="17"/>
  <c r="AI41" i="17"/>
  <c r="AI49" i="17"/>
  <c r="AI52" i="17"/>
  <c r="AI53" i="17"/>
  <c r="AI54" i="17"/>
  <c r="AI55" i="17"/>
  <c r="AI56" i="17"/>
  <c r="AI57" i="17"/>
  <c r="AI58" i="17"/>
  <c r="AI59" i="17"/>
  <c r="AI60" i="17"/>
  <c r="AI65" i="17"/>
  <c r="AI66" i="17"/>
  <c r="AI68" i="17"/>
  <c r="U59" i="8"/>
  <c r="P59" i="8"/>
  <c r="X67" i="8"/>
  <c r="X56" i="8"/>
  <c r="X49" i="8"/>
  <c r="X46" i="8"/>
  <c r="X40" i="8"/>
  <c r="X35" i="8"/>
  <c r="X28" i="8"/>
  <c r="X25" i="8"/>
  <c r="X19" i="8"/>
  <c r="W60" i="7"/>
  <c r="W59" i="7"/>
  <c r="W52" i="7"/>
  <c r="W51" i="7"/>
  <c r="W33" i="7"/>
  <c r="W34" i="7"/>
  <c r="W41" i="7"/>
  <c r="W32" i="7"/>
  <c r="W28" i="7"/>
  <c r="W29" i="7"/>
  <c r="W23" i="7"/>
  <c r="AB55" i="4"/>
  <c r="AB56" i="4"/>
  <c r="AB57" i="4"/>
  <c r="AB58" i="4"/>
  <c r="AB59" i="4"/>
  <c r="AB60" i="4"/>
  <c r="AB61" i="4"/>
  <c r="AB62" i="4"/>
  <c r="AB64" i="4"/>
  <c r="AB35" i="4"/>
  <c r="AB36" i="4"/>
  <c r="AB37" i="4"/>
  <c r="AB38" i="4"/>
  <c r="AB39" i="4"/>
  <c r="AB40" i="4"/>
  <c r="AB41" i="4"/>
  <c r="AB42" i="4"/>
  <c r="AB43" i="4"/>
  <c r="AB44" i="4"/>
  <c r="AB45" i="4"/>
  <c r="AF61" i="3"/>
  <c r="AF60" i="3"/>
  <c r="AF41" i="3"/>
  <c r="AF43" i="3"/>
  <c r="AF44" i="3"/>
  <c r="AF45" i="3"/>
  <c r="AF46" i="3"/>
  <c r="AF47" i="3"/>
  <c r="AF48" i="3"/>
  <c r="AF49" i="3"/>
  <c r="AF50" i="3"/>
  <c r="AF51" i="3"/>
  <c r="AF52" i="3"/>
  <c r="AF54" i="3"/>
  <c r="AR82" i="2"/>
  <c r="AR83" i="2"/>
  <c r="AR84" i="2"/>
  <c r="AR90" i="2"/>
  <c r="AR91" i="2"/>
  <c r="AR92" i="2"/>
  <c r="AR93" i="2"/>
  <c r="AR94" i="2"/>
  <c r="AR95" i="2"/>
  <c r="AR96" i="2"/>
  <c r="AR97" i="2"/>
  <c r="AR98" i="2"/>
  <c r="AR99" i="2"/>
  <c r="AR100" i="2"/>
  <c r="AR109" i="2"/>
  <c r="AR110" i="2"/>
  <c r="AR111" i="2"/>
  <c r="AR112" i="2"/>
  <c r="AR114" i="2"/>
  <c r="AR115" i="2"/>
  <c r="AR116" i="2"/>
  <c r="AR117" i="2"/>
  <c r="AR118" i="2"/>
  <c r="AR119" i="2"/>
  <c r="AR120" i="2"/>
  <c r="AR121" i="2"/>
  <c r="AR127" i="2"/>
  <c r="AR129" i="2"/>
  <c r="AR130" i="2"/>
  <c r="AR131" i="2"/>
  <c r="AR132" i="2"/>
  <c r="AR28" i="2"/>
  <c r="AR29" i="2"/>
  <c r="AR30" i="2"/>
  <c r="AR31" i="2"/>
  <c r="AR32" i="2"/>
  <c r="AR33" i="2"/>
  <c r="AR34" i="2"/>
  <c r="AR35" i="2"/>
  <c r="AR36" i="2"/>
  <c r="AR39" i="2"/>
  <c r="AR40" i="2"/>
  <c r="AR41" i="2"/>
  <c r="AR42" i="2"/>
  <c r="AR50" i="2"/>
  <c r="AR53" i="2"/>
  <c r="AR54" i="2"/>
  <c r="AR55" i="2"/>
  <c r="AR56" i="2"/>
  <c r="AR57" i="2"/>
  <c r="AR58" i="2"/>
  <c r="AR59" i="2"/>
  <c r="AR60" i="2"/>
  <c r="AR61" i="2"/>
  <c r="AR66" i="2"/>
  <c r="AR67" i="2"/>
  <c r="AR69" i="2"/>
  <c r="AF27" i="3"/>
  <c r="AF28" i="3"/>
  <c r="AF29" i="3"/>
  <c r="AF30" i="3"/>
  <c r="AF31" i="3"/>
  <c r="AF32" i="3"/>
  <c r="AF33" i="3"/>
  <c r="AR178" i="2"/>
  <c r="AF76" i="3" l="1"/>
  <c r="AS24" i="1" s="1"/>
  <c r="P67" i="8"/>
  <c r="P69" i="8" s="1"/>
  <c r="H21" i="7"/>
  <c r="S29" i="1" l="1"/>
  <c r="AI29" i="1" l="1"/>
  <c r="V29" i="1"/>
  <c r="E20" i="11"/>
  <c r="G20" i="11" s="1"/>
  <c r="H20" i="11" s="1"/>
  <c r="J20" i="11" s="1"/>
  <c r="E19" i="11"/>
  <c r="G19" i="11" s="1"/>
  <c r="H19" i="11" s="1"/>
  <c r="J19" i="11" s="1"/>
  <c r="J28" i="11" s="1"/>
  <c r="AF133" i="17"/>
  <c r="AF135" i="17" s="1"/>
  <c r="AF137" i="17" s="1"/>
  <c r="AF71" i="17"/>
  <c r="D26" i="1"/>
  <c r="Q67" i="8"/>
  <c r="R67" i="8"/>
  <c r="S67" i="8"/>
  <c r="T67" i="8"/>
  <c r="U67" i="8"/>
  <c r="U69" i="8" s="1"/>
  <c r="Q26" i="1" s="1"/>
  <c r="V67" i="8"/>
  <c r="W67" i="8"/>
  <c r="X57" i="3"/>
  <c r="Y57" i="3"/>
  <c r="AB57" i="3"/>
  <c r="R57" i="3"/>
  <c r="U76" i="3"/>
  <c r="V76" i="3"/>
  <c r="W76" i="3"/>
  <c r="X76" i="3"/>
  <c r="R76" i="3"/>
  <c r="D24" i="1" s="1"/>
  <c r="W178" i="2"/>
  <c r="X178" i="2"/>
  <c r="Y178" i="2"/>
  <c r="Z178" i="2"/>
  <c r="AA178" i="2"/>
  <c r="AB178" i="2"/>
  <c r="AC178" i="2"/>
  <c r="AD178" i="2"/>
  <c r="AE178" i="2"/>
  <c r="AF178" i="2"/>
  <c r="AG178" i="2"/>
  <c r="P23" i="1" s="1"/>
  <c r="AH178" i="2"/>
  <c r="AI178" i="2"/>
  <c r="AJ178" i="2"/>
  <c r="AK178" i="2"/>
  <c r="AP178" i="2"/>
  <c r="AQ178" i="2"/>
  <c r="AS178" i="2"/>
  <c r="G34" i="5"/>
  <c r="J31" i="5"/>
  <c r="L31" i="5" s="1"/>
  <c r="V31" i="5" s="1"/>
  <c r="G31" i="5"/>
  <c r="H31" i="5"/>
  <c r="G30" i="5"/>
  <c r="G28" i="5"/>
  <c r="O65" i="8"/>
  <c r="O62" i="8"/>
  <c r="R78" i="3" l="1"/>
  <c r="V180" i="2"/>
  <c r="AG180" i="2"/>
  <c r="X78" i="3"/>
  <c r="AL38" i="1"/>
  <c r="M19" i="11"/>
  <c r="M20" i="11"/>
  <c r="Q73" i="3"/>
  <c r="Q74" i="3"/>
  <c r="Q72" i="3"/>
  <c r="T146" i="2"/>
  <c r="U146" i="2"/>
  <c r="T147" i="2"/>
  <c r="U147" i="2"/>
  <c r="T148" i="2"/>
  <c r="U148" i="2"/>
  <c r="T149" i="2"/>
  <c r="U149" i="2"/>
  <c r="T150" i="2"/>
  <c r="U150" i="2"/>
  <c r="T151" i="2"/>
  <c r="U151" i="2"/>
  <c r="T152" i="2"/>
  <c r="U152" i="2"/>
  <c r="T153" i="2"/>
  <c r="U153" i="2"/>
  <c r="T154" i="2"/>
  <c r="U154" i="2"/>
  <c r="T155" i="2"/>
  <c r="U155" i="2"/>
  <c r="T156" i="2"/>
  <c r="U156" i="2"/>
  <c r="T157" i="2"/>
  <c r="U157" i="2"/>
  <c r="T158" i="2"/>
  <c r="U158" i="2"/>
  <c r="T159" i="2"/>
  <c r="U159" i="2"/>
  <c r="T160" i="2"/>
  <c r="U160" i="2"/>
  <c r="T161" i="2"/>
  <c r="U161" i="2"/>
  <c r="T162" i="2"/>
  <c r="U162" i="2"/>
  <c r="T163" i="2"/>
  <c r="U163" i="2"/>
  <c r="T164" i="2"/>
  <c r="U164" i="2"/>
  <c r="T165" i="2"/>
  <c r="U165" i="2"/>
  <c r="T166" i="2"/>
  <c r="U166" i="2"/>
  <c r="T167" i="2"/>
  <c r="U167" i="2"/>
  <c r="T168" i="2"/>
  <c r="U168" i="2"/>
  <c r="T169" i="2"/>
  <c r="V169" i="2" s="1"/>
  <c r="U169" i="2"/>
  <c r="T170" i="2"/>
  <c r="U170" i="2"/>
  <c r="T171" i="2"/>
  <c r="U171" i="2"/>
  <c r="T172" i="2"/>
  <c r="U172" i="2"/>
  <c r="T173" i="2"/>
  <c r="U173" i="2"/>
  <c r="T174" i="2"/>
  <c r="U174" i="2"/>
  <c r="T175" i="2"/>
  <c r="U175" i="2"/>
  <c r="T176" i="2"/>
  <c r="U176" i="2"/>
  <c r="U145" i="2"/>
  <c r="T145" i="2"/>
  <c r="V170" i="2" l="1"/>
  <c r="V178" i="2" s="1"/>
  <c r="C23" i="1" s="1"/>
  <c r="M28" i="11"/>
  <c r="Q56" i="8"/>
  <c r="Q49" i="8"/>
  <c r="Q46" i="8"/>
  <c r="Q40" i="8"/>
  <c r="Q35" i="8"/>
  <c r="Q28" i="8"/>
  <c r="Q25" i="8"/>
  <c r="Q19" i="8"/>
  <c r="J57" i="8"/>
  <c r="J56" i="8"/>
  <c r="J50" i="8"/>
  <c r="J51" i="8"/>
  <c r="J52" i="8"/>
  <c r="J53" i="8"/>
  <c r="J49" i="8"/>
  <c r="J44" i="8"/>
  <c r="J45" i="8"/>
  <c r="J46" i="8"/>
  <c r="J43" i="8"/>
  <c r="J40" i="8"/>
  <c r="J39" i="8"/>
  <c r="J36" i="8"/>
  <c r="J35" i="8"/>
  <c r="J29" i="8"/>
  <c r="J30" i="8"/>
  <c r="J31" i="8"/>
  <c r="J32" i="8"/>
  <c r="J28" i="8"/>
  <c r="J23" i="8"/>
  <c r="J24" i="8"/>
  <c r="J25" i="8"/>
  <c r="J22" i="8"/>
  <c r="J19" i="8"/>
  <c r="J18" i="8"/>
  <c r="I56" i="8"/>
  <c r="I49" i="8"/>
  <c r="I46" i="8"/>
  <c r="I40" i="8"/>
  <c r="I35" i="8"/>
  <c r="I28" i="8"/>
  <c r="I25" i="8"/>
  <c r="I19" i="8"/>
  <c r="H57" i="8"/>
  <c r="H56" i="8"/>
  <c r="H50" i="8"/>
  <c r="H51" i="8"/>
  <c r="H52" i="8"/>
  <c r="H53" i="8"/>
  <c r="H49" i="8"/>
  <c r="H44" i="8"/>
  <c r="H45" i="8"/>
  <c r="H46" i="8"/>
  <c r="H43" i="8"/>
  <c r="H40" i="8"/>
  <c r="H39" i="8"/>
  <c r="H36" i="8"/>
  <c r="H35" i="8"/>
  <c r="H29" i="8"/>
  <c r="H30" i="8"/>
  <c r="H31" i="8"/>
  <c r="H32" i="8"/>
  <c r="H28" i="8"/>
  <c r="H23" i="8"/>
  <c r="H24" i="8"/>
  <c r="H25" i="8"/>
  <c r="H22" i="8"/>
  <c r="H19" i="8"/>
  <c r="G57" i="8"/>
  <c r="G56" i="8"/>
  <c r="G50" i="8"/>
  <c r="G51" i="8"/>
  <c r="G52" i="8"/>
  <c r="G53" i="8"/>
  <c r="G49" i="8"/>
  <c r="G44" i="8"/>
  <c r="G45" i="8"/>
  <c r="G46" i="8"/>
  <c r="G43" i="8"/>
  <c r="G40" i="8"/>
  <c r="G39" i="8"/>
  <c r="H18" i="8"/>
  <c r="K57" i="8"/>
  <c r="M56" i="8"/>
  <c r="O56" i="8" s="1"/>
  <c r="K53" i="8"/>
  <c r="K52" i="8"/>
  <c r="K51" i="8"/>
  <c r="K50" i="8"/>
  <c r="M49" i="8"/>
  <c r="O49" i="8" s="1"/>
  <c r="M46" i="8"/>
  <c r="O46" i="8" s="1"/>
  <c r="K45" i="8"/>
  <c r="K44" i="8"/>
  <c r="K43" i="8"/>
  <c r="M40" i="8"/>
  <c r="O40" i="8" s="1"/>
  <c r="K39" i="8"/>
  <c r="J63" i="7"/>
  <c r="J56" i="7"/>
  <c r="J55" i="7"/>
  <c r="J53" i="7"/>
  <c r="J52" i="7"/>
  <c r="J45" i="7"/>
  <c r="J46" i="7"/>
  <c r="J48" i="7"/>
  <c r="J44" i="7"/>
  <c r="J40" i="7"/>
  <c r="J38" i="7"/>
  <c r="J33" i="7"/>
  <c r="J34" i="7"/>
  <c r="J35" i="7"/>
  <c r="J32" i="7"/>
  <c r="J27" i="7"/>
  <c r="J28" i="7"/>
  <c r="J29" i="7"/>
  <c r="J26" i="7"/>
  <c r="J22" i="7"/>
  <c r="J23" i="7"/>
  <c r="J21" i="7"/>
  <c r="J19" i="7"/>
  <c r="J18" i="7"/>
  <c r="H63" i="7"/>
  <c r="H56" i="7"/>
  <c r="H55" i="7"/>
  <c r="H53" i="7"/>
  <c r="H52" i="7"/>
  <c r="H45" i="7"/>
  <c r="H46" i="7"/>
  <c r="H48" i="7"/>
  <c r="H44" i="7"/>
  <c r="H40" i="7"/>
  <c r="H38" i="7"/>
  <c r="H33" i="7"/>
  <c r="H34" i="7"/>
  <c r="H35" i="7"/>
  <c r="H32" i="7"/>
  <c r="H27" i="7"/>
  <c r="H28" i="7"/>
  <c r="H29" i="7"/>
  <c r="H26" i="7"/>
  <c r="H22" i="7"/>
  <c r="H23" i="7"/>
  <c r="H19" i="7"/>
  <c r="H18" i="7"/>
  <c r="O68" i="5"/>
  <c r="G50" i="5"/>
  <c r="G51" i="5"/>
  <c r="G52" i="5"/>
  <c r="G53" i="5"/>
  <c r="G54" i="5"/>
  <c r="G55" i="5"/>
  <c r="G56" i="5"/>
  <c r="G49" i="5"/>
  <c r="H49" i="5"/>
  <c r="J49" i="5" s="1"/>
  <c r="L49" i="5" s="1"/>
  <c r="J50" i="5"/>
  <c r="L50" i="5" s="1"/>
  <c r="S50" i="5" s="1"/>
  <c r="J51" i="5"/>
  <c r="L51" i="5"/>
  <c r="Q51" i="5" s="1"/>
  <c r="H52" i="5"/>
  <c r="J52" i="5"/>
  <c r="L52" i="5" s="1"/>
  <c r="Q52" i="5" s="1"/>
  <c r="J53" i="5"/>
  <c r="L53" i="5" s="1"/>
  <c r="S53" i="5" s="1"/>
  <c r="J54" i="5"/>
  <c r="L54" i="5" s="1"/>
  <c r="H55" i="5"/>
  <c r="J55" i="5" s="1"/>
  <c r="L55" i="5" s="1"/>
  <c r="Q55" i="5" s="1"/>
  <c r="H56" i="5"/>
  <c r="J56" i="5"/>
  <c r="L56" i="5" s="1"/>
  <c r="S56" i="5" s="1"/>
  <c r="G46" i="5"/>
  <c r="G36" i="5"/>
  <c r="G37" i="5"/>
  <c r="G39" i="5"/>
  <c r="G44" i="5"/>
  <c r="G45" i="5"/>
  <c r="G35" i="5"/>
  <c r="G33" i="5"/>
  <c r="G29" i="5"/>
  <c r="G24" i="5"/>
  <c r="G19" i="5"/>
  <c r="J63" i="18"/>
  <c r="J58" i="18"/>
  <c r="J57" i="18"/>
  <c r="J52" i="18"/>
  <c r="J53" i="18"/>
  <c r="J51" i="18"/>
  <c r="J38" i="18"/>
  <c r="J39" i="18"/>
  <c r="J40" i="18"/>
  <c r="J41" i="18"/>
  <c r="J42" i="18"/>
  <c r="J43" i="18"/>
  <c r="J44" i="18"/>
  <c r="J45" i="18"/>
  <c r="J46" i="18"/>
  <c r="J47" i="18"/>
  <c r="J48" i="18"/>
  <c r="J37" i="18"/>
  <c r="J32" i="18"/>
  <c r="J33" i="18"/>
  <c r="J31" i="18"/>
  <c r="J28" i="18"/>
  <c r="J26" i="18"/>
  <c r="J23" i="18"/>
  <c r="J19" i="18"/>
  <c r="I63" i="18"/>
  <c r="I58" i="18"/>
  <c r="I57" i="18"/>
  <c r="I38" i="18"/>
  <c r="I39" i="18"/>
  <c r="I42" i="18"/>
  <c r="I43" i="18"/>
  <c r="I37" i="18"/>
  <c r="I19" i="18"/>
  <c r="H63" i="18"/>
  <c r="H58" i="18"/>
  <c r="H57" i="18"/>
  <c r="H53" i="18"/>
  <c r="H52" i="18"/>
  <c r="H51" i="18"/>
  <c r="H39" i="18"/>
  <c r="H40" i="18"/>
  <c r="H41" i="18"/>
  <c r="H42" i="18"/>
  <c r="H43" i="18"/>
  <c r="H44" i="18"/>
  <c r="H45" i="18"/>
  <c r="H46" i="18"/>
  <c r="H47" i="18"/>
  <c r="H48" i="18"/>
  <c r="H32" i="18"/>
  <c r="H33" i="18"/>
  <c r="H31" i="18"/>
  <c r="H28" i="18"/>
  <c r="H26" i="18"/>
  <c r="H23" i="18"/>
  <c r="H19" i="18"/>
  <c r="J51" i="16"/>
  <c r="J53" i="16"/>
  <c r="J54" i="16"/>
  <c r="J50" i="16"/>
  <c r="J48" i="16"/>
  <c r="J47" i="16"/>
  <c r="J38" i="16"/>
  <c r="J39" i="16"/>
  <c r="J40" i="16"/>
  <c r="J37" i="16"/>
  <c r="J32" i="16"/>
  <c r="J34" i="16"/>
  <c r="J31" i="16"/>
  <c r="J29" i="16"/>
  <c r="J28" i="16"/>
  <c r="J19" i="16"/>
  <c r="J20" i="16"/>
  <c r="J21" i="16"/>
  <c r="J22" i="16"/>
  <c r="J23" i="16"/>
  <c r="J24" i="16"/>
  <c r="J26" i="16"/>
  <c r="J18" i="16"/>
  <c r="I48" i="16"/>
  <c r="I47" i="16"/>
  <c r="I40" i="16"/>
  <c r="I29" i="16"/>
  <c r="I28" i="16"/>
  <c r="H51" i="16"/>
  <c r="H53" i="16"/>
  <c r="H54" i="16"/>
  <c r="H50" i="16"/>
  <c r="H38" i="16"/>
  <c r="H39" i="16"/>
  <c r="H40" i="16"/>
  <c r="H37" i="16"/>
  <c r="H32" i="16"/>
  <c r="H34" i="16"/>
  <c r="H31" i="16"/>
  <c r="H19" i="16"/>
  <c r="H20" i="16"/>
  <c r="H21" i="16"/>
  <c r="H22" i="16"/>
  <c r="H23" i="16"/>
  <c r="H24" i="16"/>
  <c r="H26" i="16"/>
  <c r="H18" i="16"/>
  <c r="J129" i="17"/>
  <c r="J130" i="17"/>
  <c r="J131" i="17"/>
  <c r="J128" i="17"/>
  <c r="J126" i="17"/>
  <c r="J118" i="17"/>
  <c r="J119" i="17"/>
  <c r="J120" i="17"/>
  <c r="J121" i="17"/>
  <c r="J122" i="17"/>
  <c r="J123" i="17"/>
  <c r="J124" i="17"/>
  <c r="J117" i="17"/>
  <c r="J115" i="17"/>
  <c r="J114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98" i="17"/>
  <c r="J96" i="17"/>
  <c r="J95" i="17"/>
  <c r="J93" i="17"/>
  <c r="J91" i="17"/>
  <c r="J90" i="17"/>
  <c r="J79" i="17"/>
  <c r="J80" i="17"/>
  <c r="J81" i="17"/>
  <c r="J82" i="17"/>
  <c r="J83" i="17"/>
  <c r="J84" i="17"/>
  <c r="J85" i="17"/>
  <c r="J86" i="17"/>
  <c r="J88" i="17"/>
  <c r="J78" i="17"/>
  <c r="J75" i="17"/>
  <c r="J76" i="17"/>
  <c r="J74" i="17"/>
  <c r="J69" i="17"/>
  <c r="J67" i="17"/>
  <c r="J58" i="17"/>
  <c r="J59" i="17"/>
  <c r="J60" i="17"/>
  <c r="J61" i="17"/>
  <c r="J62" i="17"/>
  <c r="J63" i="17"/>
  <c r="J64" i="17"/>
  <c r="J65" i="17"/>
  <c r="J57" i="17"/>
  <c r="J55" i="17"/>
  <c r="J54" i="17"/>
  <c r="J42" i="17"/>
  <c r="J43" i="17"/>
  <c r="J44" i="17"/>
  <c r="J45" i="17"/>
  <c r="J46" i="17"/>
  <c r="J47" i="17"/>
  <c r="J48" i="17"/>
  <c r="J49" i="17"/>
  <c r="J50" i="17"/>
  <c r="J51" i="17"/>
  <c r="J52" i="17"/>
  <c r="J41" i="17"/>
  <c r="J39" i="17"/>
  <c r="J38" i="17"/>
  <c r="J36" i="17"/>
  <c r="J35" i="17"/>
  <c r="J33" i="17"/>
  <c r="J32" i="17"/>
  <c r="J30" i="17"/>
  <c r="J29" i="17"/>
  <c r="J20" i="17"/>
  <c r="J21" i="17"/>
  <c r="J22" i="17"/>
  <c r="J23" i="17"/>
  <c r="J24" i="17"/>
  <c r="J25" i="17"/>
  <c r="J26" i="17"/>
  <c r="J27" i="17"/>
  <c r="J19" i="17"/>
  <c r="I126" i="17"/>
  <c r="I115" i="17"/>
  <c r="I114" i="17"/>
  <c r="I96" i="17"/>
  <c r="I95" i="17"/>
  <c r="I91" i="17"/>
  <c r="I90" i="17"/>
  <c r="I85" i="17"/>
  <c r="I55" i="17"/>
  <c r="I54" i="17"/>
  <c r="I39" i="17"/>
  <c r="I38" i="17"/>
  <c r="I33" i="17"/>
  <c r="I32" i="17"/>
  <c r="I27" i="17"/>
  <c r="H129" i="17"/>
  <c r="H130" i="17"/>
  <c r="H131" i="17"/>
  <c r="H128" i="17"/>
  <c r="H126" i="17"/>
  <c r="H118" i="17"/>
  <c r="H119" i="17"/>
  <c r="H120" i="17"/>
  <c r="H121" i="17"/>
  <c r="H122" i="17"/>
  <c r="H123" i="17"/>
  <c r="H124" i="17"/>
  <c r="H117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98" i="17"/>
  <c r="H93" i="17"/>
  <c r="H91" i="17"/>
  <c r="H90" i="17"/>
  <c r="H79" i="17"/>
  <c r="H80" i="17"/>
  <c r="H81" i="17"/>
  <c r="H82" i="17"/>
  <c r="H83" i="17"/>
  <c r="H84" i="17"/>
  <c r="H85" i="17"/>
  <c r="H86" i="17"/>
  <c r="H88" i="17"/>
  <c r="H78" i="17"/>
  <c r="H75" i="17"/>
  <c r="H76" i="17"/>
  <c r="H74" i="17"/>
  <c r="H69" i="17"/>
  <c r="H67" i="17"/>
  <c r="H58" i="17"/>
  <c r="H59" i="17"/>
  <c r="H60" i="17"/>
  <c r="H61" i="17"/>
  <c r="H62" i="17"/>
  <c r="H63" i="17"/>
  <c r="H64" i="17"/>
  <c r="H65" i="17"/>
  <c r="H57" i="17"/>
  <c r="H42" i="17"/>
  <c r="H43" i="17"/>
  <c r="H44" i="17"/>
  <c r="H45" i="17"/>
  <c r="H46" i="17"/>
  <c r="H47" i="17"/>
  <c r="H48" i="17"/>
  <c r="H49" i="17"/>
  <c r="H50" i="17"/>
  <c r="H51" i="17"/>
  <c r="H52" i="17"/>
  <c r="H41" i="17"/>
  <c r="H36" i="17"/>
  <c r="H35" i="17"/>
  <c r="H33" i="17"/>
  <c r="H32" i="17"/>
  <c r="H30" i="17"/>
  <c r="H29" i="17"/>
  <c r="H20" i="17"/>
  <c r="H21" i="17"/>
  <c r="H22" i="17"/>
  <c r="H23" i="17"/>
  <c r="H24" i="17"/>
  <c r="H25" i="17"/>
  <c r="H26" i="17"/>
  <c r="H27" i="17"/>
  <c r="H19" i="17"/>
  <c r="K64" i="4"/>
  <c r="K59" i="4"/>
  <c r="K58" i="4"/>
  <c r="K53" i="4"/>
  <c r="K54" i="4"/>
  <c r="K52" i="4"/>
  <c r="K39" i="4"/>
  <c r="K40" i="4"/>
  <c r="K41" i="4"/>
  <c r="K42" i="4"/>
  <c r="K43" i="4"/>
  <c r="K44" i="4"/>
  <c r="K45" i="4"/>
  <c r="K46" i="4"/>
  <c r="K47" i="4"/>
  <c r="K48" i="4"/>
  <c r="K49" i="4"/>
  <c r="K38" i="4"/>
  <c r="K33" i="4"/>
  <c r="K34" i="4"/>
  <c r="K32" i="4"/>
  <c r="K29" i="4"/>
  <c r="K24" i="4"/>
  <c r="K20" i="4"/>
  <c r="J64" i="4"/>
  <c r="J59" i="4"/>
  <c r="J58" i="4"/>
  <c r="J39" i="4"/>
  <c r="J43" i="4"/>
  <c r="J44" i="4"/>
  <c r="J38" i="4"/>
  <c r="I64" i="4"/>
  <c r="I59" i="4"/>
  <c r="I58" i="4"/>
  <c r="I39" i="4"/>
  <c r="I40" i="4"/>
  <c r="I41" i="4"/>
  <c r="I42" i="4"/>
  <c r="I43" i="4"/>
  <c r="I44" i="4"/>
  <c r="I45" i="4"/>
  <c r="I38" i="4"/>
  <c r="H64" i="4"/>
  <c r="H59" i="4"/>
  <c r="H58" i="4"/>
  <c r="H53" i="4"/>
  <c r="R53" i="4" s="1"/>
  <c r="H54" i="4"/>
  <c r="R54" i="4" s="1"/>
  <c r="H52" i="4"/>
  <c r="R52" i="4" s="1"/>
  <c r="H40" i="4"/>
  <c r="R40" i="4" s="1"/>
  <c r="U40" i="4" s="1"/>
  <c r="S40" i="4" s="1"/>
  <c r="H41" i="4"/>
  <c r="R41" i="4" s="1"/>
  <c r="U41" i="4" s="1"/>
  <c r="S41" i="4" s="1"/>
  <c r="H42" i="4"/>
  <c r="R42" i="4" s="1"/>
  <c r="H43" i="4"/>
  <c r="H44" i="4"/>
  <c r="H45" i="4"/>
  <c r="R45" i="4" s="1"/>
  <c r="H46" i="4"/>
  <c r="R46" i="4" s="1"/>
  <c r="H47" i="4"/>
  <c r="R47" i="4" s="1"/>
  <c r="H48" i="4"/>
  <c r="R48" i="4" s="1"/>
  <c r="H49" i="4"/>
  <c r="R49" i="4" s="1"/>
  <c r="H33" i="4"/>
  <c r="R33" i="4" s="1"/>
  <c r="U33" i="4" s="1"/>
  <c r="S33" i="4" s="1"/>
  <c r="H34" i="4"/>
  <c r="R34" i="4" s="1"/>
  <c r="H32" i="4"/>
  <c r="H29" i="4"/>
  <c r="H27" i="4"/>
  <c r="H24" i="4"/>
  <c r="H20" i="4"/>
  <c r="K55" i="3"/>
  <c r="K49" i="3"/>
  <c r="K48" i="3"/>
  <c r="K30" i="3"/>
  <c r="K29" i="3"/>
  <c r="K65" i="3"/>
  <c r="K64" i="3"/>
  <c r="K61" i="3"/>
  <c r="K60" i="3"/>
  <c r="J49" i="3"/>
  <c r="J48" i="3"/>
  <c r="J41" i="3"/>
  <c r="J30" i="3"/>
  <c r="J29" i="3"/>
  <c r="J65" i="3"/>
  <c r="J64" i="3"/>
  <c r="J61" i="3"/>
  <c r="J60" i="3"/>
  <c r="I52" i="3"/>
  <c r="I54" i="3"/>
  <c r="I51" i="3"/>
  <c r="I49" i="3"/>
  <c r="I48" i="3"/>
  <c r="I41" i="3"/>
  <c r="I33" i="3"/>
  <c r="I32" i="3"/>
  <c r="I30" i="3"/>
  <c r="I29" i="3"/>
  <c r="I27" i="3"/>
  <c r="I65" i="3"/>
  <c r="I64" i="3"/>
  <c r="I61" i="3"/>
  <c r="I60" i="3"/>
  <c r="H52" i="3"/>
  <c r="H54" i="3"/>
  <c r="H55" i="3"/>
  <c r="H51" i="3"/>
  <c r="H39" i="3"/>
  <c r="H40" i="3"/>
  <c r="H41" i="3"/>
  <c r="H38" i="3"/>
  <c r="H33" i="3"/>
  <c r="H35" i="3"/>
  <c r="H32" i="3"/>
  <c r="H20" i="3"/>
  <c r="H21" i="3"/>
  <c r="H22" i="3"/>
  <c r="H23" i="3"/>
  <c r="H24" i="3"/>
  <c r="H25" i="3"/>
  <c r="H27" i="3"/>
  <c r="S27" i="3" s="1"/>
  <c r="H19" i="3"/>
  <c r="H65" i="3"/>
  <c r="H64" i="3"/>
  <c r="H61" i="3"/>
  <c r="H60" i="3"/>
  <c r="W57" i="18"/>
  <c r="W58" i="18"/>
  <c r="W63" i="18"/>
  <c r="W37" i="18"/>
  <c r="W38" i="18"/>
  <c r="W42" i="18"/>
  <c r="W43" i="18"/>
  <c r="Y63" i="18"/>
  <c r="Y58" i="18"/>
  <c r="Y57" i="18"/>
  <c r="Y43" i="18"/>
  <c r="Y42" i="18"/>
  <c r="Y38" i="18"/>
  <c r="T63" i="18"/>
  <c r="R63" i="18"/>
  <c r="M63" i="18"/>
  <c r="O63" i="18" s="1"/>
  <c r="K63" i="18"/>
  <c r="G63" i="18"/>
  <c r="K62" i="18"/>
  <c r="G62" i="18"/>
  <c r="K61" i="18"/>
  <c r="Y61" i="18" s="1"/>
  <c r="G61" i="18"/>
  <c r="M60" i="18"/>
  <c r="O60" i="18" s="1"/>
  <c r="K60" i="18"/>
  <c r="Y60" i="18" s="1"/>
  <c r="G60" i="18"/>
  <c r="M59" i="18"/>
  <c r="O59" i="18" s="1"/>
  <c r="U59" i="18" s="1"/>
  <c r="K59" i="18"/>
  <c r="G59" i="18"/>
  <c r="T58" i="18"/>
  <c r="R58" i="18"/>
  <c r="M58" i="18"/>
  <c r="O58" i="18" s="1"/>
  <c r="K58" i="18"/>
  <c r="G58" i="18"/>
  <c r="T57" i="18"/>
  <c r="R57" i="18"/>
  <c r="M57" i="18"/>
  <c r="O57" i="18" s="1"/>
  <c r="K57" i="18"/>
  <c r="G57" i="18"/>
  <c r="M56" i="18"/>
  <c r="O56" i="18" s="1"/>
  <c r="U56" i="18" s="1"/>
  <c r="K56" i="18"/>
  <c r="Y56" i="18" s="1"/>
  <c r="G56" i="18"/>
  <c r="M55" i="18"/>
  <c r="O55" i="18" s="1"/>
  <c r="U55" i="18" s="1"/>
  <c r="K55" i="18"/>
  <c r="Y55" i="18" s="1"/>
  <c r="G55" i="18"/>
  <c r="K54" i="18"/>
  <c r="Y54" i="18" s="1"/>
  <c r="G54" i="18"/>
  <c r="K53" i="18"/>
  <c r="G53" i="18"/>
  <c r="K52" i="18"/>
  <c r="G52" i="18"/>
  <c r="K51" i="18"/>
  <c r="G51" i="18"/>
  <c r="K48" i="18"/>
  <c r="G48" i="18"/>
  <c r="K47" i="18"/>
  <c r="G47" i="18"/>
  <c r="K46" i="18"/>
  <c r="G46" i="18"/>
  <c r="K45" i="18"/>
  <c r="G45" i="18"/>
  <c r="K44" i="18"/>
  <c r="I44" i="18" s="1"/>
  <c r="G44" i="18"/>
  <c r="T43" i="18"/>
  <c r="R43" i="18"/>
  <c r="M43" i="18"/>
  <c r="O43" i="18" s="1"/>
  <c r="K43" i="18"/>
  <c r="G43" i="18"/>
  <c r="T42" i="18"/>
  <c r="R42" i="18"/>
  <c r="M42" i="18"/>
  <c r="O42" i="18" s="1"/>
  <c r="K42" i="18"/>
  <c r="G42" i="18"/>
  <c r="K41" i="18"/>
  <c r="I41" i="18" s="1"/>
  <c r="G41" i="18"/>
  <c r="K40" i="18"/>
  <c r="I40" i="18" s="1"/>
  <c r="G40" i="18"/>
  <c r="K39" i="18"/>
  <c r="G39" i="18"/>
  <c r="T38" i="18"/>
  <c r="R38" i="18"/>
  <c r="M38" i="18"/>
  <c r="O38" i="18" s="1"/>
  <c r="K38" i="18"/>
  <c r="G38" i="18"/>
  <c r="T37" i="18"/>
  <c r="R37" i="18"/>
  <c r="M37" i="18"/>
  <c r="O37" i="18" s="1"/>
  <c r="K37" i="18"/>
  <c r="G37" i="18"/>
  <c r="M36" i="18"/>
  <c r="O36" i="18" s="1"/>
  <c r="U36" i="18" s="1"/>
  <c r="K36" i="18"/>
  <c r="Y36" i="18" s="1"/>
  <c r="G36" i="18"/>
  <c r="K35" i="18"/>
  <c r="Y35" i="18" s="1"/>
  <c r="G35" i="18"/>
  <c r="K34" i="18"/>
  <c r="Y34" i="18" s="1"/>
  <c r="G34" i="18"/>
  <c r="K33" i="18"/>
  <c r="G33" i="18"/>
  <c r="K32" i="18"/>
  <c r="X32" i="18" s="1"/>
  <c r="G32" i="18"/>
  <c r="K31" i="18"/>
  <c r="I31" i="18" s="1"/>
  <c r="G31" i="18"/>
  <c r="K28" i="18"/>
  <c r="G28" i="18"/>
  <c r="M26" i="18"/>
  <c r="O26" i="18" s="1"/>
  <c r="K26" i="18"/>
  <c r="X26" i="18" s="1"/>
  <c r="G26" i="18"/>
  <c r="K23" i="18"/>
  <c r="G23" i="18"/>
  <c r="M22" i="18"/>
  <c r="O22" i="18" s="1"/>
  <c r="K22" i="18"/>
  <c r="X22" i="18" s="1"/>
  <c r="G22" i="18"/>
  <c r="K21" i="18"/>
  <c r="G21" i="18"/>
  <c r="K19" i="18"/>
  <c r="X19" i="18" s="1"/>
  <c r="G19" i="18"/>
  <c r="K18" i="18"/>
  <c r="G18" i="18"/>
  <c r="AJ90" i="17"/>
  <c r="AJ91" i="17"/>
  <c r="AJ95" i="17"/>
  <c r="AJ96" i="17"/>
  <c r="AJ114" i="17"/>
  <c r="AJ115" i="17"/>
  <c r="AJ32" i="17"/>
  <c r="AJ33" i="17"/>
  <c r="AJ38" i="17"/>
  <c r="AJ39" i="17"/>
  <c r="AJ54" i="17"/>
  <c r="AJ55" i="17"/>
  <c r="AG90" i="17"/>
  <c r="AH90" i="17"/>
  <c r="AG91" i="17"/>
  <c r="AH91" i="17"/>
  <c r="AG95" i="17"/>
  <c r="AH95" i="17"/>
  <c r="AG96" i="17"/>
  <c r="AH96" i="17"/>
  <c r="AG114" i="17"/>
  <c r="AH114" i="17"/>
  <c r="AG115" i="17"/>
  <c r="AH115" i="17"/>
  <c r="AG32" i="17"/>
  <c r="AH32" i="17"/>
  <c r="AG33" i="17"/>
  <c r="AH33" i="17"/>
  <c r="AG38" i="17"/>
  <c r="AH38" i="17"/>
  <c r="AG39" i="17"/>
  <c r="AH39" i="17"/>
  <c r="AG54" i="17"/>
  <c r="AH54" i="17"/>
  <c r="AG55" i="17"/>
  <c r="AH55" i="17"/>
  <c r="AA90" i="17"/>
  <c r="AA91" i="17"/>
  <c r="AA32" i="17"/>
  <c r="AA33" i="17"/>
  <c r="AD92" i="2"/>
  <c r="AD93" i="2"/>
  <c r="AD33" i="2"/>
  <c r="AD34" i="2"/>
  <c r="Z90" i="17"/>
  <c r="Z91" i="17"/>
  <c r="K131" i="17"/>
  <c r="G131" i="17"/>
  <c r="K130" i="17"/>
  <c r="AJ130" i="17" s="1"/>
  <c r="G130" i="17"/>
  <c r="K129" i="17"/>
  <c r="AJ129" i="17" s="1"/>
  <c r="G129" i="17"/>
  <c r="K128" i="17"/>
  <c r="AJ128" i="17" s="1"/>
  <c r="G128" i="17"/>
  <c r="K127" i="17"/>
  <c r="AJ127" i="17" s="1"/>
  <c r="G127" i="17"/>
  <c r="K126" i="17"/>
  <c r="G126" i="17"/>
  <c r="K125" i="17"/>
  <c r="AJ125" i="17" s="1"/>
  <c r="G125" i="17"/>
  <c r="K124" i="17"/>
  <c r="G124" i="17"/>
  <c r="K123" i="17"/>
  <c r="G123" i="17"/>
  <c r="K122" i="17"/>
  <c r="G122" i="17"/>
  <c r="O121" i="17"/>
  <c r="N121" i="17"/>
  <c r="R121" i="17" s="1"/>
  <c r="K121" i="17"/>
  <c r="G121" i="17"/>
  <c r="K120" i="17"/>
  <c r="G120" i="17"/>
  <c r="O119" i="17"/>
  <c r="N119" i="17"/>
  <c r="R119" i="17" s="1"/>
  <c r="K119" i="17"/>
  <c r="AJ119" i="17" s="1"/>
  <c r="G119" i="17"/>
  <c r="K118" i="17"/>
  <c r="AJ118" i="17" s="1"/>
  <c r="G118" i="17"/>
  <c r="K117" i="17"/>
  <c r="I117" i="17" s="1"/>
  <c r="G117" i="17"/>
  <c r="O116" i="17"/>
  <c r="N116" i="17"/>
  <c r="R116" i="17" s="1"/>
  <c r="AD116" i="17" s="1"/>
  <c r="K116" i="17"/>
  <c r="G116" i="17"/>
  <c r="W115" i="17"/>
  <c r="V115" i="17"/>
  <c r="O115" i="17"/>
  <c r="S115" i="17" s="1"/>
  <c r="AE115" i="17" s="1"/>
  <c r="N115" i="17"/>
  <c r="R115" i="17" s="1"/>
  <c r="K115" i="17"/>
  <c r="G115" i="17"/>
  <c r="W114" i="17"/>
  <c r="V114" i="17"/>
  <c r="O114" i="17"/>
  <c r="S114" i="17" s="1"/>
  <c r="AE114" i="17" s="1"/>
  <c r="N114" i="17"/>
  <c r="R114" i="17" s="1"/>
  <c r="K114" i="17"/>
  <c r="G114" i="17"/>
  <c r="O113" i="17"/>
  <c r="N113" i="17"/>
  <c r="R113" i="17" s="1"/>
  <c r="K113" i="17"/>
  <c r="AJ113" i="17" s="1"/>
  <c r="G113" i="17"/>
  <c r="K112" i="17"/>
  <c r="AJ112" i="17" s="1"/>
  <c r="G112" i="17"/>
  <c r="K111" i="17"/>
  <c r="G111" i="17"/>
  <c r="K110" i="17"/>
  <c r="O110" i="17" s="1"/>
  <c r="G110" i="17"/>
  <c r="K109" i="17"/>
  <c r="AJ109" i="17" s="1"/>
  <c r="G109" i="17"/>
  <c r="K108" i="17"/>
  <c r="AJ108" i="17" s="1"/>
  <c r="G108" i="17"/>
  <c r="O107" i="17"/>
  <c r="N107" i="17"/>
  <c r="R107" i="17" s="1"/>
  <c r="K107" i="17"/>
  <c r="I107" i="17" s="1"/>
  <c r="G107" i="17"/>
  <c r="O106" i="17"/>
  <c r="N106" i="17"/>
  <c r="R106" i="17" s="1"/>
  <c r="K106" i="17"/>
  <c r="G106" i="17"/>
  <c r="K105" i="17"/>
  <c r="G105" i="17"/>
  <c r="O104" i="17"/>
  <c r="N104" i="17"/>
  <c r="R104" i="17" s="1"/>
  <c r="K104" i="17"/>
  <c r="G104" i="17"/>
  <c r="K103" i="17"/>
  <c r="G103" i="17"/>
  <c r="K102" i="17"/>
  <c r="G102" i="17"/>
  <c r="K101" i="17"/>
  <c r="G101" i="17"/>
  <c r="K100" i="17"/>
  <c r="G100" i="17"/>
  <c r="O99" i="17"/>
  <c r="S99" i="17" s="1"/>
  <c r="AE99" i="17" s="1"/>
  <c r="N99" i="17"/>
  <c r="R99" i="17" s="1"/>
  <c r="K99" i="17"/>
  <c r="G99" i="17"/>
  <c r="K98" i="17"/>
  <c r="AJ98" i="17" s="1"/>
  <c r="G98" i="17"/>
  <c r="O97" i="17"/>
  <c r="N97" i="17"/>
  <c r="R97" i="17" s="1"/>
  <c r="K97" i="17"/>
  <c r="AJ97" i="17" s="1"/>
  <c r="G97" i="17"/>
  <c r="W96" i="17"/>
  <c r="V96" i="17"/>
  <c r="O96" i="17"/>
  <c r="N96" i="17"/>
  <c r="R96" i="17" s="1"/>
  <c r="K96" i="17"/>
  <c r="G96" i="17"/>
  <c r="W95" i="17"/>
  <c r="V95" i="17"/>
  <c r="O95" i="17"/>
  <c r="N95" i="17"/>
  <c r="R95" i="17" s="1"/>
  <c r="K95" i="17"/>
  <c r="G95" i="17"/>
  <c r="O94" i="17"/>
  <c r="N94" i="17"/>
  <c r="R94" i="17" s="1"/>
  <c r="K94" i="17"/>
  <c r="AJ94" i="17" s="1"/>
  <c r="G94" i="17"/>
  <c r="K93" i="17"/>
  <c r="N93" i="17" s="1"/>
  <c r="R93" i="17" s="1"/>
  <c r="G93" i="17"/>
  <c r="O92" i="17"/>
  <c r="N92" i="17"/>
  <c r="R92" i="17" s="1"/>
  <c r="K92" i="17"/>
  <c r="AJ92" i="17" s="1"/>
  <c r="G92" i="17"/>
  <c r="AC91" i="17"/>
  <c r="AB91" i="17"/>
  <c r="Y91" i="17"/>
  <c r="W91" i="17" s="1"/>
  <c r="X91" i="17"/>
  <c r="V91" i="17" s="1"/>
  <c r="O91" i="17"/>
  <c r="S91" i="17" s="1"/>
  <c r="AE91" i="17" s="1"/>
  <c r="N91" i="17"/>
  <c r="R91" i="17" s="1"/>
  <c r="K91" i="17"/>
  <c r="G91" i="17"/>
  <c r="AC90" i="17"/>
  <c r="AB90" i="17"/>
  <c r="Y90" i="17"/>
  <c r="W90" i="17" s="1"/>
  <c r="X90" i="17"/>
  <c r="V90" i="17" s="1"/>
  <c r="O90" i="17"/>
  <c r="N90" i="17"/>
  <c r="R90" i="17" s="1"/>
  <c r="K90" i="17"/>
  <c r="G90" i="17"/>
  <c r="O89" i="17"/>
  <c r="N89" i="17"/>
  <c r="R89" i="17" s="1"/>
  <c r="K89" i="17"/>
  <c r="AJ89" i="17" s="1"/>
  <c r="G89" i="17"/>
  <c r="K88" i="17"/>
  <c r="AJ88" i="17" s="1"/>
  <c r="G88" i="17"/>
  <c r="K86" i="17"/>
  <c r="G86" i="17"/>
  <c r="O85" i="17"/>
  <c r="S85" i="17" s="1"/>
  <c r="AE85" i="17" s="1"/>
  <c r="N85" i="17"/>
  <c r="R85" i="17" s="1"/>
  <c r="K85" i="17"/>
  <c r="AI85" i="17" s="1"/>
  <c r="G85" i="17"/>
  <c r="K84" i="17"/>
  <c r="G84" i="17"/>
  <c r="K83" i="17"/>
  <c r="G83" i="17"/>
  <c r="K82" i="17"/>
  <c r="I82" i="17" s="1"/>
  <c r="G82" i="17"/>
  <c r="K81" i="17"/>
  <c r="N81" i="17" s="1"/>
  <c r="R81" i="17" s="1"/>
  <c r="G81" i="17"/>
  <c r="K80" i="17"/>
  <c r="I80" i="17" s="1"/>
  <c r="G80" i="17"/>
  <c r="K79" i="17"/>
  <c r="G79" i="17"/>
  <c r="K78" i="17"/>
  <c r="G78" i="17"/>
  <c r="K77" i="17"/>
  <c r="G77" i="17"/>
  <c r="K76" i="17"/>
  <c r="G76" i="17"/>
  <c r="K75" i="17"/>
  <c r="G75" i="17"/>
  <c r="K74" i="17"/>
  <c r="G74" i="17"/>
  <c r="K69" i="17"/>
  <c r="G69" i="17"/>
  <c r="K68" i="17"/>
  <c r="N68" i="17" s="1"/>
  <c r="R68" i="17" s="1"/>
  <c r="G68" i="17"/>
  <c r="K67" i="17"/>
  <c r="I67" i="17" s="1"/>
  <c r="G67" i="17"/>
  <c r="K66" i="17"/>
  <c r="AJ66" i="17" s="1"/>
  <c r="G66" i="17"/>
  <c r="K65" i="17"/>
  <c r="AJ65" i="17" s="1"/>
  <c r="G65" i="17"/>
  <c r="K64" i="17"/>
  <c r="G64" i="17"/>
  <c r="K63" i="17"/>
  <c r="G63" i="17"/>
  <c r="O62" i="17"/>
  <c r="N62" i="17"/>
  <c r="R62" i="17" s="1"/>
  <c r="K62" i="17"/>
  <c r="G62" i="17"/>
  <c r="K61" i="17"/>
  <c r="G61" i="17"/>
  <c r="O60" i="17"/>
  <c r="N60" i="17"/>
  <c r="R60" i="17" s="1"/>
  <c r="K60" i="17"/>
  <c r="AJ60" i="17" s="1"/>
  <c r="G60" i="17"/>
  <c r="K59" i="17"/>
  <c r="AJ59" i="17" s="1"/>
  <c r="G59" i="17"/>
  <c r="K58" i="17"/>
  <c r="AJ58" i="17" s="1"/>
  <c r="G58" i="17"/>
  <c r="K57" i="17"/>
  <c r="I57" i="17" s="1"/>
  <c r="G57" i="17"/>
  <c r="O56" i="17"/>
  <c r="N56" i="17"/>
  <c r="R56" i="17" s="1"/>
  <c r="K56" i="17"/>
  <c r="AJ56" i="17" s="1"/>
  <c r="G56" i="17"/>
  <c r="W55" i="17"/>
  <c r="V55" i="17"/>
  <c r="O55" i="17"/>
  <c r="S55" i="17" s="1"/>
  <c r="AE55" i="17" s="1"/>
  <c r="N55" i="17"/>
  <c r="R55" i="17" s="1"/>
  <c r="K55" i="17"/>
  <c r="G55" i="17"/>
  <c r="W54" i="17"/>
  <c r="V54" i="17"/>
  <c r="O54" i="17"/>
  <c r="S54" i="17" s="1"/>
  <c r="AE54" i="17" s="1"/>
  <c r="N54" i="17"/>
  <c r="R54" i="17" s="1"/>
  <c r="K54" i="17"/>
  <c r="G54" i="17"/>
  <c r="O53" i="17"/>
  <c r="N53" i="17"/>
  <c r="R53" i="17" s="1"/>
  <c r="K53" i="17"/>
  <c r="AJ53" i="17" s="1"/>
  <c r="G53" i="17"/>
  <c r="K52" i="17"/>
  <c r="AJ52" i="17" s="1"/>
  <c r="G52" i="17"/>
  <c r="K51" i="17"/>
  <c r="G51" i="17"/>
  <c r="K50" i="17"/>
  <c r="G50" i="17"/>
  <c r="K49" i="17"/>
  <c r="AJ49" i="17" s="1"/>
  <c r="G49" i="17"/>
  <c r="O48" i="17"/>
  <c r="S48" i="17" s="1"/>
  <c r="N48" i="17"/>
  <c r="R48" i="17" s="1"/>
  <c r="K48" i="17"/>
  <c r="G48" i="17"/>
  <c r="K47" i="17"/>
  <c r="G47" i="17"/>
  <c r="O46" i="17"/>
  <c r="N46" i="17"/>
  <c r="R46" i="17" s="1"/>
  <c r="K46" i="17"/>
  <c r="G46" i="17"/>
  <c r="K45" i="17"/>
  <c r="G45" i="17"/>
  <c r="K44" i="17"/>
  <c r="G44" i="17"/>
  <c r="K43" i="17"/>
  <c r="G43" i="17"/>
  <c r="K42" i="17"/>
  <c r="G42" i="17"/>
  <c r="K41" i="17"/>
  <c r="O41" i="17" s="1"/>
  <c r="G41" i="17"/>
  <c r="O40" i="17"/>
  <c r="N40" i="17"/>
  <c r="R40" i="17" s="1"/>
  <c r="AD40" i="17" s="1"/>
  <c r="K40" i="17"/>
  <c r="AJ40" i="17" s="1"/>
  <c r="G40" i="17"/>
  <c r="W39" i="17"/>
  <c r="V39" i="17"/>
  <c r="O39" i="17"/>
  <c r="N39" i="17"/>
  <c r="R39" i="17" s="1"/>
  <c r="T39" i="17" s="1"/>
  <c r="K39" i="17"/>
  <c r="G39" i="17"/>
  <c r="W38" i="17"/>
  <c r="O38" i="17"/>
  <c r="S38" i="17" s="1"/>
  <c r="AE38" i="17" s="1"/>
  <c r="N38" i="17"/>
  <c r="R38" i="17" s="1"/>
  <c r="K38" i="17"/>
  <c r="G38" i="17"/>
  <c r="O37" i="17"/>
  <c r="N37" i="17"/>
  <c r="R37" i="17" s="1"/>
  <c r="T37" i="17" s="1"/>
  <c r="K37" i="17"/>
  <c r="G37" i="17"/>
  <c r="K36" i="17"/>
  <c r="G36" i="17"/>
  <c r="K35" i="17"/>
  <c r="AJ35" i="17" s="1"/>
  <c r="G35" i="17"/>
  <c r="O34" i="17"/>
  <c r="N34" i="17"/>
  <c r="R34" i="17" s="1"/>
  <c r="K34" i="17"/>
  <c r="AJ34" i="17" s="1"/>
  <c r="G34" i="17"/>
  <c r="AC33" i="17"/>
  <c r="AB33" i="17"/>
  <c r="Y33" i="17"/>
  <c r="W33" i="17" s="1"/>
  <c r="X33" i="17"/>
  <c r="V33" i="17" s="1"/>
  <c r="O33" i="17"/>
  <c r="N33" i="17"/>
  <c r="R33" i="17" s="1"/>
  <c r="T33" i="17" s="1"/>
  <c r="Z33" i="17" s="1"/>
  <c r="K33" i="17"/>
  <c r="G33" i="17"/>
  <c r="AC32" i="17"/>
  <c r="AB32" i="17"/>
  <c r="Y32" i="17"/>
  <c r="W32" i="17" s="1"/>
  <c r="X32" i="17"/>
  <c r="V32" i="17" s="1"/>
  <c r="O32" i="17"/>
  <c r="N32" i="17"/>
  <c r="R32" i="17" s="1"/>
  <c r="T32" i="17" s="1"/>
  <c r="Z32" i="17" s="1"/>
  <c r="K32" i="17"/>
  <c r="G32" i="17"/>
  <c r="O31" i="17"/>
  <c r="S31" i="17" s="1"/>
  <c r="N31" i="17"/>
  <c r="R31" i="17" s="1"/>
  <c r="K31" i="17"/>
  <c r="AJ31" i="17" s="1"/>
  <c r="G31" i="17"/>
  <c r="K30" i="17"/>
  <c r="AJ30" i="17" s="1"/>
  <c r="G30" i="17"/>
  <c r="K29" i="17"/>
  <c r="AJ29" i="17" s="1"/>
  <c r="G29" i="17"/>
  <c r="K28" i="17"/>
  <c r="AJ28" i="17" s="1"/>
  <c r="G28" i="17"/>
  <c r="K27" i="17"/>
  <c r="AJ27" i="17" s="1"/>
  <c r="G27" i="17"/>
  <c r="O26" i="17"/>
  <c r="S26" i="17" s="1"/>
  <c r="N26" i="17"/>
  <c r="R26" i="17" s="1"/>
  <c r="K26" i="17"/>
  <c r="G26" i="17"/>
  <c r="K25" i="17"/>
  <c r="G25" i="17"/>
  <c r="K24" i="17"/>
  <c r="G24" i="17"/>
  <c r="K23" i="17"/>
  <c r="G23" i="17"/>
  <c r="K22" i="17"/>
  <c r="G22" i="17"/>
  <c r="K21" i="17"/>
  <c r="G21" i="17"/>
  <c r="K20" i="17"/>
  <c r="G20" i="17"/>
  <c r="K19" i="17"/>
  <c r="G19" i="17"/>
  <c r="T47" i="16"/>
  <c r="T48" i="16"/>
  <c r="T28" i="16"/>
  <c r="T29" i="16"/>
  <c r="S47" i="16"/>
  <c r="Q47" i="16" s="1"/>
  <c r="S48" i="16"/>
  <c r="Q48" i="16" s="1"/>
  <c r="S28" i="16"/>
  <c r="Q28" i="16" s="1"/>
  <c r="S29" i="16"/>
  <c r="Q29" i="16" s="1"/>
  <c r="R47" i="16"/>
  <c r="R48" i="16"/>
  <c r="R28" i="16"/>
  <c r="R29" i="16"/>
  <c r="W29" i="3"/>
  <c r="W30" i="3"/>
  <c r="T29" i="3"/>
  <c r="T30" i="3"/>
  <c r="U29" i="3"/>
  <c r="U30" i="3"/>
  <c r="AF92" i="2"/>
  <c r="AF93" i="2"/>
  <c r="AF33" i="2"/>
  <c r="AF34" i="2"/>
  <c r="AE92" i="2"/>
  <c r="AE93" i="2"/>
  <c r="AC92" i="2"/>
  <c r="AC93" i="2"/>
  <c r="AB92" i="2"/>
  <c r="Z92" i="2" s="1"/>
  <c r="AB93" i="2"/>
  <c r="Z93" i="2" s="1"/>
  <c r="Z97" i="2"/>
  <c r="Z98" i="2"/>
  <c r="Z116" i="2"/>
  <c r="Z117" i="2"/>
  <c r="AB33" i="2"/>
  <c r="Z33" i="2" s="1"/>
  <c r="AB34" i="2"/>
  <c r="Z34" i="2" s="1"/>
  <c r="Z39" i="2"/>
  <c r="Z40" i="2"/>
  <c r="Z55" i="2"/>
  <c r="Z56" i="2"/>
  <c r="AA92" i="2"/>
  <c r="Y92" i="2" s="1"/>
  <c r="AA93" i="2"/>
  <c r="Y93" i="2" s="1"/>
  <c r="Y97" i="2"/>
  <c r="Y98" i="2"/>
  <c r="Y116" i="2"/>
  <c r="Y117" i="2"/>
  <c r="Y55" i="2"/>
  <c r="Y56" i="2"/>
  <c r="T65" i="3"/>
  <c r="T64" i="3"/>
  <c r="T61" i="3"/>
  <c r="T60" i="3"/>
  <c r="V56" i="16"/>
  <c r="AM39" i="1" s="1"/>
  <c r="W47" i="16"/>
  <c r="Y47" i="16"/>
  <c r="W48" i="16"/>
  <c r="Y48" i="16"/>
  <c r="Y28" i="16"/>
  <c r="Y29" i="16"/>
  <c r="W28" i="16"/>
  <c r="W29" i="16"/>
  <c r="K18" i="16"/>
  <c r="K19" i="16"/>
  <c r="K20" i="16"/>
  <c r="K21" i="16"/>
  <c r="K22" i="16"/>
  <c r="M22" i="16"/>
  <c r="O22" i="16" s="1"/>
  <c r="K23" i="16"/>
  <c r="M23" i="16"/>
  <c r="O23" i="16" s="1"/>
  <c r="K24" i="16"/>
  <c r="K26" i="16"/>
  <c r="Y26" i="16" s="1"/>
  <c r="K27" i="16"/>
  <c r="Y27" i="16" s="1"/>
  <c r="M27" i="16"/>
  <c r="O27" i="16" s="1"/>
  <c r="K28" i="16"/>
  <c r="M28" i="16"/>
  <c r="O28" i="16" s="1"/>
  <c r="K29" i="16"/>
  <c r="M29" i="16"/>
  <c r="O29" i="16" s="1"/>
  <c r="K30" i="16"/>
  <c r="Y30" i="16" s="1"/>
  <c r="M30" i="16"/>
  <c r="O30" i="16" s="1"/>
  <c r="U30" i="16" s="1"/>
  <c r="K31" i="16"/>
  <c r="Y31" i="16" s="1"/>
  <c r="K32" i="16"/>
  <c r="Y32" i="16" s="1"/>
  <c r="M32" i="16"/>
  <c r="O32" i="16" s="1"/>
  <c r="K34" i="16"/>
  <c r="M34" i="16" s="1"/>
  <c r="O34" i="16" s="1"/>
  <c r="V182" i="2" l="1"/>
  <c r="U49" i="4"/>
  <c r="S49" i="4" s="1"/>
  <c r="U48" i="4"/>
  <c r="S48" i="4" s="1"/>
  <c r="U42" i="4"/>
  <c r="S42" i="4" s="1"/>
  <c r="U34" i="4"/>
  <c r="S34" i="4" s="1"/>
  <c r="U54" i="4"/>
  <c r="S54" i="4"/>
  <c r="U53" i="4"/>
  <c r="S53" i="4"/>
  <c r="U46" i="4"/>
  <c r="S46" i="4" s="1"/>
  <c r="U52" i="4"/>
  <c r="S52" i="4"/>
  <c r="U45" i="4"/>
  <c r="S45" i="4" s="1"/>
  <c r="U47" i="4"/>
  <c r="S47" i="4" s="1"/>
  <c r="U22" i="18"/>
  <c r="S22" i="18"/>
  <c r="Q22" i="18" s="1"/>
  <c r="I32" i="16"/>
  <c r="S27" i="16"/>
  <c r="R27" i="16" s="1"/>
  <c r="V38" i="17"/>
  <c r="AD31" i="17"/>
  <c r="T31" i="17"/>
  <c r="AH31" i="17"/>
  <c r="U31" i="17"/>
  <c r="T34" i="17"/>
  <c r="I20" i="16"/>
  <c r="X20" i="16"/>
  <c r="O100" i="17"/>
  <c r="S100" i="17" s="1"/>
  <c r="AI100" i="17"/>
  <c r="Y48" i="18"/>
  <c r="X48" i="18"/>
  <c r="Y62" i="18"/>
  <c r="X62" i="18"/>
  <c r="I47" i="17"/>
  <c r="AI47" i="17"/>
  <c r="Y34" i="16"/>
  <c r="X34" i="16"/>
  <c r="I24" i="17"/>
  <c r="AI24" i="17"/>
  <c r="AJ102" i="17"/>
  <c r="AI102" i="17"/>
  <c r="I19" i="17"/>
  <c r="AI19" i="17"/>
  <c r="AJ126" i="17"/>
  <c r="AI126" i="17"/>
  <c r="S23" i="16"/>
  <c r="Q23" i="16" s="1"/>
  <c r="I53" i="18"/>
  <c r="X53" i="18"/>
  <c r="M21" i="16"/>
  <c r="O21" i="16" s="1"/>
  <c r="P21" i="16" s="1"/>
  <c r="X21" i="16"/>
  <c r="Y47" i="18"/>
  <c r="X47" i="18"/>
  <c r="I112" i="17"/>
  <c r="I26" i="16"/>
  <c r="M39" i="8"/>
  <c r="O39" i="8" s="1"/>
  <c r="W39" i="8" s="1"/>
  <c r="X39" i="8"/>
  <c r="M57" i="8"/>
  <c r="O57" i="8" s="1"/>
  <c r="S57" i="8" s="1"/>
  <c r="Q57" i="8" s="1"/>
  <c r="X57" i="8"/>
  <c r="AJ37" i="17"/>
  <c r="AI37" i="17"/>
  <c r="I51" i="17"/>
  <c r="AI51" i="17"/>
  <c r="AJ123" i="17"/>
  <c r="AI123" i="17"/>
  <c r="Y18" i="16"/>
  <c r="X18" i="16"/>
  <c r="O42" i="17"/>
  <c r="S42" i="17" s="1"/>
  <c r="AH42" i="17" s="1"/>
  <c r="AI42" i="17"/>
  <c r="AJ76" i="17"/>
  <c r="AI76" i="17"/>
  <c r="I23" i="18"/>
  <c r="X23" i="18"/>
  <c r="AJ111" i="17"/>
  <c r="AI111" i="17"/>
  <c r="N25" i="17"/>
  <c r="R25" i="17" s="1"/>
  <c r="AG25" i="17" s="1"/>
  <c r="AI25" i="17"/>
  <c r="AJ78" i="17"/>
  <c r="AI78" i="17"/>
  <c r="AJ121" i="17"/>
  <c r="AI121" i="17"/>
  <c r="I26" i="18"/>
  <c r="U26" i="18" s="1"/>
  <c r="Y23" i="16"/>
  <c r="X23" i="16"/>
  <c r="AJ20" i="17"/>
  <c r="AI20" i="17"/>
  <c r="AJ26" i="17"/>
  <c r="AI26" i="17"/>
  <c r="AJ45" i="17"/>
  <c r="AI45" i="17"/>
  <c r="AJ63" i="17"/>
  <c r="AI63" i="17"/>
  <c r="AJ69" i="17"/>
  <c r="AI69" i="17"/>
  <c r="AJ79" i="17"/>
  <c r="AI79" i="17"/>
  <c r="I99" i="17"/>
  <c r="AD99" i="17" s="1"/>
  <c r="AI99" i="17"/>
  <c r="AJ104" i="17"/>
  <c r="AI104" i="17"/>
  <c r="Y28" i="18"/>
  <c r="X28" i="18"/>
  <c r="I28" i="18"/>
  <c r="I109" i="17"/>
  <c r="M19" i="16"/>
  <c r="O19" i="16" s="1"/>
  <c r="W19" i="16" s="1"/>
  <c r="X19" i="16"/>
  <c r="AJ23" i="17"/>
  <c r="AI23" i="17"/>
  <c r="O101" i="17"/>
  <c r="S101" i="17" s="1"/>
  <c r="AI101" i="17"/>
  <c r="I106" i="17"/>
  <c r="AD106" i="17" s="1"/>
  <c r="AI106" i="17"/>
  <c r="AJ124" i="17"/>
  <c r="AI124" i="17"/>
  <c r="Y33" i="18"/>
  <c r="X33" i="18"/>
  <c r="Y51" i="18"/>
  <c r="X51" i="18"/>
  <c r="AJ48" i="17"/>
  <c r="AI48" i="17"/>
  <c r="AJ62" i="17"/>
  <c r="AI62" i="17"/>
  <c r="N77" i="17"/>
  <c r="R77" i="17" s="1"/>
  <c r="T77" i="17" s="1"/>
  <c r="Z77" i="17" s="1"/>
  <c r="AI77" i="17"/>
  <c r="N83" i="17"/>
  <c r="R83" i="17" s="1"/>
  <c r="Z83" i="17" s="1"/>
  <c r="AB83" i="17" s="1"/>
  <c r="AI83" i="17"/>
  <c r="AJ120" i="17"/>
  <c r="AI120" i="17"/>
  <c r="AJ131" i="17"/>
  <c r="AI131" i="17"/>
  <c r="I52" i="18"/>
  <c r="X52" i="18"/>
  <c r="Y24" i="16"/>
  <c r="X24" i="16"/>
  <c r="AJ44" i="17"/>
  <c r="AI44" i="17"/>
  <c r="Y18" i="18"/>
  <c r="X18" i="18"/>
  <c r="Y20" i="16"/>
  <c r="Y45" i="18"/>
  <c r="X45" i="18"/>
  <c r="Y46" i="18"/>
  <c r="X46" i="18"/>
  <c r="W60" i="18"/>
  <c r="O22" i="17"/>
  <c r="S22" i="17" s="1"/>
  <c r="AI22" i="17"/>
  <c r="O75" i="17"/>
  <c r="S75" i="17" s="1"/>
  <c r="AI75" i="17"/>
  <c r="I86" i="17"/>
  <c r="AI86" i="17"/>
  <c r="AJ105" i="17"/>
  <c r="AI105" i="17"/>
  <c r="AG92" i="17"/>
  <c r="AJ61" i="17"/>
  <c r="AI61" i="17"/>
  <c r="AJ43" i="17"/>
  <c r="AI43" i="17"/>
  <c r="AJ67" i="17"/>
  <c r="AI67" i="17"/>
  <c r="I131" i="17"/>
  <c r="AJ84" i="17"/>
  <c r="AI84" i="17"/>
  <c r="AJ103" i="17"/>
  <c r="AI103" i="17"/>
  <c r="Y22" i="16"/>
  <c r="X22" i="16"/>
  <c r="AJ21" i="17"/>
  <c r="AI21" i="17"/>
  <c r="AJ36" i="17"/>
  <c r="AI36" i="17"/>
  <c r="AJ46" i="17"/>
  <c r="AI46" i="17"/>
  <c r="AJ50" i="17"/>
  <c r="AI50" i="17"/>
  <c r="I64" i="17"/>
  <c r="AI64" i="17"/>
  <c r="AJ74" i="17"/>
  <c r="AI74" i="17"/>
  <c r="AJ122" i="17"/>
  <c r="AI122" i="17"/>
  <c r="M21" i="18"/>
  <c r="O21" i="18" s="1"/>
  <c r="X21" i="18"/>
  <c r="Y31" i="18"/>
  <c r="X31" i="18"/>
  <c r="I18" i="16"/>
  <c r="I32" i="18"/>
  <c r="I43" i="8"/>
  <c r="X43" i="8"/>
  <c r="M44" i="8"/>
  <c r="O44" i="8" s="1"/>
  <c r="X44" i="8"/>
  <c r="I44" i="8"/>
  <c r="M45" i="8"/>
  <c r="O45" i="8" s="1"/>
  <c r="W45" i="8" s="1"/>
  <c r="X45" i="8"/>
  <c r="I50" i="8"/>
  <c r="X50" i="8"/>
  <c r="I51" i="8"/>
  <c r="X51" i="8"/>
  <c r="M52" i="8"/>
  <c r="O52" i="8" s="1"/>
  <c r="W52" i="8" s="1"/>
  <c r="X52" i="8"/>
  <c r="M53" i="8"/>
  <c r="O53" i="8" s="1"/>
  <c r="S53" i="8" s="1"/>
  <c r="Q53" i="8" s="1"/>
  <c r="X53" i="8"/>
  <c r="I98" i="17"/>
  <c r="I129" i="17"/>
  <c r="I110" i="17"/>
  <c r="I101" i="17"/>
  <c r="I84" i="17"/>
  <c r="I81" i="17"/>
  <c r="I100" i="17"/>
  <c r="I79" i="17"/>
  <c r="Y19" i="16"/>
  <c r="I21" i="16"/>
  <c r="M31" i="16"/>
  <c r="O31" i="16" s="1"/>
  <c r="W31" i="16" s="1"/>
  <c r="I31" i="16"/>
  <c r="Y21" i="16"/>
  <c r="I34" i="16"/>
  <c r="AJ19" i="17"/>
  <c r="I41" i="17"/>
  <c r="I69" i="17"/>
  <c r="I35" i="17"/>
  <c r="I43" i="17"/>
  <c r="I45" i="17"/>
  <c r="I25" i="17"/>
  <c r="AD25" i="17" s="1"/>
  <c r="I61" i="17"/>
  <c r="I22" i="17"/>
  <c r="I58" i="17"/>
  <c r="S49" i="5"/>
  <c r="Q49" i="5"/>
  <c r="Q56" i="5"/>
  <c r="Q53" i="5"/>
  <c r="S55" i="5"/>
  <c r="Q54" i="5"/>
  <c r="S54" i="5"/>
  <c r="S52" i="5"/>
  <c r="Q50" i="5"/>
  <c r="S51" i="5"/>
  <c r="S44" i="8"/>
  <c r="Q44" i="8" s="1"/>
  <c r="W44" i="8"/>
  <c r="I53" i="8"/>
  <c r="V53" i="8" s="1"/>
  <c r="I52" i="8"/>
  <c r="V52" i="8" s="1"/>
  <c r="M43" i="8"/>
  <c r="O43" i="8" s="1"/>
  <c r="M50" i="8"/>
  <c r="O50" i="8" s="1"/>
  <c r="I45" i="8"/>
  <c r="I39" i="8"/>
  <c r="I57" i="8"/>
  <c r="M51" i="8"/>
  <c r="O51" i="8" s="1"/>
  <c r="I51" i="18"/>
  <c r="I48" i="18"/>
  <c r="I47" i="18"/>
  <c r="I46" i="18"/>
  <c r="I45" i="18"/>
  <c r="I33" i="18"/>
  <c r="I23" i="16"/>
  <c r="U23" i="16" s="1"/>
  <c r="I22" i="16"/>
  <c r="U22" i="16" s="1"/>
  <c r="I24" i="16"/>
  <c r="M18" i="16"/>
  <c r="O18" i="16" s="1"/>
  <c r="I19" i="16"/>
  <c r="S30" i="16"/>
  <c r="I46" i="17"/>
  <c r="AD46" i="17" s="1"/>
  <c r="I118" i="17"/>
  <c r="I60" i="17"/>
  <c r="AD60" i="17" s="1"/>
  <c r="I26" i="17"/>
  <c r="I36" i="17"/>
  <c r="I44" i="17"/>
  <c r="I59" i="17"/>
  <c r="I83" i="17"/>
  <c r="AD83" i="17" s="1"/>
  <c r="I111" i="17"/>
  <c r="I128" i="17"/>
  <c r="I23" i="17"/>
  <c r="I124" i="17"/>
  <c r="I21" i="17"/>
  <c r="I76" i="17"/>
  <c r="I123" i="17"/>
  <c r="I108" i="17"/>
  <c r="I52" i="17"/>
  <c r="I20" i="17"/>
  <c r="I50" i="17"/>
  <c r="I65" i="17"/>
  <c r="I75" i="17"/>
  <c r="I105" i="17"/>
  <c r="I122" i="17"/>
  <c r="I29" i="17"/>
  <c r="I49" i="17"/>
  <c r="I78" i="17"/>
  <c r="I93" i="17"/>
  <c r="AD93" i="17" s="1"/>
  <c r="I104" i="17"/>
  <c r="AD104" i="17" s="1"/>
  <c r="I121" i="17"/>
  <c r="AD121" i="17" s="1"/>
  <c r="I42" i="17"/>
  <c r="I130" i="17"/>
  <c r="I74" i="17"/>
  <c r="I30" i="17"/>
  <c r="I48" i="17"/>
  <c r="AD48" i="17" s="1"/>
  <c r="I63" i="17"/>
  <c r="I88" i="17"/>
  <c r="I103" i="17"/>
  <c r="I120" i="17"/>
  <c r="I62" i="17"/>
  <c r="AD62" i="17" s="1"/>
  <c r="I102" i="17"/>
  <c r="I119" i="17"/>
  <c r="AA99" i="17"/>
  <c r="AJ106" i="17"/>
  <c r="AG40" i="17"/>
  <c r="AH85" i="17"/>
  <c r="U60" i="18"/>
  <c r="W26" i="18"/>
  <c r="U42" i="18"/>
  <c r="U57" i="18"/>
  <c r="U58" i="18"/>
  <c r="W36" i="18"/>
  <c r="W59" i="18"/>
  <c r="U38" i="18"/>
  <c r="U43" i="18"/>
  <c r="W22" i="18"/>
  <c r="M33" i="18"/>
  <c r="O33" i="18" s="1"/>
  <c r="W33" i="18" s="1"/>
  <c r="Y19" i="18"/>
  <c r="W56" i="18"/>
  <c r="U63" i="18"/>
  <c r="W55" i="18"/>
  <c r="Y52" i="18"/>
  <c r="Y32" i="18"/>
  <c r="U37" i="18"/>
  <c r="Y44" i="18"/>
  <c r="Y22" i="18"/>
  <c r="Y23" i="18"/>
  <c r="Y40" i="18"/>
  <c r="Y53" i="18"/>
  <c r="Y26" i="18"/>
  <c r="Y41" i="18"/>
  <c r="Y39" i="18"/>
  <c r="Y21" i="18"/>
  <c r="M46" i="18"/>
  <c r="O46" i="18" s="1"/>
  <c r="W46" i="18" s="1"/>
  <c r="M35" i="18"/>
  <c r="O35" i="18" s="1"/>
  <c r="M54" i="18"/>
  <c r="O54" i="18" s="1"/>
  <c r="W54" i="18" s="1"/>
  <c r="M34" i="18"/>
  <c r="O34" i="18" s="1"/>
  <c r="R22" i="18"/>
  <c r="M23" i="18"/>
  <c r="O23" i="18" s="1"/>
  <c r="M61" i="18"/>
  <c r="O61" i="18" s="1"/>
  <c r="W61" i="18" s="1"/>
  <c r="M31" i="18"/>
  <c r="O31" i="18" s="1"/>
  <c r="W31" i="18" s="1"/>
  <c r="M62" i="18"/>
  <c r="O62" i="18" s="1"/>
  <c r="W62" i="18" s="1"/>
  <c r="M44" i="18"/>
  <c r="O44" i="18" s="1"/>
  <c r="W44" i="18" s="1"/>
  <c r="M48" i="18"/>
  <c r="O48" i="18" s="1"/>
  <c r="M28" i="18"/>
  <c r="O28" i="18" s="1"/>
  <c r="M45" i="18"/>
  <c r="O45" i="18" s="1"/>
  <c r="M32" i="18"/>
  <c r="O32" i="18" s="1"/>
  <c r="M40" i="18"/>
  <c r="O40" i="18" s="1"/>
  <c r="M47" i="18"/>
  <c r="O47" i="18" s="1"/>
  <c r="M18" i="18"/>
  <c r="O18" i="18" s="1"/>
  <c r="P18" i="18" s="1"/>
  <c r="M19" i="18"/>
  <c r="O19" i="18" s="1"/>
  <c r="P19" i="18" s="1"/>
  <c r="M52" i="18"/>
  <c r="O52" i="18" s="1"/>
  <c r="M51" i="18"/>
  <c r="O51" i="18" s="1"/>
  <c r="M39" i="18"/>
  <c r="O39" i="18" s="1"/>
  <c r="M53" i="18"/>
  <c r="O53" i="18" s="1"/>
  <c r="M41" i="18"/>
  <c r="O41" i="18" s="1"/>
  <c r="AG116" i="17"/>
  <c r="AJ99" i="17"/>
  <c r="AA31" i="17"/>
  <c r="AJ42" i="17"/>
  <c r="AG34" i="17"/>
  <c r="AG99" i="17"/>
  <c r="Z85" i="17"/>
  <c r="AG104" i="17"/>
  <c r="AG56" i="17"/>
  <c r="AJ57" i="17"/>
  <c r="AJ86" i="17"/>
  <c r="AG53" i="17"/>
  <c r="AA42" i="17"/>
  <c r="AG93" i="17"/>
  <c r="AG48" i="17"/>
  <c r="AJ83" i="17"/>
  <c r="AG31" i="17"/>
  <c r="Z116" i="17"/>
  <c r="AE31" i="17"/>
  <c r="AJ22" i="17"/>
  <c r="AJ81" i="17"/>
  <c r="AD32" i="17"/>
  <c r="AD54" i="17"/>
  <c r="AG119" i="17"/>
  <c r="AG46" i="17"/>
  <c r="AG106" i="17"/>
  <c r="AG81" i="17"/>
  <c r="AD33" i="17"/>
  <c r="AD55" i="17"/>
  <c r="AD39" i="17"/>
  <c r="AD38" i="17"/>
  <c r="Z89" i="17"/>
  <c r="AG89" i="17"/>
  <c r="AD97" i="17"/>
  <c r="AG97" i="17"/>
  <c r="Z113" i="17"/>
  <c r="AG113" i="17"/>
  <c r="Z121" i="17"/>
  <c r="AG121" i="17"/>
  <c r="AD34" i="17"/>
  <c r="AD89" i="17"/>
  <c r="AG26" i="17"/>
  <c r="AG85" i="17"/>
  <c r="AG94" i="17"/>
  <c r="AD94" i="17"/>
  <c r="AJ24" i="17"/>
  <c r="AG60" i="17"/>
  <c r="AD96" i="17"/>
  <c r="AE48" i="17"/>
  <c r="AA48" i="17"/>
  <c r="AH48" i="17"/>
  <c r="Z68" i="17"/>
  <c r="AB68" i="17" s="1"/>
  <c r="AG68" i="17"/>
  <c r="AD107" i="17"/>
  <c r="AJ107" i="17"/>
  <c r="AG107" i="17"/>
  <c r="AD68" i="17"/>
  <c r="AD95" i="17"/>
  <c r="AA85" i="17"/>
  <c r="Y85" i="17" s="1"/>
  <c r="W85" i="17" s="1"/>
  <c r="AH99" i="17"/>
  <c r="AJ110" i="17"/>
  <c r="AJ85" i="17"/>
  <c r="AD37" i="17"/>
  <c r="AG37" i="17"/>
  <c r="N82" i="17"/>
  <c r="R82" i="17" s="1"/>
  <c r="AJ82" i="17"/>
  <c r="AE26" i="17"/>
  <c r="AA26" i="17"/>
  <c r="AH26" i="17"/>
  <c r="AG62" i="17"/>
  <c r="AD91" i="17"/>
  <c r="AD115" i="17"/>
  <c r="AD113" i="17"/>
  <c r="O51" i="17"/>
  <c r="S51" i="17" s="1"/>
  <c r="AJ51" i="17"/>
  <c r="Z46" i="17"/>
  <c r="AD90" i="17"/>
  <c r="AD114" i="17"/>
  <c r="AD56" i="17"/>
  <c r="AJ68" i="17"/>
  <c r="Z92" i="17"/>
  <c r="AJ64" i="17"/>
  <c r="AJ117" i="17"/>
  <c r="AJ93" i="17"/>
  <c r="AJ80" i="17"/>
  <c r="AJ41" i="17"/>
  <c r="Z104" i="17"/>
  <c r="AD53" i="17"/>
  <c r="AJ116" i="17"/>
  <c r="Z93" i="17"/>
  <c r="AD92" i="17"/>
  <c r="AJ25" i="17"/>
  <c r="AJ77" i="17"/>
  <c r="AJ101" i="17"/>
  <c r="AD77" i="17"/>
  <c r="AJ47" i="17"/>
  <c r="AJ100" i="17"/>
  <c r="AJ75" i="17"/>
  <c r="Z26" i="17"/>
  <c r="Z99" i="17"/>
  <c r="AB99" i="17" s="1"/>
  <c r="Z60" i="17"/>
  <c r="Z62" i="17"/>
  <c r="Z53" i="17"/>
  <c r="Z107" i="17"/>
  <c r="Z56" i="17"/>
  <c r="Z81" i="17"/>
  <c r="Z34" i="17"/>
  <c r="Z25" i="17"/>
  <c r="AG182" i="2"/>
  <c r="Z37" i="17"/>
  <c r="Z31" i="17"/>
  <c r="Z48" i="17"/>
  <c r="Z119" i="17"/>
  <c r="Z97" i="17"/>
  <c r="Z40" i="17"/>
  <c r="Z106" i="17"/>
  <c r="Z94" i="17"/>
  <c r="O65" i="17"/>
  <c r="S65" i="17" s="1"/>
  <c r="N108" i="17"/>
  <c r="R108" i="17" s="1"/>
  <c r="O108" i="17"/>
  <c r="S108" i="17" s="1"/>
  <c r="N65" i="17"/>
  <c r="R65" i="17" s="1"/>
  <c r="S89" i="17"/>
  <c r="S39" i="17"/>
  <c r="AE39" i="17" s="1"/>
  <c r="S37" i="17"/>
  <c r="U37" i="17" s="1"/>
  <c r="O112" i="17"/>
  <c r="O45" i="17"/>
  <c r="S34" i="17"/>
  <c r="U34" i="17" s="1"/>
  <c r="N75" i="17"/>
  <c r="R75" i="17" s="1"/>
  <c r="S90" i="17"/>
  <c r="AE90" i="17" s="1"/>
  <c r="S95" i="17"/>
  <c r="AE95" i="17" s="1"/>
  <c r="N86" i="17"/>
  <c r="R86" i="17" s="1"/>
  <c r="O21" i="17"/>
  <c r="S21" i="17" s="1"/>
  <c r="O81" i="17"/>
  <c r="S81" i="17" s="1"/>
  <c r="N49" i="17"/>
  <c r="R49" i="17" s="1"/>
  <c r="N79" i="17"/>
  <c r="R79" i="17" s="1"/>
  <c r="S119" i="17"/>
  <c r="O49" i="17"/>
  <c r="O79" i="17"/>
  <c r="S79" i="17" s="1"/>
  <c r="AD81" i="17"/>
  <c r="O77" i="17"/>
  <c r="S77" i="17" s="1"/>
  <c r="O86" i="17"/>
  <c r="S86" i="17" s="1"/>
  <c r="N57" i="17"/>
  <c r="R57" i="17" s="1"/>
  <c r="N126" i="17"/>
  <c r="R126" i="17" s="1"/>
  <c r="N21" i="17"/>
  <c r="R21" i="17" s="1"/>
  <c r="O27" i="17"/>
  <c r="S27" i="17" s="1"/>
  <c r="N66" i="17"/>
  <c r="R66" i="17" s="1"/>
  <c r="O84" i="17"/>
  <c r="S84" i="17" s="1"/>
  <c r="O66" i="17"/>
  <c r="S113" i="17"/>
  <c r="O44" i="17"/>
  <c r="S44" i="17" s="1"/>
  <c r="N44" i="17"/>
  <c r="R44" i="17" s="1"/>
  <c r="O47" i="17"/>
  <c r="S47" i="17" s="1"/>
  <c r="N67" i="17"/>
  <c r="R67" i="17" s="1"/>
  <c r="S94" i="17"/>
  <c r="S110" i="17"/>
  <c r="N30" i="17"/>
  <c r="R30" i="17" s="1"/>
  <c r="T30" i="17" s="1"/>
  <c r="O30" i="17"/>
  <c r="S46" i="17"/>
  <c r="S53" i="17"/>
  <c r="N23" i="17"/>
  <c r="R23" i="17" s="1"/>
  <c r="N28" i="17"/>
  <c r="R28" i="17" s="1"/>
  <c r="T28" i="17" s="1"/>
  <c r="AD85" i="17"/>
  <c r="O103" i="17"/>
  <c r="O23" i="17"/>
  <c r="O28" i="17"/>
  <c r="O82" i="17"/>
  <c r="S121" i="17"/>
  <c r="S33" i="17"/>
  <c r="AE33" i="17" s="1"/>
  <c r="O67" i="17"/>
  <c r="S40" i="17"/>
  <c r="O76" i="17"/>
  <c r="S76" i="17" s="1"/>
  <c r="N76" i="17"/>
  <c r="R76" i="17" s="1"/>
  <c r="O125" i="17"/>
  <c r="N125" i="17"/>
  <c r="R125" i="17" s="1"/>
  <c r="N84" i="17"/>
  <c r="R84" i="17" s="1"/>
  <c r="S97" i="17"/>
  <c r="N112" i="17"/>
  <c r="R112" i="17" s="1"/>
  <c r="N24" i="17"/>
  <c r="R24" i="17" s="1"/>
  <c r="N29" i="17"/>
  <c r="R29" i="17" s="1"/>
  <c r="T29" i="17" s="1"/>
  <c r="O64" i="17"/>
  <c r="O68" i="17"/>
  <c r="O74" i="17"/>
  <c r="O83" i="17"/>
  <c r="S106" i="17"/>
  <c r="O24" i="17"/>
  <c r="O29" i="17"/>
  <c r="S92" i="17"/>
  <c r="S104" i="17"/>
  <c r="O105" i="17"/>
  <c r="O59" i="17"/>
  <c r="S59" i="17" s="1"/>
  <c r="O57" i="17"/>
  <c r="S57" i="17" s="1"/>
  <c r="S56" i="17"/>
  <c r="S116" i="17"/>
  <c r="O126" i="17"/>
  <c r="S41" i="17"/>
  <c r="AD26" i="17"/>
  <c r="N41" i="17"/>
  <c r="R41" i="17" s="1"/>
  <c r="O50" i="17"/>
  <c r="N50" i="17"/>
  <c r="R50" i="17" s="1"/>
  <c r="O63" i="17"/>
  <c r="N63" i="17"/>
  <c r="R63" i="17" s="1"/>
  <c r="O36" i="17"/>
  <c r="N36" i="17"/>
  <c r="R36" i="17" s="1"/>
  <c r="T36" i="17" s="1"/>
  <c r="N58" i="17"/>
  <c r="R58" i="17" s="1"/>
  <c r="O58" i="17"/>
  <c r="O52" i="17"/>
  <c r="N52" i="17"/>
  <c r="R52" i="17" s="1"/>
  <c r="N19" i="17"/>
  <c r="R19" i="17" s="1"/>
  <c r="O19" i="17"/>
  <c r="O25" i="17"/>
  <c r="N42" i="17"/>
  <c r="R42" i="17" s="1"/>
  <c r="O35" i="17"/>
  <c r="N22" i="17"/>
  <c r="R22" i="17" s="1"/>
  <c r="N27" i="17"/>
  <c r="R27" i="17" s="1"/>
  <c r="N35" i="17"/>
  <c r="R35" i="17" s="1"/>
  <c r="T35" i="17" s="1"/>
  <c r="N59" i="17"/>
  <c r="R59" i="17" s="1"/>
  <c r="N69" i="17"/>
  <c r="R69" i="17" s="1"/>
  <c r="O69" i="17"/>
  <c r="N20" i="17"/>
  <c r="R20" i="17" s="1"/>
  <c r="N47" i="17"/>
  <c r="R47" i="17" s="1"/>
  <c r="O20" i="17"/>
  <c r="O43" i="17"/>
  <c r="N43" i="17"/>
  <c r="R43" i="17" s="1"/>
  <c r="N51" i="17"/>
  <c r="R51" i="17" s="1"/>
  <c r="N78" i="17"/>
  <c r="R78" i="17" s="1"/>
  <c r="S32" i="17"/>
  <c r="AE32" i="17" s="1"/>
  <c r="O78" i="17"/>
  <c r="N64" i="17"/>
  <c r="R64" i="17" s="1"/>
  <c r="O61" i="17"/>
  <c r="N61" i="17"/>
  <c r="R61" i="17" s="1"/>
  <c r="N111" i="17"/>
  <c r="R111" i="17" s="1"/>
  <c r="O111" i="17"/>
  <c r="O118" i="17"/>
  <c r="N118" i="17"/>
  <c r="R118" i="17" s="1"/>
  <c r="N45" i="17"/>
  <c r="R45" i="17" s="1"/>
  <c r="O123" i="17"/>
  <c r="N123" i="17"/>
  <c r="R123" i="17" s="1"/>
  <c r="O80" i="17"/>
  <c r="N80" i="17"/>
  <c r="R80" i="17" s="1"/>
  <c r="N103" i="17"/>
  <c r="R103" i="17" s="1"/>
  <c r="S107" i="17"/>
  <c r="O98" i="17"/>
  <c r="N98" i="17"/>
  <c r="R98" i="17" s="1"/>
  <c r="N100" i="17"/>
  <c r="R100" i="17" s="1"/>
  <c r="O124" i="17"/>
  <c r="N124" i="17"/>
  <c r="R124" i="17" s="1"/>
  <c r="S60" i="17"/>
  <c r="S62" i="17"/>
  <c r="N74" i="17"/>
  <c r="R74" i="17" s="1"/>
  <c r="AD119" i="17"/>
  <c r="N102" i="17"/>
  <c r="R102" i="17" s="1"/>
  <c r="O109" i="17"/>
  <c r="N109" i="17"/>
  <c r="R109" i="17" s="1"/>
  <c r="O88" i="17"/>
  <c r="N88" i="17"/>
  <c r="R88" i="17" s="1"/>
  <c r="O102" i="17"/>
  <c r="O122" i="17"/>
  <c r="N122" i="17"/>
  <c r="R122" i="17" s="1"/>
  <c r="N131" i="17"/>
  <c r="R131" i="17" s="1"/>
  <c r="O131" i="17"/>
  <c r="S96" i="17"/>
  <c r="AE96" i="17" s="1"/>
  <c r="N130" i="17"/>
  <c r="R130" i="17" s="1"/>
  <c r="O93" i="17"/>
  <c r="N101" i="17"/>
  <c r="R101" i="17" s="1"/>
  <c r="O130" i="17"/>
  <c r="N110" i="17"/>
  <c r="R110" i="17" s="1"/>
  <c r="O117" i="17"/>
  <c r="N117" i="17"/>
  <c r="R117" i="17" s="1"/>
  <c r="O120" i="17"/>
  <c r="N120" i="17"/>
  <c r="R120" i="17" s="1"/>
  <c r="N128" i="17"/>
  <c r="R128" i="17" s="1"/>
  <c r="N129" i="17"/>
  <c r="R129" i="17" s="1"/>
  <c r="O128" i="17"/>
  <c r="O129" i="17"/>
  <c r="N105" i="17"/>
  <c r="R105" i="17" s="1"/>
  <c r="O127" i="17"/>
  <c r="N127" i="17"/>
  <c r="R127" i="17" s="1"/>
  <c r="U27" i="16"/>
  <c r="M24" i="16"/>
  <c r="O24" i="16" s="1"/>
  <c r="W24" i="16" s="1"/>
  <c r="W27" i="16"/>
  <c r="W23" i="16"/>
  <c r="W30" i="16"/>
  <c r="M20" i="16"/>
  <c r="O20" i="16" s="1"/>
  <c r="P20" i="16" s="1"/>
  <c r="M26" i="16"/>
  <c r="O26" i="16" s="1"/>
  <c r="S26" i="16" s="1"/>
  <c r="M54" i="16"/>
  <c r="O54" i="16" s="1"/>
  <c r="K54" i="16"/>
  <c r="X54" i="16" s="1"/>
  <c r="G54" i="16"/>
  <c r="M53" i="16"/>
  <c r="O53" i="16" s="1"/>
  <c r="K53" i="16"/>
  <c r="G53" i="16"/>
  <c r="K51" i="16"/>
  <c r="G51" i="16"/>
  <c r="K50" i="16"/>
  <c r="I50" i="16" s="1"/>
  <c r="G50" i="16"/>
  <c r="M49" i="16"/>
  <c r="O49" i="16" s="1"/>
  <c r="K49" i="16"/>
  <c r="Y49" i="16" s="1"/>
  <c r="G49" i="16"/>
  <c r="M48" i="16"/>
  <c r="O48" i="16" s="1"/>
  <c r="K48" i="16"/>
  <c r="G48" i="16"/>
  <c r="M47" i="16"/>
  <c r="O47" i="16" s="1"/>
  <c r="K47" i="16"/>
  <c r="G47" i="16"/>
  <c r="M46" i="16"/>
  <c r="O46" i="16" s="1"/>
  <c r="K46" i="16"/>
  <c r="Y46" i="16" s="1"/>
  <c r="G46" i="16"/>
  <c r="K45" i="16"/>
  <c r="Y45" i="16" s="1"/>
  <c r="G45" i="16"/>
  <c r="K44" i="16"/>
  <c r="G44" i="16"/>
  <c r="K43" i="16"/>
  <c r="Y43" i="16" s="1"/>
  <c r="G43" i="16"/>
  <c r="K42" i="16"/>
  <c r="Y42" i="16" s="1"/>
  <c r="G42" i="16"/>
  <c r="K40" i="16"/>
  <c r="Y40" i="16" s="1"/>
  <c r="G40" i="16"/>
  <c r="M39" i="16"/>
  <c r="O39" i="16" s="1"/>
  <c r="K39" i="16"/>
  <c r="G39" i="16"/>
  <c r="M38" i="16"/>
  <c r="O38" i="16" s="1"/>
  <c r="K38" i="16"/>
  <c r="G38" i="16"/>
  <c r="K37" i="16"/>
  <c r="G37" i="16"/>
  <c r="W34" i="16"/>
  <c r="S34" i="16"/>
  <c r="Q34" i="16" s="1"/>
  <c r="G34" i="16"/>
  <c r="W32" i="16"/>
  <c r="S32" i="16"/>
  <c r="Q32" i="16" s="1"/>
  <c r="G32" i="16"/>
  <c r="G31" i="16"/>
  <c r="G30" i="16"/>
  <c r="U29" i="16"/>
  <c r="G29" i="16"/>
  <c r="U28" i="16"/>
  <c r="G28" i="16"/>
  <c r="G27" i="16"/>
  <c r="G26" i="16"/>
  <c r="G24" i="16"/>
  <c r="G23" i="16"/>
  <c r="W22" i="16"/>
  <c r="P22" i="16"/>
  <c r="G22" i="16"/>
  <c r="G21" i="16"/>
  <c r="G20" i="16"/>
  <c r="G19" i="16"/>
  <c r="G18" i="16"/>
  <c r="AD48" i="3"/>
  <c r="AE48" i="3"/>
  <c r="AG48" i="3"/>
  <c r="AD49" i="3"/>
  <c r="AE49" i="3"/>
  <c r="AG49" i="3"/>
  <c r="Z48" i="3"/>
  <c r="AC48" i="3"/>
  <c r="Z49" i="3"/>
  <c r="AC49" i="3"/>
  <c r="O40" i="3"/>
  <c r="Q40" i="3" s="1"/>
  <c r="M40" i="3"/>
  <c r="AF40" i="3" s="1"/>
  <c r="G40" i="3"/>
  <c r="O24" i="3"/>
  <c r="Q24" i="3" s="1"/>
  <c r="G24" i="3"/>
  <c r="M24" i="3"/>
  <c r="AF24" i="3" s="1"/>
  <c r="P65" i="18" l="1"/>
  <c r="G40" i="1" s="1"/>
  <c r="S18" i="18"/>
  <c r="Q18" i="18" s="1"/>
  <c r="U21" i="18"/>
  <c r="S21" i="18"/>
  <c r="Q21" i="18" s="1"/>
  <c r="W23" i="18"/>
  <c r="S23" i="18"/>
  <c r="Q23" i="18" s="1"/>
  <c r="S19" i="18"/>
  <c r="Q19" i="18"/>
  <c r="Q27" i="16"/>
  <c r="S53" i="16"/>
  <c r="R53" i="16" s="1"/>
  <c r="T27" i="16"/>
  <c r="R23" i="16"/>
  <c r="W21" i="16"/>
  <c r="U18" i="16"/>
  <c r="AG77" i="17"/>
  <c r="AG83" i="17"/>
  <c r="W57" i="8"/>
  <c r="AI71" i="17"/>
  <c r="S31" i="16"/>
  <c r="R31" i="16" s="1"/>
  <c r="W21" i="18"/>
  <c r="T23" i="16"/>
  <c r="S39" i="8"/>
  <c r="Q39" i="8" s="1"/>
  <c r="R21" i="18"/>
  <c r="AI133" i="17"/>
  <c r="I38" i="16"/>
  <c r="U38" i="16" s="1"/>
  <c r="X38" i="16"/>
  <c r="W18" i="16"/>
  <c r="S24" i="16"/>
  <c r="Q24" i="16" s="1"/>
  <c r="I37" i="16"/>
  <c r="X37" i="16"/>
  <c r="V39" i="8"/>
  <c r="X65" i="18"/>
  <c r="AS40" i="1" s="1"/>
  <c r="I39" i="16"/>
  <c r="U39" i="16" s="1"/>
  <c r="X39" i="16"/>
  <c r="P19" i="16"/>
  <c r="S19" i="16" s="1"/>
  <c r="Q19" i="16" s="1"/>
  <c r="W53" i="8"/>
  <c r="V57" i="8"/>
  <c r="AJ133" i="17"/>
  <c r="AE42" i="17"/>
  <c r="S45" i="8"/>
  <c r="Q45" i="8" s="1"/>
  <c r="S52" i="8"/>
  <c r="Q52" i="8" s="1"/>
  <c r="V44" i="8"/>
  <c r="V45" i="8"/>
  <c r="S54" i="16"/>
  <c r="Q54" i="16" s="1"/>
  <c r="P38" i="16"/>
  <c r="S38" i="16" s="1"/>
  <c r="Q38" i="16" s="1"/>
  <c r="AJ71" i="17"/>
  <c r="S68" i="5"/>
  <c r="AE27" i="1" s="1"/>
  <c r="V40" i="3"/>
  <c r="U40" i="3" s="1"/>
  <c r="V24" i="3"/>
  <c r="T24" i="3" s="1"/>
  <c r="W43" i="8"/>
  <c r="S43" i="8"/>
  <c r="Q43" i="8" s="1"/>
  <c r="V43" i="8"/>
  <c r="S50" i="8"/>
  <c r="V50" i="8"/>
  <c r="W50" i="8"/>
  <c r="V51" i="8"/>
  <c r="W51" i="8"/>
  <c r="S51" i="8"/>
  <c r="T52" i="8"/>
  <c r="R52" i="8"/>
  <c r="T45" i="8"/>
  <c r="T44" i="8"/>
  <c r="R44" i="8"/>
  <c r="T57" i="8"/>
  <c r="R57" i="8"/>
  <c r="T53" i="8"/>
  <c r="R53" i="8"/>
  <c r="S46" i="16"/>
  <c r="Y51" i="16"/>
  <c r="I51" i="16"/>
  <c r="Y53" i="16"/>
  <c r="I53" i="16"/>
  <c r="U53" i="16" s="1"/>
  <c r="R30" i="16"/>
  <c r="Q30" i="16"/>
  <c r="T30" i="16"/>
  <c r="S49" i="16"/>
  <c r="S39" i="16"/>
  <c r="P18" i="16"/>
  <c r="S18" i="16" s="1"/>
  <c r="Q18" i="16" s="1"/>
  <c r="Y54" i="16"/>
  <c r="I54" i="16"/>
  <c r="U54" i="16" s="1"/>
  <c r="R32" i="16"/>
  <c r="T32" i="16"/>
  <c r="R22" i="16"/>
  <c r="S22" i="16"/>
  <c r="Q22" i="16" s="1"/>
  <c r="T22" i="16"/>
  <c r="R34" i="16"/>
  <c r="T34" i="16"/>
  <c r="S20" i="16"/>
  <c r="Q20" i="16" s="1"/>
  <c r="T20" i="16"/>
  <c r="R20" i="16"/>
  <c r="R21" i="16"/>
  <c r="S21" i="16"/>
  <c r="Q21" i="16" s="1"/>
  <c r="T21" i="16"/>
  <c r="R26" i="16"/>
  <c r="Q26" i="16"/>
  <c r="T26" i="16"/>
  <c r="K40" i="3"/>
  <c r="AD40" i="3" s="1"/>
  <c r="I40" i="3"/>
  <c r="Z40" i="3" s="1"/>
  <c r="J40" i="3"/>
  <c r="AA40" i="3" s="1"/>
  <c r="I24" i="3"/>
  <c r="Z24" i="3" s="1"/>
  <c r="K24" i="3"/>
  <c r="AD24" i="3" s="1"/>
  <c r="J24" i="3"/>
  <c r="AA24" i="3" s="1"/>
  <c r="U33" i="18"/>
  <c r="T33" i="18"/>
  <c r="R44" i="18"/>
  <c r="U45" i="18"/>
  <c r="W45" i="18"/>
  <c r="U19" i="18"/>
  <c r="W19" i="18"/>
  <c r="U41" i="18"/>
  <c r="W41" i="18"/>
  <c r="U48" i="18"/>
  <c r="W48" i="18"/>
  <c r="U53" i="18"/>
  <c r="W53" i="18"/>
  <c r="U40" i="18"/>
  <c r="W40" i="18"/>
  <c r="U39" i="18"/>
  <c r="W39" i="18"/>
  <c r="U32" i="18"/>
  <c r="W32" i="18"/>
  <c r="U18" i="18"/>
  <c r="W18" i="18"/>
  <c r="U51" i="18"/>
  <c r="W51" i="18"/>
  <c r="U52" i="18"/>
  <c r="W52" i="18"/>
  <c r="U35" i="18"/>
  <c r="W35" i="18"/>
  <c r="U28" i="18"/>
  <c r="W28" i="18"/>
  <c r="T46" i="18"/>
  <c r="U47" i="18"/>
  <c r="W47" i="18"/>
  <c r="U34" i="18"/>
  <c r="W34" i="18"/>
  <c r="U31" i="18"/>
  <c r="R48" i="18"/>
  <c r="T62" i="18"/>
  <c r="U62" i="18"/>
  <c r="U54" i="18"/>
  <c r="R60" i="18"/>
  <c r="U44" i="18"/>
  <c r="T61" i="18"/>
  <c r="U61" i="18"/>
  <c r="U46" i="18"/>
  <c r="T60" i="18"/>
  <c r="U23" i="18"/>
  <c r="R34" i="18"/>
  <c r="R28" i="18"/>
  <c r="T22" i="18"/>
  <c r="T45" i="18"/>
  <c r="R31" i="18"/>
  <c r="T56" i="18"/>
  <c r="R56" i="18"/>
  <c r="T59" i="18"/>
  <c r="R59" i="18"/>
  <c r="T55" i="18"/>
  <c r="R55" i="18"/>
  <c r="O71" i="18"/>
  <c r="R26" i="18"/>
  <c r="T26" i="18"/>
  <c r="R36" i="18"/>
  <c r="T36" i="18"/>
  <c r="T44" i="18"/>
  <c r="T35" i="18"/>
  <c r="R35" i="18"/>
  <c r="X83" i="17"/>
  <c r="V83" i="17" s="1"/>
  <c r="AH84" i="17"/>
  <c r="AE84" i="17"/>
  <c r="AA84" i="17"/>
  <c r="AH108" i="17"/>
  <c r="AA108" i="17"/>
  <c r="AC108" i="17" s="1"/>
  <c r="AE108" i="17"/>
  <c r="Z118" i="17"/>
  <c r="AG118" i="17"/>
  <c r="AD118" i="17"/>
  <c r="AG76" i="17"/>
  <c r="AD76" i="17"/>
  <c r="AE76" i="17"/>
  <c r="U76" i="17"/>
  <c r="AA76" i="17" s="1"/>
  <c r="AH76" i="17"/>
  <c r="T78" i="17"/>
  <c r="Z78" i="17" s="1"/>
  <c r="AD78" i="17"/>
  <c r="AG78" i="17"/>
  <c r="AG66" i="17"/>
  <c r="AD66" i="17"/>
  <c r="AE119" i="17"/>
  <c r="AH119" i="17"/>
  <c r="AA119" i="17"/>
  <c r="Y119" i="17" s="1"/>
  <c r="W119" i="17" s="1"/>
  <c r="AE34" i="17"/>
  <c r="AH34" i="17"/>
  <c r="AA34" i="17"/>
  <c r="Y34" i="17" s="1"/>
  <c r="W34" i="17" s="1"/>
  <c r="Z129" i="17"/>
  <c r="AD129" i="17"/>
  <c r="AG129" i="17"/>
  <c r="AE60" i="17"/>
  <c r="AA60" i="17"/>
  <c r="AH60" i="17"/>
  <c r="Z69" i="17"/>
  <c r="AD69" i="17"/>
  <c r="AG69" i="17"/>
  <c r="Z58" i="17"/>
  <c r="AG58" i="17"/>
  <c r="AD58" i="17"/>
  <c r="Z41" i="17"/>
  <c r="AG41" i="17"/>
  <c r="AD41" i="17"/>
  <c r="Z29" i="17"/>
  <c r="AB29" i="17" s="1"/>
  <c r="AG29" i="17"/>
  <c r="AD29" i="17"/>
  <c r="AH110" i="17"/>
  <c r="AE110" i="17"/>
  <c r="AA110" i="17"/>
  <c r="AC110" i="17" s="1"/>
  <c r="AE27" i="17"/>
  <c r="AA27" i="17"/>
  <c r="AH27" i="17"/>
  <c r="AD79" i="17"/>
  <c r="AG79" i="17"/>
  <c r="AE100" i="17"/>
  <c r="AA100" i="17"/>
  <c r="AC100" i="17" s="1"/>
  <c r="AH100" i="17"/>
  <c r="Z124" i="17"/>
  <c r="AG124" i="17"/>
  <c r="AD124" i="17"/>
  <c r="Z111" i="17"/>
  <c r="AD111" i="17"/>
  <c r="AG111" i="17"/>
  <c r="Z51" i="17"/>
  <c r="AD51" i="17"/>
  <c r="AG51" i="17"/>
  <c r="Z36" i="17"/>
  <c r="AG36" i="17"/>
  <c r="AD36" i="17"/>
  <c r="AE104" i="17"/>
  <c r="AA104" i="17"/>
  <c r="AC104" i="17" s="1"/>
  <c r="AH104" i="17"/>
  <c r="AG24" i="17"/>
  <c r="AD24" i="17"/>
  <c r="AE40" i="17"/>
  <c r="AA40" i="17"/>
  <c r="Y40" i="17" s="1"/>
  <c r="W40" i="17" s="1"/>
  <c r="AH40" i="17"/>
  <c r="AH94" i="17"/>
  <c r="AA94" i="17"/>
  <c r="AC94" i="17" s="1"/>
  <c r="AE94" i="17"/>
  <c r="AD49" i="17"/>
  <c r="AG49" i="17"/>
  <c r="AE113" i="17"/>
  <c r="AA113" i="17"/>
  <c r="AC113" i="17" s="1"/>
  <c r="AH113" i="17"/>
  <c r="X68" i="17"/>
  <c r="V68" i="17" s="1"/>
  <c r="Z30" i="17"/>
  <c r="X30" i="17" s="1"/>
  <c r="V30" i="17" s="1"/>
  <c r="AG30" i="17"/>
  <c r="AD30" i="17"/>
  <c r="Z101" i="17"/>
  <c r="AG101" i="17"/>
  <c r="AD101" i="17"/>
  <c r="Z128" i="17"/>
  <c r="AD128" i="17"/>
  <c r="AG128" i="17"/>
  <c r="Z88" i="17"/>
  <c r="AG88" i="17"/>
  <c r="AD88" i="17"/>
  <c r="Z59" i="17"/>
  <c r="AG59" i="17"/>
  <c r="AD59" i="17"/>
  <c r="AH41" i="17"/>
  <c r="AE41" i="17"/>
  <c r="AA41" i="17"/>
  <c r="AE92" i="17"/>
  <c r="AA92" i="17"/>
  <c r="AC92" i="17" s="1"/>
  <c r="AH92" i="17"/>
  <c r="AG112" i="17"/>
  <c r="AD112" i="17"/>
  <c r="AH81" i="17"/>
  <c r="AE81" i="17"/>
  <c r="AA81" i="17"/>
  <c r="Y81" i="17" s="1"/>
  <c r="W81" i="17" s="1"/>
  <c r="AH107" i="17"/>
  <c r="AE107" i="17"/>
  <c r="AA107" i="17"/>
  <c r="AA46" i="17"/>
  <c r="Y46" i="17" s="1"/>
  <c r="W46" i="17" s="1"/>
  <c r="AH46" i="17"/>
  <c r="AE46" i="17"/>
  <c r="AE21" i="17"/>
  <c r="AH21" i="17"/>
  <c r="U21" i="17"/>
  <c r="AA21" i="17" s="1"/>
  <c r="Z120" i="17"/>
  <c r="AD120" i="17"/>
  <c r="AG120" i="17"/>
  <c r="Z130" i="17"/>
  <c r="AG130" i="17"/>
  <c r="AD130" i="17"/>
  <c r="Z109" i="17"/>
  <c r="AG109" i="17"/>
  <c r="AD109" i="17"/>
  <c r="Z100" i="17"/>
  <c r="AG100" i="17"/>
  <c r="AD100" i="17"/>
  <c r="Z43" i="17"/>
  <c r="AG43" i="17"/>
  <c r="AD43" i="17"/>
  <c r="Z35" i="17"/>
  <c r="AG35" i="17"/>
  <c r="AD35" i="17"/>
  <c r="AH22" i="17"/>
  <c r="AE22" i="17"/>
  <c r="AA22" i="17"/>
  <c r="AE116" i="17"/>
  <c r="AA116" i="17"/>
  <c r="AH116" i="17"/>
  <c r="AD84" i="17"/>
  <c r="AG84" i="17"/>
  <c r="Z28" i="17"/>
  <c r="AB28" i="17" s="1"/>
  <c r="AD28" i="17"/>
  <c r="AG28" i="17"/>
  <c r="AE47" i="17"/>
  <c r="AA47" i="17"/>
  <c r="AC47" i="17" s="1"/>
  <c r="AH47" i="17"/>
  <c r="AD126" i="17"/>
  <c r="AG126" i="17"/>
  <c r="AD86" i="17"/>
  <c r="AG86" i="17"/>
  <c r="AE37" i="17"/>
  <c r="AA37" i="17"/>
  <c r="AC37" i="17" s="1"/>
  <c r="AH37" i="17"/>
  <c r="Z82" i="17"/>
  <c r="AB82" i="17" s="1"/>
  <c r="AG82" i="17"/>
  <c r="AD82" i="17"/>
  <c r="Z131" i="17"/>
  <c r="AG131" i="17"/>
  <c r="AD131" i="17"/>
  <c r="AG75" i="17"/>
  <c r="AD75" i="17"/>
  <c r="Z122" i="17"/>
  <c r="AG122" i="17"/>
  <c r="AD122" i="17"/>
  <c r="Z50" i="17"/>
  <c r="AD50" i="17"/>
  <c r="AG50" i="17"/>
  <c r="AH65" i="17"/>
  <c r="AE65" i="17"/>
  <c r="AA65" i="17"/>
  <c r="AC65" i="17" s="1"/>
  <c r="Z61" i="17"/>
  <c r="AD61" i="17"/>
  <c r="AG61" i="17"/>
  <c r="Z123" i="17"/>
  <c r="AD123" i="17"/>
  <c r="AG123" i="17"/>
  <c r="T19" i="17"/>
  <c r="AD19" i="17"/>
  <c r="AG19" i="17"/>
  <c r="AH56" i="17"/>
  <c r="AA56" i="17"/>
  <c r="AC56" i="17" s="1"/>
  <c r="AE56" i="17"/>
  <c r="AH121" i="17"/>
  <c r="AE121" i="17"/>
  <c r="AA121" i="17"/>
  <c r="Y121" i="17" s="1"/>
  <c r="W121" i="17" s="1"/>
  <c r="Z23" i="17"/>
  <c r="X23" i="17" s="1"/>
  <c r="V23" i="17" s="1"/>
  <c r="AG23" i="17"/>
  <c r="AD23" i="17"/>
  <c r="AG44" i="17"/>
  <c r="AD44" i="17"/>
  <c r="AG57" i="17"/>
  <c r="AD57" i="17"/>
  <c r="Z105" i="17"/>
  <c r="AD105" i="17"/>
  <c r="AG105" i="17"/>
  <c r="Z47" i="17"/>
  <c r="AG47" i="17"/>
  <c r="AD47" i="17"/>
  <c r="AE79" i="17"/>
  <c r="U79" i="17"/>
  <c r="AA79" i="17" s="1"/>
  <c r="AH79" i="17"/>
  <c r="AE62" i="17"/>
  <c r="AA62" i="17"/>
  <c r="AH62" i="17"/>
  <c r="AE75" i="17"/>
  <c r="U75" i="17"/>
  <c r="AA75" i="17" s="1"/>
  <c r="AH75" i="17"/>
  <c r="AH97" i="17"/>
  <c r="AA97" i="17"/>
  <c r="AC97" i="17" s="1"/>
  <c r="AE97" i="17"/>
  <c r="AG67" i="17"/>
  <c r="AD67" i="17"/>
  <c r="Z127" i="17"/>
  <c r="AD127" i="17"/>
  <c r="AG127" i="17"/>
  <c r="Z98" i="17"/>
  <c r="AG98" i="17"/>
  <c r="AD98" i="17"/>
  <c r="AH86" i="17"/>
  <c r="AE86" i="17"/>
  <c r="AA86" i="17"/>
  <c r="AE89" i="17"/>
  <c r="AA89" i="17"/>
  <c r="AC89" i="17" s="1"/>
  <c r="AH89" i="17"/>
  <c r="Z22" i="17"/>
  <c r="AG22" i="17"/>
  <c r="AD22" i="17"/>
  <c r="Z110" i="17"/>
  <c r="AG110" i="17"/>
  <c r="AD110" i="17"/>
  <c r="Z103" i="17"/>
  <c r="AD103" i="17"/>
  <c r="AG103" i="17"/>
  <c r="AE51" i="17"/>
  <c r="AA51" i="17"/>
  <c r="AH51" i="17"/>
  <c r="Z108" i="17"/>
  <c r="X108" i="17" s="1"/>
  <c r="V108" i="17" s="1"/>
  <c r="AG108" i="17"/>
  <c r="AD108" i="17"/>
  <c r="T74" i="17"/>
  <c r="AD74" i="17"/>
  <c r="AG74" i="17"/>
  <c r="T20" i="17"/>
  <c r="Z20" i="17" s="1"/>
  <c r="AG20" i="17"/>
  <c r="AD20" i="17"/>
  <c r="Z80" i="17"/>
  <c r="AD80" i="17"/>
  <c r="AG80" i="17"/>
  <c r="Z42" i="17"/>
  <c r="AG42" i="17"/>
  <c r="AD42" i="17"/>
  <c r="T21" i="17"/>
  <c r="Z21" i="17" s="1"/>
  <c r="AD21" i="17"/>
  <c r="AG21" i="17"/>
  <c r="Z64" i="17"/>
  <c r="AD64" i="17"/>
  <c r="AG64" i="17"/>
  <c r="Z27" i="17"/>
  <c r="AD27" i="17"/>
  <c r="AG27" i="17"/>
  <c r="Z52" i="17"/>
  <c r="AD52" i="17"/>
  <c r="AG52" i="17"/>
  <c r="AH57" i="17"/>
  <c r="AE57" i="17"/>
  <c r="AA57" i="17"/>
  <c r="AC57" i="17" s="1"/>
  <c r="AE101" i="17"/>
  <c r="AA101" i="17"/>
  <c r="AC101" i="17" s="1"/>
  <c r="AH101" i="17"/>
  <c r="AH44" i="17"/>
  <c r="AE44" i="17"/>
  <c r="AA44" i="17"/>
  <c r="Z117" i="17"/>
  <c r="AD117" i="17"/>
  <c r="AG117" i="17"/>
  <c r="Z102" i="17"/>
  <c r="AD102" i="17"/>
  <c r="AG102" i="17"/>
  <c r="Z45" i="17"/>
  <c r="AG45" i="17"/>
  <c r="AD45" i="17"/>
  <c r="Z63" i="17"/>
  <c r="AD63" i="17"/>
  <c r="AG63" i="17"/>
  <c r="AE59" i="17"/>
  <c r="AA59" i="17"/>
  <c r="AH59" i="17"/>
  <c r="AH106" i="17"/>
  <c r="AE106" i="17"/>
  <c r="AA106" i="17"/>
  <c r="AG125" i="17"/>
  <c r="AD125" i="17"/>
  <c r="AH53" i="17"/>
  <c r="AA53" i="17"/>
  <c r="AE53" i="17"/>
  <c r="AE77" i="17"/>
  <c r="U77" i="17"/>
  <c r="AA77" i="17" s="1"/>
  <c r="AH77" i="17"/>
  <c r="AG65" i="17"/>
  <c r="AD65" i="17"/>
  <c r="Z84" i="17"/>
  <c r="AB84" i="17" s="1"/>
  <c r="Z24" i="17"/>
  <c r="AB24" i="17" s="1"/>
  <c r="T79" i="17"/>
  <c r="Z79" i="17" s="1"/>
  <c r="T76" i="17"/>
  <c r="Z76" i="17" s="1"/>
  <c r="AC116" i="17"/>
  <c r="Z67" i="17"/>
  <c r="AB67" i="17" s="1"/>
  <c r="Z112" i="17"/>
  <c r="X112" i="17" s="1"/>
  <c r="V112" i="17" s="1"/>
  <c r="Z44" i="17"/>
  <c r="X44" i="17" s="1"/>
  <c r="V44" i="17" s="1"/>
  <c r="Z126" i="17"/>
  <c r="AB126" i="17" s="1"/>
  <c r="Z49" i="17"/>
  <c r="Z86" i="17"/>
  <c r="X86" i="17" s="1"/>
  <c r="V86" i="17" s="1"/>
  <c r="Z65" i="17"/>
  <c r="AB65" i="17" s="1"/>
  <c r="T75" i="17"/>
  <c r="Z75" i="17" s="1"/>
  <c r="Z125" i="17"/>
  <c r="AB125" i="17" s="1"/>
  <c r="Z66" i="17"/>
  <c r="AB66" i="17" s="1"/>
  <c r="Z57" i="17"/>
  <c r="AB57" i="17" s="1"/>
  <c r="S45" i="17"/>
  <c r="S112" i="17"/>
  <c r="S64" i="17"/>
  <c r="AC85" i="17"/>
  <c r="S49" i="17"/>
  <c r="S103" i="17"/>
  <c r="S66" i="17"/>
  <c r="AB60" i="17"/>
  <c r="X60" i="17"/>
  <c r="V60" i="17" s="1"/>
  <c r="S82" i="17"/>
  <c r="S83" i="17"/>
  <c r="X99" i="17"/>
  <c r="V99" i="17" s="1"/>
  <c r="S29" i="17"/>
  <c r="U29" i="17" s="1"/>
  <c r="S68" i="17"/>
  <c r="S74" i="17"/>
  <c r="X89" i="17"/>
  <c r="V89" i="17" s="1"/>
  <c r="AB89" i="17"/>
  <c r="S105" i="17"/>
  <c r="S24" i="17"/>
  <c r="S67" i="17"/>
  <c r="S126" i="17"/>
  <c r="S28" i="17"/>
  <c r="U28" i="17" s="1"/>
  <c r="S23" i="17"/>
  <c r="S125" i="17"/>
  <c r="S30" i="17"/>
  <c r="U30" i="17" s="1"/>
  <c r="S129" i="17"/>
  <c r="S61" i="17"/>
  <c r="X31" i="17"/>
  <c r="V31" i="17" s="1"/>
  <c r="AB31" i="17"/>
  <c r="S128" i="17"/>
  <c r="AB119" i="17"/>
  <c r="X119" i="17"/>
  <c r="V119" i="17" s="1"/>
  <c r="S20" i="17"/>
  <c r="S120" i="17"/>
  <c r="AB46" i="17"/>
  <c r="X46" i="17"/>
  <c r="V46" i="17" s="1"/>
  <c r="AB23" i="17"/>
  <c r="AB34" i="17"/>
  <c r="X34" i="17"/>
  <c r="V34" i="17" s="1"/>
  <c r="Y31" i="17"/>
  <c r="W31" i="17" s="1"/>
  <c r="AC31" i="17"/>
  <c r="X106" i="17"/>
  <c r="V106" i="17" s="1"/>
  <c r="AB106" i="17"/>
  <c r="S117" i="17"/>
  <c r="AC99" i="17"/>
  <c r="Y99" i="17"/>
  <c r="W99" i="17" s="1"/>
  <c r="S52" i="17"/>
  <c r="S78" i="17"/>
  <c r="X113" i="17"/>
  <c r="V113" i="17" s="1"/>
  <c r="AB113" i="17"/>
  <c r="S109" i="17"/>
  <c r="S124" i="17"/>
  <c r="AB92" i="17"/>
  <c r="X92" i="17"/>
  <c r="V92" i="17" s="1"/>
  <c r="S69" i="17"/>
  <c r="S25" i="17"/>
  <c r="AB121" i="17"/>
  <c r="X121" i="17"/>
  <c r="V121" i="17" s="1"/>
  <c r="S58" i="17"/>
  <c r="AB107" i="17"/>
  <c r="X107" i="17"/>
  <c r="V107" i="17" s="1"/>
  <c r="S111" i="17"/>
  <c r="AB94" i="17"/>
  <c r="X94" i="17"/>
  <c r="V94" i="17" s="1"/>
  <c r="AB116" i="17"/>
  <c r="X116" i="17"/>
  <c r="V116" i="17" s="1"/>
  <c r="S88" i="17"/>
  <c r="AB93" i="17"/>
  <c r="X93" i="17"/>
  <c r="V93" i="17" s="1"/>
  <c r="S43" i="17"/>
  <c r="S19" i="17"/>
  <c r="AB37" i="17"/>
  <c r="X37" i="17"/>
  <c r="V37" i="17" s="1"/>
  <c r="AB81" i="17"/>
  <c r="X81" i="17"/>
  <c r="V81" i="17" s="1"/>
  <c r="S123" i="17"/>
  <c r="Y42" i="17"/>
  <c r="W42" i="17" s="1"/>
  <c r="AC42" i="17"/>
  <c r="S127" i="17"/>
  <c r="S93" i="17"/>
  <c r="S131" i="17"/>
  <c r="S98" i="17"/>
  <c r="S80" i="17"/>
  <c r="X77" i="17"/>
  <c r="V77" i="17" s="1"/>
  <c r="AB77" i="17"/>
  <c r="AB56" i="17"/>
  <c r="X56" i="17"/>
  <c r="V56" i="17" s="1"/>
  <c r="AB40" i="17"/>
  <c r="X40" i="17"/>
  <c r="V40" i="17" s="1"/>
  <c r="AB85" i="17"/>
  <c r="X85" i="17"/>
  <c r="V85" i="17" s="1"/>
  <c r="S36" i="17"/>
  <c r="U36" i="17" s="1"/>
  <c r="AB53" i="17"/>
  <c r="X53" i="17"/>
  <c r="V53" i="17" s="1"/>
  <c r="S102" i="17"/>
  <c r="X62" i="17"/>
  <c r="V62" i="17" s="1"/>
  <c r="AB62" i="17"/>
  <c r="S130" i="17"/>
  <c r="S122" i="17"/>
  <c r="X104" i="17"/>
  <c r="V104" i="17" s="1"/>
  <c r="AB104" i="17"/>
  <c r="AB25" i="17"/>
  <c r="X25" i="17"/>
  <c r="V25" i="17" s="1"/>
  <c r="AB48" i="17"/>
  <c r="X48" i="17"/>
  <c r="V48" i="17" s="1"/>
  <c r="S63" i="17"/>
  <c r="S50" i="17"/>
  <c r="S118" i="17"/>
  <c r="AB97" i="17"/>
  <c r="X97" i="17"/>
  <c r="V97" i="17" s="1"/>
  <c r="S35" i="17"/>
  <c r="U35" i="17" s="1"/>
  <c r="Y48" i="17"/>
  <c r="W48" i="17" s="1"/>
  <c r="AC48" i="17"/>
  <c r="AB26" i="17"/>
  <c r="X26" i="17"/>
  <c r="V26" i="17" s="1"/>
  <c r="Y26" i="17"/>
  <c r="W26" i="17" s="1"/>
  <c r="AC26" i="17"/>
  <c r="U48" i="16"/>
  <c r="Y38" i="16"/>
  <c r="M44" i="16"/>
  <c r="O44" i="16" s="1"/>
  <c r="S44" i="16" s="1"/>
  <c r="Y44" i="16"/>
  <c r="W38" i="16"/>
  <c r="W39" i="16"/>
  <c r="W20" i="16"/>
  <c r="W26" i="16"/>
  <c r="W46" i="16"/>
  <c r="U46" i="16"/>
  <c r="W49" i="16"/>
  <c r="U49" i="16"/>
  <c r="Y39" i="16"/>
  <c r="W53" i="16"/>
  <c r="M50" i="16"/>
  <c r="O50" i="16" s="1"/>
  <c r="S50" i="16" s="1"/>
  <c r="Q50" i="16" s="1"/>
  <c r="Y50" i="16"/>
  <c r="Y37" i="16"/>
  <c r="U47" i="16"/>
  <c r="W54" i="16"/>
  <c r="U31" i="16"/>
  <c r="U32" i="16"/>
  <c r="U19" i="16"/>
  <c r="U24" i="16"/>
  <c r="U26" i="16"/>
  <c r="M45" i="16"/>
  <c r="O45" i="16" s="1"/>
  <c r="S45" i="16" s="1"/>
  <c r="U34" i="16"/>
  <c r="M51" i="16"/>
  <c r="O51" i="16" s="1"/>
  <c r="S51" i="16" s="1"/>
  <c r="Q51" i="16" s="1"/>
  <c r="U21" i="16"/>
  <c r="AG24" i="3"/>
  <c r="AE40" i="3"/>
  <c r="AC40" i="3"/>
  <c r="AG40" i="3"/>
  <c r="M40" i="16"/>
  <c r="O40" i="16" s="1"/>
  <c r="S40" i="16" s="1"/>
  <c r="M42" i="16"/>
  <c r="O42" i="16" s="1"/>
  <c r="S42" i="16" s="1"/>
  <c r="M37" i="16"/>
  <c r="O37" i="16" s="1"/>
  <c r="P37" i="16" s="1"/>
  <c r="M43" i="16"/>
  <c r="O43" i="16" s="1"/>
  <c r="S43" i="16" s="1"/>
  <c r="U20" i="16"/>
  <c r="AC24" i="3"/>
  <c r="AE24" i="3"/>
  <c r="R24" i="16" l="1"/>
  <c r="T53" i="16"/>
  <c r="Q53" i="16"/>
  <c r="T24" i="16"/>
  <c r="Q31" i="16"/>
  <c r="R18" i="16"/>
  <c r="T31" i="16"/>
  <c r="T18" i="16"/>
  <c r="T54" i="16"/>
  <c r="R54" i="16"/>
  <c r="R19" i="16"/>
  <c r="T19" i="16"/>
  <c r="R38" i="16"/>
  <c r="X56" i="16"/>
  <c r="AS39" i="1" s="1"/>
  <c r="AS41" i="1" s="1"/>
  <c r="AI135" i="17"/>
  <c r="AR38" i="1" s="1"/>
  <c r="AR41" i="1" s="1"/>
  <c r="R39" i="8"/>
  <c r="T21" i="18"/>
  <c r="T38" i="16"/>
  <c r="T39" i="8"/>
  <c r="T133" i="17"/>
  <c r="AJ135" i="17"/>
  <c r="AJ137" i="17" s="1"/>
  <c r="P56" i="16"/>
  <c r="G39" i="1" s="1"/>
  <c r="R45" i="8"/>
  <c r="R43" i="8"/>
  <c r="T43" i="8"/>
  <c r="Y56" i="16"/>
  <c r="AW39" i="1" s="1"/>
  <c r="T50" i="16"/>
  <c r="AB21" i="17"/>
  <c r="Z74" i="17"/>
  <c r="Z133" i="17" s="1"/>
  <c r="AG71" i="17"/>
  <c r="Z19" i="17"/>
  <c r="Z71" i="17" s="1"/>
  <c r="T71" i="17"/>
  <c r="AD133" i="17"/>
  <c r="AG133" i="17"/>
  <c r="AD71" i="17"/>
  <c r="T50" i="8"/>
  <c r="Q50" i="8"/>
  <c r="T51" i="8"/>
  <c r="Q51" i="8"/>
  <c r="U24" i="3"/>
  <c r="W24" i="3"/>
  <c r="T40" i="3"/>
  <c r="W40" i="3"/>
  <c r="R51" i="8"/>
  <c r="R50" i="8"/>
  <c r="T39" i="16"/>
  <c r="Q39" i="16"/>
  <c r="R39" i="16"/>
  <c r="T51" i="16"/>
  <c r="R50" i="16"/>
  <c r="Q49" i="16"/>
  <c r="T49" i="16"/>
  <c r="R49" i="16"/>
  <c r="R51" i="16"/>
  <c r="Q43" i="16"/>
  <c r="T43" i="16"/>
  <c r="R43" i="16"/>
  <c r="T42" i="16"/>
  <c r="R42" i="16"/>
  <c r="Q42" i="16"/>
  <c r="R44" i="16"/>
  <c r="T44" i="16"/>
  <c r="Q44" i="16"/>
  <c r="S37" i="16"/>
  <c r="Q37" i="16" s="1"/>
  <c r="T37" i="16"/>
  <c r="R37" i="16"/>
  <c r="R40" i="16"/>
  <c r="T40" i="16"/>
  <c r="Q40" i="16"/>
  <c r="R45" i="16"/>
  <c r="Q45" i="16"/>
  <c r="T45" i="16"/>
  <c r="O75" i="16"/>
  <c r="Q46" i="16"/>
  <c r="T46" i="16"/>
  <c r="R46" i="16"/>
  <c r="X28" i="17"/>
  <c r="V28" i="17" s="1"/>
  <c r="AB108" i="17"/>
  <c r="X82" i="17"/>
  <c r="V82" i="17" s="1"/>
  <c r="X21" i="17"/>
  <c r="V21" i="17" s="1"/>
  <c r="T28" i="18"/>
  <c r="R46" i="18"/>
  <c r="R33" i="18"/>
  <c r="R62" i="18"/>
  <c r="R45" i="18"/>
  <c r="T48" i="18"/>
  <c r="R54" i="18"/>
  <c r="T54" i="18"/>
  <c r="R61" i="18"/>
  <c r="T23" i="18"/>
  <c r="R23" i="18"/>
  <c r="T31" i="18"/>
  <c r="T34" i="18"/>
  <c r="V65" i="18"/>
  <c r="AM40" i="1" s="1"/>
  <c r="R41" i="18"/>
  <c r="T41" i="18"/>
  <c r="T32" i="18"/>
  <c r="R32" i="18"/>
  <c r="U65" i="18"/>
  <c r="Z40" i="1" s="1"/>
  <c r="R51" i="18"/>
  <c r="T51" i="18"/>
  <c r="S65" i="18"/>
  <c r="M40" i="1" s="1"/>
  <c r="T18" i="18"/>
  <c r="R18" i="18"/>
  <c r="T40" i="18"/>
  <c r="R40" i="18"/>
  <c r="T53" i="18"/>
  <c r="R53" i="18"/>
  <c r="T52" i="18"/>
  <c r="R52" i="18"/>
  <c r="T39" i="18"/>
  <c r="R39" i="18"/>
  <c r="T47" i="18"/>
  <c r="R47" i="18"/>
  <c r="W65" i="18"/>
  <c r="AQ40" i="1" s="1"/>
  <c r="Y65" i="18"/>
  <c r="AW40" i="1" s="1"/>
  <c r="T19" i="18"/>
  <c r="R19" i="18"/>
  <c r="Y92" i="17"/>
  <c r="W92" i="17" s="1"/>
  <c r="AA131" i="17"/>
  <c r="AH131" i="17"/>
  <c r="AE131" i="17"/>
  <c r="AH58" i="17"/>
  <c r="AE58" i="17"/>
  <c r="AA58" i="17"/>
  <c r="AE105" i="17"/>
  <c r="AA105" i="17"/>
  <c r="AC105" i="17" s="1"/>
  <c r="AH105" i="17"/>
  <c r="AE122" i="17"/>
  <c r="AH122" i="17"/>
  <c r="AA122" i="17"/>
  <c r="AH127" i="17"/>
  <c r="AE127" i="17"/>
  <c r="AA127" i="17"/>
  <c r="AE52" i="17"/>
  <c r="AA52" i="17"/>
  <c r="AH52" i="17"/>
  <c r="AE129" i="17"/>
  <c r="AA129" i="17"/>
  <c r="AH129" i="17"/>
  <c r="AH118" i="17"/>
  <c r="AA118" i="17"/>
  <c r="AE118" i="17"/>
  <c r="AH130" i="17"/>
  <c r="AE130" i="17"/>
  <c r="AA130" i="17"/>
  <c r="AB30" i="17"/>
  <c r="AE30" i="17"/>
  <c r="AH30" i="17"/>
  <c r="AA30" i="17"/>
  <c r="AH74" i="17"/>
  <c r="U74" i="17"/>
  <c r="AE74" i="17"/>
  <c r="AE50" i="17"/>
  <c r="AA50" i="17"/>
  <c r="AH50" i="17"/>
  <c r="AE88" i="17"/>
  <c r="AA88" i="17"/>
  <c r="AH88" i="17"/>
  <c r="AE125" i="17"/>
  <c r="AA125" i="17"/>
  <c r="AH125" i="17"/>
  <c r="AH68" i="17"/>
  <c r="AA68" i="17"/>
  <c r="AE68" i="17"/>
  <c r="AE64" i="17"/>
  <c r="AA64" i="17"/>
  <c r="AC64" i="17" s="1"/>
  <c r="AH64" i="17"/>
  <c r="AE61" i="17"/>
  <c r="AA61" i="17"/>
  <c r="AH61" i="17"/>
  <c r="AE112" i="17"/>
  <c r="AA112" i="17"/>
  <c r="AC112" i="17" s="1"/>
  <c r="AH112" i="17"/>
  <c r="AH69" i="17"/>
  <c r="AA69" i="17"/>
  <c r="AE69" i="17"/>
  <c r="AH120" i="17"/>
  <c r="AE120" i="17"/>
  <c r="AA120" i="17"/>
  <c r="AH45" i="17"/>
  <c r="AA45" i="17"/>
  <c r="Y45" i="17" s="1"/>
  <c r="W45" i="17" s="1"/>
  <c r="AE45" i="17"/>
  <c r="U20" i="17"/>
  <c r="AA20" i="17" s="1"/>
  <c r="AH20" i="17"/>
  <c r="AE20" i="17"/>
  <c r="AE126" i="17"/>
  <c r="AA126" i="17"/>
  <c r="AH126" i="17"/>
  <c r="AH83" i="17"/>
  <c r="AE83" i="17"/>
  <c r="AA83" i="17"/>
  <c r="AE103" i="17"/>
  <c r="AA103" i="17"/>
  <c r="AC103" i="17" s="1"/>
  <c r="AH103" i="17"/>
  <c r="AH43" i="17"/>
  <c r="AE43" i="17"/>
  <c r="AA43" i="17"/>
  <c r="AE25" i="17"/>
  <c r="AA25" i="17"/>
  <c r="AH25" i="17"/>
  <c r="AH29" i="17"/>
  <c r="AA29" i="17"/>
  <c r="AE29" i="17"/>
  <c r="AE19" i="17"/>
  <c r="U19" i="17"/>
  <c r="AH19" i="17"/>
  <c r="AE23" i="17"/>
  <c r="AA23" i="17"/>
  <c r="AH23" i="17"/>
  <c r="AE102" i="17"/>
  <c r="AA102" i="17"/>
  <c r="AH102" i="17"/>
  <c r="AH82" i="17"/>
  <c r="AE82" i="17"/>
  <c r="AA82" i="17"/>
  <c r="AH111" i="17"/>
  <c r="AE111" i="17"/>
  <c r="AA111" i="17"/>
  <c r="AE124" i="17"/>
  <c r="AA124" i="17"/>
  <c r="AH124" i="17"/>
  <c r="AE35" i="17"/>
  <c r="AA35" i="17"/>
  <c r="AH35" i="17"/>
  <c r="AE93" i="17"/>
  <c r="AA93" i="17"/>
  <c r="AH93" i="17"/>
  <c r="AA123" i="17"/>
  <c r="AE123" i="17"/>
  <c r="AH123" i="17"/>
  <c r="AE28" i="17"/>
  <c r="AA28" i="17"/>
  <c r="AH28" i="17"/>
  <c r="AE80" i="17"/>
  <c r="AA80" i="17"/>
  <c r="AH80" i="17"/>
  <c r="AH109" i="17"/>
  <c r="AA109" i="17"/>
  <c r="AE109" i="17"/>
  <c r="AE128" i="17"/>
  <c r="AA128" i="17"/>
  <c r="AH128" i="17"/>
  <c r="AH67" i="17"/>
  <c r="AA67" i="17"/>
  <c r="AE67" i="17"/>
  <c r="AE78" i="17"/>
  <c r="U78" i="17"/>
  <c r="AA78" i="17" s="1"/>
  <c r="AH78" i="17"/>
  <c r="AE49" i="17"/>
  <c r="AA49" i="17"/>
  <c r="AH49" i="17"/>
  <c r="AE63" i="17"/>
  <c r="AA63" i="17"/>
  <c r="AH63" i="17"/>
  <c r="AE117" i="17"/>
  <c r="AA117" i="17"/>
  <c r="AH117" i="17"/>
  <c r="AE36" i="17"/>
  <c r="AA36" i="17"/>
  <c r="AH36" i="17"/>
  <c r="AH98" i="17"/>
  <c r="AA98" i="17"/>
  <c r="AE98" i="17"/>
  <c r="AE24" i="17"/>
  <c r="AA24" i="17"/>
  <c r="AH24" i="17"/>
  <c r="AE66" i="17"/>
  <c r="AH66" i="17"/>
  <c r="AA66" i="17"/>
  <c r="AC119" i="17"/>
  <c r="Y101" i="17"/>
  <c r="W101" i="17" s="1"/>
  <c r="X75" i="17"/>
  <c r="V75" i="17" s="1"/>
  <c r="Y37" i="17"/>
  <c r="W37" i="17" s="1"/>
  <c r="AC40" i="17"/>
  <c r="Y47" i="17"/>
  <c r="W47" i="17" s="1"/>
  <c r="Y89" i="17"/>
  <c r="W89" i="17" s="1"/>
  <c r="X65" i="17"/>
  <c r="V65" i="17" s="1"/>
  <c r="AB76" i="17"/>
  <c r="X67" i="17"/>
  <c r="V67" i="17" s="1"/>
  <c r="Y65" i="17"/>
  <c r="W65" i="17" s="1"/>
  <c r="AC75" i="17"/>
  <c r="X76" i="17"/>
  <c r="V76" i="17" s="1"/>
  <c r="AC34" i="17"/>
  <c r="Y108" i="17"/>
  <c r="W108" i="17" s="1"/>
  <c r="X57" i="17"/>
  <c r="V57" i="17" s="1"/>
  <c r="AC46" i="17"/>
  <c r="X66" i="17"/>
  <c r="V66" i="17" s="1"/>
  <c r="AB75" i="17"/>
  <c r="AC121" i="17"/>
  <c r="AB44" i="17"/>
  <c r="X84" i="17"/>
  <c r="V84" i="17" s="1"/>
  <c r="Y100" i="17"/>
  <c r="W100" i="17" s="1"/>
  <c r="Y116" i="17"/>
  <c r="W116" i="17" s="1"/>
  <c r="Y75" i="17"/>
  <c r="W75" i="17" s="1"/>
  <c r="Y57" i="17"/>
  <c r="W57" i="17" s="1"/>
  <c r="Y94" i="17"/>
  <c r="W94" i="17" s="1"/>
  <c r="Y97" i="17"/>
  <c r="W97" i="17" s="1"/>
  <c r="Y56" i="17"/>
  <c r="W56" i="17" s="1"/>
  <c r="X126" i="17"/>
  <c r="V126" i="17" s="1"/>
  <c r="Y113" i="17"/>
  <c r="W113" i="17" s="1"/>
  <c r="AB79" i="17"/>
  <c r="X79" i="17"/>
  <c r="V79" i="17" s="1"/>
  <c r="Y104" i="17"/>
  <c r="W104" i="17" s="1"/>
  <c r="Y77" i="17"/>
  <c r="W77" i="17" s="1"/>
  <c r="Y110" i="17"/>
  <c r="W110" i="17" s="1"/>
  <c r="X125" i="17"/>
  <c r="V125" i="17" s="1"/>
  <c r="AC81" i="17"/>
  <c r="AB49" i="17"/>
  <c r="X49" i="17"/>
  <c r="V49" i="17" s="1"/>
  <c r="X24" i="17"/>
  <c r="V24" i="17" s="1"/>
  <c r="AC77" i="17"/>
  <c r="AB86" i="17"/>
  <c r="Y53" i="17"/>
  <c r="W53" i="17" s="1"/>
  <c r="AC53" i="17"/>
  <c r="X29" i="17"/>
  <c r="V29" i="17" s="1"/>
  <c r="AB112" i="17"/>
  <c r="Y106" i="17"/>
  <c r="W106" i="17" s="1"/>
  <c r="AC106" i="17"/>
  <c r="AC86" i="17"/>
  <c r="Y86" i="17"/>
  <c r="W86" i="17" s="1"/>
  <c r="AC44" i="17"/>
  <c r="Y44" i="17"/>
  <c r="W44" i="17" s="1"/>
  <c r="AB111" i="17"/>
  <c r="X111" i="17"/>
  <c r="V111" i="17" s="1"/>
  <c r="AB19" i="17"/>
  <c r="X19" i="17"/>
  <c r="AB74" i="17"/>
  <c r="X74" i="17"/>
  <c r="AB80" i="17"/>
  <c r="X80" i="17"/>
  <c r="V80" i="17" s="1"/>
  <c r="AB20" i="17"/>
  <c r="X20" i="17"/>
  <c r="V20" i="17" s="1"/>
  <c r="Y59" i="17"/>
  <c r="W59" i="17" s="1"/>
  <c r="AC59" i="17"/>
  <c r="X128" i="17"/>
  <c r="V128" i="17" s="1"/>
  <c r="AB128" i="17"/>
  <c r="AB63" i="17"/>
  <c r="X63" i="17"/>
  <c r="V63" i="17" s="1"/>
  <c r="AB118" i="17"/>
  <c r="X118" i="17"/>
  <c r="V118" i="17" s="1"/>
  <c r="X64" i="17"/>
  <c r="V64" i="17" s="1"/>
  <c r="AB64" i="17"/>
  <c r="X43" i="17"/>
  <c r="V43" i="17" s="1"/>
  <c r="AB43" i="17"/>
  <c r="AB52" i="17"/>
  <c r="X52" i="17"/>
  <c r="V52" i="17" s="1"/>
  <c r="Y21" i="17"/>
  <c r="W21" i="17" s="1"/>
  <c r="AC21" i="17"/>
  <c r="Y27" i="17"/>
  <c r="W27" i="17" s="1"/>
  <c r="AC27" i="17"/>
  <c r="X78" i="17"/>
  <c r="V78" i="17" s="1"/>
  <c r="AB78" i="17"/>
  <c r="AB58" i="17"/>
  <c r="X58" i="17"/>
  <c r="V58" i="17" s="1"/>
  <c r="X127" i="17"/>
  <c r="V127" i="17" s="1"/>
  <c r="AB127" i="17"/>
  <c r="AC60" i="17"/>
  <c r="Y60" i="17"/>
  <c r="W60" i="17" s="1"/>
  <c r="X102" i="17"/>
  <c r="V102" i="17" s="1"/>
  <c r="AB102" i="17"/>
  <c r="AC84" i="17"/>
  <c r="Y84" i="17"/>
  <c r="W84" i="17" s="1"/>
  <c r="AB45" i="17"/>
  <c r="X45" i="17"/>
  <c r="V45" i="17" s="1"/>
  <c r="AB117" i="17"/>
  <c r="X117" i="17"/>
  <c r="V117" i="17" s="1"/>
  <c r="X98" i="17"/>
  <c r="V98" i="17" s="1"/>
  <c r="AB98" i="17"/>
  <c r="X35" i="17"/>
  <c r="V35" i="17" s="1"/>
  <c r="AB35" i="17"/>
  <c r="AB103" i="17"/>
  <c r="X103" i="17"/>
  <c r="V103" i="17" s="1"/>
  <c r="AB51" i="17"/>
  <c r="X51" i="17"/>
  <c r="V51" i="17" s="1"/>
  <c r="Y79" i="17"/>
  <c r="W79" i="17" s="1"/>
  <c r="AC79" i="17"/>
  <c r="AB50" i="17"/>
  <c r="X50" i="17"/>
  <c r="V50" i="17" s="1"/>
  <c r="X131" i="17"/>
  <c r="V131" i="17" s="1"/>
  <c r="AB131" i="17"/>
  <c r="X130" i="17"/>
  <c r="V130" i="17" s="1"/>
  <c r="AB130" i="17"/>
  <c r="AC107" i="17"/>
  <c r="Y107" i="17"/>
  <c r="W107" i="17" s="1"/>
  <c r="X100" i="17"/>
  <c r="V100" i="17" s="1"/>
  <c r="AB100" i="17"/>
  <c r="X27" i="17"/>
  <c r="V27" i="17" s="1"/>
  <c r="AB27" i="17"/>
  <c r="AB120" i="17"/>
  <c r="X120" i="17"/>
  <c r="V120" i="17" s="1"/>
  <c r="AB22" i="17"/>
  <c r="X22" i="17"/>
  <c r="V22" i="17" s="1"/>
  <c r="AC22" i="17"/>
  <c r="Y22" i="17"/>
  <c r="W22" i="17" s="1"/>
  <c r="X36" i="17"/>
  <c r="V36" i="17" s="1"/>
  <c r="AB36" i="17"/>
  <c r="AC62" i="17"/>
  <c r="Y62" i="17"/>
  <c r="W62" i="17" s="1"/>
  <c r="AB41" i="17"/>
  <c r="X41" i="17"/>
  <c r="V41" i="17" s="1"/>
  <c r="AB122" i="17"/>
  <c r="X122" i="17"/>
  <c r="V122" i="17" s="1"/>
  <c r="AB123" i="17"/>
  <c r="X123" i="17"/>
  <c r="V123" i="17" s="1"/>
  <c r="AB124" i="17"/>
  <c r="X124" i="17"/>
  <c r="V124" i="17" s="1"/>
  <c r="AB105" i="17"/>
  <c r="X105" i="17"/>
  <c r="V105" i="17" s="1"/>
  <c r="AB110" i="17"/>
  <c r="X110" i="17"/>
  <c r="V110" i="17" s="1"/>
  <c r="AB109" i="17"/>
  <c r="X109" i="17"/>
  <c r="V109" i="17" s="1"/>
  <c r="AC41" i="17"/>
  <c r="Y41" i="17"/>
  <c r="W41" i="17" s="1"/>
  <c r="X129" i="17"/>
  <c r="V129" i="17" s="1"/>
  <c r="AB129" i="17"/>
  <c r="X42" i="17"/>
  <c r="V42" i="17" s="1"/>
  <c r="AB42" i="17"/>
  <c r="AB59" i="17"/>
  <c r="X59" i="17"/>
  <c r="V59" i="17" s="1"/>
  <c r="AC51" i="17"/>
  <c r="Y51" i="17"/>
  <c r="W51" i="17" s="1"/>
  <c r="X101" i="17"/>
  <c r="V101" i="17" s="1"/>
  <c r="AB101" i="17"/>
  <c r="X47" i="17"/>
  <c r="V47" i="17" s="1"/>
  <c r="AB47" i="17"/>
  <c r="AB61" i="17"/>
  <c r="X61" i="17"/>
  <c r="V61" i="17" s="1"/>
  <c r="AB69" i="17"/>
  <c r="X69" i="17"/>
  <c r="V69" i="17" s="1"/>
  <c r="X88" i="17"/>
  <c r="V88" i="17" s="1"/>
  <c r="AB88" i="17"/>
  <c r="AC76" i="17"/>
  <c r="Y76" i="17"/>
  <c r="W76" i="17" s="1"/>
  <c r="W51" i="16"/>
  <c r="U51" i="16"/>
  <c r="W45" i="16"/>
  <c r="U45" i="16"/>
  <c r="U50" i="16"/>
  <c r="W50" i="16"/>
  <c r="U43" i="16"/>
  <c r="W43" i="16"/>
  <c r="U37" i="16"/>
  <c r="W37" i="16"/>
  <c r="W42" i="16"/>
  <c r="U42" i="16"/>
  <c r="W40" i="16"/>
  <c r="U40" i="16"/>
  <c r="U44" i="16"/>
  <c r="W44" i="16"/>
  <c r="AR42" i="1" l="1"/>
  <c r="AI137" i="17"/>
  <c r="T135" i="17"/>
  <c r="F38" i="1" s="1"/>
  <c r="AV38" i="1"/>
  <c r="AG135" i="17"/>
  <c r="AP38" i="1" s="1"/>
  <c r="AA74" i="17"/>
  <c r="AA133" i="17" s="1"/>
  <c r="U133" i="17"/>
  <c r="AH133" i="17"/>
  <c r="Z135" i="17"/>
  <c r="L38" i="1" s="1"/>
  <c r="L41" i="1" s="1"/>
  <c r="AD135" i="17"/>
  <c r="Y38" i="1" s="1"/>
  <c r="AB133" i="17"/>
  <c r="AA19" i="17"/>
  <c r="AA71" i="17" s="1"/>
  <c r="U71" i="17"/>
  <c r="U135" i="17" s="1"/>
  <c r="G38" i="1" s="1"/>
  <c r="G41" i="1" s="1"/>
  <c r="AE71" i="17"/>
  <c r="AE133" i="17"/>
  <c r="X71" i="17"/>
  <c r="AH71" i="17"/>
  <c r="V74" i="17"/>
  <c r="V133" i="17" s="1"/>
  <c r="X133" i="17"/>
  <c r="AB71" i="17"/>
  <c r="R65" i="18"/>
  <c r="K40" i="1" s="1"/>
  <c r="T65" i="18"/>
  <c r="O40" i="1" s="1"/>
  <c r="Y64" i="17"/>
  <c r="W64" i="17" s="1"/>
  <c r="Y112" i="17"/>
  <c r="W112" i="17" s="1"/>
  <c r="V19" i="17"/>
  <c r="V71" i="17" s="1"/>
  <c r="AC45" i="17"/>
  <c r="Y103" i="17"/>
  <c r="W103" i="17" s="1"/>
  <c r="Y105" i="17"/>
  <c r="W105" i="17" s="1"/>
  <c r="AC49" i="17"/>
  <c r="Y49" i="17"/>
  <c r="W49" i="17" s="1"/>
  <c r="AC66" i="17"/>
  <c r="Y66" i="17"/>
  <c r="W66" i="17" s="1"/>
  <c r="AC82" i="17"/>
  <c r="Y82" i="17"/>
  <c r="W82" i="17" s="1"/>
  <c r="Y74" i="17"/>
  <c r="AC74" i="17"/>
  <c r="AC28" i="17"/>
  <c r="Y28" i="17"/>
  <c r="W28" i="17" s="1"/>
  <c r="AC68" i="17"/>
  <c r="Y68" i="17"/>
  <c r="W68" i="17" s="1"/>
  <c r="AC83" i="17"/>
  <c r="Y83" i="17"/>
  <c r="W83" i="17" s="1"/>
  <c r="Y30" i="17"/>
  <c r="W30" i="17" s="1"/>
  <c r="AC30" i="17"/>
  <c r="AC29" i="17"/>
  <c r="Y29" i="17"/>
  <c r="W29" i="17" s="1"/>
  <c r="Y24" i="17"/>
  <c r="W24" i="17" s="1"/>
  <c r="AC24" i="17"/>
  <c r="AC126" i="17"/>
  <c r="Y126" i="17"/>
  <c r="W126" i="17" s="1"/>
  <c r="AC125" i="17"/>
  <c r="Y125" i="17"/>
  <c r="W125" i="17" s="1"/>
  <c r="AC67" i="17"/>
  <c r="Y67" i="17"/>
  <c r="W67" i="17" s="1"/>
  <c r="AC23" i="17"/>
  <c r="Y23" i="17"/>
  <c r="W23" i="17" s="1"/>
  <c r="Y118" i="17"/>
  <c r="W118" i="17" s="1"/>
  <c r="AC118" i="17"/>
  <c r="Y78" i="17"/>
  <c r="W78" i="17" s="1"/>
  <c r="AC78" i="17"/>
  <c r="AC109" i="17"/>
  <c r="Y109" i="17"/>
  <c r="W109" i="17" s="1"/>
  <c r="AC88" i="17"/>
  <c r="Y88" i="17"/>
  <c r="W88" i="17" s="1"/>
  <c r="Y120" i="17"/>
  <c r="W120" i="17" s="1"/>
  <c r="AC120" i="17"/>
  <c r="AC80" i="17"/>
  <c r="Y80" i="17"/>
  <c r="W80" i="17" s="1"/>
  <c r="Y52" i="17"/>
  <c r="W52" i="17" s="1"/>
  <c r="AC52" i="17"/>
  <c r="Y124" i="17"/>
  <c r="W124" i="17" s="1"/>
  <c r="AC124" i="17"/>
  <c r="Y50" i="17"/>
  <c r="W50" i="17" s="1"/>
  <c r="AC50" i="17"/>
  <c r="AC111" i="17"/>
  <c r="Y111" i="17"/>
  <c r="W111" i="17" s="1"/>
  <c r="AC69" i="17"/>
  <c r="Y69" i="17"/>
  <c r="W69" i="17" s="1"/>
  <c r="AC130" i="17"/>
  <c r="Y130" i="17"/>
  <c r="W130" i="17" s="1"/>
  <c r="AC43" i="17"/>
  <c r="Y43" i="17"/>
  <c r="W43" i="17" s="1"/>
  <c r="AC93" i="17"/>
  <c r="Y93" i="17"/>
  <c r="W93" i="17" s="1"/>
  <c r="Y98" i="17"/>
  <c r="W98" i="17" s="1"/>
  <c r="AC98" i="17"/>
  <c r="Y128" i="17"/>
  <c r="W128" i="17" s="1"/>
  <c r="AC128" i="17"/>
  <c r="Y102" i="17"/>
  <c r="W102" i="17" s="1"/>
  <c r="AC102" i="17"/>
  <c r="AC63" i="17"/>
  <c r="Y63" i="17"/>
  <c r="W63" i="17" s="1"/>
  <c r="AC61" i="17"/>
  <c r="Y61" i="17"/>
  <c r="W61" i="17" s="1"/>
  <c r="Y25" i="17"/>
  <c r="W25" i="17" s="1"/>
  <c r="AC25" i="17"/>
  <c r="AC20" i="17"/>
  <c r="Y20" i="17"/>
  <c r="W20" i="17" s="1"/>
  <c r="Y122" i="17"/>
  <c r="W122" i="17" s="1"/>
  <c r="AC122" i="17"/>
  <c r="Y127" i="17"/>
  <c r="W127" i="17" s="1"/>
  <c r="AC127" i="17"/>
  <c r="Y123" i="17"/>
  <c r="W123" i="17" s="1"/>
  <c r="AC123" i="17"/>
  <c r="AC36" i="17"/>
  <c r="Y36" i="17"/>
  <c r="W36" i="17" s="1"/>
  <c r="Y58" i="17"/>
  <c r="W58" i="17" s="1"/>
  <c r="AC58" i="17"/>
  <c r="Y129" i="17"/>
  <c r="W129" i="17" s="1"/>
  <c r="AC129" i="17"/>
  <c r="Y35" i="17"/>
  <c r="W35" i="17" s="1"/>
  <c r="AC35" i="17"/>
  <c r="Y117" i="17"/>
  <c r="W117" i="17" s="1"/>
  <c r="AC117" i="17"/>
  <c r="AC131" i="17"/>
  <c r="Y131" i="17"/>
  <c r="W131" i="17" s="1"/>
  <c r="S56" i="16"/>
  <c r="M39" i="1" s="1"/>
  <c r="U56" i="16"/>
  <c r="Z39" i="1" s="1"/>
  <c r="W56" i="16"/>
  <c r="AQ39" i="1" s="1"/>
  <c r="O69" i="3"/>
  <c r="Q69" i="3" s="1"/>
  <c r="M69" i="3"/>
  <c r="AG69" i="3" s="1"/>
  <c r="G69" i="3"/>
  <c r="M68" i="3"/>
  <c r="AG68" i="3" s="1"/>
  <c r="G68" i="3"/>
  <c r="H31" i="2"/>
  <c r="M23" i="2"/>
  <c r="AR23" i="2" s="1"/>
  <c r="M22" i="2"/>
  <c r="H22" i="2"/>
  <c r="AA135" i="17" l="1"/>
  <c r="M38" i="1" s="1"/>
  <c r="M41" i="1" s="1"/>
  <c r="L42" i="1" s="1"/>
  <c r="I22" i="2"/>
  <c r="AR22" i="2"/>
  <c r="W74" i="17"/>
  <c r="W133" i="17" s="1"/>
  <c r="Y133" i="17"/>
  <c r="AC19" i="17"/>
  <c r="AC71" i="17" s="1"/>
  <c r="AH135" i="17"/>
  <c r="AQ38" i="1" s="1"/>
  <c r="AE135" i="17"/>
  <c r="Z38" i="1" s="1"/>
  <c r="AC133" i="17"/>
  <c r="T137" i="17"/>
  <c r="F41" i="1"/>
  <c r="F42" i="1" s="1"/>
  <c r="X135" i="17"/>
  <c r="V135" i="17"/>
  <c r="AB135" i="17"/>
  <c r="S69" i="3"/>
  <c r="T69" i="3" s="1"/>
  <c r="Y19" i="17"/>
  <c r="Y71" i="17" s="1"/>
  <c r="P22" i="2"/>
  <c r="R56" i="16"/>
  <c r="K39" i="1" s="1"/>
  <c r="T56" i="16"/>
  <c r="O39" i="1" s="1"/>
  <c r="AA69" i="3"/>
  <c r="AE69" i="3"/>
  <c r="Z69" i="3"/>
  <c r="AD69" i="3"/>
  <c r="AC69" i="3"/>
  <c r="O68" i="3"/>
  <c r="Q68" i="3" s="1"/>
  <c r="S68" i="3" s="1"/>
  <c r="J22" i="2"/>
  <c r="H20" i="2"/>
  <c r="Z137" i="17" l="1"/>
  <c r="Y135" i="17"/>
  <c r="K38" i="1" s="1"/>
  <c r="K41" i="1" s="1"/>
  <c r="AG137" i="17"/>
  <c r="AD137" i="17"/>
  <c r="N38" i="1"/>
  <c r="N41" i="1" s="1"/>
  <c r="J38" i="1"/>
  <c r="J41" i="1" s="1"/>
  <c r="H38" i="1"/>
  <c r="H41" i="1" s="1"/>
  <c r="AC135" i="17"/>
  <c r="O38" i="1" s="1"/>
  <c r="O41" i="1" s="1"/>
  <c r="T68" i="3"/>
  <c r="T76" i="3" s="1"/>
  <c r="S76" i="3"/>
  <c r="W19" i="17"/>
  <c r="W71" i="17" s="1"/>
  <c r="W135" i="17" s="1"/>
  <c r="I38" i="1" s="1"/>
  <c r="AA68" i="3"/>
  <c r="AA76" i="3" s="1"/>
  <c r="AE68" i="3"/>
  <c r="Z68" i="3"/>
  <c r="Z76" i="3" s="1"/>
  <c r="AC68" i="3"/>
  <c r="AD68" i="3"/>
  <c r="X137" i="17" l="1"/>
  <c r="J42" i="1"/>
  <c r="V137" i="17"/>
  <c r="N42" i="1"/>
  <c r="AB137" i="17"/>
  <c r="Q87" i="2"/>
  <c r="Q91" i="2"/>
  <c r="Q92" i="2"/>
  <c r="Q93" i="2"/>
  <c r="Q94" i="2"/>
  <c r="Q96" i="2"/>
  <c r="Q97" i="2"/>
  <c r="Q98" i="2"/>
  <c r="Q99" i="2"/>
  <c r="Q101" i="2"/>
  <c r="Q106" i="2"/>
  <c r="Q108" i="2"/>
  <c r="Q109" i="2"/>
  <c r="Q115" i="2"/>
  <c r="Q116" i="2"/>
  <c r="Q117" i="2"/>
  <c r="Q118" i="2"/>
  <c r="Q121" i="2"/>
  <c r="Q123" i="2"/>
  <c r="Q142" i="2"/>
  <c r="Q140" i="2"/>
  <c r="Q22" i="2"/>
  <c r="Q23" i="2"/>
  <c r="Q27" i="2"/>
  <c r="Q32" i="2"/>
  <c r="Q33" i="2"/>
  <c r="Q34" i="2"/>
  <c r="Q35" i="2"/>
  <c r="Q38" i="2"/>
  <c r="Q39" i="2"/>
  <c r="Q40" i="2"/>
  <c r="Q41" i="2"/>
  <c r="Q47" i="2"/>
  <c r="Q49" i="2"/>
  <c r="Q54" i="2"/>
  <c r="Q55" i="2"/>
  <c r="Q56" i="2"/>
  <c r="Q57" i="2"/>
  <c r="Q61" i="2"/>
  <c r="Q63" i="2"/>
  <c r="Q141" i="2"/>
  <c r="Q139" i="2"/>
  <c r="AQ92" i="2" l="1"/>
  <c r="AQ93" i="2"/>
  <c r="AQ97" i="2"/>
  <c r="AQ98" i="2"/>
  <c r="AQ116" i="2"/>
  <c r="AQ117" i="2"/>
  <c r="AO92" i="2"/>
  <c r="AO93" i="2"/>
  <c r="AO97" i="2"/>
  <c r="AO98" i="2"/>
  <c r="AO116" i="2"/>
  <c r="AO117" i="2"/>
  <c r="AM92" i="2"/>
  <c r="AM93" i="2"/>
  <c r="AM97" i="2"/>
  <c r="AM98" i="2"/>
  <c r="AM116" i="2"/>
  <c r="AM117" i="2"/>
  <c r="AI92" i="2"/>
  <c r="AI93" i="2"/>
  <c r="AI97" i="2"/>
  <c r="AI98" i="2"/>
  <c r="AI116" i="2"/>
  <c r="AI117" i="2"/>
  <c r="U91" i="2"/>
  <c r="AD91" i="2" s="1"/>
  <c r="U93" i="2"/>
  <c r="AK93" i="2" s="1"/>
  <c r="U94" i="2"/>
  <c r="AD94" i="2" s="1"/>
  <c r="U96" i="2"/>
  <c r="AD96" i="2" s="1"/>
  <c r="U97" i="2"/>
  <c r="AK97" i="2" s="1"/>
  <c r="U106" i="2"/>
  <c r="AD106" i="2" s="1"/>
  <c r="U108" i="2"/>
  <c r="AD108" i="2" s="1"/>
  <c r="U109" i="2"/>
  <c r="AD109" i="2" s="1"/>
  <c r="U115" i="2"/>
  <c r="AD115" i="2" s="1"/>
  <c r="U116" i="2"/>
  <c r="AK116" i="2" s="1"/>
  <c r="U117" i="2"/>
  <c r="AK117" i="2" s="1"/>
  <c r="U118" i="2"/>
  <c r="AD118" i="2" s="1"/>
  <c r="U121" i="2"/>
  <c r="AD121" i="2" s="1"/>
  <c r="U123" i="2"/>
  <c r="AD123" i="2" s="1"/>
  <c r="U142" i="2"/>
  <c r="U140" i="2"/>
  <c r="AQ33" i="2"/>
  <c r="AQ34" i="2"/>
  <c r="AQ39" i="2"/>
  <c r="AQ40" i="2"/>
  <c r="AQ55" i="2"/>
  <c r="AQ56" i="2"/>
  <c r="AO33" i="2"/>
  <c r="AO34" i="2"/>
  <c r="AO39" i="2"/>
  <c r="AO40" i="2"/>
  <c r="AO55" i="2"/>
  <c r="AO56" i="2"/>
  <c r="AM33" i="2"/>
  <c r="AM34" i="2"/>
  <c r="AM39" i="2"/>
  <c r="AM40" i="2"/>
  <c r="AM55" i="2"/>
  <c r="AM56" i="2"/>
  <c r="AI33" i="2"/>
  <c r="AI34" i="2"/>
  <c r="AI39" i="2"/>
  <c r="AI40" i="2"/>
  <c r="AI55" i="2"/>
  <c r="AI56" i="2"/>
  <c r="U27" i="2"/>
  <c r="AD27" i="2" s="1"/>
  <c r="U32" i="2"/>
  <c r="U33" i="2"/>
  <c r="AK33" i="2" s="1"/>
  <c r="U34" i="2"/>
  <c r="AK34" i="2" s="1"/>
  <c r="U35" i="2"/>
  <c r="U40" i="2"/>
  <c r="AK40" i="2" s="1"/>
  <c r="U41" i="2"/>
  <c r="AD41" i="2" s="1"/>
  <c r="U47" i="2"/>
  <c r="AD47" i="2" s="1"/>
  <c r="U49" i="2"/>
  <c r="AD49" i="2" s="1"/>
  <c r="U54" i="2"/>
  <c r="AD54" i="2" s="1"/>
  <c r="U55" i="2"/>
  <c r="AK55" i="2" s="1"/>
  <c r="U56" i="2"/>
  <c r="AK56" i="2" s="1"/>
  <c r="U57" i="2"/>
  <c r="AD57" i="2" s="1"/>
  <c r="U61" i="2"/>
  <c r="AD61" i="2" s="1"/>
  <c r="U63" i="2"/>
  <c r="AD63" i="2" s="1"/>
  <c r="U141" i="2"/>
  <c r="AO141" i="2" s="1"/>
  <c r="U139" i="2"/>
  <c r="P139" i="2"/>
  <c r="T139" i="2" s="1"/>
  <c r="X32" i="2" l="1"/>
  <c r="AD32" i="2" s="1"/>
  <c r="AD35" i="2"/>
  <c r="X35" i="2"/>
  <c r="AO32" i="2"/>
  <c r="AO57" i="2"/>
  <c r="AM41" i="2"/>
  <c r="AQ27" i="2"/>
  <c r="AK54" i="2"/>
  <c r="AM49" i="2"/>
  <c r="AQ35" i="2"/>
  <c r="AL139" i="2"/>
  <c r="AO140" i="2"/>
  <c r="AM140" i="2"/>
  <c r="AO139" i="2"/>
  <c r="AM139" i="2"/>
  <c r="AQ123" i="2"/>
  <c r="U92" i="2"/>
  <c r="AK92" i="2" s="1"/>
  <c r="U87" i="2"/>
  <c r="AD87" i="2" s="1"/>
  <c r="AM63" i="2"/>
  <c r="AM142" i="2"/>
  <c r="AO142" i="2"/>
  <c r="AM108" i="2"/>
  <c r="U101" i="2"/>
  <c r="AD101" i="2" s="1"/>
  <c r="U99" i="2"/>
  <c r="AD99" i="2" s="1"/>
  <c r="U39" i="2"/>
  <c r="U98" i="2"/>
  <c r="U38" i="2"/>
  <c r="AM118" i="2"/>
  <c r="AO118" i="2"/>
  <c r="AQ94" i="2"/>
  <c r="AM94" i="2"/>
  <c r="AM115" i="2"/>
  <c r="AO115" i="2"/>
  <c r="AK115" i="2"/>
  <c r="AM109" i="2"/>
  <c r="AK109" i="2"/>
  <c r="AI123" i="2"/>
  <c r="AO123" i="2"/>
  <c r="AM123" i="2"/>
  <c r="AQ96" i="2"/>
  <c r="AO96" i="2"/>
  <c r="AI96" i="2"/>
  <c r="AI91" i="2"/>
  <c r="AM91" i="2"/>
  <c r="AO91" i="2"/>
  <c r="AI121" i="2"/>
  <c r="AO121" i="2"/>
  <c r="AM121" i="2"/>
  <c r="AI106" i="2"/>
  <c r="AM106" i="2"/>
  <c r="AO54" i="2"/>
  <c r="AK108" i="2"/>
  <c r="AK123" i="2"/>
  <c r="AK121" i="2"/>
  <c r="AQ121" i="2"/>
  <c r="AQ118" i="2"/>
  <c r="AI118" i="2"/>
  <c r="AK118" i="2"/>
  <c r="AI115" i="2"/>
  <c r="AQ115" i="2"/>
  <c r="AQ109" i="2"/>
  <c r="AI109" i="2"/>
  <c r="AO109" i="2"/>
  <c r="AI108" i="2"/>
  <c r="AQ108" i="2"/>
  <c r="AO108" i="2"/>
  <c r="AO106" i="2"/>
  <c r="AQ106" i="2"/>
  <c r="AK106" i="2"/>
  <c r="AK96" i="2"/>
  <c r="AM96" i="2"/>
  <c r="AI94" i="2"/>
  <c r="AO94" i="2"/>
  <c r="AK94" i="2"/>
  <c r="AQ91" i="2"/>
  <c r="AK91" i="2"/>
  <c r="AI47" i="2"/>
  <c r="AO47" i="2"/>
  <c r="AK47" i="2"/>
  <c r="AM47" i="2"/>
  <c r="AM54" i="2"/>
  <c r="AI32" i="2"/>
  <c r="AQ47" i="2"/>
  <c r="AQ57" i="2"/>
  <c r="AQ54" i="2"/>
  <c r="AK49" i="2"/>
  <c r="AQ32" i="2"/>
  <c r="AI54" i="2"/>
  <c r="AM32" i="2"/>
  <c r="AI57" i="2"/>
  <c r="AK32" i="2"/>
  <c r="AO35" i="2"/>
  <c r="AM141" i="2"/>
  <c r="AK63" i="2"/>
  <c r="AQ63" i="2"/>
  <c r="AI63" i="2"/>
  <c r="AO63" i="2"/>
  <c r="AM61" i="2"/>
  <c r="AO61" i="2"/>
  <c r="AQ61" i="2"/>
  <c r="AK61" i="2"/>
  <c r="AI61" i="2"/>
  <c r="AK57" i="2"/>
  <c r="AM57" i="2"/>
  <c r="AO49" i="2"/>
  <c r="AQ49" i="2"/>
  <c r="AI49" i="2"/>
  <c r="AO41" i="2"/>
  <c r="AI41" i="2"/>
  <c r="AQ41" i="2"/>
  <c r="AK41" i="2"/>
  <c r="AI35" i="2"/>
  <c r="AM35" i="2"/>
  <c r="AK35" i="2"/>
  <c r="AI27" i="2"/>
  <c r="AK27" i="2"/>
  <c r="AM27" i="2"/>
  <c r="AO27" i="2"/>
  <c r="AM178" i="2" l="1"/>
  <c r="X38" i="2"/>
  <c r="AD38" i="2" s="1"/>
  <c r="AO178" i="2"/>
  <c r="AO38" i="2"/>
  <c r="AK87" i="2"/>
  <c r="AO99" i="2"/>
  <c r="AQ101" i="2"/>
  <c r="AO87" i="2"/>
  <c r="AI87" i="2"/>
  <c r="AM87" i="2"/>
  <c r="AQ99" i="2"/>
  <c r="AM38" i="2"/>
  <c r="AQ38" i="2"/>
  <c r="AI38" i="2"/>
  <c r="AO101" i="2"/>
  <c r="AK38" i="2"/>
  <c r="AM99" i="2"/>
  <c r="AK99" i="2"/>
  <c r="AQ87" i="2"/>
  <c r="AK39" i="2"/>
  <c r="AM101" i="2"/>
  <c r="AK98" i="2"/>
  <c r="AI99" i="2"/>
  <c r="AK101" i="2"/>
  <c r="AI101" i="2"/>
  <c r="O61" i="3"/>
  <c r="Q61" i="3" s="1"/>
  <c r="M61" i="3"/>
  <c r="G61" i="3"/>
  <c r="O60" i="3"/>
  <c r="Q60" i="3" s="1"/>
  <c r="M60" i="3"/>
  <c r="G60" i="3"/>
  <c r="M142" i="2"/>
  <c r="H142" i="2"/>
  <c r="G142" i="2"/>
  <c r="M140" i="2"/>
  <c r="K140" i="2"/>
  <c r="H140" i="2"/>
  <c r="G140" i="2"/>
  <c r="M141" i="2"/>
  <c r="H141" i="2"/>
  <c r="G141" i="2"/>
  <c r="M139" i="2"/>
  <c r="K139" i="2"/>
  <c r="AN139" i="2" s="1"/>
  <c r="J139" i="2"/>
  <c r="H139" i="2"/>
  <c r="G139" i="2"/>
  <c r="AD61" i="3" l="1"/>
  <c r="AC61" i="3"/>
  <c r="AD60" i="3"/>
  <c r="AC60" i="3"/>
  <c r="P142" i="2"/>
  <c r="T142" i="2" s="1"/>
  <c r="I142" i="2"/>
  <c r="J142" i="2"/>
  <c r="K142" i="2"/>
  <c r="P140" i="2"/>
  <c r="T140" i="2" s="1"/>
  <c r="I140" i="2"/>
  <c r="J140" i="2"/>
  <c r="P141" i="2"/>
  <c r="T141" i="2" s="1"/>
  <c r="I141" i="2"/>
  <c r="J141" i="2"/>
  <c r="K141" i="2"/>
  <c r="I139" i="2"/>
  <c r="AN140" i="2" l="1"/>
  <c r="AL140" i="2"/>
  <c r="AN142" i="2"/>
  <c r="AL142" i="2"/>
  <c r="AN141" i="2"/>
  <c r="AL141" i="2"/>
  <c r="L26" i="11" l="1"/>
  <c r="K26" i="11"/>
  <c r="I26" i="11"/>
  <c r="AL178" i="2"/>
  <c r="AA23" i="1" s="1"/>
  <c r="AN178" i="2"/>
  <c r="AG23" i="1" s="1"/>
  <c r="AM41" i="1" l="1"/>
  <c r="AL41" i="1" l="1"/>
  <c r="AL42" i="1" s="1"/>
  <c r="AC38" i="4"/>
  <c r="AC58" i="4"/>
  <c r="AC59" i="4"/>
  <c r="AC64" i="4"/>
  <c r="AC39" i="4"/>
  <c r="AC43" i="4"/>
  <c r="AC44" i="4"/>
  <c r="G65" i="3"/>
  <c r="M65" i="3"/>
  <c r="O65" i="3"/>
  <c r="AG29" i="3"/>
  <c r="AG30" i="3"/>
  <c r="AS92" i="2"/>
  <c r="AS93" i="2"/>
  <c r="AS97" i="2"/>
  <c r="AS98" i="2"/>
  <c r="AS116" i="2"/>
  <c r="AS117" i="2"/>
  <c r="AS33" i="2"/>
  <c r="AS34" i="2"/>
  <c r="AS39" i="2"/>
  <c r="AS40" i="2"/>
  <c r="AS55" i="2"/>
  <c r="AS56" i="2"/>
  <c r="U47" i="10" l="1"/>
  <c r="Q28" i="1" s="1"/>
  <c r="P52" i="10" l="1"/>
  <c r="X47" i="10"/>
  <c r="Z28" i="1" s="1"/>
  <c r="T47" i="10"/>
  <c r="O28" i="1" s="1"/>
  <c r="AB28" i="1"/>
  <c r="AA47" i="10"/>
  <c r="AF28" i="1" s="1"/>
  <c r="Z47" i="10"/>
  <c r="AD28" i="1" s="1"/>
  <c r="H83" i="2" l="1"/>
  <c r="I83" i="2"/>
  <c r="G83" i="2"/>
  <c r="M83" i="2"/>
  <c r="Q83" i="2" s="1"/>
  <c r="H24" i="2"/>
  <c r="G24" i="2"/>
  <c r="M24" i="2"/>
  <c r="Q24" i="2" l="1"/>
  <c r="AR24" i="2"/>
  <c r="K24" i="2"/>
  <c r="J83" i="2"/>
  <c r="K83" i="2"/>
  <c r="P83" i="2"/>
  <c r="AS24" i="2"/>
  <c r="AS83" i="2"/>
  <c r="J24" i="2"/>
  <c r="I24" i="2"/>
  <c r="P24" i="2"/>
  <c r="T24" i="2" s="1"/>
  <c r="AC24" i="2" s="1"/>
  <c r="AE24" i="2" l="1"/>
  <c r="AA24" i="2"/>
  <c r="Y24" i="2" s="1"/>
  <c r="U83" i="2"/>
  <c r="AD83" i="2" s="1"/>
  <c r="U24" i="2"/>
  <c r="AD24" i="2" s="1"/>
  <c r="T83" i="2"/>
  <c r="AJ24" i="2"/>
  <c r="AL24" i="2"/>
  <c r="AN24" i="2"/>
  <c r="AP24" i="2"/>
  <c r="AH24" i="2"/>
  <c r="AL83" i="2" l="1"/>
  <c r="AC83" i="2"/>
  <c r="AO83" i="2"/>
  <c r="AK83" i="2"/>
  <c r="AP83" i="2"/>
  <c r="AI83" i="2"/>
  <c r="AQ83" i="2"/>
  <c r="AM83" i="2"/>
  <c r="AI24" i="2"/>
  <c r="AK24" i="2"/>
  <c r="AM24" i="2"/>
  <c r="AO24" i="2"/>
  <c r="AQ24" i="2"/>
  <c r="AH83" i="2"/>
  <c r="AN83" i="2"/>
  <c r="AJ83" i="2"/>
  <c r="J37" i="5"/>
  <c r="L37" i="5" s="1"/>
  <c r="H37" i="5"/>
  <c r="W37" i="5" l="1"/>
  <c r="AB83" i="2"/>
  <c r="Z83" i="2" s="1"/>
  <c r="AF83" i="2"/>
  <c r="AA83" i="2"/>
  <c r="Y83" i="2" s="1"/>
  <c r="AE83" i="2"/>
  <c r="AB24" i="2"/>
  <c r="Z24" i="2" s="1"/>
  <c r="AF24" i="2"/>
  <c r="M25" i="8"/>
  <c r="O25" i="8" s="1"/>
  <c r="G29" i="8"/>
  <c r="K29" i="8"/>
  <c r="G30" i="8"/>
  <c r="K30" i="8"/>
  <c r="G31" i="8"/>
  <c r="K31" i="8"/>
  <c r="X31" i="8" s="1"/>
  <c r="G32" i="8"/>
  <c r="K32" i="8"/>
  <c r="G23" i="8"/>
  <c r="K23" i="8"/>
  <c r="X23" i="8" s="1"/>
  <c r="G24" i="8"/>
  <c r="K24" i="8"/>
  <c r="X24" i="8" s="1"/>
  <c r="G25" i="8"/>
  <c r="K36" i="8"/>
  <c r="G36" i="8"/>
  <c r="M35" i="8"/>
  <c r="O35" i="8" s="1"/>
  <c r="G35" i="8"/>
  <c r="M28" i="8"/>
  <c r="O28" i="8" s="1"/>
  <c r="G28" i="8"/>
  <c r="K22" i="8"/>
  <c r="G22" i="8"/>
  <c r="G19" i="8"/>
  <c r="K18" i="8"/>
  <c r="X18" i="8" s="1"/>
  <c r="G18" i="8"/>
  <c r="K60" i="7"/>
  <c r="M60" i="7" s="1"/>
  <c r="O60" i="7" s="1"/>
  <c r="M41" i="7"/>
  <c r="O41" i="7" s="1"/>
  <c r="G41" i="7"/>
  <c r="K41" i="7"/>
  <c r="G40" i="7"/>
  <c r="K40" i="7"/>
  <c r="W40" i="7" s="1"/>
  <c r="G38" i="7"/>
  <c r="K38" i="7"/>
  <c r="W38" i="7" s="1"/>
  <c r="K26" i="7"/>
  <c r="W26" i="7" s="1"/>
  <c r="K19" i="7"/>
  <c r="K20" i="7"/>
  <c r="K21" i="7"/>
  <c r="K22" i="7"/>
  <c r="K23" i="7"/>
  <c r="G26" i="7"/>
  <c r="G19" i="7"/>
  <c r="G20" i="7"/>
  <c r="G21" i="7"/>
  <c r="G22" i="7"/>
  <c r="G23" i="7"/>
  <c r="K63" i="7"/>
  <c r="W63" i="7" s="1"/>
  <c r="G63" i="7"/>
  <c r="M59" i="7"/>
  <c r="O59" i="7" s="1"/>
  <c r="K56" i="7"/>
  <c r="W56" i="7" s="1"/>
  <c r="G56" i="7"/>
  <c r="K55" i="7"/>
  <c r="W55" i="7" s="1"/>
  <c r="G55" i="7"/>
  <c r="K54" i="7"/>
  <c r="G54" i="7"/>
  <c r="K53" i="7"/>
  <c r="G53" i="7"/>
  <c r="K52" i="7"/>
  <c r="I52" i="7" s="1"/>
  <c r="G52" i="7"/>
  <c r="K51" i="7"/>
  <c r="G51" i="7"/>
  <c r="K48" i="7"/>
  <c r="G48" i="7"/>
  <c r="K46" i="7"/>
  <c r="G46" i="7"/>
  <c r="K45" i="7"/>
  <c r="G45" i="7"/>
  <c r="K44" i="7"/>
  <c r="G44" i="7"/>
  <c r="M37" i="7"/>
  <c r="O37" i="7" s="1"/>
  <c r="K37" i="7"/>
  <c r="W37" i="7" s="1"/>
  <c r="G37" i="7"/>
  <c r="K36" i="7"/>
  <c r="G36" i="7"/>
  <c r="K35" i="7"/>
  <c r="G35" i="7"/>
  <c r="K34" i="7"/>
  <c r="I34" i="7" s="1"/>
  <c r="G34" i="7"/>
  <c r="K33" i="7"/>
  <c r="I33" i="7" s="1"/>
  <c r="G33" i="7"/>
  <c r="K32" i="7"/>
  <c r="G32" i="7"/>
  <c r="K29" i="7"/>
  <c r="I29" i="7" s="1"/>
  <c r="G29" i="7"/>
  <c r="K28" i="7"/>
  <c r="I28" i="7" s="1"/>
  <c r="G28" i="7"/>
  <c r="K27" i="7"/>
  <c r="G27" i="7"/>
  <c r="K18" i="7"/>
  <c r="W18" i="7" s="1"/>
  <c r="G18" i="7"/>
  <c r="T44" i="4"/>
  <c r="V44" i="4"/>
  <c r="W44" i="4"/>
  <c r="Y44" i="4"/>
  <c r="Z44" i="4"/>
  <c r="AA44" i="4"/>
  <c r="O44" i="4"/>
  <c r="Q44" i="4" s="1"/>
  <c r="G44" i="4"/>
  <c r="M44" i="4"/>
  <c r="Y43" i="4"/>
  <c r="Z43" i="4"/>
  <c r="AA43" i="4"/>
  <c r="T43" i="4"/>
  <c r="V43" i="4"/>
  <c r="W43" i="4"/>
  <c r="O43" i="4"/>
  <c r="Q43" i="4" s="1"/>
  <c r="X43" i="4" s="1"/>
  <c r="G43" i="4"/>
  <c r="M43" i="4"/>
  <c r="G42" i="4"/>
  <c r="M42" i="4"/>
  <c r="J42" i="4" s="1"/>
  <c r="G41" i="4"/>
  <c r="M41" i="4"/>
  <c r="J41" i="4" s="1"/>
  <c r="G40" i="4"/>
  <c r="M40" i="4"/>
  <c r="J40" i="4" s="1"/>
  <c r="O37" i="4"/>
  <c r="Q37" i="4" s="1"/>
  <c r="G37" i="4"/>
  <c r="M37" i="4"/>
  <c r="G36" i="4"/>
  <c r="M36" i="4"/>
  <c r="G22" i="4"/>
  <c r="G46" i="4"/>
  <c r="G47" i="4"/>
  <c r="O23" i="4"/>
  <c r="Q23" i="4" s="1"/>
  <c r="G20" i="4"/>
  <c r="M38" i="3"/>
  <c r="AF38" i="3" s="1"/>
  <c r="M39" i="3"/>
  <c r="AF39" i="3" s="1"/>
  <c r="M41" i="3"/>
  <c r="M43" i="3"/>
  <c r="M44" i="3"/>
  <c r="AG44" i="3" s="1"/>
  <c r="M45" i="3"/>
  <c r="AG45" i="3" s="1"/>
  <c r="M46" i="3"/>
  <c r="AG46" i="3" s="1"/>
  <c r="M47" i="3"/>
  <c r="AG47" i="3" s="1"/>
  <c r="M48" i="3"/>
  <c r="M49" i="3"/>
  <c r="M50" i="3"/>
  <c r="AG50" i="3" s="1"/>
  <c r="M51" i="3"/>
  <c r="M52" i="3"/>
  <c r="M54" i="3"/>
  <c r="M55" i="3"/>
  <c r="AF55" i="3" s="1"/>
  <c r="M19" i="3"/>
  <c r="AF19" i="3" s="1"/>
  <c r="M20" i="3"/>
  <c r="AF20" i="3" s="1"/>
  <c r="M21" i="3"/>
  <c r="AF21" i="3" s="1"/>
  <c r="M22" i="3"/>
  <c r="AF22" i="3" s="1"/>
  <c r="M23" i="3"/>
  <c r="AF23" i="3" s="1"/>
  <c r="M25" i="3"/>
  <c r="AF25" i="3" s="1"/>
  <c r="M27" i="3"/>
  <c r="M28" i="3"/>
  <c r="M29" i="3"/>
  <c r="M30" i="3"/>
  <c r="M31" i="3"/>
  <c r="M32" i="3"/>
  <c r="M33" i="3"/>
  <c r="M35" i="3"/>
  <c r="AF35" i="3" s="1"/>
  <c r="AG65" i="3"/>
  <c r="M64" i="3"/>
  <c r="AG64" i="3" s="1"/>
  <c r="M76" i="2"/>
  <c r="AR76" i="2" s="1"/>
  <c r="M77" i="2"/>
  <c r="M78" i="2"/>
  <c r="M79" i="2"/>
  <c r="M80" i="2"/>
  <c r="M81" i="2"/>
  <c r="M82" i="2"/>
  <c r="Q82" i="2" s="1"/>
  <c r="M84" i="2"/>
  <c r="Q84" i="2" s="1"/>
  <c r="M85" i="2"/>
  <c r="M86" i="2"/>
  <c r="M87" i="2"/>
  <c r="AR87" i="2" s="1"/>
  <c r="M88" i="2"/>
  <c r="M90" i="2"/>
  <c r="Q90" i="2" s="1"/>
  <c r="M91" i="2"/>
  <c r="M92" i="2"/>
  <c r="M93" i="2"/>
  <c r="M94" i="2"/>
  <c r="M95" i="2"/>
  <c r="Q95" i="2" s="1"/>
  <c r="M96" i="2"/>
  <c r="M97" i="2"/>
  <c r="M98" i="2"/>
  <c r="M99" i="2"/>
  <c r="M100" i="2"/>
  <c r="Q100" i="2" s="1"/>
  <c r="M101" i="2"/>
  <c r="AR101" i="2" s="1"/>
  <c r="M102" i="2"/>
  <c r="M103" i="2"/>
  <c r="M104" i="2"/>
  <c r="M105" i="2"/>
  <c r="M106" i="2"/>
  <c r="AR106" i="2" s="1"/>
  <c r="M107" i="2"/>
  <c r="M108" i="2"/>
  <c r="AR108" i="2" s="1"/>
  <c r="M109" i="2"/>
  <c r="M110" i="2"/>
  <c r="Q110" i="2" s="1"/>
  <c r="M111" i="2"/>
  <c r="Q111" i="2" s="1"/>
  <c r="M112" i="2"/>
  <c r="Q112" i="2" s="1"/>
  <c r="M113" i="2"/>
  <c r="M114" i="2"/>
  <c r="Q114" i="2" s="1"/>
  <c r="M115" i="2"/>
  <c r="M116" i="2"/>
  <c r="M117" i="2"/>
  <c r="M118" i="2"/>
  <c r="M119" i="2"/>
  <c r="Q119" i="2" s="1"/>
  <c r="M120" i="2"/>
  <c r="Q120" i="2" s="1"/>
  <c r="M121" i="2"/>
  <c r="M122" i="2"/>
  <c r="M123" i="2"/>
  <c r="AR123" i="2" s="1"/>
  <c r="M124" i="2"/>
  <c r="M125" i="2"/>
  <c r="M126" i="2"/>
  <c r="M127" i="2"/>
  <c r="Q127" i="2" s="1"/>
  <c r="M128" i="2"/>
  <c r="M129" i="2"/>
  <c r="Q129" i="2" s="1"/>
  <c r="M130" i="2"/>
  <c r="Q130" i="2" s="1"/>
  <c r="M131" i="2"/>
  <c r="Q131" i="2" s="1"/>
  <c r="M132" i="2"/>
  <c r="Q132" i="2" s="1"/>
  <c r="M133" i="2"/>
  <c r="M20" i="2"/>
  <c r="AR20" i="2" s="1"/>
  <c r="M21" i="2"/>
  <c r="AR21" i="2" s="1"/>
  <c r="M25" i="2"/>
  <c r="M26" i="2"/>
  <c r="AR26" i="2" s="1"/>
  <c r="M27" i="2"/>
  <c r="AR27" i="2" s="1"/>
  <c r="M28" i="2"/>
  <c r="Q28" i="2" s="1"/>
  <c r="M29" i="2"/>
  <c r="Q29" i="2" s="1"/>
  <c r="M30" i="2"/>
  <c r="Q30" i="2" s="1"/>
  <c r="M31" i="2"/>
  <c r="Q31" i="2" s="1"/>
  <c r="M32" i="2"/>
  <c r="M33" i="2"/>
  <c r="M34" i="2"/>
  <c r="M35" i="2"/>
  <c r="M36" i="2"/>
  <c r="Q36" i="2" s="1"/>
  <c r="M37" i="2"/>
  <c r="M38" i="2"/>
  <c r="AR38" i="2" s="1"/>
  <c r="M39" i="2"/>
  <c r="M40" i="2"/>
  <c r="M41" i="2"/>
  <c r="M42" i="2"/>
  <c r="Q42" i="2" s="1"/>
  <c r="M43" i="2"/>
  <c r="M44" i="2"/>
  <c r="M45" i="2"/>
  <c r="M46" i="2"/>
  <c r="M47" i="2"/>
  <c r="AR47" i="2" s="1"/>
  <c r="M48" i="2"/>
  <c r="M49" i="2"/>
  <c r="AR49" i="2" s="1"/>
  <c r="M50" i="2"/>
  <c r="Q50" i="2" s="1"/>
  <c r="M51" i="2"/>
  <c r="M52" i="2"/>
  <c r="M53" i="2"/>
  <c r="Q53" i="2" s="1"/>
  <c r="M54" i="2"/>
  <c r="M55" i="2"/>
  <c r="M56" i="2"/>
  <c r="M57" i="2"/>
  <c r="M58" i="2"/>
  <c r="Q58" i="2" s="1"/>
  <c r="M59" i="2"/>
  <c r="Q59" i="2" s="1"/>
  <c r="M60" i="2"/>
  <c r="Q60" i="2" s="1"/>
  <c r="M61" i="2"/>
  <c r="M62" i="2"/>
  <c r="M63" i="2"/>
  <c r="AR63" i="2" s="1"/>
  <c r="M64" i="2"/>
  <c r="M65" i="2"/>
  <c r="M66" i="2"/>
  <c r="Q66" i="2" s="1"/>
  <c r="M67" i="2"/>
  <c r="Q67" i="2" s="1"/>
  <c r="M68" i="2"/>
  <c r="M69" i="2"/>
  <c r="Q69" i="2" s="1"/>
  <c r="M70" i="2"/>
  <c r="M53" i="4"/>
  <c r="AB53" i="4" s="1"/>
  <c r="M54" i="4"/>
  <c r="AB54" i="4" s="1"/>
  <c r="M55" i="4"/>
  <c r="M56" i="4"/>
  <c r="M57" i="4"/>
  <c r="M58" i="4"/>
  <c r="M59" i="4"/>
  <c r="M60" i="4"/>
  <c r="M61" i="4"/>
  <c r="M62" i="4"/>
  <c r="M63" i="4"/>
  <c r="AB63" i="4" s="1"/>
  <c r="M64" i="4"/>
  <c r="M52" i="4"/>
  <c r="AB52" i="4" s="1"/>
  <c r="M33" i="4"/>
  <c r="AB33" i="4" s="1"/>
  <c r="M34" i="4"/>
  <c r="AB34" i="4" s="1"/>
  <c r="M35" i="4"/>
  <c r="M38" i="4"/>
  <c r="M39" i="4"/>
  <c r="M45" i="4"/>
  <c r="J45" i="4" s="1"/>
  <c r="M46" i="4"/>
  <c r="AB46" i="4" s="1"/>
  <c r="M47" i="4"/>
  <c r="AB47" i="4" s="1"/>
  <c r="M48" i="4"/>
  <c r="AB48" i="4" s="1"/>
  <c r="M49" i="4"/>
  <c r="AB49" i="4" s="1"/>
  <c r="M32" i="4"/>
  <c r="AB32" i="4" s="1"/>
  <c r="M29" i="4"/>
  <c r="AB29" i="4" s="1"/>
  <c r="M27" i="4"/>
  <c r="AB27" i="4" s="1"/>
  <c r="M20" i="4"/>
  <c r="AB20" i="4" s="1"/>
  <c r="M22" i="4"/>
  <c r="AB22" i="4" s="1"/>
  <c r="M23" i="4"/>
  <c r="AB23" i="4" s="1"/>
  <c r="M24" i="4"/>
  <c r="AB24" i="4" s="1"/>
  <c r="M19" i="4"/>
  <c r="AB19" i="4" s="1"/>
  <c r="G19" i="4"/>
  <c r="AA64" i="4"/>
  <c r="O64" i="4"/>
  <c r="Q64" i="4" s="1"/>
  <c r="G64" i="4"/>
  <c r="G63" i="4"/>
  <c r="G62" i="4"/>
  <c r="G61" i="4"/>
  <c r="O60" i="4"/>
  <c r="Q60" i="4" s="1"/>
  <c r="G60" i="4"/>
  <c r="AA59" i="4"/>
  <c r="Z59" i="4"/>
  <c r="Y59" i="4"/>
  <c r="W59" i="4"/>
  <c r="V59" i="4"/>
  <c r="T59" i="4"/>
  <c r="O59" i="4"/>
  <c r="Q59" i="4" s="1"/>
  <c r="G59" i="4"/>
  <c r="AA58" i="4"/>
  <c r="Z58" i="4"/>
  <c r="Y58" i="4"/>
  <c r="W58" i="4"/>
  <c r="V58" i="4"/>
  <c r="T58" i="4"/>
  <c r="O58" i="4"/>
  <c r="Q58" i="4" s="1"/>
  <c r="G58" i="4"/>
  <c r="O57" i="4"/>
  <c r="Q57" i="4" s="1"/>
  <c r="W57" i="4" s="1"/>
  <c r="G57" i="4"/>
  <c r="G56" i="4"/>
  <c r="G55" i="4"/>
  <c r="G54" i="4"/>
  <c r="G53" i="4"/>
  <c r="G52" i="4"/>
  <c r="G49" i="4"/>
  <c r="G48" i="4"/>
  <c r="G45" i="4"/>
  <c r="O39" i="4"/>
  <c r="Q39" i="4" s="1"/>
  <c r="G39" i="4"/>
  <c r="G38" i="4"/>
  <c r="G35" i="4"/>
  <c r="G34" i="4"/>
  <c r="G33" i="4"/>
  <c r="G32" i="4"/>
  <c r="G29" i="4"/>
  <c r="G27" i="4"/>
  <c r="G24" i="4"/>
  <c r="G23" i="4"/>
  <c r="G44" i="3"/>
  <c r="G43" i="3"/>
  <c r="S37" i="7" l="1"/>
  <c r="Q37" i="7" s="1"/>
  <c r="P41" i="7"/>
  <c r="S41" i="7" s="1"/>
  <c r="Q41" i="7" s="1"/>
  <c r="Y23" i="4"/>
  <c r="U23" i="4"/>
  <c r="S23" i="4" s="1"/>
  <c r="Q43" i="2"/>
  <c r="AR43" i="2"/>
  <c r="M54" i="7"/>
  <c r="O54" i="7" s="1"/>
  <c r="W54" i="7"/>
  <c r="Q128" i="2"/>
  <c r="U128" i="2" s="1"/>
  <c r="AD128" i="2" s="1"/>
  <c r="AR128" i="2"/>
  <c r="V59" i="7"/>
  <c r="U59" i="7"/>
  <c r="M20" i="7"/>
  <c r="O20" i="7" s="1"/>
  <c r="P20" i="7" s="1"/>
  <c r="S20" i="7" s="1"/>
  <c r="Q20" i="7" s="1"/>
  <c r="W20" i="7"/>
  <c r="Q80" i="2"/>
  <c r="U80" i="2" s="1"/>
  <c r="X80" i="2" s="1"/>
  <c r="AD80" i="2" s="1"/>
  <c r="AR80" i="2"/>
  <c r="I45" i="7"/>
  <c r="W45" i="7"/>
  <c r="U41" i="7"/>
  <c r="V41" i="7"/>
  <c r="Q52" i="2"/>
  <c r="U52" i="2" s="1"/>
  <c r="AD52" i="2" s="1"/>
  <c r="AR52" i="2"/>
  <c r="I22" i="7"/>
  <c r="W22" i="7"/>
  <c r="I21" i="7"/>
  <c r="W21" i="7"/>
  <c r="Q125" i="2"/>
  <c r="U125" i="2" s="1"/>
  <c r="AD125" i="2" s="1"/>
  <c r="AR125" i="2"/>
  <c r="Q113" i="2"/>
  <c r="U113" i="2" s="1"/>
  <c r="AD113" i="2" s="1"/>
  <c r="AR113" i="2"/>
  <c r="Q88" i="2"/>
  <c r="AR88" i="2"/>
  <c r="M36" i="7"/>
  <c r="O36" i="7" s="1"/>
  <c r="S36" i="7" s="1"/>
  <c r="Q36" i="7" s="1"/>
  <c r="W36" i="7"/>
  <c r="Q37" i="2"/>
  <c r="U37" i="2" s="1"/>
  <c r="AR37" i="2"/>
  <c r="Q25" i="2"/>
  <c r="U25" i="2" s="1"/>
  <c r="AD25" i="2" s="1"/>
  <c r="AR25" i="2"/>
  <c r="Q124" i="2"/>
  <c r="U124" i="2" s="1"/>
  <c r="AD124" i="2" s="1"/>
  <c r="AR124" i="2"/>
  <c r="I19" i="7"/>
  <c r="W19" i="7"/>
  <c r="Q105" i="2"/>
  <c r="U105" i="2" s="1"/>
  <c r="AD105" i="2" s="1"/>
  <c r="AR105" i="2"/>
  <c r="Q104" i="2"/>
  <c r="U104" i="2" s="1"/>
  <c r="AD104" i="2" s="1"/>
  <c r="AR104" i="2"/>
  <c r="I36" i="8"/>
  <c r="X36" i="8"/>
  <c r="Q51" i="2"/>
  <c r="U51" i="2" s="1"/>
  <c r="AD51" i="2" s="1"/>
  <c r="AR51" i="2"/>
  <c r="Q48" i="2"/>
  <c r="U48" i="2" s="1"/>
  <c r="AD48" i="2" s="1"/>
  <c r="AR48" i="2"/>
  <c r="Q86" i="2"/>
  <c r="U86" i="2" s="1"/>
  <c r="AD86" i="2" s="1"/>
  <c r="AR86" i="2"/>
  <c r="Q122" i="2"/>
  <c r="U122" i="2" s="1"/>
  <c r="AD122" i="2" s="1"/>
  <c r="AR122" i="2"/>
  <c r="Q85" i="2"/>
  <c r="U85" i="2" s="1"/>
  <c r="AD85" i="2" s="1"/>
  <c r="AR85" i="2"/>
  <c r="AF57" i="3"/>
  <c r="U37" i="7"/>
  <c r="V37" i="7"/>
  <c r="I22" i="8"/>
  <c r="X22" i="8"/>
  <c r="Q79" i="2"/>
  <c r="U79" i="2" s="1"/>
  <c r="X79" i="2" s="1"/>
  <c r="AR79" i="2"/>
  <c r="AB66" i="4"/>
  <c r="AS34" i="1" s="1"/>
  <c r="Q78" i="2"/>
  <c r="U78" i="2" s="1"/>
  <c r="X78" i="2" s="1"/>
  <c r="AD78" i="2" s="1"/>
  <c r="AR78" i="2"/>
  <c r="V60" i="7"/>
  <c r="U60" i="7"/>
  <c r="I48" i="7"/>
  <c r="W48" i="7"/>
  <c r="Q62" i="2"/>
  <c r="U62" i="2" s="1"/>
  <c r="AD62" i="2" s="1"/>
  <c r="AR62" i="2"/>
  <c r="Q70" i="2"/>
  <c r="U70" i="2" s="1"/>
  <c r="AD70" i="2" s="1"/>
  <c r="AR70" i="2"/>
  <c r="Q46" i="2"/>
  <c r="AR46" i="2"/>
  <c r="Q133" i="2"/>
  <c r="U133" i="2" s="1"/>
  <c r="AD133" i="2" s="1"/>
  <c r="AR133" i="2"/>
  <c r="I46" i="7"/>
  <c r="W46" i="7"/>
  <c r="I27" i="7"/>
  <c r="W27" i="7"/>
  <c r="Q102" i="2"/>
  <c r="U102" i="2" s="1"/>
  <c r="AD102" i="2" s="1"/>
  <c r="AR102" i="2"/>
  <c r="Q45" i="2"/>
  <c r="AR45" i="2"/>
  <c r="I44" i="7"/>
  <c r="W44" i="7"/>
  <c r="I53" i="7"/>
  <c r="W53" i="7"/>
  <c r="Q65" i="2"/>
  <c r="U65" i="2" s="1"/>
  <c r="AD65" i="2" s="1"/>
  <c r="AR65" i="2"/>
  <c r="Q64" i="2"/>
  <c r="U64" i="2" s="1"/>
  <c r="AD64" i="2" s="1"/>
  <c r="AR64" i="2"/>
  <c r="Q103" i="2"/>
  <c r="U103" i="2" s="1"/>
  <c r="AD103" i="2" s="1"/>
  <c r="AR103" i="2"/>
  <c r="Q77" i="2"/>
  <c r="U77" i="2" s="1"/>
  <c r="X77" i="2" s="1"/>
  <c r="AD77" i="2" s="1"/>
  <c r="AR77" i="2"/>
  <c r="I35" i="7"/>
  <c r="W35" i="7"/>
  <c r="Q126" i="2"/>
  <c r="U126" i="2" s="1"/>
  <c r="AD126" i="2" s="1"/>
  <c r="AR126" i="2"/>
  <c r="Q68" i="2"/>
  <c r="U68" i="2" s="1"/>
  <c r="AD68" i="2" s="1"/>
  <c r="AR68" i="2"/>
  <c r="Q44" i="2"/>
  <c r="U44" i="2" s="1"/>
  <c r="AD44" i="2" s="1"/>
  <c r="AR44" i="2"/>
  <c r="Q107" i="2"/>
  <c r="U107" i="2" s="1"/>
  <c r="AR107" i="2"/>
  <c r="Q81" i="2"/>
  <c r="U81" i="2" s="1"/>
  <c r="X81" i="2" s="1"/>
  <c r="AD81" i="2" s="1"/>
  <c r="AR81" i="2"/>
  <c r="I30" i="8"/>
  <c r="X30" i="8"/>
  <c r="I32" i="8"/>
  <c r="X32" i="8"/>
  <c r="I29" i="8"/>
  <c r="X29" i="8"/>
  <c r="AG76" i="3"/>
  <c r="AU24" i="1" s="1"/>
  <c r="AU29" i="1" s="1"/>
  <c r="M31" i="8"/>
  <c r="O31" i="8" s="1"/>
  <c r="I31" i="8"/>
  <c r="M23" i="8"/>
  <c r="O23" i="8" s="1"/>
  <c r="I23" i="8"/>
  <c r="M18" i="8"/>
  <c r="O18" i="8" s="1"/>
  <c r="I18" i="8"/>
  <c r="M24" i="8"/>
  <c r="O24" i="8" s="1"/>
  <c r="I24" i="8"/>
  <c r="M36" i="8"/>
  <c r="O36" i="8" s="1"/>
  <c r="M30" i="8"/>
  <c r="O30" i="8" s="1"/>
  <c r="S30" i="8" s="1"/>
  <c r="M23" i="7"/>
  <c r="O23" i="7" s="1"/>
  <c r="P23" i="7" s="1"/>
  <c r="S23" i="7" s="1"/>
  <c r="Q23" i="7" s="1"/>
  <c r="I23" i="7"/>
  <c r="M63" i="7"/>
  <c r="O63" i="7" s="1"/>
  <c r="I63" i="7"/>
  <c r="M26" i="7"/>
  <c r="O26" i="7" s="1"/>
  <c r="S26" i="7" s="1"/>
  <c r="Q26" i="7" s="1"/>
  <c r="I26" i="7"/>
  <c r="M18" i="7"/>
  <c r="O18" i="7" s="1"/>
  <c r="P18" i="7" s="1"/>
  <c r="S18" i="7" s="1"/>
  <c r="Q18" i="7" s="1"/>
  <c r="I18" i="7"/>
  <c r="M55" i="7"/>
  <c r="O55" i="7" s="1"/>
  <c r="I55" i="7"/>
  <c r="M38" i="7"/>
  <c r="O38" i="7" s="1"/>
  <c r="S38" i="7" s="1"/>
  <c r="Q38" i="7" s="1"/>
  <c r="I38" i="7"/>
  <c r="M32" i="7"/>
  <c r="O32" i="7" s="1"/>
  <c r="S32" i="7" s="1"/>
  <c r="Q32" i="7" s="1"/>
  <c r="I32" i="7"/>
  <c r="M56" i="7"/>
  <c r="O56" i="7" s="1"/>
  <c r="I56" i="7"/>
  <c r="M40" i="7"/>
  <c r="O40" i="7" s="1"/>
  <c r="P40" i="7" s="1"/>
  <c r="S40" i="7" s="1"/>
  <c r="Q40" i="7" s="1"/>
  <c r="I40" i="7"/>
  <c r="T37" i="7"/>
  <c r="M22" i="7"/>
  <c r="O22" i="7" s="1"/>
  <c r="P22" i="7" s="1"/>
  <c r="S22" i="7" s="1"/>
  <c r="Q22" i="7" s="1"/>
  <c r="I53" i="4"/>
  <c r="J53" i="4"/>
  <c r="J32" i="4"/>
  <c r="I32" i="4"/>
  <c r="J52" i="4"/>
  <c r="I52" i="4"/>
  <c r="J47" i="4"/>
  <c r="I47" i="4"/>
  <c r="I33" i="4"/>
  <c r="J33" i="4"/>
  <c r="I48" i="4"/>
  <c r="J48" i="4"/>
  <c r="J46" i="4"/>
  <c r="I46" i="4"/>
  <c r="J20" i="4"/>
  <c r="I20" i="4"/>
  <c r="I27" i="4"/>
  <c r="J27" i="4"/>
  <c r="K27" i="4"/>
  <c r="J29" i="4"/>
  <c r="I29" i="4"/>
  <c r="J34" i="4"/>
  <c r="I34" i="4"/>
  <c r="J24" i="4"/>
  <c r="I24" i="4"/>
  <c r="J54" i="4"/>
  <c r="I54" i="4"/>
  <c r="J49" i="4"/>
  <c r="I49" i="4"/>
  <c r="AG51" i="3"/>
  <c r="J51" i="3"/>
  <c r="K51" i="3"/>
  <c r="K25" i="3"/>
  <c r="I25" i="3"/>
  <c r="J25" i="3"/>
  <c r="I35" i="3"/>
  <c r="J35" i="3"/>
  <c r="K35" i="3"/>
  <c r="K20" i="3"/>
  <c r="J20" i="3"/>
  <c r="I20" i="3"/>
  <c r="J21" i="3"/>
  <c r="K21" i="3"/>
  <c r="I21" i="3"/>
  <c r="J33" i="3"/>
  <c r="K33" i="3"/>
  <c r="J19" i="3"/>
  <c r="I19" i="3"/>
  <c r="K19" i="3"/>
  <c r="J27" i="3"/>
  <c r="K27" i="3"/>
  <c r="I23" i="3"/>
  <c r="K23" i="3"/>
  <c r="J23" i="3"/>
  <c r="K32" i="3"/>
  <c r="J32" i="3"/>
  <c r="AG55" i="3"/>
  <c r="J55" i="3"/>
  <c r="I55" i="3"/>
  <c r="AG41" i="3"/>
  <c r="K41" i="3"/>
  <c r="AG54" i="3"/>
  <c r="K54" i="3"/>
  <c r="J54" i="3"/>
  <c r="AG39" i="3"/>
  <c r="I39" i="3"/>
  <c r="K39" i="3"/>
  <c r="J39" i="3"/>
  <c r="K22" i="3"/>
  <c r="J22" i="3"/>
  <c r="I22" i="3"/>
  <c r="AG52" i="3"/>
  <c r="K52" i="3"/>
  <c r="J52" i="3"/>
  <c r="AG38" i="3"/>
  <c r="J38" i="3"/>
  <c r="I38" i="3"/>
  <c r="K38" i="3"/>
  <c r="AF57" i="2"/>
  <c r="AB57" i="2"/>
  <c r="Z57" i="2" s="1"/>
  <c r="AB96" i="2"/>
  <c r="Z96" i="2" s="1"/>
  <c r="AF96" i="2"/>
  <c r="AB32" i="2"/>
  <c r="Z32" i="2" s="1"/>
  <c r="AF32" i="2"/>
  <c r="AF118" i="2"/>
  <c r="AB118" i="2"/>
  <c r="Z118" i="2" s="1"/>
  <c r="AB94" i="2"/>
  <c r="Z94" i="2" s="1"/>
  <c r="AF94" i="2"/>
  <c r="AB38" i="2"/>
  <c r="Z38" i="2" s="1"/>
  <c r="AF38" i="2"/>
  <c r="AB41" i="2"/>
  <c r="Z41" i="2" s="1"/>
  <c r="AF41" i="2"/>
  <c r="AB99" i="2"/>
  <c r="Z99" i="2" s="1"/>
  <c r="AF99" i="2"/>
  <c r="AF91" i="2"/>
  <c r="AB91" i="2"/>
  <c r="Z91" i="2" s="1"/>
  <c r="AB35" i="2"/>
  <c r="Z35" i="2" s="1"/>
  <c r="AF35" i="2"/>
  <c r="AB54" i="2"/>
  <c r="Z54" i="2" s="1"/>
  <c r="AF54" i="2"/>
  <c r="AF115" i="2"/>
  <c r="AB115" i="2"/>
  <c r="Z115" i="2" s="1"/>
  <c r="O43" i="3"/>
  <c r="Q43" i="3" s="1"/>
  <c r="S43" i="3" s="1"/>
  <c r="AG43" i="3"/>
  <c r="I26" i="2"/>
  <c r="Q26" i="2"/>
  <c r="U26" i="2" s="1"/>
  <c r="AD26" i="2" s="1"/>
  <c r="P21" i="2"/>
  <c r="Q21" i="2"/>
  <c r="U21" i="2" s="1"/>
  <c r="X21" i="2" s="1"/>
  <c r="AD21" i="2" s="1"/>
  <c r="Q20" i="2"/>
  <c r="U20" i="2" s="1"/>
  <c r="P20" i="2"/>
  <c r="Q76" i="2"/>
  <c r="U76" i="2" s="1"/>
  <c r="X76" i="2" s="1"/>
  <c r="P76" i="2"/>
  <c r="U84" i="2"/>
  <c r="AD84" i="2" s="1"/>
  <c r="U132" i="2"/>
  <c r="AD132" i="2" s="1"/>
  <c r="U120" i="2"/>
  <c r="AD120" i="2" s="1"/>
  <c r="U82" i="2"/>
  <c r="U131" i="2"/>
  <c r="AD131" i="2" s="1"/>
  <c r="U119" i="2"/>
  <c r="AD119" i="2" s="1"/>
  <c r="U95" i="2"/>
  <c r="AD95" i="2" s="1"/>
  <c r="U129" i="2"/>
  <c r="AD129" i="2" s="1"/>
  <c r="U127" i="2"/>
  <c r="AD127" i="2" s="1"/>
  <c r="U130" i="2"/>
  <c r="AD130" i="2" s="1"/>
  <c r="U114" i="2"/>
  <c r="AD114" i="2" s="1"/>
  <c r="U90" i="2"/>
  <c r="U110" i="2"/>
  <c r="AD110" i="2" s="1"/>
  <c r="U88" i="2"/>
  <c r="AD88" i="2" s="1"/>
  <c r="U112" i="2"/>
  <c r="AD112" i="2" s="1"/>
  <c r="U100" i="2"/>
  <c r="AD100" i="2" s="1"/>
  <c r="U111" i="2"/>
  <c r="AD111" i="2" s="1"/>
  <c r="U43" i="2"/>
  <c r="AD43" i="2" s="1"/>
  <c r="U31" i="2"/>
  <c r="U66" i="2"/>
  <c r="AD66" i="2" s="1"/>
  <c r="U42" i="2"/>
  <c r="AD42" i="2" s="1"/>
  <c r="U30" i="2"/>
  <c r="U67" i="2"/>
  <c r="AD67" i="2" s="1"/>
  <c r="U53" i="2"/>
  <c r="AD53" i="2" s="1"/>
  <c r="U29" i="2"/>
  <c r="U28" i="2"/>
  <c r="AD28" i="2" s="1"/>
  <c r="U60" i="2"/>
  <c r="AD60" i="2" s="1"/>
  <c r="U36" i="2"/>
  <c r="U59" i="2"/>
  <c r="AD59" i="2" s="1"/>
  <c r="U22" i="2"/>
  <c r="X22" i="2" s="1"/>
  <c r="AD22" i="2" s="1"/>
  <c r="U23" i="2"/>
  <c r="U58" i="2"/>
  <c r="AD58" i="2" s="1"/>
  <c r="U46" i="2"/>
  <c r="AD46" i="2" s="1"/>
  <c r="U50" i="2"/>
  <c r="AD50" i="2" s="1"/>
  <c r="U69" i="2"/>
  <c r="AD69" i="2" s="1"/>
  <c r="U45" i="2"/>
  <c r="AD45" i="2" s="1"/>
  <c r="AS41" i="2"/>
  <c r="AS106" i="2"/>
  <c r="AS28" i="2"/>
  <c r="AS79" i="2"/>
  <c r="AS128" i="2"/>
  <c r="AS68" i="2"/>
  <c r="AS44" i="2"/>
  <c r="AS32" i="2"/>
  <c r="AS133" i="2"/>
  <c r="AS121" i="2"/>
  <c r="AS109" i="2"/>
  <c r="AS84" i="2"/>
  <c r="AS67" i="2"/>
  <c r="AS43" i="2"/>
  <c r="AS31" i="2"/>
  <c r="AS132" i="2"/>
  <c r="AS120" i="2"/>
  <c r="AS108" i="2"/>
  <c r="AS96" i="2"/>
  <c r="AS82" i="2"/>
  <c r="AS66" i="2"/>
  <c r="AS54" i="2"/>
  <c r="AS42" i="2"/>
  <c r="AS30" i="2"/>
  <c r="AS131" i="2"/>
  <c r="AS119" i="2"/>
  <c r="AS107" i="2"/>
  <c r="AS95" i="2"/>
  <c r="AS81" i="2"/>
  <c r="AS29" i="2"/>
  <c r="AS80" i="2"/>
  <c r="AS27" i="2"/>
  <c r="AS26" i="2"/>
  <c r="AS103" i="2"/>
  <c r="AS25" i="2"/>
  <c r="AS90" i="2"/>
  <c r="AS60" i="2"/>
  <c r="AS48" i="2"/>
  <c r="AS36" i="2"/>
  <c r="AS23" i="2"/>
  <c r="AS125" i="2"/>
  <c r="AS113" i="2"/>
  <c r="AS101" i="2"/>
  <c r="AS88" i="2"/>
  <c r="AS130" i="2"/>
  <c r="AS52" i="2"/>
  <c r="AS105" i="2"/>
  <c r="AS63" i="2"/>
  <c r="AS127" i="2"/>
  <c r="AS77" i="2"/>
  <c r="AS49" i="2"/>
  <c r="AS114" i="2"/>
  <c r="AS59" i="2"/>
  <c r="AS47" i="2"/>
  <c r="AS35" i="2"/>
  <c r="AS22" i="2"/>
  <c r="AS124" i="2"/>
  <c r="AS112" i="2"/>
  <c r="AS100" i="2"/>
  <c r="AS87" i="2"/>
  <c r="AS65" i="2"/>
  <c r="AS118" i="2"/>
  <c r="AS64" i="2"/>
  <c r="AS129" i="2"/>
  <c r="AS51" i="2"/>
  <c r="AS104" i="2"/>
  <c r="AS62" i="2"/>
  <c r="AS38" i="2"/>
  <c r="AS115" i="2"/>
  <c r="AS61" i="2"/>
  <c r="AS126" i="2"/>
  <c r="AS76" i="2"/>
  <c r="AS70" i="2"/>
  <c r="AS58" i="2"/>
  <c r="AS46" i="2"/>
  <c r="AS21" i="2"/>
  <c r="AS123" i="2"/>
  <c r="AS111" i="2"/>
  <c r="AS99" i="2"/>
  <c r="AS86" i="2"/>
  <c r="AS53" i="2"/>
  <c r="AS94" i="2"/>
  <c r="AS78" i="2"/>
  <c r="AS50" i="2"/>
  <c r="AS91" i="2"/>
  <c r="AS37" i="2"/>
  <c r="AS102" i="2"/>
  <c r="AS69" i="2"/>
  <c r="AS57" i="2"/>
  <c r="AS45" i="2"/>
  <c r="AS20" i="2"/>
  <c r="AS122" i="2"/>
  <c r="AS110" i="2"/>
  <c r="AS85" i="2"/>
  <c r="M32" i="8"/>
  <c r="O32" i="8" s="1"/>
  <c r="M29" i="8"/>
  <c r="O29" i="8" s="1"/>
  <c r="AC27" i="4"/>
  <c r="O22" i="4"/>
  <c r="Q22" i="4" s="1"/>
  <c r="U22" i="4" s="1"/>
  <c r="S22" i="4" s="1"/>
  <c r="AC22" i="4"/>
  <c r="AC35" i="4"/>
  <c r="AC56" i="4"/>
  <c r="AC37" i="4"/>
  <c r="O20" i="4"/>
  <c r="Q20" i="4" s="1"/>
  <c r="AC20" i="4"/>
  <c r="AC34" i="4"/>
  <c r="O55" i="4"/>
  <c r="Q55" i="4" s="1"/>
  <c r="Y55" i="4" s="1"/>
  <c r="AC55" i="4"/>
  <c r="AC42" i="4"/>
  <c r="AC33" i="4"/>
  <c r="AC47" i="4"/>
  <c r="AC61" i="4"/>
  <c r="AC52" i="4"/>
  <c r="AC63" i="4"/>
  <c r="AC62" i="4"/>
  <c r="AC46" i="4"/>
  <c r="AC41" i="4"/>
  <c r="AC29" i="4"/>
  <c r="AC40" i="4"/>
  <c r="AC49" i="4"/>
  <c r="O19" i="4"/>
  <c r="Q19" i="4" s="1"/>
  <c r="AC19" i="4"/>
  <c r="AC45" i="4"/>
  <c r="AC54" i="4"/>
  <c r="AC32" i="4"/>
  <c r="AC24" i="4"/>
  <c r="AC36" i="4"/>
  <c r="O53" i="4"/>
  <c r="Q53" i="4" s="1"/>
  <c r="Z53" i="4" s="1"/>
  <c r="AC53" i="4"/>
  <c r="O48" i="4"/>
  <c r="Q48" i="4" s="1"/>
  <c r="AC48" i="4"/>
  <c r="AC23" i="4"/>
  <c r="AC57" i="4"/>
  <c r="AG35" i="3"/>
  <c r="AG20" i="3"/>
  <c r="AG33" i="3"/>
  <c r="AG19" i="3"/>
  <c r="AG32" i="3"/>
  <c r="AG28" i="3"/>
  <c r="AG27" i="3"/>
  <c r="AG25" i="3"/>
  <c r="AG23" i="3"/>
  <c r="AG22" i="3"/>
  <c r="AG31" i="3"/>
  <c r="AG21" i="3"/>
  <c r="X44" i="4"/>
  <c r="O46" i="4"/>
  <c r="Q46" i="4" s="1"/>
  <c r="AA46" i="4" s="1"/>
  <c r="M19" i="8"/>
  <c r="O19" i="8" s="1"/>
  <c r="M22" i="8"/>
  <c r="O22" i="8" s="1"/>
  <c r="M21" i="7"/>
  <c r="O21" i="7" s="1"/>
  <c r="P21" i="7" s="1"/>
  <c r="S21" i="7" s="1"/>
  <c r="Q21" i="7" s="1"/>
  <c r="M33" i="7"/>
  <c r="O33" i="7" s="1"/>
  <c r="S33" i="7" s="1"/>
  <c r="Q33" i="7" s="1"/>
  <c r="M19" i="7"/>
  <c r="O19" i="7" s="1"/>
  <c r="P19" i="7" s="1"/>
  <c r="S19" i="7" s="1"/>
  <c r="Q19" i="7" s="1"/>
  <c r="M27" i="7"/>
  <c r="O27" i="7" s="1"/>
  <c r="S27" i="7" s="1"/>
  <c r="Q27" i="7" s="1"/>
  <c r="M28" i="7"/>
  <c r="O28" i="7" s="1"/>
  <c r="S28" i="7" s="1"/>
  <c r="Q28" i="7" s="1"/>
  <c r="M34" i="7"/>
  <c r="O34" i="7" s="1"/>
  <c r="S34" i="7" s="1"/>
  <c r="Q34" i="7" s="1"/>
  <c r="M48" i="7"/>
  <c r="O48" i="7" s="1"/>
  <c r="M29" i="7"/>
  <c r="O29" i="7" s="1"/>
  <c r="S29" i="7" s="1"/>
  <c r="Q29" i="7" s="1"/>
  <c r="M45" i="7"/>
  <c r="O45" i="7" s="1"/>
  <c r="M35" i="7"/>
  <c r="O35" i="7" s="1"/>
  <c r="S35" i="7" s="1"/>
  <c r="Q35" i="7" s="1"/>
  <c r="M52" i="7"/>
  <c r="O52" i="7" s="1"/>
  <c r="M44" i="7"/>
  <c r="O44" i="7" s="1"/>
  <c r="M46" i="7"/>
  <c r="O46" i="7" s="1"/>
  <c r="M51" i="7"/>
  <c r="O51" i="7" s="1"/>
  <c r="M53" i="7"/>
  <c r="O53" i="7" s="1"/>
  <c r="O47" i="4"/>
  <c r="Q47" i="4" s="1"/>
  <c r="Y47" i="4" s="1"/>
  <c r="O42" i="4"/>
  <c r="Q42" i="4" s="1"/>
  <c r="O63" i="4"/>
  <c r="Q63" i="4" s="1"/>
  <c r="AA63" i="4" s="1"/>
  <c r="O49" i="4"/>
  <c r="Q49" i="4" s="1"/>
  <c r="AA49" i="4" s="1"/>
  <c r="O41" i="4"/>
  <c r="Q41" i="4" s="1"/>
  <c r="O40" i="4"/>
  <c r="Q40" i="4" s="1"/>
  <c r="AA40" i="4" s="1"/>
  <c r="AA37" i="4"/>
  <c r="W37" i="4"/>
  <c r="X37" i="4"/>
  <c r="Z37" i="4"/>
  <c r="Y37" i="4"/>
  <c r="O36" i="4"/>
  <c r="Q36" i="4" s="1"/>
  <c r="O35" i="4"/>
  <c r="Q35" i="4" s="1"/>
  <c r="Y35" i="4" s="1"/>
  <c r="O34" i="4"/>
  <c r="Q34" i="4" s="1"/>
  <c r="Y34" i="4" s="1"/>
  <c r="O29" i="4"/>
  <c r="Q29" i="4" s="1"/>
  <c r="Y29" i="4" s="1"/>
  <c r="O33" i="4"/>
  <c r="Q33" i="4" s="1"/>
  <c r="Z33" i="4" s="1"/>
  <c r="O24" i="4"/>
  <c r="Q24" i="4" s="1"/>
  <c r="U24" i="4" s="1"/>
  <c r="S24" i="4" s="1"/>
  <c r="O32" i="4"/>
  <c r="Q32" i="4" s="1"/>
  <c r="AA32" i="4" s="1"/>
  <c r="X58" i="4"/>
  <c r="O52" i="4"/>
  <c r="Q52" i="4" s="1"/>
  <c r="AA52" i="4" s="1"/>
  <c r="O61" i="4"/>
  <c r="Q61" i="4" s="1"/>
  <c r="X64" i="4"/>
  <c r="O54" i="4"/>
  <c r="Q54" i="4" s="1"/>
  <c r="Z54" i="4" s="1"/>
  <c r="W23" i="4"/>
  <c r="X23" i="4"/>
  <c r="Z60" i="4"/>
  <c r="AA60" i="4"/>
  <c r="O62" i="4"/>
  <c r="Q62" i="4" s="1"/>
  <c r="X59" i="4"/>
  <c r="X60" i="4"/>
  <c r="Y60" i="4"/>
  <c r="Z57" i="4"/>
  <c r="Y57" i="4"/>
  <c r="AA57" i="4"/>
  <c r="W64" i="4"/>
  <c r="X57" i="4"/>
  <c r="W60" i="4"/>
  <c r="AA23" i="4"/>
  <c r="Z23" i="4"/>
  <c r="Y64" i="4"/>
  <c r="AA39" i="4"/>
  <c r="Z39" i="4"/>
  <c r="Y39" i="4"/>
  <c r="W39" i="4"/>
  <c r="Z64" i="4"/>
  <c r="O38" i="4"/>
  <c r="Q38" i="4" s="1"/>
  <c r="O45" i="4"/>
  <c r="Q45" i="4" s="1"/>
  <c r="O27" i="4"/>
  <c r="Q27" i="4" s="1"/>
  <c r="X39" i="4"/>
  <c r="O56" i="4"/>
  <c r="Q56" i="4" s="1"/>
  <c r="O44" i="3"/>
  <c r="Q44" i="3" s="1"/>
  <c r="O28" i="3"/>
  <c r="Q28" i="3" s="1"/>
  <c r="V28" i="3" s="1"/>
  <c r="G28" i="3"/>
  <c r="G27" i="3"/>
  <c r="O55" i="3"/>
  <c r="Q55" i="3" s="1"/>
  <c r="V55" i="3" s="1"/>
  <c r="W55" i="3" s="1"/>
  <c r="G55" i="3"/>
  <c r="G54" i="3"/>
  <c r="G52" i="3"/>
  <c r="G51" i="3"/>
  <c r="G50" i="3"/>
  <c r="O49" i="3"/>
  <c r="Q49" i="3" s="1"/>
  <c r="G49" i="3"/>
  <c r="G48" i="3"/>
  <c r="O47" i="3"/>
  <c r="Q47" i="3" s="1"/>
  <c r="G47" i="3"/>
  <c r="G46" i="3"/>
  <c r="G45" i="3"/>
  <c r="G41" i="3"/>
  <c r="O39" i="3"/>
  <c r="Q39" i="3" s="1"/>
  <c r="S39" i="3" s="1"/>
  <c r="G39" i="3"/>
  <c r="G38" i="3"/>
  <c r="G35" i="3"/>
  <c r="O33" i="3"/>
  <c r="Q33" i="3" s="1"/>
  <c r="V33" i="3" s="1"/>
  <c r="T33" i="3" s="1"/>
  <c r="G33" i="3"/>
  <c r="G32" i="3"/>
  <c r="O31" i="3"/>
  <c r="Q31" i="3" s="1"/>
  <c r="V31" i="3" s="1"/>
  <c r="G31" i="3"/>
  <c r="O30" i="3"/>
  <c r="Q30" i="3" s="1"/>
  <c r="G30" i="3"/>
  <c r="G29" i="3"/>
  <c r="G25" i="3"/>
  <c r="G23" i="3"/>
  <c r="O22" i="3"/>
  <c r="Q22" i="3" s="1"/>
  <c r="S22" i="3" s="1"/>
  <c r="G22" i="3"/>
  <c r="G21" i="3"/>
  <c r="G20" i="3"/>
  <c r="G19" i="3"/>
  <c r="O64" i="3"/>
  <c r="Q64" i="3" s="1"/>
  <c r="G64" i="3"/>
  <c r="J80" i="2"/>
  <c r="AP92" i="2"/>
  <c r="AP93" i="2"/>
  <c r="AP97" i="2"/>
  <c r="AP98" i="2"/>
  <c r="AP116" i="2"/>
  <c r="AP117" i="2"/>
  <c r="AP33" i="2"/>
  <c r="AP34" i="2"/>
  <c r="AP39" i="2"/>
  <c r="AP40" i="2"/>
  <c r="AP55" i="2"/>
  <c r="AP56" i="2"/>
  <c r="AN92" i="2"/>
  <c r="AN93" i="2"/>
  <c r="AN97" i="2"/>
  <c r="AN98" i="2"/>
  <c r="AN116" i="2"/>
  <c r="AN117" i="2"/>
  <c r="AN33" i="2"/>
  <c r="AN34" i="2"/>
  <c r="AN39" i="2"/>
  <c r="AN40" i="2"/>
  <c r="AN55" i="2"/>
  <c r="AN56" i="2"/>
  <c r="K117" i="2"/>
  <c r="K116" i="2"/>
  <c r="K98" i="2"/>
  <c r="K97" i="2"/>
  <c r="K93" i="2"/>
  <c r="K92" i="2"/>
  <c r="K76" i="2"/>
  <c r="K77" i="2"/>
  <c r="K78" i="2"/>
  <c r="K56" i="2"/>
  <c r="K55" i="2"/>
  <c r="K40" i="2"/>
  <c r="K39" i="2"/>
  <c r="K34" i="2"/>
  <c r="K33" i="2"/>
  <c r="K20" i="2"/>
  <c r="K21" i="2"/>
  <c r="J117" i="2"/>
  <c r="J116" i="2"/>
  <c r="J98" i="2"/>
  <c r="J97" i="2"/>
  <c r="J93" i="2"/>
  <c r="J92" i="2"/>
  <c r="I131" i="2"/>
  <c r="I132" i="2"/>
  <c r="I130" i="2"/>
  <c r="I120" i="2"/>
  <c r="I121" i="2"/>
  <c r="I119" i="2"/>
  <c r="I117" i="2"/>
  <c r="I116" i="2"/>
  <c r="I109" i="2"/>
  <c r="I110" i="2"/>
  <c r="I111" i="2"/>
  <c r="I112" i="2"/>
  <c r="I114" i="2"/>
  <c r="I100" i="2"/>
  <c r="I98" i="2"/>
  <c r="I97" i="2"/>
  <c r="I95" i="2"/>
  <c r="I93" i="2"/>
  <c r="I92" i="2"/>
  <c r="I82" i="2"/>
  <c r="I84" i="2"/>
  <c r="I90" i="2"/>
  <c r="J56" i="2"/>
  <c r="J55" i="2"/>
  <c r="J40" i="2"/>
  <c r="J39" i="2"/>
  <c r="J34" i="2"/>
  <c r="J33" i="2"/>
  <c r="J28" i="2"/>
  <c r="I59" i="2"/>
  <c r="I60" i="2"/>
  <c r="I61" i="2"/>
  <c r="I66" i="2"/>
  <c r="I58" i="2"/>
  <c r="I56" i="2"/>
  <c r="I55" i="2"/>
  <c r="I50" i="2"/>
  <c r="I53" i="2"/>
  <c r="I42" i="2"/>
  <c r="I40" i="2"/>
  <c r="I39" i="2"/>
  <c r="I36" i="2"/>
  <c r="I34" i="2"/>
  <c r="I33" i="2"/>
  <c r="I31" i="2"/>
  <c r="I30" i="2"/>
  <c r="I28" i="2"/>
  <c r="H120" i="2"/>
  <c r="H121" i="2"/>
  <c r="H122" i="2"/>
  <c r="H123" i="2"/>
  <c r="H124" i="2"/>
  <c r="H125" i="2"/>
  <c r="H126" i="2"/>
  <c r="H128" i="2"/>
  <c r="H130" i="2"/>
  <c r="H131" i="2"/>
  <c r="H132" i="2"/>
  <c r="H133" i="2"/>
  <c r="H119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00" i="2"/>
  <c r="H98" i="2"/>
  <c r="H97" i="2"/>
  <c r="H95" i="2"/>
  <c r="H93" i="2"/>
  <c r="H92" i="2"/>
  <c r="H76" i="2"/>
  <c r="H77" i="2"/>
  <c r="H78" i="2"/>
  <c r="H80" i="2"/>
  <c r="H81" i="2"/>
  <c r="H82" i="2"/>
  <c r="H84" i="2"/>
  <c r="H85" i="2"/>
  <c r="H86" i="2"/>
  <c r="H87" i="2"/>
  <c r="H88" i="2"/>
  <c r="H90" i="2"/>
  <c r="W90" i="2" s="1"/>
  <c r="H59" i="2"/>
  <c r="H60" i="2"/>
  <c r="H61" i="2"/>
  <c r="H62" i="2"/>
  <c r="H63" i="2"/>
  <c r="H64" i="2"/>
  <c r="H65" i="2"/>
  <c r="H66" i="2"/>
  <c r="H68" i="2"/>
  <c r="H70" i="2"/>
  <c r="H58" i="2"/>
  <c r="H43" i="2"/>
  <c r="H44" i="2"/>
  <c r="H45" i="2"/>
  <c r="H46" i="2"/>
  <c r="H47" i="2"/>
  <c r="H48" i="2"/>
  <c r="H49" i="2"/>
  <c r="H50" i="2"/>
  <c r="H51" i="2"/>
  <c r="H52" i="2"/>
  <c r="H53" i="2"/>
  <c r="H42" i="2"/>
  <c r="H37" i="2"/>
  <c r="H36" i="2"/>
  <c r="H34" i="2"/>
  <c r="H33" i="2"/>
  <c r="H21" i="2"/>
  <c r="H23" i="2"/>
  <c r="H25" i="2"/>
  <c r="H26" i="2"/>
  <c r="H27" i="2"/>
  <c r="H28" i="2"/>
  <c r="H30" i="2"/>
  <c r="G76" i="2"/>
  <c r="G77" i="2"/>
  <c r="G78" i="2"/>
  <c r="G79" i="2"/>
  <c r="G80" i="2"/>
  <c r="G81" i="2"/>
  <c r="G82" i="2"/>
  <c r="G84" i="2"/>
  <c r="G85" i="2"/>
  <c r="G86" i="2"/>
  <c r="G87" i="2"/>
  <c r="G88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20" i="2"/>
  <c r="G21" i="2"/>
  <c r="G22" i="2"/>
  <c r="G23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P87" i="2"/>
  <c r="T87" i="2" s="1"/>
  <c r="P91" i="2"/>
  <c r="T91" i="2" s="1"/>
  <c r="AC91" i="2" s="1"/>
  <c r="P92" i="2"/>
  <c r="T92" i="2" s="1"/>
  <c r="P93" i="2"/>
  <c r="T93" i="2" s="1"/>
  <c r="P94" i="2"/>
  <c r="T94" i="2" s="1"/>
  <c r="AC94" i="2" s="1"/>
  <c r="P96" i="2"/>
  <c r="T96" i="2" s="1"/>
  <c r="AC96" i="2" s="1"/>
  <c r="P97" i="2"/>
  <c r="T97" i="2" s="1"/>
  <c r="P98" i="2"/>
  <c r="T98" i="2" s="1"/>
  <c r="P99" i="2"/>
  <c r="T99" i="2" s="1"/>
  <c r="AC99" i="2" s="1"/>
  <c r="P101" i="2"/>
  <c r="T101" i="2" s="1"/>
  <c r="P106" i="2"/>
  <c r="T106" i="2" s="1"/>
  <c r="P108" i="2"/>
  <c r="T108" i="2" s="1"/>
  <c r="AC108" i="2" s="1"/>
  <c r="P109" i="2"/>
  <c r="T109" i="2" s="1"/>
  <c r="P115" i="2"/>
  <c r="T115" i="2" s="1"/>
  <c r="AC115" i="2" s="1"/>
  <c r="P116" i="2"/>
  <c r="T116" i="2" s="1"/>
  <c r="P117" i="2"/>
  <c r="T117" i="2" s="1"/>
  <c r="P118" i="2"/>
  <c r="T118" i="2" s="1"/>
  <c r="AC118" i="2" s="1"/>
  <c r="P121" i="2"/>
  <c r="T121" i="2" s="1"/>
  <c r="P123" i="2"/>
  <c r="T123" i="2" s="1"/>
  <c r="P27" i="2"/>
  <c r="T27" i="2" s="1"/>
  <c r="P32" i="2"/>
  <c r="T32" i="2" s="1"/>
  <c r="P33" i="2"/>
  <c r="T33" i="2" s="1"/>
  <c r="W33" i="2" s="1"/>
  <c r="P34" i="2"/>
  <c r="T34" i="2" s="1"/>
  <c r="W34" i="2" s="1"/>
  <c r="P35" i="2"/>
  <c r="T35" i="2" s="1"/>
  <c r="P38" i="2"/>
  <c r="T38" i="2" s="1"/>
  <c r="P39" i="2"/>
  <c r="T39" i="2" s="1"/>
  <c r="P40" i="2"/>
  <c r="T40" i="2" s="1"/>
  <c r="W40" i="2" s="1"/>
  <c r="P41" i="2"/>
  <c r="T41" i="2" s="1"/>
  <c r="AC41" i="2" s="1"/>
  <c r="P47" i="2"/>
  <c r="T47" i="2" s="1"/>
  <c r="P49" i="2"/>
  <c r="T49" i="2" s="1"/>
  <c r="P54" i="2"/>
  <c r="T54" i="2" s="1"/>
  <c r="AC54" i="2" s="1"/>
  <c r="P55" i="2"/>
  <c r="T55" i="2" s="1"/>
  <c r="P56" i="2"/>
  <c r="T56" i="2" s="1"/>
  <c r="P57" i="2"/>
  <c r="T57" i="2" s="1"/>
  <c r="AC57" i="2" s="1"/>
  <c r="P61" i="2"/>
  <c r="T61" i="2" s="1"/>
  <c r="P63" i="2"/>
  <c r="T63" i="2" s="1"/>
  <c r="X59" i="8" l="1"/>
  <c r="X69" i="8" s="1"/>
  <c r="AS26" i="1" s="1"/>
  <c r="AC109" i="2"/>
  <c r="AR73" i="2"/>
  <c r="W65" i="7"/>
  <c r="AS25" i="1" s="1"/>
  <c r="W19" i="4"/>
  <c r="R19" i="4"/>
  <c r="Y20" i="4"/>
  <c r="R20" i="4"/>
  <c r="V55" i="4"/>
  <c r="S44" i="3"/>
  <c r="V44" i="3" s="1"/>
  <c r="V49" i="3"/>
  <c r="T49" i="3" s="1"/>
  <c r="U49" i="3"/>
  <c r="W49" i="3"/>
  <c r="V47" i="3"/>
  <c r="S47" i="3"/>
  <c r="X30" i="2"/>
  <c r="AD30" i="2" s="1"/>
  <c r="Y40" i="2"/>
  <c r="X29" i="2"/>
  <c r="AD29" i="2" s="1"/>
  <c r="X37" i="2"/>
  <c r="AD37" i="2" s="1"/>
  <c r="W38" i="2"/>
  <c r="AC38" i="2" s="1"/>
  <c r="AD31" i="2"/>
  <c r="X31" i="2"/>
  <c r="Y39" i="2"/>
  <c r="W35" i="2"/>
  <c r="AC35" i="2" s="1"/>
  <c r="AE34" i="2"/>
  <c r="AC34" i="2"/>
  <c r="AA34" i="2"/>
  <c r="Y34" i="2" s="1"/>
  <c r="AS73" i="2"/>
  <c r="AE33" i="2"/>
  <c r="AC33" i="2"/>
  <c r="AA33" i="2"/>
  <c r="Y33" i="2" s="1"/>
  <c r="AD36" i="2"/>
  <c r="X36" i="2"/>
  <c r="AC32" i="2"/>
  <c r="W32" i="2"/>
  <c r="AS136" i="2"/>
  <c r="AR136" i="2"/>
  <c r="AD79" i="2"/>
  <c r="X136" i="2"/>
  <c r="AD23" i="2"/>
  <c r="AO77" i="2"/>
  <c r="AQ84" i="2"/>
  <c r="AS29" i="1"/>
  <c r="AR30" i="1" s="1"/>
  <c r="V44" i="7"/>
  <c r="U44" i="7"/>
  <c r="U52" i="7"/>
  <c r="V52" i="7"/>
  <c r="V55" i="7"/>
  <c r="U55" i="7"/>
  <c r="U34" i="7"/>
  <c r="V34" i="7"/>
  <c r="V18" i="7"/>
  <c r="U18" i="7"/>
  <c r="V32" i="7"/>
  <c r="U32" i="7"/>
  <c r="V29" i="7"/>
  <c r="U29" i="7"/>
  <c r="U22" i="7"/>
  <c r="V22" i="7"/>
  <c r="U28" i="7"/>
  <c r="V28" i="7"/>
  <c r="U36" i="7"/>
  <c r="V36" i="7"/>
  <c r="V27" i="7"/>
  <c r="U27" i="7"/>
  <c r="V40" i="7"/>
  <c r="R40" i="7"/>
  <c r="U40" i="7"/>
  <c r="V26" i="7"/>
  <c r="U26" i="7"/>
  <c r="U35" i="7"/>
  <c r="V35" i="7"/>
  <c r="U48" i="7"/>
  <c r="V48" i="7"/>
  <c r="V53" i="7"/>
  <c r="U53" i="7"/>
  <c r="U19" i="7"/>
  <c r="V19" i="7"/>
  <c r="U54" i="7"/>
  <c r="V54" i="7"/>
  <c r="U23" i="7"/>
  <c r="V23" i="7"/>
  <c r="AS33" i="1"/>
  <c r="AS35" i="1" s="1"/>
  <c r="AF78" i="3"/>
  <c r="V38" i="7"/>
  <c r="U38" i="7"/>
  <c r="V51" i="7"/>
  <c r="U51" i="7"/>
  <c r="V33" i="7"/>
  <c r="U33" i="7"/>
  <c r="V56" i="7"/>
  <c r="U56" i="7"/>
  <c r="V63" i="7"/>
  <c r="U63" i="7"/>
  <c r="V20" i="7"/>
  <c r="U20" i="7"/>
  <c r="V45" i="7"/>
  <c r="U45" i="7"/>
  <c r="U46" i="7"/>
  <c r="V46" i="7"/>
  <c r="V21" i="7"/>
  <c r="U21" i="7"/>
  <c r="O74" i="8"/>
  <c r="X55" i="4"/>
  <c r="W55" i="4"/>
  <c r="Z55" i="4"/>
  <c r="AA55" i="4"/>
  <c r="Z19" i="4"/>
  <c r="AO84" i="2"/>
  <c r="AD76" i="2"/>
  <c r="AC121" i="2"/>
  <c r="AA121" i="2" s="1"/>
  <c r="Y121" i="2" s="1"/>
  <c r="AG57" i="3"/>
  <c r="AG78" i="3" s="1"/>
  <c r="AD82" i="2"/>
  <c r="U185" i="2"/>
  <c r="X20" i="2"/>
  <c r="W33" i="3"/>
  <c r="AC123" i="2"/>
  <c r="AA123" i="2" s="1"/>
  <c r="Y123" i="2" s="1"/>
  <c r="S22" i="8"/>
  <c r="Q22" i="8" s="1"/>
  <c r="V22" i="8"/>
  <c r="W22" i="8"/>
  <c r="V29" i="8"/>
  <c r="W29" i="8"/>
  <c r="S29" i="8"/>
  <c r="V32" i="8"/>
  <c r="S32" i="8"/>
  <c r="Q32" i="8" s="1"/>
  <c r="W32" i="8"/>
  <c r="V30" i="8"/>
  <c r="W30" i="8"/>
  <c r="W18" i="8"/>
  <c r="V18" i="8"/>
  <c r="S18" i="8"/>
  <c r="W24" i="8"/>
  <c r="V24" i="8"/>
  <c r="S24" i="8"/>
  <c r="Q24" i="8" s="1"/>
  <c r="V23" i="8"/>
  <c r="W23" i="8"/>
  <c r="S23" i="8"/>
  <c r="V36" i="8"/>
  <c r="W36" i="8"/>
  <c r="S36" i="8"/>
  <c r="Q36" i="8" s="1"/>
  <c r="V31" i="8"/>
  <c r="W31" i="8"/>
  <c r="S31" i="8"/>
  <c r="R38" i="7"/>
  <c r="W53" i="4"/>
  <c r="Y19" i="4"/>
  <c r="X53" i="4"/>
  <c r="Y53" i="4"/>
  <c r="AA53" i="4"/>
  <c r="U31" i="3"/>
  <c r="W31" i="3"/>
  <c r="T31" i="3"/>
  <c r="U33" i="3"/>
  <c r="T55" i="3"/>
  <c r="T47" i="3"/>
  <c r="W47" i="3"/>
  <c r="U47" i="3"/>
  <c r="T28" i="3"/>
  <c r="U28" i="3"/>
  <c r="W28" i="3"/>
  <c r="Z43" i="3"/>
  <c r="V43" i="3"/>
  <c r="U55" i="3"/>
  <c r="U39" i="3"/>
  <c r="V39" i="3"/>
  <c r="T39" i="3" s="1"/>
  <c r="W39" i="3"/>
  <c r="W22" i="3"/>
  <c r="V22" i="3"/>
  <c r="T22" i="3" s="1"/>
  <c r="U22" i="3"/>
  <c r="AC101" i="2"/>
  <c r="AE101" i="2" s="1"/>
  <c r="AQ90" i="2"/>
  <c r="AD90" i="2"/>
  <c r="AI107" i="2"/>
  <c r="AD107" i="2"/>
  <c r="AA19" i="4"/>
  <c r="W46" i="4"/>
  <c r="X19" i="4"/>
  <c r="X22" i="4"/>
  <c r="AA47" i="4"/>
  <c r="W49" i="4"/>
  <c r="Z46" i="4"/>
  <c r="X47" i="4"/>
  <c r="W48" i="4"/>
  <c r="Y46" i="4"/>
  <c r="T36" i="4"/>
  <c r="AA20" i="4"/>
  <c r="X20" i="4"/>
  <c r="X63" i="4"/>
  <c r="X46" i="4"/>
  <c r="Q72" i="4"/>
  <c r="AC27" i="2"/>
  <c r="AA27" i="2" s="1"/>
  <c r="Y27" i="2" s="1"/>
  <c r="AC63" i="2"/>
  <c r="AE63" i="2" s="1"/>
  <c r="AC87" i="2"/>
  <c r="AA87" i="2" s="1"/>
  <c r="Y87" i="2" s="1"/>
  <c r="AC106" i="2"/>
  <c r="AE106" i="2" s="1"/>
  <c r="AA32" i="2"/>
  <c r="Y32" i="2" s="1"/>
  <c r="AE32" i="2"/>
  <c r="AC49" i="2"/>
  <c r="AC47" i="2"/>
  <c r="AA118" i="2"/>
  <c r="Y118" i="2" s="1"/>
  <c r="AE118" i="2"/>
  <c r="AE94" i="2"/>
  <c r="AA94" i="2"/>
  <c r="Y94" i="2" s="1"/>
  <c r="AB63" i="2"/>
  <c r="Z63" i="2" s="1"/>
  <c r="AF63" i="2"/>
  <c r="AB101" i="2"/>
  <c r="Z101" i="2" s="1"/>
  <c r="AF101" i="2"/>
  <c r="AB123" i="2"/>
  <c r="Z123" i="2" s="1"/>
  <c r="AF123" i="2"/>
  <c r="AK42" i="2"/>
  <c r="AA99" i="2"/>
  <c r="Y99" i="2" s="1"/>
  <c r="AE99" i="2"/>
  <c r="AE96" i="2"/>
  <c r="AA96" i="2"/>
  <c r="Y96" i="2" s="1"/>
  <c r="AB121" i="2"/>
  <c r="Z121" i="2" s="1"/>
  <c r="AF121" i="2"/>
  <c r="AA41" i="2"/>
  <c r="Y41" i="2" s="1"/>
  <c r="AE41" i="2"/>
  <c r="AE115" i="2"/>
  <c r="AA115" i="2"/>
  <c r="Y115" i="2" s="1"/>
  <c r="AE91" i="2"/>
  <c r="AA91" i="2"/>
  <c r="Y91" i="2" s="1"/>
  <c r="AA38" i="2"/>
  <c r="Y38" i="2" s="1"/>
  <c r="AE38" i="2"/>
  <c r="AA109" i="2"/>
  <c r="Y109" i="2" s="1"/>
  <c r="AE109" i="2"/>
  <c r="AB109" i="2"/>
  <c r="Z109" i="2" s="1"/>
  <c r="AF109" i="2"/>
  <c r="AA35" i="2"/>
  <c r="Y35" i="2" s="1"/>
  <c r="AE35" i="2"/>
  <c r="AA108" i="2"/>
  <c r="Y108" i="2" s="1"/>
  <c r="AE108" i="2"/>
  <c r="AF27" i="2"/>
  <c r="AB27" i="2"/>
  <c r="Z27" i="2" s="1"/>
  <c r="AB108" i="2"/>
  <c r="Z108" i="2" s="1"/>
  <c r="AF108" i="2"/>
  <c r="AE54" i="2"/>
  <c r="AA54" i="2"/>
  <c r="Y54" i="2" s="1"/>
  <c r="AB61" i="2"/>
  <c r="Z61" i="2" s="1"/>
  <c r="AF61" i="2"/>
  <c r="AB49" i="2"/>
  <c r="Z49" i="2" s="1"/>
  <c r="AF49" i="2"/>
  <c r="AB47" i="2"/>
  <c r="Z47" i="2" s="1"/>
  <c r="AF47" i="2"/>
  <c r="AC61" i="2"/>
  <c r="AE57" i="2"/>
  <c r="AA57" i="2"/>
  <c r="Y57" i="2" s="1"/>
  <c r="AB87" i="2"/>
  <c r="Z87" i="2" s="1"/>
  <c r="AF87" i="2"/>
  <c r="AF106" i="2"/>
  <c r="AB106" i="2"/>
  <c r="Z106" i="2" s="1"/>
  <c r="AK59" i="2"/>
  <c r="AM51" i="2"/>
  <c r="AQ51" i="2"/>
  <c r="AI77" i="2"/>
  <c r="AI52" i="2"/>
  <c r="AM112" i="2"/>
  <c r="AO52" i="2"/>
  <c r="AK78" i="2"/>
  <c r="AK102" i="2"/>
  <c r="AM133" i="2"/>
  <c r="AO133" i="2"/>
  <c r="AI124" i="2"/>
  <c r="AO119" i="2"/>
  <c r="AE43" i="3"/>
  <c r="AD43" i="3"/>
  <c r="AC43" i="3"/>
  <c r="AE55" i="3"/>
  <c r="AD55" i="3"/>
  <c r="Z55" i="3"/>
  <c r="AA55" i="3"/>
  <c r="AC55" i="3"/>
  <c r="AA43" i="3"/>
  <c r="AE39" i="3"/>
  <c r="AC39" i="3"/>
  <c r="AC47" i="3"/>
  <c r="AD47" i="3"/>
  <c r="AE47" i="3"/>
  <c r="Z47" i="3"/>
  <c r="AA47" i="3"/>
  <c r="AA44" i="3"/>
  <c r="AC44" i="3"/>
  <c r="Z44" i="3"/>
  <c r="AD44" i="3"/>
  <c r="AE44" i="3"/>
  <c r="AE33" i="3"/>
  <c r="O70" i="7"/>
  <c r="AE22" i="3"/>
  <c r="Z28" i="3"/>
  <c r="AQ21" i="2"/>
  <c r="AO26" i="2"/>
  <c r="AK26" i="2"/>
  <c r="AM26" i="2"/>
  <c r="AQ26" i="2"/>
  <c r="AI133" i="2"/>
  <c r="AI86" i="2"/>
  <c r="AI78" i="2"/>
  <c r="AO102" i="2"/>
  <c r="AK119" i="2"/>
  <c r="AM119" i="2"/>
  <c r="AI42" i="2"/>
  <c r="AI45" i="2"/>
  <c r="AI51" i="2"/>
  <c r="AK84" i="2"/>
  <c r="AK133" i="2"/>
  <c r="AQ133" i="2"/>
  <c r="AO90" i="2"/>
  <c r="AK86" i="2"/>
  <c r="AO78" i="2"/>
  <c r="AO125" i="2"/>
  <c r="AQ102" i="2"/>
  <c r="AI103" i="2"/>
  <c r="AI119" i="2"/>
  <c r="AQ42" i="2"/>
  <c r="AK51" i="2"/>
  <c r="AO51" i="2"/>
  <c r="AI64" i="2"/>
  <c r="AM84" i="2"/>
  <c r="AM90" i="2"/>
  <c r="AQ86" i="2"/>
  <c r="AI25" i="2"/>
  <c r="AM78" i="2"/>
  <c r="AQ78" i="2"/>
  <c r="AQ124" i="2"/>
  <c r="AI102" i="2"/>
  <c r="AM102" i="2"/>
  <c r="AQ119" i="2"/>
  <c r="AT29" i="1"/>
  <c r="AT30" i="1" s="1"/>
  <c r="AD64" i="3"/>
  <c r="AB64" i="3"/>
  <c r="AE64" i="3"/>
  <c r="AC64" i="3"/>
  <c r="AM132" i="2"/>
  <c r="AQ103" i="2"/>
  <c r="AO86" i="2"/>
  <c r="AO113" i="2"/>
  <c r="AM76" i="2"/>
  <c r="AK95" i="2"/>
  <c r="AK76" i="2"/>
  <c r="AO95" i="2"/>
  <c r="AI76" i="2"/>
  <c r="AK112" i="2"/>
  <c r="AQ125" i="2"/>
  <c r="AM130" i="2"/>
  <c r="AI95" i="2"/>
  <c r="AI112" i="2"/>
  <c r="AM125" i="2"/>
  <c r="AO130" i="2"/>
  <c r="AQ95" i="2"/>
  <c r="AI125" i="2"/>
  <c r="AO107" i="2"/>
  <c r="AM52" i="2"/>
  <c r="AQ22" i="2"/>
  <c r="AQ52" i="2"/>
  <c r="AK52" i="2"/>
  <c r="AK65" i="2"/>
  <c r="AQ130" i="2"/>
  <c r="AO132" i="2"/>
  <c r="AQ113" i="2"/>
  <c r="AI100" i="2"/>
  <c r="AK107" i="2"/>
  <c r="AM100" i="2"/>
  <c r="AK113" i="2"/>
  <c r="AQ77" i="2"/>
  <c r="AO100" i="2"/>
  <c r="AI90" i="2"/>
  <c r="AI113" i="2"/>
  <c r="AM77" i="2"/>
  <c r="AO112" i="2"/>
  <c r="AM107" i="2"/>
  <c r="AI84" i="2"/>
  <c r="AK90" i="2"/>
  <c r="AK77" i="2"/>
  <c r="AQ112" i="2"/>
  <c r="AK125" i="2"/>
  <c r="AQ107" i="2"/>
  <c r="AQ45" i="2"/>
  <c r="AQ37" i="2"/>
  <c r="AQ62" i="2"/>
  <c r="AO76" i="2"/>
  <c r="AM95" i="2"/>
  <c r="AQ132" i="2"/>
  <c r="AK50" i="2"/>
  <c r="AI28" i="2"/>
  <c r="AO50" i="2"/>
  <c r="AM50" i="2"/>
  <c r="AQ28" i="2"/>
  <c r="AQ50" i="2"/>
  <c r="AI50" i="2"/>
  <c r="AM25" i="2"/>
  <c r="AM124" i="2"/>
  <c r="AK103" i="2"/>
  <c r="AK62" i="2"/>
  <c r="AI62" i="2"/>
  <c r="AK114" i="2"/>
  <c r="AO21" i="2"/>
  <c r="AO25" i="2"/>
  <c r="AI21" i="2"/>
  <c r="AQ25" i="2"/>
  <c r="AM59" i="2"/>
  <c r="AO20" i="2"/>
  <c r="AK100" i="2"/>
  <c r="AO124" i="2"/>
  <c r="AK45" i="2"/>
  <c r="AI59" i="2"/>
  <c r="AQ100" i="2"/>
  <c r="AK124" i="2"/>
  <c r="AM103" i="2"/>
  <c r="AI130" i="2"/>
  <c r="AM62" i="2"/>
  <c r="AM21" i="2"/>
  <c r="AM45" i="2"/>
  <c r="AO59" i="2"/>
  <c r="AM86" i="2"/>
  <c r="AM113" i="2"/>
  <c r="AQ76" i="2"/>
  <c r="AO103" i="2"/>
  <c r="AK130" i="2"/>
  <c r="AK25" i="2"/>
  <c r="AK21" i="2"/>
  <c r="AO45" i="2"/>
  <c r="AI120" i="2"/>
  <c r="AQ79" i="2"/>
  <c r="AO111" i="2"/>
  <c r="AM111" i="2"/>
  <c r="AK127" i="2"/>
  <c r="AO23" i="2"/>
  <c r="AO30" i="2"/>
  <c r="AI44" i="2"/>
  <c r="AO58" i="2"/>
  <c r="AO85" i="2"/>
  <c r="AM114" i="2"/>
  <c r="AQ111" i="2"/>
  <c r="AM131" i="2"/>
  <c r="AI127" i="2"/>
  <c r="AO79" i="2"/>
  <c r="AQ46" i="2"/>
  <c r="AQ44" i="2"/>
  <c r="AK46" i="2"/>
  <c r="AI68" i="2"/>
  <c r="AI85" i="2"/>
  <c r="AK111" i="2"/>
  <c r="AO114" i="2"/>
  <c r="AM23" i="2"/>
  <c r="AQ30" i="2"/>
  <c r="AO44" i="2"/>
  <c r="AI46" i="2"/>
  <c r="AM69" i="2"/>
  <c r="AM85" i="2"/>
  <c r="AI111" i="2"/>
  <c r="AQ131" i="2"/>
  <c r="AM20" i="2"/>
  <c r="AQ43" i="2"/>
  <c r="AK23" i="2"/>
  <c r="AM28" i="2"/>
  <c r="AO31" i="2"/>
  <c r="AK44" i="2"/>
  <c r="AM46" i="2"/>
  <c r="AO69" i="2"/>
  <c r="AI128" i="2"/>
  <c r="AO131" i="2"/>
  <c r="AQ114" i="2"/>
  <c r="AI30" i="2"/>
  <c r="AI114" i="2"/>
  <c r="AM30" i="2"/>
  <c r="AK30" i="2"/>
  <c r="AI23" i="2"/>
  <c r="AO28" i="2"/>
  <c r="AQ31" i="2"/>
  <c r="AO46" i="2"/>
  <c r="AI69" i="2"/>
  <c r="AI79" i="2"/>
  <c r="AI131" i="2"/>
  <c r="AK132" i="2"/>
  <c r="AM42" i="2"/>
  <c r="AO127" i="2"/>
  <c r="AM44" i="2"/>
  <c r="AK28" i="2"/>
  <c r="AO48" i="2"/>
  <c r="AM79" i="2"/>
  <c r="AI22" i="2"/>
  <c r="AK43" i="2"/>
  <c r="AO60" i="2"/>
  <c r="AK67" i="2"/>
  <c r="AK22" i="2"/>
  <c r="AK31" i="2"/>
  <c r="AM37" i="2"/>
  <c r="AO43" i="2"/>
  <c r="AQ59" i="2"/>
  <c r="AO62" i="2"/>
  <c r="AO65" i="2"/>
  <c r="AK85" i="2"/>
  <c r="AO80" i="2"/>
  <c r="AK36" i="2"/>
  <c r="AK129" i="2"/>
  <c r="AQ36" i="2"/>
  <c r="AM122" i="2"/>
  <c r="AM129" i="2"/>
  <c r="AQ104" i="2"/>
  <c r="AI26" i="2"/>
  <c r="AM36" i="2"/>
  <c r="AQ58" i="2"/>
  <c r="AQ60" i="2"/>
  <c r="AQ64" i="2"/>
  <c r="AQ67" i="2"/>
  <c r="AQ127" i="2"/>
  <c r="AQ65" i="2"/>
  <c r="AO42" i="2"/>
  <c r="AI60" i="2"/>
  <c r="AK64" i="2"/>
  <c r="AM67" i="2"/>
  <c r="AO81" i="2"/>
  <c r="AK131" i="2"/>
  <c r="AO36" i="2"/>
  <c r="AO122" i="2"/>
  <c r="AI31" i="2"/>
  <c r="AI37" i="2"/>
  <c r="AI43" i="2"/>
  <c r="AK48" i="2"/>
  <c r="AI58" i="2"/>
  <c r="AM64" i="2"/>
  <c r="AI67" i="2"/>
  <c r="AO128" i="2"/>
  <c r="AI36" i="2"/>
  <c r="AI65" i="2"/>
  <c r="AM65" i="2"/>
  <c r="AO37" i="2"/>
  <c r="AM43" i="2"/>
  <c r="AM58" i="2"/>
  <c r="AM60" i="2"/>
  <c r="AO64" i="2"/>
  <c r="AO67" i="2"/>
  <c r="AM128" i="2"/>
  <c r="AI132" i="2"/>
  <c r="AM31" i="2"/>
  <c r="AK37" i="2"/>
  <c r="AI48" i="2"/>
  <c r="AK58" i="2"/>
  <c r="AK60" i="2"/>
  <c r="AK79" i="2"/>
  <c r="AM66" i="2"/>
  <c r="AK110" i="2"/>
  <c r="AQ88" i="2"/>
  <c r="AK105" i="2"/>
  <c r="AM104" i="2"/>
  <c r="AM120" i="2"/>
  <c r="AK66" i="2"/>
  <c r="AO110" i="2"/>
  <c r="AO88" i="2"/>
  <c r="AO105" i="2"/>
  <c r="AO104" i="2"/>
  <c r="AO120" i="2"/>
  <c r="AQ85" i="2"/>
  <c r="AO129" i="2"/>
  <c r="AK122" i="2"/>
  <c r="AO126" i="2"/>
  <c r="AI129" i="2"/>
  <c r="AQ80" i="2"/>
  <c r="AM81" i="2"/>
  <c r="AQ82" i="2"/>
  <c r="AM127" i="2"/>
  <c r="AQ129" i="2"/>
  <c r="AQ122" i="2"/>
  <c r="AM126" i="2"/>
  <c r="AI80" i="2"/>
  <c r="AQ81" i="2"/>
  <c r="AQ68" i="2"/>
  <c r="AQ110" i="2"/>
  <c r="AK88" i="2"/>
  <c r="AI81" i="2"/>
  <c r="AO82" i="2"/>
  <c r="AI122" i="2"/>
  <c r="AO70" i="2"/>
  <c r="AK68" i="2"/>
  <c r="AM110" i="2"/>
  <c r="AM88" i="2"/>
  <c r="AK126" i="2"/>
  <c r="AQ105" i="2"/>
  <c r="AK81" i="2"/>
  <c r="AK82" i="2"/>
  <c r="AI82" i="2"/>
  <c r="AK70" i="2"/>
  <c r="AM82" i="2"/>
  <c r="AQ53" i="2"/>
  <c r="AO68" i="2"/>
  <c r="AQ126" i="2"/>
  <c r="AK128" i="2"/>
  <c r="AM105" i="2"/>
  <c r="AI104" i="2"/>
  <c r="AK120" i="2"/>
  <c r="AK80" i="2"/>
  <c r="AM80" i="2"/>
  <c r="AM48" i="2"/>
  <c r="AM68" i="2"/>
  <c r="AI110" i="2"/>
  <c r="AI88" i="2"/>
  <c r="AI126" i="2"/>
  <c r="AQ128" i="2"/>
  <c r="AI105" i="2"/>
  <c r="AK104" i="2"/>
  <c r="AQ120" i="2"/>
  <c r="AQ70" i="2"/>
  <c r="AO22" i="2"/>
  <c r="AQ66" i="2"/>
  <c r="AI66" i="2"/>
  <c r="AI70" i="2"/>
  <c r="AM22" i="2"/>
  <c r="AO66" i="2"/>
  <c r="AM70" i="2"/>
  <c r="AI29" i="2"/>
  <c r="AM29" i="2"/>
  <c r="AI53" i="2"/>
  <c r="AQ69" i="2"/>
  <c r="AQ20" i="2"/>
  <c r="AK53" i="2"/>
  <c r="AK69" i="2"/>
  <c r="AK20" i="2"/>
  <c r="AO29" i="2"/>
  <c r="AK29" i="2"/>
  <c r="AM53" i="2"/>
  <c r="AQ23" i="2"/>
  <c r="AQ29" i="2"/>
  <c r="AQ48" i="2"/>
  <c r="AO53" i="2"/>
  <c r="AI20" i="2"/>
  <c r="T41" i="7"/>
  <c r="R22" i="7"/>
  <c r="AA48" i="4"/>
  <c r="W63" i="4"/>
  <c r="W20" i="4"/>
  <c r="Z48" i="4"/>
  <c r="W22" i="4"/>
  <c r="AA22" i="4"/>
  <c r="Z20" i="4"/>
  <c r="Z22" i="4"/>
  <c r="X48" i="4"/>
  <c r="Y63" i="4"/>
  <c r="Y22" i="4"/>
  <c r="Y48" i="4"/>
  <c r="W47" i="4"/>
  <c r="AW41" i="1"/>
  <c r="AA42" i="4"/>
  <c r="Y42" i="4"/>
  <c r="X42" i="4"/>
  <c r="W42" i="4"/>
  <c r="X49" i="4"/>
  <c r="Z35" i="4"/>
  <c r="R41" i="7"/>
  <c r="R19" i="7"/>
  <c r="T19" i="7"/>
  <c r="T22" i="7"/>
  <c r="R37" i="7"/>
  <c r="T34" i="7"/>
  <c r="R34" i="7"/>
  <c r="R56" i="7"/>
  <c r="T56" i="7"/>
  <c r="R29" i="7"/>
  <c r="T18" i="7"/>
  <c r="R18" i="7"/>
  <c r="V42" i="4"/>
  <c r="T42" i="4"/>
  <c r="Z42" i="4"/>
  <c r="Z63" i="4"/>
  <c r="Y49" i="4"/>
  <c r="Z49" i="4"/>
  <c r="V22" i="4"/>
  <c r="Z47" i="4"/>
  <c r="T41" i="4"/>
  <c r="V41" i="4"/>
  <c r="Y41" i="4"/>
  <c r="Z41" i="4"/>
  <c r="Z34" i="4"/>
  <c r="X40" i="4"/>
  <c r="AA41" i="4"/>
  <c r="X41" i="4"/>
  <c r="W41" i="4"/>
  <c r="X32" i="4"/>
  <c r="Y40" i="4"/>
  <c r="Z40" i="4"/>
  <c r="W40" i="4"/>
  <c r="Y32" i="4"/>
  <c r="W34" i="4"/>
  <c r="Y33" i="4"/>
  <c r="X34" i="4"/>
  <c r="V37" i="4"/>
  <c r="T37" i="4"/>
  <c r="Y54" i="4"/>
  <c r="AA29" i="4"/>
  <c r="Z29" i="4"/>
  <c r="W29" i="4"/>
  <c r="AA36" i="4"/>
  <c r="X36" i="4"/>
  <c r="Z32" i="4"/>
  <c r="W32" i="4"/>
  <c r="X29" i="4"/>
  <c r="W33" i="4"/>
  <c r="W36" i="4"/>
  <c r="Z36" i="4"/>
  <c r="Y36" i="4"/>
  <c r="T22" i="4"/>
  <c r="AA34" i="4"/>
  <c r="X35" i="4"/>
  <c r="V36" i="4"/>
  <c r="W35" i="4"/>
  <c r="AA35" i="4"/>
  <c r="X33" i="4"/>
  <c r="AA33" i="4"/>
  <c r="Z61" i="4"/>
  <c r="AD28" i="3"/>
  <c r="W54" i="4"/>
  <c r="X54" i="4"/>
  <c r="Z52" i="4"/>
  <c r="X61" i="4"/>
  <c r="AA61" i="4"/>
  <c r="AA54" i="4"/>
  <c r="Y61" i="4"/>
  <c r="W61" i="4"/>
  <c r="X52" i="4"/>
  <c r="W52" i="4"/>
  <c r="Y52" i="4"/>
  <c r="V61" i="4"/>
  <c r="T61" i="4"/>
  <c r="T55" i="4"/>
  <c r="T57" i="4"/>
  <c r="V57" i="4"/>
  <c r="V39" i="4"/>
  <c r="T39" i="4"/>
  <c r="Y24" i="4"/>
  <c r="X24" i="4"/>
  <c r="W24" i="4"/>
  <c r="AA24" i="4"/>
  <c r="Z24" i="4"/>
  <c r="T60" i="4"/>
  <c r="V60" i="4"/>
  <c r="AC66" i="4"/>
  <c r="AU34" i="1" s="1"/>
  <c r="T23" i="4"/>
  <c r="V23" i="4"/>
  <c r="AA45" i="4"/>
  <c r="W45" i="4"/>
  <c r="Z45" i="4"/>
  <c r="Y45" i="4"/>
  <c r="X45" i="4"/>
  <c r="AA38" i="4"/>
  <c r="W38" i="4"/>
  <c r="Z38" i="4"/>
  <c r="Y38" i="4"/>
  <c r="X38" i="4"/>
  <c r="V64" i="4"/>
  <c r="T64" i="4"/>
  <c r="Z27" i="4"/>
  <c r="AA27" i="4"/>
  <c r="Y27" i="4"/>
  <c r="W27" i="4"/>
  <c r="X27" i="4"/>
  <c r="W62" i="4"/>
  <c r="Y62" i="4"/>
  <c r="X62" i="4"/>
  <c r="AA62" i="4"/>
  <c r="Z62" i="4"/>
  <c r="Y56" i="4"/>
  <c r="AA56" i="4"/>
  <c r="X56" i="4"/>
  <c r="Z56" i="4"/>
  <c r="W56" i="4"/>
  <c r="AC28" i="3"/>
  <c r="AA28" i="3"/>
  <c r="AE28" i="3"/>
  <c r="O32" i="3"/>
  <c r="Q32" i="3" s="1"/>
  <c r="V32" i="3" s="1"/>
  <c r="W32" i="3" s="1"/>
  <c r="AA22" i="3"/>
  <c r="O27" i="3"/>
  <c r="Q27" i="3" s="1"/>
  <c r="V27" i="3" s="1"/>
  <c r="U27" i="3" s="1"/>
  <c r="O21" i="3"/>
  <c r="Q21" i="3" s="1"/>
  <c r="S21" i="3" s="1"/>
  <c r="V21" i="3" s="1"/>
  <c r="T21" i="3" s="1"/>
  <c r="Z22" i="3"/>
  <c r="AD39" i="3"/>
  <c r="AA31" i="3"/>
  <c r="AA39" i="3"/>
  <c r="Y64" i="3"/>
  <c r="O41" i="3"/>
  <c r="Q41" i="3" s="1"/>
  <c r="V41" i="3" s="1"/>
  <c r="O54" i="3"/>
  <c r="Q54" i="3" s="1"/>
  <c r="V54" i="3" s="1"/>
  <c r="U54" i="3" s="1"/>
  <c r="AC31" i="3"/>
  <c r="O19" i="3"/>
  <c r="Q19" i="3" s="1"/>
  <c r="AD31" i="3"/>
  <c r="AE31" i="3"/>
  <c r="Z31" i="3"/>
  <c r="O29" i="3"/>
  <c r="Q29" i="3" s="1"/>
  <c r="O35" i="3"/>
  <c r="Q35" i="3" s="1"/>
  <c r="V35" i="3" s="1"/>
  <c r="U35" i="3" s="1"/>
  <c r="AD22" i="3"/>
  <c r="O25" i="3"/>
  <c r="Q25" i="3" s="1"/>
  <c r="V25" i="3" s="1"/>
  <c r="W25" i="3" s="1"/>
  <c r="Q65" i="3"/>
  <c r="AE65" i="3" s="1"/>
  <c r="AC29" i="3"/>
  <c r="AA30" i="3"/>
  <c r="Z30" i="3"/>
  <c r="AC22" i="3"/>
  <c r="AC30" i="3"/>
  <c r="AE30" i="3"/>
  <c r="AC33" i="3"/>
  <c r="AA33" i="3"/>
  <c r="AD33" i="3"/>
  <c r="AD30" i="3"/>
  <c r="Z33" i="3"/>
  <c r="O20" i="3"/>
  <c r="Q20" i="3" s="1"/>
  <c r="S20" i="3" s="1"/>
  <c r="V20" i="3" s="1"/>
  <c r="T20" i="3" s="1"/>
  <c r="O38" i="3"/>
  <c r="Q38" i="3" s="1"/>
  <c r="S38" i="3" s="1"/>
  <c r="W38" i="3" s="1"/>
  <c r="O23" i="3"/>
  <c r="Q23" i="3" s="1"/>
  <c r="S23" i="3" s="1"/>
  <c r="AA49" i="3"/>
  <c r="Z39" i="3"/>
  <c r="O45" i="3"/>
  <c r="Q45" i="3" s="1"/>
  <c r="O46" i="3"/>
  <c r="Q46" i="3" s="1"/>
  <c r="O48" i="3"/>
  <c r="Q48" i="3" s="1"/>
  <c r="O50" i="3"/>
  <c r="Q50" i="3" s="1"/>
  <c r="O51" i="3"/>
  <c r="Q51" i="3" s="1"/>
  <c r="O52" i="3"/>
  <c r="Q52" i="3" s="1"/>
  <c r="K80" i="2"/>
  <c r="I80" i="2"/>
  <c r="P80" i="2"/>
  <c r="T80" i="2" s="1"/>
  <c r="W80" i="2" s="1"/>
  <c r="P79" i="2"/>
  <c r="T79" i="2" s="1"/>
  <c r="W79" i="2" s="1"/>
  <c r="K100" i="2"/>
  <c r="AH92" i="2"/>
  <c r="AL92" i="2"/>
  <c r="AH93" i="2"/>
  <c r="AL93" i="2"/>
  <c r="AH97" i="2"/>
  <c r="AL97" i="2"/>
  <c r="AH98" i="2"/>
  <c r="AL98" i="2"/>
  <c r="AH116" i="2"/>
  <c r="AL116" i="2"/>
  <c r="AH117" i="2"/>
  <c r="AL117" i="2"/>
  <c r="AJ92" i="2"/>
  <c r="AJ93" i="2"/>
  <c r="AJ98" i="2"/>
  <c r="AJ116" i="2"/>
  <c r="AJ117" i="2"/>
  <c r="K81" i="2"/>
  <c r="K82" i="2"/>
  <c r="K85" i="2"/>
  <c r="K86" i="2"/>
  <c r="K87" i="2"/>
  <c r="K88" i="2"/>
  <c r="K90" i="2"/>
  <c r="K95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9" i="2"/>
  <c r="K121" i="2"/>
  <c r="K122" i="2"/>
  <c r="K123" i="2"/>
  <c r="K124" i="2"/>
  <c r="K125" i="2"/>
  <c r="K126" i="2"/>
  <c r="P127" i="2"/>
  <c r="T127" i="2" s="1"/>
  <c r="AC127" i="2" s="1"/>
  <c r="K128" i="2"/>
  <c r="P129" i="2"/>
  <c r="T129" i="2" s="1"/>
  <c r="AC129" i="2" s="1"/>
  <c r="K130" i="2"/>
  <c r="K131" i="2"/>
  <c r="K132" i="2"/>
  <c r="K133" i="2"/>
  <c r="K44" i="2"/>
  <c r="AL33" i="2"/>
  <c r="AL34" i="2"/>
  <c r="AL39" i="2"/>
  <c r="AL40" i="2"/>
  <c r="AL55" i="2"/>
  <c r="AL56" i="2"/>
  <c r="K22" i="2"/>
  <c r="K23" i="2"/>
  <c r="K25" i="2"/>
  <c r="K26" i="2"/>
  <c r="K27" i="2"/>
  <c r="P29" i="2"/>
  <c r="T29" i="2" s="1"/>
  <c r="K30" i="2"/>
  <c r="K31" i="2"/>
  <c r="K36" i="2"/>
  <c r="K37" i="2"/>
  <c r="K42" i="2"/>
  <c r="K43" i="2"/>
  <c r="K45" i="2"/>
  <c r="K46" i="2"/>
  <c r="K47" i="2"/>
  <c r="K48" i="2"/>
  <c r="K49" i="2"/>
  <c r="K50" i="2"/>
  <c r="K51" i="2"/>
  <c r="K52" i="2"/>
  <c r="K53" i="2"/>
  <c r="K58" i="2"/>
  <c r="K59" i="2"/>
  <c r="K60" i="2"/>
  <c r="K61" i="2"/>
  <c r="K62" i="2"/>
  <c r="K63" i="2"/>
  <c r="K64" i="2"/>
  <c r="K65" i="2"/>
  <c r="K66" i="2"/>
  <c r="P67" i="2"/>
  <c r="T67" i="2" s="1"/>
  <c r="AC67" i="2" s="1"/>
  <c r="K68" i="2"/>
  <c r="P69" i="2"/>
  <c r="T69" i="2" s="1"/>
  <c r="AC69" i="2" s="1"/>
  <c r="K70" i="2"/>
  <c r="AH33" i="2"/>
  <c r="AH34" i="2"/>
  <c r="AH39" i="2"/>
  <c r="AH40" i="2"/>
  <c r="AH55" i="2"/>
  <c r="AH56" i="2"/>
  <c r="J66" i="5"/>
  <c r="L66" i="5" s="1"/>
  <c r="J65" i="5"/>
  <c r="J59" i="5"/>
  <c r="L59" i="5" s="1"/>
  <c r="J45" i="5"/>
  <c r="L45" i="5" s="1"/>
  <c r="R63" i="7" l="1"/>
  <c r="T54" i="7"/>
  <c r="T36" i="7"/>
  <c r="R36" i="7"/>
  <c r="R54" i="7"/>
  <c r="T63" i="7"/>
  <c r="U20" i="4"/>
  <c r="S20" i="4" s="1"/>
  <c r="R66" i="4"/>
  <c r="G34" i="1" s="1"/>
  <c r="U19" i="4"/>
  <c r="S19" i="4" s="1"/>
  <c r="W44" i="3"/>
  <c r="S45" i="3"/>
  <c r="V45" i="3" s="1"/>
  <c r="T45" i="3" s="1"/>
  <c r="T44" i="3"/>
  <c r="U44" i="3"/>
  <c r="V46" i="3"/>
  <c r="T46" i="3" s="1"/>
  <c r="S46" i="3"/>
  <c r="S52" i="3"/>
  <c r="V52" i="3" s="1"/>
  <c r="U48" i="3"/>
  <c r="W48" i="3"/>
  <c r="V48" i="3"/>
  <c r="T48" i="3" s="1"/>
  <c r="S51" i="3"/>
  <c r="V51" i="3" s="1"/>
  <c r="T51" i="3" s="1"/>
  <c r="S50" i="3"/>
  <c r="V50" i="3" s="1"/>
  <c r="X73" i="2"/>
  <c r="X180" i="2" s="1"/>
  <c r="G32" i="1" s="1"/>
  <c r="AS180" i="2"/>
  <c r="AT32" i="1" s="1"/>
  <c r="AT35" i="1" s="1"/>
  <c r="W29" i="2"/>
  <c r="AC29" i="2" s="1"/>
  <c r="AI73" i="2"/>
  <c r="AO73" i="2"/>
  <c r="AM73" i="2"/>
  <c r="AK73" i="2"/>
  <c r="AQ73" i="2"/>
  <c r="AD136" i="2"/>
  <c r="AI136" i="2"/>
  <c r="AO136" i="2"/>
  <c r="AQ136" i="2"/>
  <c r="AK136" i="2"/>
  <c r="AM136" i="2"/>
  <c r="AR180" i="2"/>
  <c r="T26" i="7"/>
  <c r="T29" i="7"/>
  <c r="T21" i="7"/>
  <c r="R32" i="7"/>
  <c r="T53" i="4"/>
  <c r="T55" i="7"/>
  <c r="T32" i="7"/>
  <c r="R23" i="7"/>
  <c r="V53" i="4"/>
  <c r="R55" i="7"/>
  <c r="T20" i="7"/>
  <c r="R26" i="7"/>
  <c r="T18" i="8"/>
  <c r="S59" i="8"/>
  <c r="S69" i="8" s="1"/>
  <c r="T40" i="7"/>
  <c r="T28" i="7"/>
  <c r="R20" i="7"/>
  <c r="V59" i="8"/>
  <c r="V69" i="8" s="1"/>
  <c r="R28" i="7"/>
  <c r="T23" i="7"/>
  <c r="W59" i="8"/>
  <c r="W69" i="8" s="1"/>
  <c r="T22" i="8"/>
  <c r="R22" i="8"/>
  <c r="M26" i="1"/>
  <c r="AQ26" i="1"/>
  <c r="T36" i="8"/>
  <c r="Z26" i="1"/>
  <c r="R36" i="8"/>
  <c r="T24" i="8"/>
  <c r="AA101" i="2"/>
  <c r="Y101" i="2" s="1"/>
  <c r="AE121" i="2"/>
  <c r="AE123" i="2"/>
  <c r="Q86" i="3"/>
  <c r="AE76" i="3"/>
  <c r="AJ24" i="1" s="1"/>
  <c r="AJ29" i="1" s="1"/>
  <c r="AI30" i="1" s="1"/>
  <c r="AE27" i="2"/>
  <c r="AD20" i="2"/>
  <c r="AD73" i="2" s="1"/>
  <c r="R29" i="8"/>
  <c r="Q29" i="8"/>
  <c r="R31" i="8"/>
  <c r="Q31" i="8"/>
  <c r="R18" i="8"/>
  <c r="Q18" i="8"/>
  <c r="Q59" i="8" s="1"/>
  <c r="Q69" i="8" s="1"/>
  <c r="T23" i="8"/>
  <c r="Q23" i="8"/>
  <c r="R24" i="8"/>
  <c r="R30" i="8"/>
  <c r="Q30" i="8"/>
  <c r="W54" i="3"/>
  <c r="V38" i="3"/>
  <c r="T38" i="3" s="1"/>
  <c r="U20" i="3"/>
  <c r="W20" i="3"/>
  <c r="W35" i="3"/>
  <c r="T35" i="3"/>
  <c r="U38" i="3"/>
  <c r="U51" i="3"/>
  <c r="T32" i="3"/>
  <c r="W51" i="3"/>
  <c r="U32" i="3"/>
  <c r="W52" i="3"/>
  <c r="T31" i="8"/>
  <c r="R23" i="8"/>
  <c r="T30" i="8"/>
  <c r="Y29" i="1"/>
  <c r="T29" i="8"/>
  <c r="T38" i="7"/>
  <c r="U25" i="3"/>
  <c r="W21" i="3"/>
  <c r="U46" i="3"/>
  <c r="W46" i="3"/>
  <c r="W45" i="3"/>
  <c r="U45" i="3"/>
  <c r="T27" i="3"/>
  <c r="W27" i="3"/>
  <c r="T54" i="3"/>
  <c r="W23" i="3"/>
  <c r="U23" i="3"/>
  <c r="V23" i="3"/>
  <c r="T23" i="3" s="1"/>
  <c r="AE19" i="3"/>
  <c r="S19" i="3"/>
  <c r="U41" i="3"/>
  <c r="W41" i="3"/>
  <c r="T41" i="3"/>
  <c r="T25" i="3"/>
  <c r="U21" i="3"/>
  <c r="W43" i="3"/>
  <c r="U43" i="3"/>
  <c r="T43" i="3"/>
  <c r="AE87" i="2"/>
  <c r="AA63" i="2"/>
  <c r="Y63" i="2" s="1"/>
  <c r="AA106" i="2"/>
  <c r="Y106" i="2" s="1"/>
  <c r="T46" i="4"/>
  <c r="V46" i="4"/>
  <c r="V40" i="4"/>
  <c r="T33" i="4"/>
  <c r="T47" i="4"/>
  <c r="V32" i="4"/>
  <c r="V47" i="4"/>
  <c r="T48" i="4"/>
  <c r="T49" i="4"/>
  <c r="T20" i="4"/>
  <c r="V20" i="4"/>
  <c r="V19" i="4"/>
  <c r="T19" i="4"/>
  <c r="V29" i="4"/>
  <c r="V63" i="4"/>
  <c r="AB124" i="2"/>
  <c r="Z124" i="2" s="1"/>
  <c r="AF124" i="2"/>
  <c r="AE69" i="2"/>
  <c r="AA69" i="2"/>
  <c r="Y69" i="2" s="1"/>
  <c r="AB90" i="2"/>
  <c r="Z90" i="2" s="1"/>
  <c r="AF90" i="2"/>
  <c r="AF78" i="2"/>
  <c r="AB78" i="2"/>
  <c r="Z78" i="2" s="1"/>
  <c r="AB29" i="2"/>
  <c r="Z29" i="2" s="1"/>
  <c r="AF29" i="2"/>
  <c r="AB105" i="2"/>
  <c r="Z105" i="2" s="1"/>
  <c r="AF105" i="2"/>
  <c r="AB58" i="2"/>
  <c r="Z58" i="2" s="1"/>
  <c r="AF58" i="2"/>
  <c r="AB110" i="2"/>
  <c r="Z110" i="2" s="1"/>
  <c r="AF110" i="2"/>
  <c r="AB45" i="2"/>
  <c r="Z45" i="2" s="1"/>
  <c r="AF45" i="2"/>
  <c r="AA67" i="2"/>
  <c r="Y67" i="2" s="1"/>
  <c r="AE67" i="2"/>
  <c r="AF80" i="2"/>
  <c r="AB80" i="2"/>
  <c r="Z80" i="2" s="1"/>
  <c r="AB23" i="2"/>
  <c r="AF23" i="2"/>
  <c r="AB113" i="2"/>
  <c r="Z113" i="2" s="1"/>
  <c r="AF113" i="2"/>
  <c r="AB60" i="2"/>
  <c r="Z60" i="2" s="1"/>
  <c r="AF60" i="2"/>
  <c r="AF103" i="2"/>
  <c r="AB103" i="2"/>
  <c r="Z103" i="2" s="1"/>
  <c r="AB128" i="2"/>
  <c r="Z128" i="2" s="1"/>
  <c r="AF128" i="2"/>
  <c r="AF130" i="2"/>
  <c r="AB130" i="2"/>
  <c r="Z130" i="2" s="1"/>
  <c r="AF59" i="2"/>
  <c r="AB59" i="2"/>
  <c r="Z59" i="2" s="1"/>
  <c r="AB53" i="2"/>
  <c r="Z53" i="2" s="1"/>
  <c r="AF53" i="2"/>
  <c r="AF81" i="2"/>
  <c r="AB81" i="2"/>
  <c r="Z81" i="2" s="1"/>
  <c r="AF79" i="2"/>
  <c r="AB79" i="2"/>
  <c r="AB37" i="2"/>
  <c r="Z37" i="2" s="1"/>
  <c r="AF37" i="2"/>
  <c r="AF67" i="2"/>
  <c r="AB67" i="2"/>
  <c r="Z67" i="2" s="1"/>
  <c r="AF66" i="2"/>
  <c r="AB66" i="2"/>
  <c r="Z66" i="2" s="1"/>
  <c r="AF102" i="2"/>
  <c r="AB102" i="2"/>
  <c r="Z102" i="2" s="1"/>
  <c r="AF85" i="2"/>
  <c r="AB85" i="2"/>
  <c r="Z85" i="2" s="1"/>
  <c r="AB107" i="2"/>
  <c r="Z107" i="2" s="1"/>
  <c r="AF107" i="2"/>
  <c r="AB120" i="2"/>
  <c r="Z120" i="2" s="1"/>
  <c r="AF120" i="2"/>
  <c r="AF126" i="2"/>
  <c r="AB126" i="2"/>
  <c r="Z126" i="2" s="1"/>
  <c r="AB88" i="2"/>
  <c r="Z88" i="2" s="1"/>
  <c r="AF88" i="2"/>
  <c r="AF127" i="2"/>
  <c r="AB127" i="2"/>
  <c r="Z127" i="2" s="1"/>
  <c r="AF22" i="2"/>
  <c r="AB22" i="2"/>
  <c r="Z22" i="2" s="1"/>
  <c r="AB112" i="2"/>
  <c r="Z112" i="2" s="1"/>
  <c r="AF112" i="2"/>
  <c r="AF43" i="2"/>
  <c r="AB43" i="2"/>
  <c r="Z43" i="2" s="1"/>
  <c r="AB104" i="2"/>
  <c r="Z104" i="2" s="1"/>
  <c r="AF104" i="2"/>
  <c r="AB46" i="2"/>
  <c r="Z46" i="2" s="1"/>
  <c r="AF46" i="2"/>
  <c r="AB42" i="2"/>
  <c r="Z42" i="2" s="1"/>
  <c r="AF42" i="2"/>
  <c r="AB52" i="2"/>
  <c r="Z52" i="2" s="1"/>
  <c r="AF52" i="2"/>
  <c r="AF129" i="2"/>
  <c r="AB129" i="2"/>
  <c r="Z129" i="2" s="1"/>
  <c r="AB69" i="2"/>
  <c r="Z69" i="2" s="1"/>
  <c r="AF69" i="2"/>
  <c r="AB30" i="2"/>
  <c r="Z30" i="2" s="1"/>
  <c r="AF30" i="2"/>
  <c r="AB122" i="2"/>
  <c r="Z122" i="2" s="1"/>
  <c r="AF122" i="2"/>
  <c r="AB86" i="2"/>
  <c r="Z86" i="2" s="1"/>
  <c r="AF86" i="2"/>
  <c r="AB51" i="2"/>
  <c r="Z51" i="2" s="1"/>
  <c r="AF51" i="2"/>
  <c r="AB76" i="2"/>
  <c r="AF76" i="2"/>
  <c r="AF28" i="2"/>
  <c r="AB28" i="2"/>
  <c r="Z28" i="2" s="1"/>
  <c r="AE61" i="2"/>
  <c r="AA61" i="2"/>
  <c r="Y61" i="2" s="1"/>
  <c r="AB65" i="2"/>
  <c r="Z65" i="2" s="1"/>
  <c r="AF65" i="2"/>
  <c r="AB132" i="2"/>
  <c r="Z132" i="2" s="1"/>
  <c r="AF132" i="2"/>
  <c r="AB31" i="2"/>
  <c r="Z31" i="2" s="1"/>
  <c r="AF31" i="2"/>
  <c r="AB119" i="2"/>
  <c r="Z119" i="2" s="1"/>
  <c r="AF119" i="2"/>
  <c r="AF50" i="2"/>
  <c r="AB50" i="2"/>
  <c r="Z50" i="2" s="1"/>
  <c r="AF26" i="2"/>
  <c r="AB26" i="2"/>
  <c r="Z26" i="2" s="1"/>
  <c r="AF114" i="2"/>
  <c r="AB114" i="2"/>
  <c r="Z114" i="2" s="1"/>
  <c r="AB100" i="2"/>
  <c r="Z100" i="2" s="1"/>
  <c r="AF100" i="2"/>
  <c r="AE129" i="2"/>
  <c r="AA129" i="2"/>
  <c r="Y129" i="2" s="1"/>
  <c r="AF77" i="2"/>
  <c r="AB77" i="2"/>
  <c r="Z77" i="2" s="1"/>
  <c r="AB36" i="2"/>
  <c r="Z36" i="2" s="1"/>
  <c r="AF36" i="2"/>
  <c r="AF84" i="2"/>
  <c r="AB84" i="2"/>
  <c r="Z84" i="2" s="1"/>
  <c r="AB25" i="2"/>
  <c r="Z25" i="2" s="1"/>
  <c r="AF25" i="2"/>
  <c r="AF70" i="2"/>
  <c r="AB70" i="2"/>
  <c r="Z70" i="2" s="1"/>
  <c r="AA47" i="2"/>
  <c r="Y47" i="2" s="1"/>
  <c r="AE47" i="2"/>
  <c r="AE127" i="2"/>
  <c r="AA127" i="2"/>
  <c r="Y127" i="2" s="1"/>
  <c r="AA29" i="2"/>
  <c r="Y29" i="2" s="1"/>
  <c r="AE29" i="2"/>
  <c r="AB21" i="2"/>
  <c r="Z21" i="2" s="1"/>
  <c r="AF21" i="2"/>
  <c r="AB68" i="2"/>
  <c r="Z68" i="2" s="1"/>
  <c r="AF68" i="2"/>
  <c r="AA49" i="2"/>
  <c r="Y49" i="2" s="1"/>
  <c r="AE49" i="2"/>
  <c r="AB133" i="2"/>
  <c r="Z133" i="2" s="1"/>
  <c r="AF133" i="2"/>
  <c r="AB111" i="2"/>
  <c r="Z111" i="2" s="1"/>
  <c r="AF111" i="2"/>
  <c r="AF82" i="2"/>
  <c r="AB82" i="2"/>
  <c r="AF44" i="2"/>
  <c r="AB44" i="2"/>
  <c r="Z44" i="2" s="1"/>
  <c r="AB62" i="2"/>
  <c r="Z62" i="2" s="1"/>
  <c r="AF62" i="2"/>
  <c r="AF131" i="2"/>
  <c r="AB131" i="2"/>
  <c r="Z131" i="2" s="1"/>
  <c r="AB95" i="2"/>
  <c r="Z95" i="2" s="1"/>
  <c r="AF95" i="2"/>
  <c r="AB48" i="2"/>
  <c r="Z48" i="2" s="1"/>
  <c r="AF48" i="2"/>
  <c r="AB125" i="2"/>
  <c r="Z125" i="2" s="1"/>
  <c r="AF125" i="2"/>
  <c r="AB64" i="2"/>
  <c r="Z64" i="2" s="1"/>
  <c r="AF64" i="2"/>
  <c r="Z52" i="3"/>
  <c r="AE52" i="3"/>
  <c r="AA52" i="3"/>
  <c r="AD52" i="3"/>
  <c r="AC52" i="3"/>
  <c r="AA51" i="3"/>
  <c r="Z51" i="3"/>
  <c r="AC51" i="3"/>
  <c r="AD51" i="3"/>
  <c r="AE51" i="3"/>
  <c r="AA54" i="3"/>
  <c r="Z54" i="3"/>
  <c r="AC54" i="3"/>
  <c r="AD54" i="3"/>
  <c r="AE54" i="3"/>
  <c r="AE50" i="3"/>
  <c r="Z50" i="3"/>
  <c r="AA50" i="3"/>
  <c r="AC50" i="3"/>
  <c r="AD50" i="3"/>
  <c r="AA48" i="3"/>
  <c r="AU33" i="1"/>
  <c r="AU35" i="1" s="1"/>
  <c r="AD38" i="3"/>
  <c r="AE38" i="3"/>
  <c r="AC38" i="3"/>
  <c r="Z38" i="3"/>
  <c r="AC46" i="3"/>
  <c r="AE46" i="3"/>
  <c r="AD46" i="3"/>
  <c r="Z46" i="3"/>
  <c r="AA46" i="3"/>
  <c r="AD41" i="3"/>
  <c r="AE41" i="3"/>
  <c r="AC41" i="3"/>
  <c r="Z41" i="3"/>
  <c r="AA41" i="3"/>
  <c r="AD45" i="3"/>
  <c r="AE45" i="3"/>
  <c r="Z45" i="3"/>
  <c r="AA45" i="3"/>
  <c r="AC45" i="3"/>
  <c r="AE21" i="3"/>
  <c r="AA21" i="3"/>
  <c r="AE32" i="3"/>
  <c r="AC32" i="3"/>
  <c r="AV41" i="1"/>
  <c r="AV42" i="1" s="1"/>
  <c r="AA27" i="3"/>
  <c r="AP79" i="2"/>
  <c r="AP80" i="2"/>
  <c r="T32" i="8"/>
  <c r="R32" i="8"/>
  <c r="R21" i="7"/>
  <c r="R27" i="7"/>
  <c r="R48" i="7"/>
  <c r="T33" i="7"/>
  <c r="V48" i="4"/>
  <c r="Z32" i="3"/>
  <c r="T45" i="5"/>
  <c r="P45" i="5"/>
  <c r="U45" i="5"/>
  <c r="Q45" i="5"/>
  <c r="M45" i="5" s="1"/>
  <c r="N45" i="5" s="1"/>
  <c r="R45" i="5"/>
  <c r="V49" i="4"/>
  <c r="AA32" i="3"/>
  <c r="Z35" i="3"/>
  <c r="R33" i="7"/>
  <c r="T27" i="7"/>
  <c r="U65" i="7"/>
  <c r="Z25" i="1" s="1"/>
  <c r="S65" i="7"/>
  <c r="M25" i="1" s="1"/>
  <c r="T48" i="7"/>
  <c r="V65" i="7"/>
  <c r="R53" i="7"/>
  <c r="T53" i="7"/>
  <c r="T51" i="7"/>
  <c r="R51" i="7"/>
  <c r="T45" i="7"/>
  <c r="R45" i="7"/>
  <c r="T52" i="7"/>
  <c r="R52" i="7"/>
  <c r="T46" i="7"/>
  <c r="R46" i="7"/>
  <c r="R44" i="7"/>
  <c r="T44" i="7"/>
  <c r="T35" i="7"/>
  <c r="R35" i="7"/>
  <c r="T32" i="4"/>
  <c r="T63" i="4"/>
  <c r="V35" i="4"/>
  <c r="V34" i="4"/>
  <c r="T34" i="4"/>
  <c r="T35" i="4"/>
  <c r="T40" i="4"/>
  <c r="T29" i="4"/>
  <c r="V33" i="4"/>
  <c r="AA66" i="4"/>
  <c r="AJ34" i="1" s="1"/>
  <c r="Y66" i="4"/>
  <c r="AB34" i="1" s="1"/>
  <c r="V54" i="4"/>
  <c r="T54" i="4"/>
  <c r="T52" i="4"/>
  <c r="V52" i="4"/>
  <c r="Z66" i="4"/>
  <c r="AH34" i="1" s="1"/>
  <c r="T56" i="4"/>
  <c r="V56" i="4"/>
  <c r="T27" i="4"/>
  <c r="V27" i="4"/>
  <c r="T24" i="4"/>
  <c r="V24" i="4"/>
  <c r="T38" i="4"/>
  <c r="V38" i="4"/>
  <c r="V62" i="4"/>
  <c r="T62" i="4"/>
  <c r="W66" i="4"/>
  <c r="W34" i="1" s="1"/>
  <c r="U66" i="4"/>
  <c r="M34" i="1" s="1"/>
  <c r="X66" i="4"/>
  <c r="Z34" i="1" s="1"/>
  <c r="T45" i="4"/>
  <c r="V45" i="4"/>
  <c r="AC27" i="3"/>
  <c r="AD32" i="3"/>
  <c r="AD27" i="3"/>
  <c r="AE27" i="3"/>
  <c r="AC21" i="3"/>
  <c r="Z27" i="3"/>
  <c r="Z21" i="3"/>
  <c r="AD21" i="3"/>
  <c r="AC65" i="3"/>
  <c r="AC76" i="3" s="1"/>
  <c r="AA25" i="3"/>
  <c r="AD35" i="3"/>
  <c r="AA19" i="3"/>
  <c r="AC19" i="3"/>
  <c r="AE35" i="3"/>
  <c r="Z19" i="3"/>
  <c r="AD19" i="3"/>
  <c r="AC35" i="3"/>
  <c r="AC25" i="3"/>
  <c r="AD25" i="3"/>
  <c r="AE25" i="3"/>
  <c r="AA35" i="3"/>
  <c r="Z29" i="3"/>
  <c r="AE29" i="3"/>
  <c r="AA29" i="3"/>
  <c r="AD29" i="3"/>
  <c r="Z25" i="3"/>
  <c r="AD65" i="3"/>
  <c r="AD76" i="3" s="1"/>
  <c r="AB65" i="3"/>
  <c r="AB76" i="3" s="1"/>
  <c r="AB78" i="3" s="1"/>
  <c r="Y65" i="3"/>
  <c r="Y76" i="3" s="1"/>
  <c r="Y78" i="3" s="1"/>
  <c r="AC20" i="3"/>
  <c r="AA20" i="3"/>
  <c r="AE20" i="3"/>
  <c r="AD20" i="3"/>
  <c r="Z20" i="3"/>
  <c r="AA38" i="3"/>
  <c r="AE23" i="3"/>
  <c r="Z23" i="3"/>
  <c r="AA23" i="3"/>
  <c r="AD23" i="3"/>
  <c r="AC23" i="3"/>
  <c r="AN115" i="2"/>
  <c r="AP115" i="2"/>
  <c r="AL87" i="2"/>
  <c r="AP87" i="2"/>
  <c r="AN87" i="2"/>
  <c r="J120" i="2"/>
  <c r="K120" i="2"/>
  <c r="AP109" i="2"/>
  <c r="AN109" i="2"/>
  <c r="AP108" i="2"/>
  <c r="AN108" i="2"/>
  <c r="AL123" i="2"/>
  <c r="AP123" i="2"/>
  <c r="AN123" i="2"/>
  <c r="AL96" i="2"/>
  <c r="AP96" i="2"/>
  <c r="AN96" i="2"/>
  <c r="AP121" i="2"/>
  <c r="AN121" i="2"/>
  <c r="AN94" i="2"/>
  <c r="AP94" i="2"/>
  <c r="AN118" i="2"/>
  <c r="AP118" i="2"/>
  <c r="AN106" i="2"/>
  <c r="AP106" i="2"/>
  <c r="AL101" i="2"/>
  <c r="AN101" i="2"/>
  <c r="AP101" i="2"/>
  <c r="AP91" i="2"/>
  <c r="AN91" i="2"/>
  <c r="AL32" i="2"/>
  <c r="AP32" i="2"/>
  <c r="AN32" i="2"/>
  <c r="AP27" i="2"/>
  <c r="AN27" i="2"/>
  <c r="AN54" i="2"/>
  <c r="AP54" i="2"/>
  <c r="AN61" i="2"/>
  <c r="AP61" i="2"/>
  <c r="AP49" i="2"/>
  <c r="AN49" i="2"/>
  <c r="AN47" i="2"/>
  <c r="AP47" i="2"/>
  <c r="AL41" i="2"/>
  <c r="AN41" i="2"/>
  <c r="AP41" i="2"/>
  <c r="AN57" i="2"/>
  <c r="AP57" i="2"/>
  <c r="AN38" i="2"/>
  <c r="AP38" i="2"/>
  <c r="AP63" i="2"/>
  <c r="AN63" i="2"/>
  <c r="AN35" i="2"/>
  <c r="AP35" i="2"/>
  <c r="AN80" i="2"/>
  <c r="AH80" i="2"/>
  <c r="AJ80" i="2"/>
  <c r="AL80" i="2"/>
  <c r="AL79" i="2"/>
  <c r="AH79" i="2"/>
  <c r="AJ79" i="2"/>
  <c r="AN79" i="2"/>
  <c r="P28" i="2"/>
  <c r="T28" i="2" s="1"/>
  <c r="AC28" i="2" s="1"/>
  <c r="K28" i="2"/>
  <c r="J84" i="2"/>
  <c r="K84" i="2"/>
  <c r="P42" i="2"/>
  <c r="T42" i="2" s="1"/>
  <c r="J42" i="2"/>
  <c r="P70" i="2"/>
  <c r="T70" i="2" s="1"/>
  <c r="AC70" i="2" s="1"/>
  <c r="I70" i="2"/>
  <c r="J70" i="2"/>
  <c r="P58" i="2"/>
  <c r="T58" i="2" s="1"/>
  <c r="AC58" i="2" s="1"/>
  <c r="J58" i="2"/>
  <c r="P46" i="2"/>
  <c r="T46" i="2" s="1"/>
  <c r="AC46" i="2" s="1"/>
  <c r="J46" i="2"/>
  <c r="I46" i="2"/>
  <c r="I20" i="2"/>
  <c r="J20" i="2"/>
  <c r="P132" i="2"/>
  <c r="T132" i="2" s="1"/>
  <c r="AC132" i="2" s="1"/>
  <c r="J132" i="2"/>
  <c r="J108" i="2"/>
  <c r="AJ108" i="2" s="1"/>
  <c r="I108" i="2"/>
  <c r="AH108" i="2" s="1"/>
  <c r="P95" i="2"/>
  <c r="T95" i="2" s="1"/>
  <c r="AC95" i="2" s="1"/>
  <c r="J95" i="2"/>
  <c r="P81" i="2"/>
  <c r="J81" i="2"/>
  <c r="I81" i="2"/>
  <c r="P100" i="2"/>
  <c r="T100" i="2" s="1"/>
  <c r="AC100" i="2" s="1"/>
  <c r="J100" i="2"/>
  <c r="P45" i="2"/>
  <c r="T45" i="2" s="1"/>
  <c r="AC45" i="2" s="1"/>
  <c r="J45" i="2"/>
  <c r="I45" i="2"/>
  <c r="P131" i="2"/>
  <c r="T131" i="2" s="1"/>
  <c r="AC131" i="2" s="1"/>
  <c r="J131" i="2"/>
  <c r="P119" i="2"/>
  <c r="T119" i="2" s="1"/>
  <c r="AC119" i="2" s="1"/>
  <c r="J119" i="2"/>
  <c r="P107" i="2"/>
  <c r="T107" i="2" s="1"/>
  <c r="AC107" i="2" s="1"/>
  <c r="I107" i="2"/>
  <c r="J107" i="2"/>
  <c r="J78" i="2"/>
  <c r="I78" i="2"/>
  <c r="P68" i="2"/>
  <c r="T68" i="2" s="1"/>
  <c r="AC68" i="2" s="1"/>
  <c r="I68" i="2"/>
  <c r="J68" i="2"/>
  <c r="P43" i="2"/>
  <c r="T43" i="2" s="1"/>
  <c r="AC43" i="2" s="1"/>
  <c r="I43" i="2"/>
  <c r="J43" i="2"/>
  <c r="P31" i="2"/>
  <c r="T31" i="2" s="1"/>
  <c r="J31" i="2"/>
  <c r="P130" i="2"/>
  <c r="T130" i="2" s="1"/>
  <c r="AC130" i="2" s="1"/>
  <c r="J130" i="2"/>
  <c r="I106" i="2"/>
  <c r="AH106" i="2" s="1"/>
  <c r="J106" i="2"/>
  <c r="AJ106" i="2" s="1"/>
  <c r="I77" i="2"/>
  <c r="J77" i="2"/>
  <c r="P128" i="2"/>
  <c r="T128" i="2" s="1"/>
  <c r="AC128" i="2" s="1"/>
  <c r="J128" i="2"/>
  <c r="I128" i="2"/>
  <c r="P65" i="2"/>
  <c r="T65" i="2" s="1"/>
  <c r="AC65" i="2" s="1"/>
  <c r="J65" i="2"/>
  <c r="I65" i="2"/>
  <c r="I27" i="2"/>
  <c r="AH27" i="2" s="1"/>
  <c r="J27" i="2"/>
  <c r="AJ27" i="2" s="1"/>
  <c r="P126" i="2"/>
  <c r="T126" i="2" s="1"/>
  <c r="AC126" i="2" s="1"/>
  <c r="J126" i="2"/>
  <c r="I126" i="2"/>
  <c r="P102" i="2"/>
  <c r="T102" i="2" s="1"/>
  <c r="AC102" i="2" s="1"/>
  <c r="I102" i="2"/>
  <c r="J102" i="2"/>
  <c r="P88" i="2"/>
  <c r="T88" i="2" s="1"/>
  <c r="AC88" i="2" s="1"/>
  <c r="I88" i="2"/>
  <c r="J88" i="2"/>
  <c r="J63" i="2"/>
  <c r="AJ63" i="2" s="1"/>
  <c r="I63" i="2"/>
  <c r="AH63" i="2" s="1"/>
  <c r="P51" i="2"/>
  <c r="T51" i="2" s="1"/>
  <c r="AC51" i="2" s="1"/>
  <c r="J51" i="2"/>
  <c r="I51" i="2"/>
  <c r="P26" i="2"/>
  <c r="T26" i="2" s="1"/>
  <c r="AC26" i="2" s="1"/>
  <c r="J26" i="2"/>
  <c r="P44" i="2"/>
  <c r="T44" i="2" s="1"/>
  <c r="AC44" i="2" s="1"/>
  <c r="J44" i="2"/>
  <c r="I44" i="2"/>
  <c r="P125" i="2"/>
  <c r="T125" i="2" s="1"/>
  <c r="AC125" i="2" s="1"/>
  <c r="J125" i="2"/>
  <c r="I125" i="2"/>
  <c r="P113" i="2"/>
  <c r="T113" i="2" s="1"/>
  <c r="AC113" i="2" s="1"/>
  <c r="J113" i="2"/>
  <c r="I113" i="2"/>
  <c r="J101" i="2"/>
  <c r="AJ101" i="2" s="1"/>
  <c r="I101" i="2"/>
  <c r="AH101" i="2" s="1"/>
  <c r="I87" i="2"/>
  <c r="AH87" i="2" s="1"/>
  <c r="J87" i="2"/>
  <c r="AJ87" i="2" s="1"/>
  <c r="P30" i="2"/>
  <c r="T30" i="2" s="1"/>
  <c r="J30" i="2"/>
  <c r="P90" i="2"/>
  <c r="T90" i="2" s="1"/>
  <c r="AC90" i="2" s="1"/>
  <c r="J90" i="2"/>
  <c r="P112" i="2"/>
  <c r="T112" i="2" s="1"/>
  <c r="AC112" i="2" s="1"/>
  <c r="J112" i="2"/>
  <c r="P105" i="2"/>
  <c r="T105" i="2" s="1"/>
  <c r="AC105" i="2" s="1"/>
  <c r="J105" i="2"/>
  <c r="I105" i="2"/>
  <c r="P64" i="2"/>
  <c r="T64" i="2" s="1"/>
  <c r="AC64" i="2" s="1"/>
  <c r="J64" i="2"/>
  <c r="I64" i="2"/>
  <c r="P50" i="2"/>
  <c r="T50" i="2" s="1"/>
  <c r="AC50" i="2" s="1"/>
  <c r="J50" i="2"/>
  <c r="J61" i="2"/>
  <c r="AJ61" i="2" s="1"/>
  <c r="I49" i="2"/>
  <c r="AH49" i="2" s="1"/>
  <c r="J49" i="2"/>
  <c r="AJ49" i="2" s="1"/>
  <c r="P36" i="2"/>
  <c r="T36" i="2" s="1"/>
  <c r="J36" i="2"/>
  <c r="P23" i="2"/>
  <c r="I23" i="2"/>
  <c r="J23" i="2"/>
  <c r="I123" i="2"/>
  <c r="AH123" i="2" s="1"/>
  <c r="J123" i="2"/>
  <c r="AJ123" i="2" s="1"/>
  <c r="P111" i="2"/>
  <c r="T111" i="2" s="1"/>
  <c r="AC111" i="2" s="1"/>
  <c r="J111" i="2"/>
  <c r="P85" i="2"/>
  <c r="T85" i="2" s="1"/>
  <c r="AC85" i="2" s="1"/>
  <c r="J85" i="2"/>
  <c r="I85" i="2"/>
  <c r="I76" i="2"/>
  <c r="J76" i="2"/>
  <c r="J104" i="2"/>
  <c r="I104" i="2"/>
  <c r="P53" i="2"/>
  <c r="T53" i="2" s="1"/>
  <c r="AC53" i="2" s="1"/>
  <c r="J53" i="2"/>
  <c r="P62" i="2"/>
  <c r="T62" i="2" s="1"/>
  <c r="AC62" i="2" s="1"/>
  <c r="J62" i="2"/>
  <c r="I62" i="2"/>
  <c r="P25" i="2"/>
  <c r="T25" i="2" s="1"/>
  <c r="AC25" i="2" s="1"/>
  <c r="I25" i="2"/>
  <c r="J25" i="2"/>
  <c r="P124" i="2"/>
  <c r="T124" i="2" s="1"/>
  <c r="AC124" i="2" s="1"/>
  <c r="I124" i="2"/>
  <c r="J124" i="2"/>
  <c r="P48" i="2"/>
  <c r="T48" i="2" s="1"/>
  <c r="AC48" i="2" s="1"/>
  <c r="J48" i="2"/>
  <c r="I48" i="2"/>
  <c r="P122" i="2"/>
  <c r="T122" i="2" s="1"/>
  <c r="AC122" i="2" s="1"/>
  <c r="J122" i="2"/>
  <c r="I122" i="2"/>
  <c r="P110" i="2"/>
  <c r="T110" i="2" s="1"/>
  <c r="AC110" i="2" s="1"/>
  <c r="J110" i="2"/>
  <c r="P66" i="2"/>
  <c r="T66" i="2" s="1"/>
  <c r="AC66" i="2" s="1"/>
  <c r="J66" i="2"/>
  <c r="P103" i="2"/>
  <c r="T103" i="2" s="1"/>
  <c r="AC103" i="2" s="1"/>
  <c r="I103" i="2"/>
  <c r="J103" i="2"/>
  <c r="P52" i="2"/>
  <c r="T52" i="2" s="1"/>
  <c r="AC52" i="2" s="1"/>
  <c r="I52" i="2"/>
  <c r="J52" i="2"/>
  <c r="P114" i="2"/>
  <c r="T114" i="2" s="1"/>
  <c r="AC114" i="2" s="1"/>
  <c r="J114" i="2"/>
  <c r="P37" i="2"/>
  <c r="T37" i="2" s="1"/>
  <c r="I37" i="2"/>
  <c r="J37" i="2"/>
  <c r="P86" i="2"/>
  <c r="T86" i="2" s="1"/>
  <c r="AC86" i="2" s="1"/>
  <c r="J86" i="2"/>
  <c r="I86" i="2"/>
  <c r="P60" i="2"/>
  <c r="T60" i="2" s="1"/>
  <c r="AC60" i="2" s="1"/>
  <c r="J60" i="2"/>
  <c r="P59" i="2"/>
  <c r="T59" i="2" s="1"/>
  <c r="AC59" i="2" s="1"/>
  <c r="J59" i="2"/>
  <c r="J47" i="2"/>
  <c r="AJ47" i="2" s="1"/>
  <c r="I47" i="2"/>
  <c r="AH47" i="2" s="1"/>
  <c r="I21" i="2"/>
  <c r="J21" i="2"/>
  <c r="P133" i="2"/>
  <c r="T133" i="2" s="1"/>
  <c r="AC133" i="2" s="1"/>
  <c r="J133" i="2"/>
  <c r="I133" i="2"/>
  <c r="J121" i="2"/>
  <c r="AJ121" i="2" s="1"/>
  <c r="J109" i="2"/>
  <c r="AJ109" i="2" s="1"/>
  <c r="P82" i="2"/>
  <c r="J82" i="2"/>
  <c r="P104" i="2"/>
  <c r="T104" i="2" s="1"/>
  <c r="AC104" i="2" s="1"/>
  <c r="P77" i="2"/>
  <c r="P84" i="2"/>
  <c r="T84" i="2" s="1"/>
  <c r="AC84" i="2" s="1"/>
  <c r="P120" i="2"/>
  <c r="T120" i="2" s="1"/>
  <c r="AC120" i="2" s="1"/>
  <c r="P78" i="2"/>
  <c r="AH96" i="2"/>
  <c r="AH61" i="2"/>
  <c r="AJ96" i="2"/>
  <c r="AH121" i="2"/>
  <c r="AH109" i="2"/>
  <c r="AJ91" i="2"/>
  <c r="AH91" i="2"/>
  <c r="AH118" i="2"/>
  <c r="AL118" i="2"/>
  <c r="AH115" i="2"/>
  <c r="AL115" i="2"/>
  <c r="AL109" i="2"/>
  <c r="AL108" i="2"/>
  <c r="AL106" i="2"/>
  <c r="AJ118" i="2"/>
  <c r="AJ97" i="2"/>
  <c r="AL91" i="2"/>
  <c r="AJ115" i="2"/>
  <c r="AL121" i="2"/>
  <c r="AH94" i="2"/>
  <c r="AJ94" i="2"/>
  <c r="AL94" i="2"/>
  <c r="AL63" i="2"/>
  <c r="AL61" i="2"/>
  <c r="AL38" i="2"/>
  <c r="AJ55" i="2"/>
  <c r="AL49" i="2"/>
  <c r="AJ40" i="2"/>
  <c r="AL35" i="2"/>
  <c r="AL54" i="2"/>
  <c r="AL47" i="2"/>
  <c r="AL57" i="2"/>
  <c r="AJ33" i="2"/>
  <c r="AL27" i="2"/>
  <c r="AJ35" i="2"/>
  <c r="AJ56" i="2"/>
  <c r="AH35" i="2"/>
  <c r="AJ32" i="2"/>
  <c r="AJ57" i="2"/>
  <c r="AH38" i="2"/>
  <c r="AJ34" i="2"/>
  <c r="AJ39" i="2"/>
  <c r="AJ41" i="2"/>
  <c r="AJ38" i="2"/>
  <c r="AJ54" i="2"/>
  <c r="AH54" i="2"/>
  <c r="AH41" i="2"/>
  <c r="AH57" i="2"/>
  <c r="AH32" i="2"/>
  <c r="Q27" i="1"/>
  <c r="J44" i="5"/>
  <c r="L44" i="5" s="1"/>
  <c r="H43" i="5"/>
  <c r="G43" i="5" s="1"/>
  <c r="H42" i="5"/>
  <c r="G42" i="5" s="1"/>
  <c r="H41" i="5"/>
  <c r="G41" i="5" s="1"/>
  <c r="H40" i="5"/>
  <c r="H39" i="5"/>
  <c r="J39" i="5" s="1"/>
  <c r="L39" i="5" s="1"/>
  <c r="H38" i="5"/>
  <c r="G38" i="5" s="1"/>
  <c r="J36" i="5"/>
  <c r="L36" i="5" s="1"/>
  <c r="V36" i="5" s="1"/>
  <c r="H36" i="5"/>
  <c r="J35" i="5"/>
  <c r="L35" i="5" s="1"/>
  <c r="H35" i="5"/>
  <c r="J34" i="5"/>
  <c r="L34" i="5" s="1"/>
  <c r="H34" i="5"/>
  <c r="H33" i="5"/>
  <c r="J33" i="5" s="1"/>
  <c r="L33" i="5" s="1"/>
  <c r="H29" i="5"/>
  <c r="H30" i="5"/>
  <c r="H32" i="5"/>
  <c r="G32" i="5" s="1"/>
  <c r="H28" i="5"/>
  <c r="J30" i="5"/>
  <c r="L30" i="5" s="1"/>
  <c r="W30" i="5" s="1"/>
  <c r="W68" i="5" s="1"/>
  <c r="AO27" i="1" s="1"/>
  <c r="J29" i="5"/>
  <c r="L29" i="5" s="1"/>
  <c r="U52" i="3" l="1"/>
  <c r="T52" i="3"/>
  <c r="S57" i="3"/>
  <c r="G33" i="1" s="1"/>
  <c r="G35" i="1" s="1"/>
  <c r="T50" i="3"/>
  <c r="U50" i="3"/>
  <c r="W50" i="3"/>
  <c r="AS182" i="2"/>
  <c r="AQ180" i="2"/>
  <c r="AJ32" i="1" s="1"/>
  <c r="W30" i="2"/>
  <c r="AC30" i="2" s="1"/>
  <c r="W31" i="2"/>
  <c r="AC31" i="2" s="1"/>
  <c r="AC37" i="2"/>
  <c r="W37" i="2"/>
  <c r="W36" i="2"/>
  <c r="AC36" i="2" s="1"/>
  <c r="AF136" i="2"/>
  <c r="Z79" i="2"/>
  <c r="AB136" i="2"/>
  <c r="Z23" i="2"/>
  <c r="AR182" i="2"/>
  <c r="AR32" i="1"/>
  <c r="AR35" i="1" s="1"/>
  <c r="AR36" i="1" s="1"/>
  <c r="R59" i="8"/>
  <c r="R69" i="8" s="1"/>
  <c r="T59" i="8"/>
  <c r="T69" i="8" s="1"/>
  <c r="O26" i="1" s="1"/>
  <c r="I26" i="1"/>
  <c r="S66" i="4"/>
  <c r="I34" i="1" s="1"/>
  <c r="Z76" i="2"/>
  <c r="AK180" i="2"/>
  <c r="Z32" i="1" s="1"/>
  <c r="AO180" i="2"/>
  <c r="AH32" i="1" s="1"/>
  <c r="AM180" i="2"/>
  <c r="AB32" i="1" s="1"/>
  <c r="AI180" i="2"/>
  <c r="W32" i="1" s="1"/>
  <c r="AE57" i="3"/>
  <c r="AE78" i="3" s="1"/>
  <c r="AC57" i="3"/>
  <c r="AC78" i="3" s="1"/>
  <c r="AA57" i="3"/>
  <c r="AA78" i="3" s="1"/>
  <c r="AD57" i="3"/>
  <c r="AD78" i="3" s="1"/>
  <c r="Z57" i="3"/>
  <c r="Z78" i="3" s="1"/>
  <c r="Z82" i="2"/>
  <c r="AD180" i="2"/>
  <c r="M32" i="1" s="1"/>
  <c r="AB20" i="2"/>
  <c r="AB73" i="2" s="1"/>
  <c r="P34" i="5"/>
  <c r="Q34" i="5"/>
  <c r="V68" i="5"/>
  <c r="T29" i="5"/>
  <c r="K26" i="1"/>
  <c r="J40" i="5"/>
  <c r="L40" i="5" s="1"/>
  <c r="U40" i="5" s="1"/>
  <c r="G40" i="5"/>
  <c r="J41" i="5"/>
  <c r="L41" i="5" s="1"/>
  <c r="U41" i="5" s="1"/>
  <c r="U19" i="3"/>
  <c r="W19" i="3"/>
  <c r="V19" i="3"/>
  <c r="V57" i="3" s="1"/>
  <c r="T66" i="4"/>
  <c r="K34" i="1" s="1"/>
  <c r="AA111" i="2"/>
  <c r="Y111" i="2" s="1"/>
  <c r="AE111" i="2"/>
  <c r="AA48" i="2"/>
  <c r="Y48" i="2" s="1"/>
  <c r="AE48" i="2"/>
  <c r="AA68" i="2"/>
  <c r="Y68" i="2" s="1"/>
  <c r="AE68" i="2"/>
  <c r="AE45" i="2"/>
  <c r="AA45" i="2"/>
  <c r="Y45" i="2" s="1"/>
  <c r="AE80" i="2"/>
  <c r="AC80" i="2"/>
  <c r="AA80" i="2"/>
  <c r="AA120" i="2"/>
  <c r="Y120" i="2" s="1"/>
  <c r="AE120" i="2"/>
  <c r="AF20" i="2"/>
  <c r="AF73" i="2" s="1"/>
  <c r="AA50" i="2"/>
  <c r="Y50" i="2" s="1"/>
  <c r="AE50" i="2"/>
  <c r="AE131" i="2"/>
  <c r="AA131" i="2"/>
  <c r="Y131" i="2" s="1"/>
  <c r="AE59" i="2"/>
  <c r="AA59" i="2"/>
  <c r="Y59" i="2" s="1"/>
  <c r="AA53" i="2"/>
  <c r="Y53" i="2" s="1"/>
  <c r="AE53" i="2"/>
  <c r="AE102" i="2"/>
  <c r="AA102" i="2"/>
  <c r="Y102" i="2" s="1"/>
  <c r="AH42" i="2"/>
  <c r="AC42" i="2"/>
  <c r="AA100" i="2"/>
  <c r="Y100" i="2" s="1"/>
  <c r="AE100" i="2"/>
  <c r="AA133" i="2"/>
  <c r="Y133" i="2" s="1"/>
  <c r="AE133" i="2"/>
  <c r="AE66" i="2"/>
  <c r="AA66" i="2"/>
  <c r="Y66" i="2" s="1"/>
  <c r="AE36" i="2"/>
  <c r="AA113" i="2"/>
  <c r="Y113" i="2" s="1"/>
  <c r="AE113" i="2"/>
  <c r="AE130" i="2"/>
  <c r="AA130" i="2"/>
  <c r="Y130" i="2" s="1"/>
  <c r="AA46" i="2"/>
  <c r="Y46" i="2" s="1"/>
  <c r="AE46" i="2"/>
  <c r="AA122" i="2"/>
  <c r="Y122" i="2" s="1"/>
  <c r="AE122" i="2"/>
  <c r="AA43" i="2"/>
  <c r="Y43" i="2" s="1"/>
  <c r="AE43" i="2"/>
  <c r="AA44" i="2"/>
  <c r="Y44" i="2" s="1"/>
  <c r="AE44" i="2"/>
  <c r="AA124" i="2"/>
  <c r="Y124" i="2" s="1"/>
  <c r="AE124" i="2"/>
  <c r="AE28" i="2"/>
  <c r="AA28" i="2"/>
  <c r="Y28" i="2" s="1"/>
  <c r="AA112" i="2"/>
  <c r="Y112" i="2" s="1"/>
  <c r="AE112" i="2"/>
  <c r="AA107" i="2"/>
  <c r="Y107" i="2" s="1"/>
  <c r="AE107" i="2"/>
  <c r="AA70" i="2"/>
  <c r="Y70" i="2" s="1"/>
  <c r="AE70" i="2"/>
  <c r="AA128" i="2"/>
  <c r="Y128" i="2" s="1"/>
  <c r="AE128" i="2"/>
  <c r="AA52" i="2"/>
  <c r="Y52" i="2" s="1"/>
  <c r="AE52" i="2"/>
  <c r="AE104" i="2"/>
  <c r="AA104" i="2"/>
  <c r="Y104" i="2" s="1"/>
  <c r="AE79" i="2"/>
  <c r="AC79" i="2"/>
  <c r="AA79" i="2"/>
  <c r="AA105" i="2"/>
  <c r="Y105" i="2" s="1"/>
  <c r="AE105" i="2"/>
  <c r="AA37" i="2"/>
  <c r="Y37" i="2" s="1"/>
  <c r="AE37" i="2"/>
  <c r="AA110" i="2"/>
  <c r="Y110" i="2" s="1"/>
  <c r="AE110" i="2"/>
  <c r="AE25" i="2"/>
  <c r="AA25" i="2"/>
  <c r="Y25" i="2" s="1"/>
  <c r="AA31" i="2"/>
  <c r="Y31" i="2" s="1"/>
  <c r="AA58" i="2"/>
  <c r="Y58" i="2" s="1"/>
  <c r="AE58" i="2"/>
  <c r="AA62" i="2"/>
  <c r="Y62" i="2" s="1"/>
  <c r="AE62" i="2"/>
  <c r="AA60" i="2"/>
  <c r="Y60" i="2" s="1"/>
  <c r="AE60" i="2"/>
  <c r="AA26" i="2"/>
  <c r="Y26" i="2" s="1"/>
  <c r="AE26" i="2"/>
  <c r="AA86" i="2"/>
  <c r="Y86" i="2" s="1"/>
  <c r="AE86" i="2"/>
  <c r="AA85" i="2"/>
  <c r="Y85" i="2" s="1"/>
  <c r="AE85" i="2"/>
  <c r="AE90" i="2"/>
  <c r="AA90" i="2"/>
  <c r="Y90" i="2" s="1"/>
  <c r="AE125" i="2"/>
  <c r="AA125" i="2"/>
  <c r="Y125" i="2" s="1"/>
  <c r="AA65" i="2"/>
  <c r="Y65" i="2" s="1"/>
  <c r="AE65" i="2"/>
  <c r="AA119" i="2"/>
  <c r="Y119" i="2" s="1"/>
  <c r="AE119" i="2"/>
  <c r="AE95" i="2"/>
  <c r="AA95" i="2"/>
  <c r="Y95" i="2" s="1"/>
  <c r="AA84" i="2"/>
  <c r="Y84" i="2" s="1"/>
  <c r="AE84" i="2"/>
  <c r="AA132" i="2"/>
  <c r="Y132" i="2" s="1"/>
  <c r="AE132" i="2"/>
  <c r="AA64" i="2"/>
  <c r="Y64" i="2" s="1"/>
  <c r="AE64" i="2"/>
  <c r="AE103" i="2"/>
  <c r="AA103" i="2"/>
  <c r="Y103" i="2" s="1"/>
  <c r="AE126" i="2"/>
  <c r="AA126" i="2"/>
  <c r="Y126" i="2" s="1"/>
  <c r="AA51" i="2"/>
  <c r="Y51" i="2" s="1"/>
  <c r="AE51" i="2"/>
  <c r="AE114" i="2"/>
  <c r="AA114" i="2"/>
  <c r="Y114" i="2" s="1"/>
  <c r="AA88" i="2"/>
  <c r="Y88" i="2" s="1"/>
  <c r="AE88" i="2"/>
  <c r="AT36" i="1"/>
  <c r="P29" i="1"/>
  <c r="AP26" i="2"/>
  <c r="AL26" i="2"/>
  <c r="AH26" i="2"/>
  <c r="AN26" i="2"/>
  <c r="AJ26" i="2"/>
  <c r="AC24" i="1"/>
  <c r="AC29" i="1" s="1"/>
  <c r="AB24" i="1"/>
  <c r="Z24" i="1"/>
  <c r="W24" i="1"/>
  <c r="W29" i="1" s="1"/>
  <c r="V30" i="1" s="1"/>
  <c r="AH24" i="1"/>
  <c r="AH29" i="1" s="1"/>
  <c r="AP29" i="1"/>
  <c r="AQ25" i="1"/>
  <c r="AQ29" i="1" s="1"/>
  <c r="T22" i="2"/>
  <c r="T82" i="2"/>
  <c r="T76" i="2"/>
  <c r="W76" i="2" s="1"/>
  <c r="T81" i="2"/>
  <c r="T23" i="2"/>
  <c r="T20" i="2"/>
  <c r="T77" i="2"/>
  <c r="W77" i="2" s="1"/>
  <c r="T21" i="2"/>
  <c r="T78" i="2"/>
  <c r="AJ100" i="2"/>
  <c r="P44" i="5"/>
  <c r="J43" i="5"/>
  <c r="L43" i="5" s="1"/>
  <c r="T65" i="7"/>
  <c r="O25" i="1" s="1"/>
  <c r="R65" i="7"/>
  <c r="K25" i="1" s="1"/>
  <c r="V66" i="4"/>
  <c r="O34" i="1" s="1"/>
  <c r="AQ41" i="1"/>
  <c r="AJ99" i="2"/>
  <c r="AP99" i="2"/>
  <c r="AN99" i="2"/>
  <c r="AP133" i="2"/>
  <c r="AN133" i="2"/>
  <c r="AP132" i="2"/>
  <c r="AN132" i="2"/>
  <c r="AP131" i="2"/>
  <c r="AN131" i="2"/>
  <c r="AL130" i="2"/>
  <c r="AP130" i="2"/>
  <c r="AN130" i="2"/>
  <c r="AN129" i="2"/>
  <c r="AP129" i="2"/>
  <c r="AN128" i="2"/>
  <c r="AP128" i="2"/>
  <c r="AP127" i="2"/>
  <c r="AN127" i="2"/>
  <c r="AP126" i="2"/>
  <c r="AN126" i="2"/>
  <c r="AP125" i="2"/>
  <c r="AN125" i="2"/>
  <c r="AP124" i="2"/>
  <c r="AN124" i="2"/>
  <c r="AP122" i="2"/>
  <c r="AN122" i="2"/>
  <c r="AP120" i="2"/>
  <c r="AN120" i="2"/>
  <c r="AP119" i="2"/>
  <c r="AN119" i="2"/>
  <c r="AN114" i="2"/>
  <c r="AP114" i="2"/>
  <c r="AP113" i="2"/>
  <c r="AN113" i="2"/>
  <c r="AN112" i="2"/>
  <c r="AP112" i="2"/>
  <c r="AL111" i="2"/>
  <c r="AN111" i="2"/>
  <c r="AP111" i="2"/>
  <c r="AN110" i="2"/>
  <c r="AP110" i="2"/>
  <c r="AN107" i="2"/>
  <c r="AP107" i="2"/>
  <c r="AL105" i="2"/>
  <c r="AN105" i="2"/>
  <c r="AP105" i="2"/>
  <c r="AP104" i="2"/>
  <c r="AN104" i="2"/>
  <c r="AP103" i="2"/>
  <c r="AN103" i="2"/>
  <c r="AP102" i="2"/>
  <c r="AN102" i="2"/>
  <c r="AP100" i="2"/>
  <c r="AN100" i="2"/>
  <c r="AP95" i="2"/>
  <c r="AN95" i="2"/>
  <c r="AP90" i="2"/>
  <c r="AN90" i="2"/>
  <c r="AP88" i="2"/>
  <c r="AN88" i="2"/>
  <c r="AL86" i="2"/>
  <c r="AP86" i="2"/>
  <c r="AN86" i="2"/>
  <c r="AP85" i="2"/>
  <c r="AN85" i="2"/>
  <c r="AN84" i="2"/>
  <c r="AP84" i="2"/>
  <c r="AL43" i="2"/>
  <c r="AN43" i="2"/>
  <c r="AP43" i="2"/>
  <c r="AN28" i="2"/>
  <c r="AP28" i="2"/>
  <c r="AL70" i="2"/>
  <c r="AN70" i="2"/>
  <c r="AP70" i="2"/>
  <c r="AN52" i="2"/>
  <c r="AP52" i="2"/>
  <c r="AN44" i="2"/>
  <c r="AP44" i="2"/>
  <c r="AN65" i="2"/>
  <c r="AP65" i="2"/>
  <c r="AP31" i="2"/>
  <c r="AN31" i="2"/>
  <c r="AN58" i="2"/>
  <c r="AP58" i="2"/>
  <c r="AN29" i="2"/>
  <c r="AP29" i="2"/>
  <c r="AP60" i="2"/>
  <c r="AN60" i="2"/>
  <c r="AP36" i="2"/>
  <c r="AN36" i="2"/>
  <c r="AN30" i="2"/>
  <c r="AP30" i="2"/>
  <c r="AN48" i="2"/>
  <c r="AP48" i="2"/>
  <c r="AP69" i="2"/>
  <c r="AN69" i="2"/>
  <c r="AN59" i="2"/>
  <c r="AP59" i="2"/>
  <c r="AN66" i="2"/>
  <c r="AP66" i="2"/>
  <c r="AN62" i="2"/>
  <c r="AP62" i="2"/>
  <c r="AN42" i="2"/>
  <c r="AP42" i="2"/>
  <c r="AP51" i="2"/>
  <c r="AN51" i="2"/>
  <c r="AN68" i="2"/>
  <c r="AP68" i="2"/>
  <c r="AN45" i="2"/>
  <c r="AP45" i="2"/>
  <c r="AP67" i="2"/>
  <c r="AN67" i="2"/>
  <c r="AL37" i="2"/>
  <c r="AN37" i="2"/>
  <c r="AP37" i="2"/>
  <c r="AN53" i="2"/>
  <c r="AP53" i="2"/>
  <c r="AN46" i="2"/>
  <c r="AP46" i="2"/>
  <c r="AN64" i="2"/>
  <c r="AP64" i="2"/>
  <c r="AL50" i="2"/>
  <c r="AN50" i="2"/>
  <c r="AP50" i="2"/>
  <c r="AP25" i="2"/>
  <c r="AN25" i="2"/>
  <c r="AL112" i="2"/>
  <c r="AL113" i="2"/>
  <c r="AL110" i="2"/>
  <c r="AJ46" i="2"/>
  <c r="AL125" i="2"/>
  <c r="AL90" i="2"/>
  <c r="AH90" i="2"/>
  <c r="AJ90" i="2"/>
  <c r="AJ129" i="2"/>
  <c r="AL100" i="2"/>
  <c r="AL127" i="2"/>
  <c r="AJ112" i="2"/>
  <c r="AJ103" i="2"/>
  <c r="AH99" i="2"/>
  <c r="AH127" i="2"/>
  <c r="AL99" i="2"/>
  <c r="AH112" i="2"/>
  <c r="AL104" i="2"/>
  <c r="AJ69" i="2"/>
  <c r="AL95" i="2"/>
  <c r="AL129" i="2"/>
  <c r="AL124" i="2"/>
  <c r="AL128" i="2"/>
  <c r="AJ124" i="2"/>
  <c r="AJ70" i="2"/>
  <c r="AJ105" i="2"/>
  <c r="AH100" i="2"/>
  <c r="AH70" i="2"/>
  <c r="AL45" i="2"/>
  <c r="AJ113" i="2"/>
  <c r="AH126" i="2"/>
  <c r="AJ104" i="2"/>
  <c r="AJ126" i="2"/>
  <c r="AH104" i="2"/>
  <c r="AJ107" i="2"/>
  <c r="AH45" i="2"/>
  <c r="AJ128" i="2"/>
  <c r="AJ110" i="2"/>
  <c r="AH119" i="2"/>
  <c r="AJ131" i="2"/>
  <c r="AJ85" i="2"/>
  <c r="AH85" i="2"/>
  <c r="AH131" i="2"/>
  <c r="AH86" i="2"/>
  <c r="AL103" i="2"/>
  <c r="AJ127" i="2"/>
  <c r="AL85" i="2"/>
  <c r="AL126" i="2"/>
  <c r="AH128" i="2"/>
  <c r="AH107" i="2"/>
  <c r="AJ125" i="2"/>
  <c r="AJ45" i="2"/>
  <c r="AJ51" i="2"/>
  <c r="AJ130" i="2"/>
  <c r="AL62" i="2"/>
  <c r="AH69" i="2"/>
  <c r="AH62" i="2"/>
  <c r="AH113" i="2"/>
  <c r="AH103" i="2"/>
  <c r="AJ62" i="2"/>
  <c r="AL51" i="2"/>
  <c r="AL132" i="2"/>
  <c r="AH133" i="2"/>
  <c r="AJ95" i="2"/>
  <c r="AJ43" i="2"/>
  <c r="AL102" i="2"/>
  <c r="AH110" i="2"/>
  <c r="AH43" i="2"/>
  <c r="AJ102" i="2"/>
  <c r="AJ132" i="2"/>
  <c r="AL122" i="2"/>
  <c r="AH111" i="2"/>
  <c r="AL107" i="2"/>
  <c r="AL119" i="2"/>
  <c r="AJ119" i="2"/>
  <c r="AH124" i="2"/>
  <c r="AL133" i="2"/>
  <c r="AJ86" i="2"/>
  <c r="AH114" i="2"/>
  <c r="AJ114" i="2"/>
  <c r="AJ122" i="2"/>
  <c r="AL114" i="2"/>
  <c r="AH129" i="2"/>
  <c r="AH130" i="2"/>
  <c r="AL46" i="2"/>
  <c r="AH46" i="2"/>
  <c r="AJ133" i="2"/>
  <c r="AL69" i="2"/>
  <c r="AH95" i="2"/>
  <c r="AH105" i="2"/>
  <c r="AH102" i="2"/>
  <c r="AH122" i="2"/>
  <c r="AL131" i="2"/>
  <c r="AH125" i="2"/>
  <c r="AH132" i="2"/>
  <c r="AJ111" i="2"/>
  <c r="AH120" i="2"/>
  <c r="AJ120" i="2"/>
  <c r="AL120" i="2"/>
  <c r="AJ42" i="2"/>
  <c r="AJ53" i="2"/>
  <c r="AH51" i="2"/>
  <c r="AH64" i="2"/>
  <c r="AL42" i="2"/>
  <c r="AL88" i="2"/>
  <c r="AH88" i="2"/>
  <c r="AJ88" i="2"/>
  <c r="AH84" i="2"/>
  <c r="AJ84" i="2"/>
  <c r="AL84" i="2"/>
  <c r="AJ50" i="2"/>
  <c r="AJ31" i="2"/>
  <c r="AH29" i="2"/>
  <c r="AH50" i="2"/>
  <c r="AJ44" i="2"/>
  <c r="AL44" i="2"/>
  <c r="AH44" i="2"/>
  <c r="AL31" i="2"/>
  <c r="AJ25" i="2"/>
  <c r="AH31" i="2"/>
  <c r="AJ52" i="2"/>
  <c r="AJ60" i="2"/>
  <c r="AH58" i="2"/>
  <c r="AH48" i="2"/>
  <c r="AJ48" i="2"/>
  <c r="AJ59" i="2"/>
  <c r="AH59" i="2"/>
  <c r="AH60" i="2"/>
  <c r="AH25" i="2"/>
  <c r="AH53" i="2"/>
  <c r="AL59" i="2"/>
  <c r="AL58" i="2"/>
  <c r="AJ68" i="2"/>
  <c r="AH68" i="2"/>
  <c r="AH66" i="2"/>
  <c r="AJ58" i="2"/>
  <c r="AL48" i="2"/>
  <c r="AJ64" i="2"/>
  <c r="AH52" i="2"/>
  <c r="AL68" i="2"/>
  <c r="AJ36" i="2"/>
  <c r="AH37" i="2"/>
  <c r="AL65" i="2"/>
  <c r="AJ66" i="2"/>
  <c r="AJ37" i="2"/>
  <c r="AL53" i="2"/>
  <c r="AL66" i="2"/>
  <c r="AL36" i="2"/>
  <c r="AH36" i="2"/>
  <c r="AL52" i="2"/>
  <c r="AL60" i="2"/>
  <c r="AL67" i="2"/>
  <c r="AL64" i="2"/>
  <c r="AL25" i="2"/>
  <c r="AL30" i="2"/>
  <c r="AL29" i="2"/>
  <c r="AL28" i="2"/>
  <c r="AH67" i="2"/>
  <c r="AH65" i="2"/>
  <c r="AJ28" i="2"/>
  <c r="AH30" i="2"/>
  <c r="AJ65" i="2"/>
  <c r="AH28" i="2"/>
  <c r="AJ29" i="2"/>
  <c r="AJ30" i="2"/>
  <c r="AJ67" i="2"/>
  <c r="J38" i="5"/>
  <c r="L38" i="5" s="1"/>
  <c r="Q38" i="5" s="1"/>
  <c r="M38" i="5" s="1"/>
  <c r="N38" i="5" s="1"/>
  <c r="T44" i="5"/>
  <c r="U44" i="5"/>
  <c r="R44" i="5"/>
  <c r="Q44" i="5"/>
  <c r="M44" i="5" s="1"/>
  <c r="N44" i="5" s="1"/>
  <c r="J42" i="5"/>
  <c r="L42" i="5" s="1"/>
  <c r="R42" i="5" s="1"/>
  <c r="T39" i="5"/>
  <c r="R39" i="5"/>
  <c r="U39" i="5"/>
  <c r="T35" i="5"/>
  <c r="R35" i="5"/>
  <c r="U35" i="5"/>
  <c r="T33" i="5"/>
  <c r="U33" i="5"/>
  <c r="R33" i="5"/>
  <c r="J32" i="5"/>
  <c r="L32" i="5" s="1"/>
  <c r="Q32" i="5" s="1"/>
  <c r="U29" i="5"/>
  <c r="R29" i="5"/>
  <c r="J20" i="5"/>
  <c r="J28" i="5"/>
  <c r="J46" i="5"/>
  <c r="L46" i="5" s="1"/>
  <c r="S78" i="3" l="1"/>
  <c r="U57" i="3"/>
  <c r="K33" i="1" s="1"/>
  <c r="W57" i="3"/>
  <c r="O33" i="1" s="1"/>
  <c r="AE30" i="2"/>
  <c r="AA36" i="2"/>
  <c r="Y36" i="2" s="1"/>
  <c r="AA30" i="2"/>
  <c r="Y30" i="2" s="1"/>
  <c r="AE31" i="2"/>
  <c r="Z136" i="2"/>
  <c r="Y79" i="2"/>
  <c r="AB180" i="2"/>
  <c r="K32" i="1" s="1"/>
  <c r="V78" i="3"/>
  <c r="M33" i="1"/>
  <c r="M35" i="1" s="1"/>
  <c r="Y80" i="2"/>
  <c r="AF180" i="2"/>
  <c r="O32" i="1" s="1"/>
  <c r="T185" i="2"/>
  <c r="D2" i="15" s="1"/>
  <c r="Z20" i="2"/>
  <c r="Z73" i="2" s="1"/>
  <c r="Q40" i="5"/>
  <c r="M40" i="5" s="1"/>
  <c r="N40" i="5" s="1"/>
  <c r="R41" i="5"/>
  <c r="P40" i="5"/>
  <c r="T40" i="5"/>
  <c r="R40" i="5"/>
  <c r="T41" i="5"/>
  <c r="P41" i="5"/>
  <c r="W20" i="2"/>
  <c r="T186" i="2"/>
  <c r="Q41" i="5"/>
  <c r="T19" i="3"/>
  <c r="T57" i="3" s="1"/>
  <c r="AJ78" i="2"/>
  <c r="W78" i="2"/>
  <c r="AN21" i="2"/>
  <c r="W21" i="2"/>
  <c r="AP81" i="2"/>
  <c r="W81" i="2"/>
  <c r="AP82" i="2"/>
  <c r="AJ22" i="2"/>
  <c r="W22" i="2"/>
  <c r="AC23" i="2"/>
  <c r="AA23" i="2" s="1"/>
  <c r="AE42" i="2"/>
  <c r="AA42" i="2"/>
  <c r="Y42" i="2" s="1"/>
  <c r="AE77" i="2"/>
  <c r="AC77" i="2"/>
  <c r="AA77" i="2"/>
  <c r="Y77" i="2" s="1"/>
  <c r="AP22" i="2"/>
  <c r="AL82" i="2"/>
  <c r="Z41" i="1"/>
  <c r="AH22" i="2"/>
  <c r="AL22" i="2"/>
  <c r="AH33" i="1"/>
  <c r="AH35" i="1" s="1"/>
  <c r="AB33" i="1"/>
  <c r="AB35" i="1" s="1"/>
  <c r="Z33" i="1"/>
  <c r="Z35" i="1" s="1"/>
  <c r="W33" i="1"/>
  <c r="W35" i="1" s="1"/>
  <c r="AJ33" i="1"/>
  <c r="AJ35" i="1" s="1"/>
  <c r="AH82" i="2"/>
  <c r="AP30" i="1"/>
  <c r="AP76" i="2"/>
  <c r="AN22" i="2"/>
  <c r="AH76" i="2"/>
  <c r="AN76" i="2"/>
  <c r="AH20" i="2"/>
  <c r="AP20" i="2"/>
  <c r="AL78" i="2"/>
  <c r="AL76" i="2"/>
  <c r="AJ82" i="2"/>
  <c r="AJ77" i="2"/>
  <c r="AP78" i="2"/>
  <c r="AN77" i="2"/>
  <c r="AL77" i="2"/>
  <c r="AN78" i="2"/>
  <c r="AJ81" i="2"/>
  <c r="AN82" i="2"/>
  <c r="AH78" i="2"/>
  <c r="AH77" i="2"/>
  <c r="AN20" i="2"/>
  <c r="AL20" i="2"/>
  <c r="AJ20" i="2"/>
  <c r="AP21" i="2"/>
  <c r="AH21" i="2"/>
  <c r="AL21" i="2"/>
  <c r="AJ21" i="2"/>
  <c r="AJ23" i="2"/>
  <c r="AJ76" i="2"/>
  <c r="AP23" i="2"/>
  <c r="AL81" i="2"/>
  <c r="AH23" i="2"/>
  <c r="AN23" i="2"/>
  <c r="AP77" i="2"/>
  <c r="AH81" i="2"/>
  <c r="AN81" i="2"/>
  <c r="AL23" i="2"/>
  <c r="U43" i="5"/>
  <c r="R43" i="5"/>
  <c r="T43" i="5"/>
  <c r="P43" i="5"/>
  <c r="Q43" i="5"/>
  <c r="M43" i="5" s="1"/>
  <c r="N43" i="5" s="1"/>
  <c r="P38" i="5"/>
  <c r="AD29" i="1"/>
  <c r="AD30" i="1" s="1"/>
  <c r="T42" i="5"/>
  <c r="U42" i="5"/>
  <c r="Q42" i="5"/>
  <c r="M42" i="5" s="1"/>
  <c r="N42" i="5" s="1"/>
  <c r="P42" i="5"/>
  <c r="M32" i="5"/>
  <c r="N32" i="5" s="1"/>
  <c r="P32" i="5"/>
  <c r="AJ73" i="2" l="1"/>
  <c r="W73" i="2"/>
  <c r="U78" i="3"/>
  <c r="W78" i="3"/>
  <c r="O35" i="1"/>
  <c r="AN73" i="2"/>
  <c r="AL73" i="2"/>
  <c r="AH73" i="2"/>
  <c r="AL136" i="2"/>
  <c r="AP73" i="2"/>
  <c r="AJ136" i="2"/>
  <c r="AE23" i="2"/>
  <c r="AP136" i="2"/>
  <c r="AH136" i="2"/>
  <c r="AN136" i="2"/>
  <c r="W136" i="2"/>
  <c r="Y23" i="2"/>
  <c r="K35" i="1"/>
  <c r="M41" i="5"/>
  <c r="N41" i="5" s="1"/>
  <c r="T78" i="3"/>
  <c r="I33" i="1"/>
  <c r="Z180" i="2"/>
  <c r="I32" i="1" s="1"/>
  <c r="AA81" i="2"/>
  <c r="AE81" i="2"/>
  <c r="AC81" i="2"/>
  <c r="AC21" i="2"/>
  <c r="AE21" i="2"/>
  <c r="AA21" i="2"/>
  <c r="Y21" i="2" s="1"/>
  <c r="AA76" i="2"/>
  <c r="Y76" i="2" s="1"/>
  <c r="AE76" i="2"/>
  <c r="AC76" i="2"/>
  <c r="AC82" i="2"/>
  <c r="AA82" i="2" s="1"/>
  <c r="AC20" i="2"/>
  <c r="AE20" i="2"/>
  <c r="AA20" i="2"/>
  <c r="AA73" i="2" s="1"/>
  <c r="AE78" i="2"/>
  <c r="AC78" i="2"/>
  <c r="AA78" i="2"/>
  <c r="Y78" i="2" s="1"/>
  <c r="AA22" i="2"/>
  <c r="Y22" i="2" s="1"/>
  <c r="AC22" i="2"/>
  <c r="AE22" i="2"/>
  <c r="AC73" i="2" l="1"/>
  <c r="AE73" i="2"/>
  <c r="AE82" i="2"/>
  <c r="AE136" i="2" s="1"/>
  <c r="AA136" i="2"/>
  <c r="AC136" i="2"/>
  <c r="AL180" i="2"/>
  <c r="AA32" i="1" s="1"/>
  <c r="AP180" i="2"/>
  <c r="AI32" i="1" s="1"/>
  <c r="I35" i="1"/>
  <c r="W180" i="2"/>
  <c r="AJ180" i="2"/>
  <c r="Y32" i="1" s="1"/>
  <c r="Y81" i="2"/>
  <c r="AN180" i="2"/>
  <c r="AG32" i="1" s="1"/>
  <c r="AH180" i="2"/>
  <c r="Y82" i="2"/>
  <c r="Y20" i="2"/>
  <c r="Y73" i="2" s="1"/>
  <c r="AA29" i="1"/>
  <c r="F29" i="1"/>
  <c r="Y136" i="2" l="1"/>
  <c r="Y180" i="2" s="1"/>
  <c r="AP182" i="2"/>
  <c r="AQ185" i="2" s="1"/>
  <c r="AL182" i="2"/>
  <c r="AJ182" i="2"/>
  <c r="AG29" i="1"/>
  <c r="AG30" i="1" s="1"/>
  <c r="F32" i="1"/>
  <c r="F35" i="1" s="1"/>
  <c r="F36" i="1" s="1"/>
  <c r="W182" i="2"/>
  <c r="AC180" i="2"/>
  <c r="L32" i="1" s="1"/>
  <c r="L35" i="1" s="1"/>
  <c r="L36" i="1" s="1"/>
  <c r="V32" i="1"/>
  <c r="AH182" i="2"/>
  <c r="AE180" i="2"/>
  <c r="N32" i="1" s="1"/>
  <c r="N35" i="1" s="1"/>
  <c r="N36" i="1" s="1"/>
  <c r="AA180" i="2"/>
  <c r="J32" i="1" s="1"/>
  <c r="J35" i="1" s="1"/>
  <c r="J36" i="1" s="1"/>
  <c r="AN182" i="2"/>
  <c r="L65" i="5"/>
  <c r="H65" i="5"/>
  <c r="G65" i="5" s="1"/>
  <c r="H62" i="5"/>
  <c r="G62" i="5" s="1"/>
  <c r="H61" i="5"/>
  <c r="G61" i="5" s="1"/>
  <c r="H60" i="5"/>
  <c r="G60" i="5" s="1"/>
  <c r="L28" i="5"/>
  <c r="AP185" i="2" l="1"/>
  <c r="H32" i="1"/>
  <c r="H35" i="1" s="1"/>
  <c r="H36" i="1" s="1"/>
  <c r="Y182" i="2"/>
  <c r="AE182" i="2"/>
  <c r="AC182" i="2"/>
  <c r="AA182" i="2"/>
  <c r="P28" i="5"/>
  <c r="Q28" i="5"/>
  <c r="M34" i="5"/>
  <c r="N34" i="5" s="1"/>
  <c r="J60" i="5"/>
  <c r="L60" i="5" s="1"/>
  <c r="J61" i="5"/>
  <c r="L61" i="5" s="1"/>
  <c r="J62" i="5"/>
  <c r="L62" i="5" s="1"/>
  <c r="T65" i="5"/>
  <c r="U65" i="5"/>
  <c r="R65" i="5"/>
  <c r="Q65" i="5"/>
  <c r="M65" i="5" s="1"/>
  <c r="N65" i="5" s="1"/>
  <c r="P65" i="5"/>
  <c r="H27" i="5"/>
  <c r="G27" i="5" s="1"/>
  <c r="H26" i="5"/>
  <c r="G26" i="5" s="1"/>
  <c r="H25" i="5"/>
  <c r="G25" i="5" s="1"/>
  <c r="H24" i="5"/>
  <c r="J24" i="5" s="1"/>
  <c r="H23" i="5"/>
  <c r="G23" i="5" s="1"/>
  <c r="H22" i="5"/>
  <c r="G22" i="5" s="1"/>
  <c r="H21" i="5"/>
  <c r="G21" i="5" s="1"/>
  <c r="L20" i="5"/>
  <c r="T20" i="5" s="1"/>
  <c r="H20" i="5"/>
  <c r="G20" i="5" s="1"/>
  <c r="H19" i="5"/>
  <c r="T61" i="5" l="1"/>
  <c r="P61" i="5"/>
  <c r="Q60" i="5"/>
  <c r="R60" i="5"/>
  <c r="M28" i="5"/>
  <c r="U62" i="5"/>
  <c r="R62" i="5"/>
  <c r="T62" i="5"/>
  <c r="Q62" i="5"/>
  <c r="M62" i="5" s="1"/>
  <c r="N62" i="5" s="1"/>
  <c r="P62" i="5"/>
  <c r="J26" i="5"/>
  <c r="L26" i="5" s="1"/>
  <c r="T26" i="5" s="1"/>
  <c r="J27" i="5"/>
  <c r="L27" i="5" s="1"/>
  <c r="R61" i="5"/>
  <c r="Q61" i="5"/>
  <c r="M61" i="5" s="1"/>
  <c r="N61" i="5" s="1"/>
  <c r="J23" i="5"/>
  <c r="L23" i="5" s="1"/>
  <c r="P23" i="5" s="1"/>
  <c r="U61" i="5"/>
  <c r="J25" i="5"/>
  <c r="L25" i="5" s="1"/>
  <c r="R25" i="5" s="1"/>
  <c r="J19" i="5"/>
  <c r="L19" i="5" s="1"/>
  <c r="J22" i="5"/>
  <c r="L22" i="5" s="1"/>
  <c r="J21" i="5"/>
  <c r="L21" i="5" s="1"/>
  <c r="U60" i="5"/>
  <c r="T60" i="5"/>
  <c r="M60" i="5"/>
  <c r="N60" i="5" s="1"/>
  <c r="P60" i="5"/>
  <c r="L24" i="5"/>
  <c r="Q20" i="5"/>
  <c r="M20" i="5" s="1"/>
  <c r="N20" i="5" s="1"/>
  <c r="R20" i="5"/>
  <c r="U20" i="5"/>
  <c r="P20" i="5"/>
  <c r="L74" i="5" l="1"/>
  <c r="D3" i="15" s="1"/>
  <c r="N28" i="5"/>
  <c r="P19" i="5"/>
  <c r="U22" i="5"/>
  <c r="T22" i="5"/>
  <c r="Q27" i="5"/>
  <c r="M27" i="5" s="1"/>
  <c r="N27" i="5" s="1"/>
  <c r="P24" i="5"/>
  <c r="T24" i="5"/>
  <c r="Q22" i="5"/>
  <c r="AN27" i="1"/>
  <c r="Q19" i="5"/>
  <c r="U19" i="5"/>
  <c r="T19" i="5"/>
  <c r="R19" i="5"/>
  <c r="R23" i="5"/>
  <c r="T25" i="5"/>
  <c r="P25" i="5"/>
  <c r="R27" i="5"/>
  <c r="U27" i="5"/>
  <c r="T27" i="5"/>
  <c r="P27" i="5"/>
  <c r="R26" i="5"/>
  <c r="T23" i="5"/>
  <c r="U23" i="5"/>
  <c r="U25" i="5"/>
  <c r="Q25" i="5"/>
  <c r="M25" i="5" s="1"/>
  <c r="N25" i="5" s="1"/>
  <c r="Q23" i="5"/>
  <c r="M23" i="5" s="1"/>
  <c r="N23" i="5" s="1"/>
  <c r="P26" i="5"/>
  <c r="P22" i="5"/>
  <c r="U26" i="5"/>
  <c r="Q26" i="5"/>
  <c r="M26" i="5" s="1"/>
  <c r="N26" i="5" s="1"/>
  <c r="R22" i="5"/>
  <c r="Q24" i="5"/>
  <c r="M24" i="5" s="1"/>
  <c r="N24" i="5" s="1"/>
  <c r="R24" i="5"/>
  <c r="M22" i="5"/>
  <c r="N22" i="5" s="1"/>
  <c r="U24" i="5"/>
  <c r="P21" i="5"/>
  <c r="U21" i="5"/>
  <c r="Q21" i="5"/>
  <c r="M21" i="5" s="1"/>
  <c r="N21" i="5" s="1"/>
  <c r="R21" i="5"/>
  <c r="T21" i="5"/>
  <c r="AO29" i="1" l="1"/>
  <c r="AO30" i="1" s="1"/>
  <c r="AN29" i="1"/>
  <c r="AN30" i="1" s="1"/>
  <c r="M19" i="5"/>
  <c r="M68" i="5" s="1"/>
  <c r="G27" i="1" s="1"/>
  <c r="Q68" i="5"/>
  <c r="Z27" i="1" s="1"/>
  <c r="Z29" i="1" s="1"/>
  <c r="Y30" i="1" s="1"/>
  <c r="P68" i="5"/>
  <c r="U27" i="1" s="1"/>
  <c r="T29" i="1" s="1"/>
  <c r="S30" i="1" s="1"/>
  <c r="R68" i="5"/>
  <c r="AB27" i="1" s="1"/>
  <c r="AB29" i="1" s="1"/>
  <c r="T68" i="5"/>
  <c r="AF27" i="1" s="1"/>
  <c r="AF29" i="1" s="1"/>
  <c r="AF30" i="1" s="1"/>
  <c r="U68" i="5"/>
  <c r="AK27" i="1" s="1"/>
  <c r="AK29" i="1" s="1"/>
  <c r="AK30" i="1" s="1"/>
  <c r="D4" i="15"/>
  <c r="E2" i="15" s="1"/>
  <c r="N19" i="5"/>
  <c r="N68" i="5" s="1"/>
  <c r="I27" i="1" s="1"/>
  <c r="E3" i="15" l="1"/>
  <c r="AI35" i="1"/>
  <c r="AI36" i="1" s="1"/>
  <c r="AA35" i="1"/>
  <c r="AA36" i="1" s="1"/>
  <c r="Y35" i="1"/>
  <c r="Y36" i="1" s="1"/>
  <c r="V35" i="1"/>
  <c r="V36" i="1" s="1"/>
  <c r="AG35" i="1"/>
  <c r="AG36" i="1" s="1"/>
  <c r="L29" i="1" l="1"/>
  <c r="Y41" i="1"/>
  <c r="Y42" i="1" s="1"/>
  <c r="J29" i="1"/>
  <c r="N29" i="1" l="1"/>
  <c r="AP41" i="1"/>
  <c r="AP42" i="1" s="1"/>
  <c r="H29" i="1"/>
  <c r="I24" i="1"/>
  <c r="O29" i="1"/>
  <c r="G24" i="1"/>
  <c r="G29" i="1" s="1"/>
  <c r="F30" i="1" s="1"/>
  <c r="Q24" i="1"/>
  <c r="Q29" i="1" s="1"/>
  <c r="P30" i="1" s="1"/>
  <c r="K29" i="1"/>
  <c r="J30" i="1" s="1"/>
  <c r="M29" i="1"/>
  <c r="L30" i="1" s="1"/>
  <c r="R24" i="1"/>
  <c r="R29" i="1" s="1"/>
  <c r="R30" i="1" s="1"/>
  <c r="N30" i="1" l="1"/>
  <c r="Q56" i="16"/>
  <c r="I39" i="1" s="1"/>
  <c r="Q65" i="18"/>
  <c r="I40" i="1" s="1"/>
  <c r="Q65" i="7"/>
  <c r="I25" i="1" s="1"/>
  <c r="I29" i="1" s="1"/>
  <c r="H30" i="1" s="1"/>
  <c r="I41" i="1" l="1"/>
  <c r="H42" i="1" s="1"/>
</calcChain>
</file>

<file path=xl/comments1.xml><?xml version="1.0" encoding="utf-8"?>
<comments xmlns="http://schemas.openxmlformats.org/spreadsheetml/2006/main">
  <authors>
    <author>hartzelljh</author>
  </authors>
  <commentList>
    <comment ref="K59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to account for curved portion heading up ramp G.</t>
        </r>
      </text>
    </comment>
  </commentList>
</comments>
</file>

<file path=xl/comments2.xml><?xml version="1.0" encoding="utf-8"?>
<comments xmlns="http://schemas.openxmlformats.org/spreadsheetml/2006/main">
  <authors>
    <author>hartzelljh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
Put "-" if area will be measured in CADD.</t>
        </r>
      </text>
    </comment>
    <comment ref="AD9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Past E/P of outside gutters.</t>
        </r>
      </text>
    </comment>
    <comment ref="AG9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Underneath island cap.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G60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  <comment ref="G65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Changed formula.</t>
        </r>
      </text>
    </comment>
  </commentList>
</comments>
</file>

<file path=xl/comments3.xml><?xml version="1.0" encoding="utf-8"?>
<comments xmlns="http://schemas.openxmlformats.org/spreadsheetml/2006/main">
  <authors>
    <author>hartzelljh</author>
  </authors>
  <commentList>
    <comment ref="M6" authorId="0" shapeId="0">
      <text>
        <r>
          <rPr>
            <b/>
            <sz val="9"/>
            <color indexed="81"/>
            <rFont val="Tahoma"/>
            <family val="2"/>
          </rPr>
          <t>hartzelljh:</t>
        </r>
        <r>
          <rPr>
            <sz val="9"/>
            <color indexed="81"/>
            <rFont val="Tahoma"/>
            <family val="2"/>
          </rPr>
          <t xml:space="preserve">
Measured E/S to E/S if uncurbed,
measured F/C to F/C if curbed.</t>
        </r>
      </text>
    </comment>
  </commentList>
</comments>
</file>

<file path=xl/sharedStrings.xml><?xml version="1.0" encoding="utf-8"?>
<sst xmlns="http://schemas.openxmlformats.org/spreadsheetml/2006/main" count="3138" uniqueCount="284">
  <si>
    <t>SIDE</t>
  </si>
  <si>
    <t>STATION</t>
  </si>
  <si>
    <t>FROM</t>
  </si>
  <si>
    <t>TO</t>
  </si>
  <si>
    <t>LENGTH</t>
  </si>
  <si>
    <t>FT</t>
  </si>
  <si>
    <t>SQ FT</t>
  </si>
  <si>
    <t>PROOF ROLLING</t>
  </si>
  <si>
    <t>SUBGRADE COMPACTION</t>
  </si>
  <si>
    <t>6" AGGREGATE BASE</t>
  </si>
  <si>
    <t>SQ YD</t>
  </si>
  <si>
    <t>HOUR</t>
  </si>
  <si>
    <t>CU YD</t>
  </si>
  <si>
    <t>GALLON</t>
  </si>
  <si>
    <t xml:space="preserve">TOTAL AREA </t>
  </si>
  <si>
    <t>LT</t>
  </si>
  <si>
    <t>RT</t>
  </si>
  <si>
    <t>SURFACE AREA
A = L x W</t>
  </si>
  <si>
    <t>CURING COAT</t>
  </si>
  <si>
    <t>CEMENT STABILIZED SUBGRADE, 12 INCHES DEEP</t>
  </si>
  <si>
    <t>AREA MEASURED
IN CADD</t>
  </si>
  <si>
    <t>AVERAGE WIDTH</t>
  </si>
  <si>
    <t>TON</t>
  </si>
  <si>
    <t>CEMENT</t>
  </si>
  <si>
    <t>FULL DEPTH PAVEMENT SAWING</t>
  </si>
  <si>
    <t>1.5" ASPHALT CONCRETE SURFACE COURSE,
12.5MM, TYPE A (446)</t>
  </si>
  <si>
    <t>1.75" ASPHALT CONCRETE INTERMEDIATE COURSE,
19MM, TYPE A (446)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</si>
  <si>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SIDES WITH CURB</t>
    </r>
  </si>
  <si>
    <t>APP SLAB</t>
  </si>
  <si>
    <t>14" NON-REINFORCED CONCRETE PAVEMENT</t>
  </si>
  <si>
    <t>RT / LT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</si>
  <si>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BASE</t>
    </r>
  </si>
  <si>
    <t>3" ASPHALT CONCRETE BASE, PG64-22</t>
  </si>
  <si>
    <t>3" AGGREGATE BASE</t>
  </si>
  <si>
    <t>DATE:</t>
  </si>
  <si>
    <t>CALCULATED BY:</t>
  </si>
  <si>
    <t>CHECKED BY:</t>
  </si>
  <si>
    <t>ROADWAY</t>
  </si>
  <si>
    <t>I-75 NB FLEXIBLE PAVEMENT</t>
  </si>
  <si>
    <t>I-75 SB FLEXIBLE PAVEMENT</t>
  </si>
  <si>
    <t>PAVEMENT REMOVED</t>
  </si>
  <si>
    <t>GRAY STREET</t>
  </si>
  <si>
    <t>11.5" ASPHALT CONCRETE BASE, PG64-22</t>
  </si>
  <si>
    <t>3" PAVEMENT PLANING, ASPHALT CONCRETE</t>
  </si>
  <si>
    <t>ITEM 302</t>
  </si>
  <si>
    <t>ITEM 304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</si>
  <si>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AGGREGATE BASE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</si>
  <si>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ASPHALT CONCRETE INTERMEDIATE COURSE</t>
    </r>
  </si>
  <si>
    <t>ITEM 442</t>
  </si>
  <si>
    <t>1015+00</t>
  </si>
  <si>
    <t>END BL</t>
  </si>
  <si>
    <t>BEGIN CL</t>
  </si>
  <si>
    <t>6" ASPHALT CONCRETE BASE, PG 64-22</t>
  </si>
  <si>
    <t>LIMA AVENUE</t>
  </si>
  <si>
    <t>LOGAN AVENUE</t>
  </si>
  <si>
    <t>LIMA RAMP A</t>
  </si>
  <si>
    <t>LIMA RAMP B</t>
  </si>
  <si>
    <t>LIMA RAMP E</t>
  </si>
  <si>
    <t>LIMA RAMP F</t>
  </si>
  <si>
    <t>LIMA RAMP G</t>
  </si>
  <si>
    <t>LIMA RAMP G1</t>
  </si>
  <si>
    <t>LIMA RAMP H</t>
  </si>
  <si>
    <t>S.R. 12 RAMP A</t>
  </si>
  <si>
    <t>U.S. 68 NB FLEXIBLE PAVEMENT</t>
  </si>
  <si>
    <t>U.S. 68 SB FLEXIBLE PAVEMENT</t>
  </si>
  <si>
    <t>U.S. 68 RAMP A FLEXIBLE PAVEMENT</t>
  </si>
  <si>
    <t>U.S. 68 RAMP B FLEXIBLE PAVEMENT</t>
  </si>
  <si>
    <t>U.S. 68 RAMP C FLEXIBLE PAVEMENT</t>
  </si>
  <si>
    <t>U.S. 68 RAMP D FLEXIBLE PAVEMENT</t>
  </si>
  <si>
    <t>S.R. 12 RAMP B</t>
  </si>
  <si>
    <t>S.R. 12 RAMP C</t>
  </si>
  <si>
    <t>S.R. 12 RAMP D</t>
  </si>
  <si>
    <t>U.S. 224 RAMP A</t>
  </si>
  <si>
    <t>U.S. 224 RAMP B</t>
  </si>
  <si>
    <t>U.S. 224 RAMP C</t>
  </si>
  <si>
    <t>U.S. 224 RAMP D</t>
  </si>
  <si>
    <t>925+45</t>
  </si>
  <si>
    <t>983+46</t>
  </si>
  <si>
    <t>1001+47</t>
  </si>
  <si>
    <t>905+15</t>
  </si>
  <si>
    <t>905+16</t>
  </si>
  <si>
    <t>899+94</t>
  </si>
  <si>
    <t>903+18</t>
  </si>
  <si>
    <t>884+87</t>
  </si>
  <si>
    <t>896+33</t>
  </si>
  <si>
    <t>816+31</t>
  </si>
  <si>
    <t>805+19</t>
  </si>
  <si>
    <t>813+37</t>
  </si>
  <si>
    <t>792+33</t>
  </si>
  <si>
    <t>803+17</t>
  </si>
  <si>
    <t>759+99</t>
  </si>
  <si>
    <t>744+28</t>
  </si>
  <si>
    <t>787+23</t>
  </si>
  <si>
    <t>797+78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</si>
  <si>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GUTTER STYLE</t>
    </r>
  </si>
  <si>
    <t>Findlay</t>
  </si>
  <si>
    <t>4' Wide</t>
  </si>
  <si>
    <t>-</t>
  </si>
  <si>
    <t>1.25" ASPHALT CONCRETE SURFACE COURSE, 12.5MM, TYPE A (448)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</si>
  <si>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LEFT SIDE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</si>
  <si>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RIGHT SIDE</t>
    </r>
  </si>
  <si>
    <t>Uncurbed</t>
  </si>
  <si>
    <t>Curbed</t>
  </si>
  <si>
    <t>E/S - E/S</t>
  </si>
  <si>
    <t>E/S - F/C</t>
  </si>
  <si>
    <t>F/C - F/C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</si>
  <si>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MEASURE FROM - TO</t>
    </r>
  </si>
  <si>
    <t>Med. Barr.</t>
  </si>
  <si>
    <t>Unique</t>
  </si>
  <si>
    <t>E/S - C/B</t>
  </si>
  <si>
    <t>F/C - C/B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</si>
  <si>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MINUS VOLUME FOR
ASPHALT CONCRETE SURFACE COURSE</t>
    </r>
  </si>
  <si>
    <t>C/B - C/B</t>
  </si>
  <si>
    <t>ITEM 452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</si>
  <si>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MINUS WIDTH FOR
CONCRETE PAVEMENT</t>
    </r>
  </si>
  <si>
    <t>E/P - E/P</t>
  </si>
  <si>
    <t>932+44</t>
  </si>
  <si>
    <t>930+26</t>
  </si>
  <si>
    <t>929+00</t>
  </si>
  <si>
    <t>932+45</t>
  </si>
  <si>
    <t>4" NON-REINFORCED CONCRETE PAVEMENT, MISC.: ISLAND CAP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</si>
  <si>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NO. OF SHOULDERS</t>
    </r>
  </si>
  <si>
    <r>
      <t xml:space="preserve">HIDE THIS COLUMN
</t>
    </r>
    <r>
      <rPr>
        <sz val="10"/>
        <rFont val="Arial"/>
        <family val="2"/>
      </rPr>
      <t>NO. OF SIDES WITH CURB AND GUTTER</t>
    </r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</si>
  <si>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VOLUME FOR
SUBGRADE COMPACTION</t>
    </r>
  </si>
  <si>
    <t>ITEM 301</t>
  </si>
  <si>
    <t>6" ASPHALT CONCRETE BASE, PG64-22</t>
  </si>
  <si>
    <t>6" AGGRGATE BASE</t>
  </si>
  <si>
    <t>HARRISON STREET</t>
  </si>
  <si>
    <t>SERVICE ROAD</t>
  </si>
  <si>
    <t>2" ASPHALT CONCRETE SURFACE COURSE, 
TYPE 1, (448), PG64-22</t>
  </si>
  <si>
    <t>1.75" ASPHALT CONCRETE INTERMEDIATE COURSE, TYPE 2, (448)</t>
  </si>
  <si>
    <t>1 1/4" ASPHALT CONCRETE SURFACE COURSE, TYPE 1, (448) PG64-22</t>
  </si>
  <si>
    <t>1 3/4" ASPHALT CONCRETE INTERMEDIATE COURSE, TYPE 2, (448)</t>
  </si>
  <si>
    <t>SPECIAL - PRESSURE RELIEF JOINT, TYPE A</t>
  </si>
  <si>
    <t>9" NON-REINFORCED CONCRETE PAVEMENT, AS PER PLAN</t>
  </si>
  <si>
    <t>OPTION A: ASPHALT PAVEMENT</t>
  </si>
  <si>
    <t>OPTION B: CONCRETE PAVEMENT</t>
  </si>
  <si>
    <t>PAVEMENT</t>
  </si>
  <si>
    <t>LIMA AVE RAMPS</t>
  </si>
  <si>
    <t>U.S. 68 RAMPS</t>
  </si>
  <si>
    <t>I-75</t>
  </si>
  <si>
    <t xml:space="preserve">U.S. 68 </t>
  </si>
  <si>
    <t>U.S. 68</t>
  </si>
  <si>
    <t>1.25" ASPHALT CONCRETE SURFACE COURSE,
12.5MM, TYPE A (448)</t>
  </si>
  <si>
    <t>JHH</t>
  </si>
  <si>
    <t>SERVICE RD &amp; HARRISON ST</t>
  </si>
  <si>
    <t>1.25" ASPHALT CONCRETE SURFACE COURSE, TYPE 1, (448) PG64-22</t>
  </si>
  <si>
    <t>2" ASPHALT CONCRETE SURFACE COURSE, TYPE 1, (448) PG64-22</t>
  </si>
  <si>
    <t>3" ASPHALT CONCRETE BASE, 
PG64-22</t>
  </si>
  <si>
    <t>EXCAVATION</t>
  </si>
  <si>
    <t>CU. YD.</t>
  </si>
  <si>
    <t xml:space="preserve">I-75 SB </t>
  </si>
  <si>
    <t>SPEC</t>
  </si>
  <si>
    <t>MISC.: MOW STRIP</t>
  </si>
  <si>
    <t>SQ. YD.</t>
  </si>
  <si>
    <t>RUMBLE STRIPS (CONCRETE)</t>
  </si>
  <si>
    <t>RUMBLE STRIPS, (CONCRETE)</t>
  </si>
  <si>
    <t>RUMBLE STRIPS, (ASPHALT CONCRETE)</t>
  </si>
  <si>
    <t>U.S. 68 MOT PAVEMENT</t>
  </si>
  <si>
    <t>NON-REINFORCED CONCRETE PAVEMENT, MISC.: 4" ISLAND CAP</t>
  </si>
  <si>
    <t>SUBGRADE
COMPACTION</t>
  </si>
  <si>
    <t>FULL DEPTH PAVEMENT
SAWING</t>
  </si>
  <si>
    <t>1.75" ASPHALT CONCRETE INTERMEDIATE COURSE, 
19MM, TYPE A (446)</t>
  </si>
  <si>
    <t>9" NON-REINFORCED 
CONCRETE PAVEMENT, 
AS PER PLAN</t>
  </si>
  <si>
    <t xml:space="preserve">SHEET TOTALS (COMBINED) </t>
  </si>
  <si>
    <t xml:space="preserve">PAVEMENT TOTALS (WITH PARTICIPATION SPLITS): </t>
  </si>
  <si>
    <t xml:space="preserve">PAVEMENT TOTALS (COMBINED): </t>
  </si>
  <si>
    <t>FLEXIBLE ALTERNATIVE TOTALS 
(WITH PARTICIPATION SPLITS):</t>
  </si>
  <si>
    <t>FLEXIBLE ALTERNATIVE TOTALS 
(COMBINED):</t>
  </si>
  <si>
    <t>RIGID ALTERNATIVE TOTALS
(WITH PARTICIPATION SPLITS):</t>
  </si>
  <si>
    <t>RIGID ALTERNATIVE TOTALS
(COMBINED):</t>
  </si>
  <si>
    <t>AVERAGE WIDTH 
(40' min Existing Pavement)</t>
  </si>
  <si>
    <t>&lt;-Total Area</t>
  </si>
  <si>
    <t>Reconstruct Area</t>
  </si>
  <si>
    <t>Reconstruct Area -&gt;</t>
  </si>
  <si>
    <t>&lt;- Added Capacity Area</t>
  </si>
  <si>
    <t>Added Capacity Area</t>
  </si>
  <si>
    <t>Total Area</t>
  </si>
  <si>
    <t>Percentage</t>
  </si>
  <si>
    <r>
      <rPr>
        <i/>
        <sz val="10"/>
        <rFont val="Arial"/>
        <family val="2"/>
      </rPr>
      <t xml:space="preserve">HIDE THIS COLUMN </t>
    </r>
    <r>
      <rPr>
        <sz val="10"/>
        <rFont val="Arial"/>
        <family val="2"/>
      </rPr>
      <t>MINUS VOLUME FOR ASPHALT CONC SURFACE COURSE</t>
    </r>
  </si>
  <si>
    <r>
      <rPr>
        <i/>
        <sz val="10"/>
        <rFont val="Arial"/>
        <family val="2"/>
      </rPr>
      <t xml:space="preserve">HIDE THIS COLUMN </t>
    </r>
    <r>
      <rPr>
        <sz val="10"/>
        <rFont val="Arial"/>
        <family val="2"/>
      </rPr>
      <t>EXTRA VOLUME FOR ASPHALT CONC INTERMEDIATE COURSE</t>
    </r>
  </si>
  <si>
    <t>OPTION A: ASPHALT PAVEMENT TOTALS</t>
  </si>
  <si>
    <t>U.S. 68 RESURFACING</t>
  </si>
  <si>
    <t>U.S. 68 NB RIGID PAVEMENT</t>
  </si>
  <si>
    <t>I-75 MOT PAVEMENT</t>
  </si>
  <si>
    <t>SUBGRADE 
COMPACTION</t>
  </si>
  <si>
    <t>11.5" ASPHALT 
CONCRETE BASE, 
PG64-22</t>
  </si>
  <si>
    <t>1.75" ASPH. CONCRETE 
INTERMEDIATE COURSE, 
19MM, TYPE A (446)</t>
  </si>
  <si>
    <t>1.5" ASPH. CONCRETE SURFACE COURSE,
12.5MM, TYPE A (446)</t>
  </si>
  <si>
    <t>ITEM 204/206</t>
  </si>
  <si>
    <r>
      <rPr>
        <i/>
        <sz val="10"/>
        <rFont val="Arial"/>
        <family val="2"/>
      </rPr>
      <t>HIDE THIS COLUMN</t>
    </r>
    <r>
      <rPr>
        <sz val="10"/>
        <rFont val="Arial"/>
        <family val="2"/>
      </rPr>
      <t xml:space="preserve">
EXTRA WIDTH FOR
204/206 STABILIZATION</t>
    </r>
  </si>
  <si>
    <t>OPTION B: RIGID PAVEMENT TOTALS</t>
  </si>
  <si>
    <t>U.S. 68 SB RIGID PAVEMENT</t>
  </si>
  <si>
    <t>1.75" ASPH. CONCRETE INTERMEDIATE COURSE,
19MM, TYPE A (446)</t>
  </si>
  <si>
    <t>I-75 NB RIGID PAVEMENT</t>
  </si>
  <si>
    <r>
      <rPr>
        <i/>
        <sz val="10"/>
        <rFont val="Arial"/>
        <family val="2"/>
      </rPr>
      <t xml:space="preserve">HIDE THIS COLUMN </t>
    </r>
    <r>
      <rPr>
        <sz val="10"/>
        <rFont val="Arial"/>
        <family val="2"/>
      </rPr>
      <t>MINUS WIDTH FOR CONCRETE PAVEMENT</t>
    </r>
  </si>
  <si>
    <t>I-75 SB RIGID PAVEMENT</t>
  </si>
  <si>
    <t>U.S. 68 RAMP A RIGID PAVEMENT</t>
  </si>
  <si>
    <t>U.S. 68 RAMP B RIGID PAVEMENT</t>
  </si>
  <si>
    <t>U.S. 68 RAMP C RIGID PAVEMENT</t>
  </si>
  <si>
    <t>U.S. 68 RAMP D RIGID PAVEMENT</t>
  </si>
  <si>
    <t>STEPPING VALUES TABLE</t>
  </si>
  <si>
    <t>&lt;- Edge of Shoulder to Edge of Shoulder</t>
  </si>
  <si>
    <t>&lt;- Edge of Shoulder to Face of Curb</t>
  </si>
  <si>
    <t>&lt;- Edge of Shoulder to Center of Barrier</t>
  </si>
  <si>
    <t>&lt;- Face of Curb to Center of Barrier</t>
  </si>
  <si>
    <t>&lt;- Face of Curb to Face of Curb</t>
  </si>
  <si>
    <t>&lt;- Center of Barrier to Center of Barrier</t>
  </si>
  <si>
    <t>Scenario</t>
  </si>
  <si>
    <t>Width (ft)</t>
  </si>
  <si>
    <r>
      <t>Area (ft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</si>
  <si>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Past E/S</t>
  </si>
  <si>
    <t>Past F/C</t>
  </si>
  <si>
    <t>Past C/B</t>
  </si>
  <si>
    <t>Measured</t>
  </si>
  <si>
    <t>Shdr. Barr. B</t>
  </si>
  <si>
    <t>Shdr. Barr. D</t>
  </si>
  <si>
    <r>
      <t>Width (ft</t>
    </r>
    <r>
      <rPr>
        <sz val="10"/>
        <rFont val="Arial"/>
        <family val="2"/>
      </rPr>
      <t>)</t>
    </r>
  </si>
  <si>
    <t>Findlay C&amp;G</t>
  </si>
  <si>
    <t>4' Wide C&amp;G</t>
  </si>
  <si>
    <t>Past E/P</t>
  </si>
  <si>
    <t>R.A.B. 'A'</t>
  </si>
  <si>
    <t>R.A.B. 'B'</t>
  </si>
  <si>
    <r>
      <t>6" Thick Volume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</si>
  <si>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3" Thick Volume (ft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</si>
  <si>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In CADD</t>
  </si>
  <si>
    <t>BIKE PATH (LIMA AVE. STATIONS)</t>
  </si>
  <si>
    <t>C&amp;G</t>
  </si>
  <si>
    <t>Harrison</t>
  </si>
  <si>
    <t>Service</t>
  </si>
  <si>
    <t>MCK</t>
  </si>
  <si>
    <t>I-75 PAVEMENT REMOVAL</t>
  </si>
  <si>
    <t xml:space="preserve">OPTION A: ASPHALT PAVEMENT SUB-TOTALS (WITH PARTICIPATION SPLITS) </t>
  </si>
  <si>
    <t>EX. U.S. 68 CONN. C  PAV'T REMOVAL</t>
  </si>
  <si>
    <t>U.S. 224 'C' PAV'T REMOVAL</t>
  </si>
  <si>
    <t>U.S. 224 'D' PAV'T REMOVAL</t>
  </si>
  <si>
    <t xml:space="preserve">OPTION B: RIGID PAVEMENT SUB-TOTALS (WITH PARTICIPATION SPLITS) </t>
  </si>
  <si>
    <t xml:space="preserve">PAVEMENT TOTALS </t>
  </si>
  <si>
    <t>EXCAVATION (6" DEEP)</t>
  </si>
  <si>
    <t>EXCAVATION (4" DEEP)</t>
  </si>
  <si>
    <t>LIMA AVE / GRAY ST / LOGAN AVE / BIKE PATH</t>
  </si>
  <si>
    <t>SR 12 &amp; US 224 RAMPS</t>
  </si>
  <si>
    <t xml:space="preserve"> 1.75" ASPHALT CONCRETE INTERMEDIATE COURSE, 
TYPE 2 (448)</t>
  </si>
  <si>
    <t>OPTION B: RIGID PAVEMENT TOTALS (WITH PARTICIPATION SPLITS)</t>
  </si>
  <si>
    <t>OPTION B: RIGID PAVEMENT TOTALS (COMBINED)</t>
  </si>
  <si>
    <t>03</t>
  </si>
  <si>
    <t>01</t>
  </si>
  <si>
    <t>LEGEND:</t>
  </si>
  <si>
    <t>03 = 03/IMS/PV FUNDING</t>
  </si>
  <si>
    <t>01 = 01/NHS/PV FUNDING</t>
  </si>
  <si>
    <t>PAV'T SUB-TOTALS (COMMON BETWEEN PAV'T OPTIONS A &amp; B)</t>
  </si>
  <si>
    <t>SHEET 1 OF 15</t>
  </si>
  <si>
    <t>SHEET 2 OF 15</t>
  </si>
  <si>
    <t>SHEET 3 OF 15</t>
  </si>
  <si>
    <t>SHEET 4 OF 15</t>
  </si>
  <si>
    <t>SHEET 5 OF 15</t>
  </si>
  <si>
    <t>SHEET 6 OF 15</t>
  </si>
  <si>
    <t>SHEET 7 OF 15</t>
  </si>
  <si>
    <t>SHEET 8 OF 15</t>
  </si>
  <si>
    <t>SHEET 9 OF 15</t>
  </si>
  <si>
    <t>SHEET 10 OF 15</t>
  </si>
  <si>
    <t>SHEET 12 OF 15</t>
  </si>
  <si>
    <t>SHEET 13 OF 15</t>
  </si>
  <si>
    <t>SHEET 14 OF 15</t>
  </si>
  <si>
    <t>SHEET 15 OF 15</t>
  </si>
  <si>
    <t>SHEET 11 OF 15</t>
  </si>
  <si>
    <t>ABS</t>
  </si>
  <si>
    <t>PAVEMENT SUB-TOTALS THIS SHEET 
(COMMON BETWEEN PAVEMENT OPTIONS A &amp; B)</t>
  </si>
  <si>
    <t xml:space="preserve">OPTION A: ASPHALT PAVEMENT TOTALS FROM SHEETS 2 &amp; 3 
(WITH PARTICIPATION SPLITS) </t>
  </si>
  <si>
    <t xml:space="preserve">TOTALS (COMBINED) </t>
  </si>
  <si>
    <t xml:space="preserve">SHEET TOTALS </t>
  </si>
  <si>
    <t>PAVEMENT SUB-TOTALS</t>
  </si>
  <si>
    <t>CLP</t>
  </si>
  <si>
    <t>ITEM 206</t>
  </si>
  <si>
    <t/>
  </si>
  <si>
    <t>RUMBLE STRIPS 
(ASPHALT CONCRETE)</t>
  </si>
  <si>
    <t>RUMBLE STRIPS (ASPHALT CONCRETE)</t>
  </si>
  <si>
    <t>CONCRETE MOW STRIP TOTALS</t>
  </si>
  <si>
    <t>TACK COAT 
(0.055 GAL/SQ YD)</t>
  </si>
  <si>
    <t>TACK COAT
(0.055 GAL/SQ YD)</t>
  </si>
  <si>
    <t>UPDATED BY:</t>
  </si>
  <si>
    <t>TACK COAT (0.055 GAL/SQ YD)</t>
  </si>
  <si>
    <t>COMPACTED AGGREGATE (6.0" THICK)</t>
  </si>
  <si>
    <t>COMPACTED AGGREGATE  (6.0" THICK)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</si>
</sst>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\+##.00"/>
    <numFmt numFmtId="165" formatCode="#,##0.000"/>
    <numFmt numFmtId="166" formatCode="##\+#0.00"/>
    <numFmt numFmtId="167" formatCode="#0\+00.00"/>
    <numFmt numFmtId="168" formatCode="##\+#0"/>
    <numFmt numFmtId="169" formatCode="#,##0.0"/>
    <numFmt numFmtId="170" formatCode="m/d/yy;@"/>
  </numFmts>
  <fonts count="17" x14ac:knownFonts="1">
    <font>
      <sz val="10"/>
      <name val="Arial"/>
    </font>
    <font>
      <sz val="10"/>
      <name val="Arial"/>
      <family val="2"/>
    </font>
    <font>
      <sz val="14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u/>
      <sz val="10"/>
      <color rgb="FFFF0000"/>
      <name val="Arial"/>
      <family val="2"/>
    </font>
    <font>
      <vertAlign val="superscript"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3F3F3F"/>
      <name val="Calibri"/>
      <family val="2"/>
      <scheme val="minor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b/>
      <i/>
      <u/>
      <sz val="10"/>
      <name val="Arial"/>
      <family val="2"/>
    </font>
    <font>
      <sz val="1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5" borderId="55" applyNumberFormat="0" applyAlignment="0" applyProtection="0"/>
    <xf numFmtId="9" fontId="13" fillId="0" borderId="0" applyFont="0" applyFill="0" applyBorder="0" applyAlignment="0" applyProtection="0"/>
    <xf numFmtId="0" fontId="14" fillId="5" borderId="56" applyNumberFormat="0" applyAlignment="0" applyProtection="0"/>
  </cellStyleXfs>
  <cellXfs count="800">
    <xf numFmtId="0" fontId="0" fillId="0" borderId="0" xfId="0"/>
    <xf numFmtId="0" fontId="0" fillId="0" borderId="0" xfId="0" applyFill="1"/>
    <xf numFmtId="1" fontId="3" fillId="0" borderId="10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/>
    <xf numFmtId="4" fontId="1" fillId="0" borderId="4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Alignment="1">
      <alignment horizontal="center"/>
    </xf>
    <xf numFmtId="4" fontId="0" fillId="0" borderId="11" xfId="0" applyNumberFormat="1" applyFill="1" applyBorder="1" applyAlignment="1">
      <alignment horizontal="center" vertical="center"/>
    </xf>
    <xf numFmtId="4" fontId="0" fillId="0" borderId="0" xfId="0" applyNumberFormat="1" applyFill="1" applyBorder="1"/>
    <xf numFmtId="4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Border="1"/>
    <xf numFmtId="0" fontId="0" fillId="0" borderId="0" xfId="0" applyFill="1" applyBorder="1"/>
    <xf numFmtId="4" fontId="0" fillId="0" borderId="4" xfId="0" applyNumberFormat="1" applyFill="1" applyBorder="1" applyAlignment="1">
      <alignment horizontal="center"/>
    </xf>
    <xf numFmtId="3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2" xfId="0" quotePrefix="1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4" fontId="3" fillId="0" borderId="1" xfId="0" quotePrefix="1" applyNumberFormat="1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4" fillId="0" borderId="0" xfId="0" applyNumberFormat="1" applyFont="1" applyFill="1"/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/>
    <xf numFmtId="1" fontId="0" fillId="0" borderId="0" xfId="0" applyNumberForma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4" fontId="0" fillId="0" borderId="20" xfId="0" applyNumberForma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/>
    <xf numFmtId="1" fontId="0" fillId="0" borderId="1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" fontId="0" fillId="0" borderId="13" xfId="0" applyNumberFormat="1" applyFill="1" applyBorder="1" applyAlignment="1">
      <alignment horizontal="center" vertical="center"/>
    </xf>
    <xf numFmtId="0" fontId="10" fillId="0" borderId="0" xfId="0" applyFont="1" applyFill="1"/>
    <xf numFmtId="0" fontId="4" fillId="0" borderId="0" xfId="0" applyFont="1" applyFill="1" applyBorder="1" applyAlignment="1"/>
    <xf numFmtId="4" fontId="1" fillId="0" borderId="1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vertical="center" textRotation="90"/>
    </xf>
    <xf numFmtId="3" fontId="3" fillId="0" borderId="10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1" fontId="3" fillId="0" borderId="12" xfId="0" quotePrefix="1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28" xfId="0" quotePrefix="1" applyNumberFormat="1" applyFont="1" applyFill="1" applyBorder="1" applyAlignment="1">
      <alignment horizontal="center" vertical="center"/>
    </xf>
    <xf numFmtId="2" fontId="1" fillId="0" borderId="12" xfId="0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164" fontId="1" fillId="0" borderId="7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 vertical="center"/>
    </xf>
    <xf numFmtId="4" fontId="0" fillId="0" borderId="0" xfId="0" applyNumberFormat="1" applyFill="1"/>
    <xf numFmtId="4" fontId="0" fillId="0" borderId="0" xfId="0" applyNumberFormat="1" applyFill="1" applyAlignment="1">
      <alignment horizontal="center"/>
    </xf>
    <xf numFmtId="4" fontId="1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/>
    <xf numFmtId="1" fontId="0" fillId="0" borderId="0" xfId="0" applyNumberFormat="1" applyFill="1" applyBorder="1"/>
    <xf numFmtId="0" fontId="0" fillId="0" borderId="0" xfId="0" applyFill="1" applyBorder="1"/>
    <xf numFmtId="3" fontId="0" fillId="0" borderId="0" xfId="0" applyNumberFormat="1" applyFill="1"/>
    <xf numFmtId="164" fontId="0" fillId="0" borderId="0" xfId="0" applyNumberFormat="1" applyFill="1"/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0" fillId="0" borderId="10" xfId="0" applyNumberForma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/>
    </xf>
    <xf numFmtId="0" fontId="1" fillId="0" borderId="0" xfId="0" applyFont="1" applyFill="1"/>
    <xf numFmtId="164" fontId="1" fillId="0" borderId="6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0" fillId="0" borderId="13" xfId="0" applyFill="1" applyBorder="1"/>
    <xf numFmtId="0" fontId="0" fillId="0" borderId="10" xfId="0" applyFill="1" applyBorder="1"/>
    <xf numFmtId="4" fontId="0" fillId="0" borderId="12" xfId="0" applyNumberForma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/>
    </xf>
    <xf numFmtId="0" fontId="10" fillId="0" borderId="0" xfId="0" applyFont="1" applyFill="1"/>
    <xf numFmtId="0" fontId="4" fillId="0" borderId="0" xfId="0" applyFont="1" applyFill="1" applyBorder="1" applyAlignment="1"/>
    <xf numFmtId="4" fontId="1" fillId="0" borderId="12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Alignment="1">
      <alignment vertical="center" textRotation="90"/>
    </xf>
    <xf numFmtId="0" fontId="0" fillId="0" borderId="0" xfId="0" applyAlignment="1">
      <alignment horizontal="center" vertical="center"/>
    </xf>
    <xf numFmtId="3" fontId="1" fillId="0" borderId="10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/>
    <xf numFmtId="0" fontId="0" fillId="0" borderId="8" xfId="0" applyFill="1" applyBorder="1"/>
    <xf numFmtId="3" fontId="1" fillId="0" borderId="1" xfId="0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3" fontId="1" fillId="0" borderId="28" xfId="0" applyNumberFormat="1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/>
    <xf numFmtId="164" fontId="1" fillId="0" borderId="2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 vertical="center"/>
    </xf>
    <xf numFmtId="3" fontId="0" fillId="0" borderId="13" xfId="0" applyNumberFormat="1" applyFill="1" applyBorder="1"/>
    <xf numFmtId="2" fontId="3" fillId="0" borderId="28" xfId="0" applyNumberFormat="1" applyFont="1" applyFill="1" applyBorder="1" applyAlignment="1">
      <alignment horizontal="center" vertical="center"/>
    </xf>
    <xf numFmtId="4" fontId="3" fillId="0" borderId="11" xfId="0" quotePrefix="1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textRotation="90" wrapText="1"/>
    </xf>
    <xf numFmtId="4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4" fontId="4" fillId="0" borderId="27" xfId="0" applyNumberFormat="1" applyFont="1" applyFill="1" applyBorder="1" applyAlignment="1">
      <alignment horizontal="right"/>
    </xf>
    <xf numFmtId="4" fontId="0" fillId="0" borderId="26" xfId="0" applyNumberForma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6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textRotation="90"/>
    </xf>
    <xf numFmtId="4" fontId="3" fillId="0" borderId="16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2" fontId="1" fillId="0" borderId="28" xfId="0" quotePrefix="1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2" fontId="3" fillId="0" borderId="29" xfId="0" quotePrefix="1" applyNumberFormat="1" applyFont="1" applyFill="1" applyBorder="1" applyAlignment="1">
      <alignment horizontal="center" vertical="center"/>
    </xf>
    <xf numFmtId="2" fontId="1" fillId="0" borderId="29" xfId="0" quotePrefix="1" applyNumberFormat="1" applyFont="1" applyFill="1" applyBorder="1" applyAlignment="1">
      <alignment horizontal="center" vertical="center"/>
    </xf>
    <xf numFmtId="4" fontId="3" fillId="0" borderId="4" xfId="0" quotePrefix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" fontId="1" fillId="0" borderId="0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textRotation="90" wrapText="1"/>
    </xf>
    <xf numFmtId="3" fontId="1" fillId="0" borderId="0" xfId="0" applyNumberFormat="1" applyFont="1" applyFill="1" applyBorder="1" applyAlignment="1">
      <alignment horizontal="center" vertical="center"/>
    </xf>
    <xf numFmtId="4" fontId="4" fillId="0" borderId="27" xfId="0" applyNumberFormat="1" applyFont="1" applyFill="1" applyBorder="1" applyAlignment="1">
      <alignment horizontal="center"/>
    </xf>
    <xf numFmtId="4" fontId="4" fillId="0" borderId="21" xfId="0" applyNumberFormat="1" applyFont="1" applyFill="1" applyBorder="1" applyAlignment="1">
      <alignment horizontal="center"/>
    </xf>
    <xf numFmtId="4" fontId="4" fillId="0" borderId="27" xfId="0" quotePrefix="1" applyNumberFormat="1" applyFont="1" applyFill="1" applyBorder="1" applyAlignment="1">
      <alignment horizontal="center"/>
    </xf>
    <xf numFmtId="4" fontId="4" fillId="0" borderId="21" xfId="0" quotePrefix="1" applyNumberFormat="1" applyFont="1" applyFill="1" applyBorder="1" applyAlignment="1">
      <alignment horizontal="center"/>
    </xf>
    <xf numFmtId="4" fontId="0" fillId="0" borderId="8" xfId="0" applyNumberForma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textRotation="90" wrapText="1"/>
    </xf>
    <xf numFmtId="1" fontId="3" fillId="0" borderId="0" xfId="0" applyNumberFormat="1" applyFont="1" applyFill="1" applyBorder="1" applyAlignment="1">
      <alignment horizontal="center" textRotation="90" wrapText="1"/>
    </xf>
    <xf numFmtId="3" fontId="4" fillId="0" borderId="0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center"/>
    </xf>
    <xf numFmtId="9" fontId="12" fillId="5" borderId="55" xfId="1" applyNumberFormat="1" applyAlignment="1">
      <alignment horizontal="center"/>
    </xf>
    <xf numFmtId="3" fontId="0" fillId="0" borderId="0" xfId="0" applyNumberFormat="1" applyFill="1" applyAlignment="1"/>
    <xf numFmtId="3" fontId="12" fillId="5" borderId="55" xfId="1" applyNumberFormat="1"/>
    <xf numFmtId="3" fontId="12" fillId="5" borderId="55" xfId="1" applyNumberFormat="1" applyAlignment="1">
      <alignment horizontal="center"/>
    </xf>
    <xf numFmtId="3" fontId="14" fillId="5" borderId="56" xfId="3" applyNumberFormat="1"/>
    <xf numFmtId="0" fontId="4" fillId="0" borderId="0" xfId="0" applyFont="1"/>
    <xf numFmtId="0" fontId="4" fillId="0" borderId="0" xfId="0" applyFont="1" applyAlignment="1">
      <alignment horizontal="right"/>
    </xf>
    <xf numFmtId="9" fontId="14" fillId="5" borderId="56" xfId="2" applyFont="1" applyFill="1" applyBorder="1" applyAlignment="1">
      <alignment horizontal="center"/>
    </xf>
    <xf numFmtId="4" fontId="0" fillId="6" borderId="0" xfId="0" applyNumberFormat="1" applyFill="1" applyBorder="1" applyAlignment="1">
      <alignment horizontal="center"/>
    </xf>
    <xf numFmtId="3" fontId="4" fillId="0" borderId="0" xfId="0" applyNumberFormat="1" applyFont="1" applyFill="1" applyAlignment="1">
      <alignment horizontal="right"/>
    </xf>
    <xf numFmtId="0" fontId="3" fillId="0" borderId="31" xfId="0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/>
    </xf>
    <xf numFmtId="2" fontId="3" fillId="0" borderId="13" xfId="0" quotePrefix="1" applyNumberFormat="1" applyFont="1" applyFill="1" applyBorder="1" applyAlignment="1">
      <alignment horizontal="center" vertical="center"/>
    </xf>
    <xf numFmtId="2" fontId="1" fillId="0" borderId="13" xfId="0" quotePrefix="1" applyNumberFormat="1" applyFont="1" applyFill="1" applyBorder="1" applyAlignment="1">
      <alignment horizontal="center" vertical="center"/>
    </xf>
    <xf numFmtId="4" fontId="3" fillId="0" borderId="10" xfId="0" quotePrefix="1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164" fontId="1" fillId="0" borderId="37" xfId="0" applyNumberFormat="1" applyFont="1" applyFill="1" applyBorder="1" applyAlignment="1">
      <alignment horizontal="center" vertical="center"/>
    </xf>
    <xf numFmtId="0" fontId="0" fillId="6" borderId="0" xfId="0" applyFill="1"/>
    <xf numFmtId="3" fontId="12" fillId="5" borderId="55" xfId="1" applyNumberFormat="1" applyAlignment="1">
      <alignment horizontal="center"/>
    </xf>
    <xf numFmtId="0" fontId="0" fillId="2" borderId="0" xfId="0" applyFill="1"/>
    <xf numFmtId="0" fontId="0" fillId="0" borderId="1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" fontId="0" fillId="0" borderId="13" xfId="0" applyNumberFormat="1" applyFill="1" applyBorder="1" applyAlignment="1">
      <alignment horizontal="center" vertical="center"/>
    </xf>
    <xf numFmtId="3" fontId="12" fillId="5" borderId="55" xfId="1" applyNumberFormat="1" applyAlignment="1">
      <alignment horizontal="center"/>
    </xf>
    <xf numFmtId="3" fontId="3" fillId="0" borderId="14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2" fontId="1" fillId="3" borderId="0" xfId="0" applyNumberFormat="1" applyFont="1" applyFill="1" applyBorder="1" applyAlignment="1"/>
    <xf numFmtId="0" fontId="0" fillId="0" borderId="10" xfId="0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70" fontId="4" fillId="0" borderId="13" xfId="0" quotePrefix="1" applyNumberFormat="1" applyFont="1" applyFill="1" applyBorder="1" applyAlignment="1">
      <alignment horizontal="center"/>
    </xf>
    <xf numFmtId="4" fontId="4" fillId="0" borderId="26" xfId="0" applyNumberFormat="1" applyFont="1" applyFill="1" applyBorder="1" applyAlignment="1">
      <alignment horizontal="right"/>
    </xf>
    <xf numFmtId="4" fontId="4" fillId="0" borderId="20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4" fontId="4" fillId="0" borderId="57" xfId="0" applyNumberFormat="1" applyFont="1" applyFill="1" applyBorder="1" applyAlignment="1">
      <alignment horizontal="center"/>
    </xf>
    <xf numFmtId="4" fontId="4" fillId="0" borderId="57" xfId="0" quotePrefix="1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0" fontId="1" fillId="0" borderId="0" xfId="0" applyFont="1" applyFill="1" applyBorder="1"/>
    <xf numFmtId="3" fontId="1" fillId="0" borderId="6" xfId="0" applyNumberFormat="1" applyFont="1" applyFill="1" applyBorder="1" applyAlignment="1">
      <alignment horizontal="center" vertical="center"/>
    </xf>
    <xf numFmtId="3" fontId="1" fillId="0" borderId="40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1" fontId="3" fillId="0" borderId="26" xfId="0" applyNumberFormat="1" applyFont="1" applyFill="1" applyBorder="1" applyAlignment="1">
      <alignment horizontal="center" vertical="center"/>
    </xf>
    <xf numFmtId="4" fontId="0" fillId="0" borderId="21" xfId="0" applyNumberForma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8" xfId="0" applyBorder="1"/>
    <xf numFmtId="0" fontId="0" fillId="0" borderId="14" xfId="0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12" xfId="0" applyFill="1" applyBorder="1"/>
    <xf numFmtId="0" fontId="0" fillId="0" borderId="1" xfId="0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4" xfId="0" applyFill="1" applyBorder="1"/>
    <xf numFmtId="0" fontId="0" fillId="0" borderId="4" xfId="0" applyBorder="1"/>
    <xf numFmtId="1" fontId="0" fillId="0" borderId="1" xfId="0" applyNumberFormat="1" applyBorder="1"/>
    <xf numFmtId="1" fontId="0" fillId="0" borderId="4" xfId="0" applyNumberFormat="1" applyBorder="1"/>
    <xf numFmtId="1" fontId="0" fillId="0" borderId="14" xfId="0" applyNumberFormat="1" applyBorder="1"/>
    <xf numFmtId="1" fontId="0" fillId="0" borderId="4" xfId="0" applyNumberFormat="1" applyFill="1" applyBorder="1" applyAlignment="1">
      <alignment horizontal="center" vertical="center"/>
    </xf>
    <xf numFmtId="164" fontId="1" fillId="0" borderId="30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1" fontId="1" fillId="0" borderId="28" xfId="0" applyNumberFormat="1" applyFont="1" applyFill="1" applyBorder="1" applyAlignment="1">
      <alignment horizontal="center" vertical="center"/>
    </xf>
    <xf numFmtId="1" fontId="3" fillId="0" borderId="12" xfId="0" applyNumberFormat="1" applyFont="1" applyFill="1" applyBorder="1" applyAlignment="1">
      <alignment horizontal="center" vertical="center"/>
    </xf>
    <xf numFmtId="1" fontId="1" fillId="0" borderId="14" xfId="0" applyNumberFormat="1" applyFon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2" fontId="3" fillId="0" borderId="16" xfId="0" quotePrefix="1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2" fontId="3" fillId="0" borderId="31" xfId="0" quotePrefix="1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0" fillId="0" borderId="21" xfId="0" applyNumberForma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/>
    </xf>
    <xf numFmtId="1" fontId="3" fillId="0" borderId="2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3" fontId="1" fillId="0" borderId="47" xfId="0" applyNumberFormat="1" applyFont="1" applyFill="1" applyBorder="1" applyAlignment="1">
      <alignment horizontal="center" vertical="center"/>
    </xf>
    <xf numFmtId="3" fontId="1" fillId="0" borderId="48" xfId="0" applyNumberFormat="1" applyFont="1" applyFill="1" applyBorder="1" applyAlignment="1">
      <alignment horizontal="center" vertical="center"/>
    </xf>
    <xf numFmtId="3" fontId="1" fillId="0" borderId="3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/>
    <xf numFmtId="3" fontId="1" fillId="0" borderId="7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/>
    <xf numFmtId="3" fontId="1" fillId="0" borderId="6" xfId="0" applyNumberFormat="1" applyFont="1" applyFill="1" applyBorder="1" applyAlignment="1">
      <alignment horizontal="center"/>
    </xf>
    <xf numFmtId="3" fontId="1" fillId="0" borderId="44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1" fillId="0" borderId="41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29" xfId="0" applyNumberFormat="1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 wrapText="1"/>
    </xf>
    <xf numFmtId="3" fontId="4" fillId="0" borderId="51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32" xfId="0" applyNumberFormat="1" applyFont="1" applyFill="1" applyBorder="1" applyAlignment="1">
      <alignment horizontal="center" vertical="center"/>
    </xf>
    <xf numFmtId="3" fontId="3" fillId="0" borderId="47" xfId="0" applyNumberFormat="1" applyFont="1" applyFill="1" applyBorder="1" applyAlignment="1">
      <alignment horizontal="center" vertical="center"/>
    </xf>
    <xf numFmtId="3" fontId="3" fillId="0" borderId="48" xfId="0" applyNumberFormat="1" applyFont="1" applyFill="1" applyBorder="1" applyAlignment="1">
      <alignment horizontal="center" vertical="center"/>
    </xf>
    <xf numFmtId="3" fontId="3" fillId="0" borderId="28" xfId="0" applyNumberFormat="1" applyFont="1" applyFill="1" applyBorder="1" applyAlignment="1">
      <alignment horizontal="center" vertical="center"/>
    </xf>
    <xf numFmtId="3" fontId="0" fillId="0" borderId="47" xfId="0" applyNumberFormat="1" applyFill="1" applyBorder="1" applyAlignment="1">
      <alignment horizontal="center" vertical="center"/>
    </xf>
    <xf numFmtId="3" fontId="0" fillId="0" borderId="48" xfId="0" applyNumberFormat="1" applyFill="1" applyBorder="1" applyAlignment="1">
      <alignment horizontal="center" vertical="center"/>
    </xf>
    <xf numFmtId="3" fontId="0" fillId="0" borderId="11" xfId="0" applyNumberForma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0" fillId="0" borderId="6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 vertical="center"/>
    </xf>
    <xf numFmtId="3" fontId="0" fillId="0" borderId="7" xfId="0" applyNumberForma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3" fontId="3" fillId="0" borderId="54" xfId="0" applyNumberFormat="1" applyFont="1" applyFill="1" applyBorder="1" applyAlignment="1">
      <alignment horizontal="center" vertical="center"/>
    </xf>
    <xf numFmtId="3" fontId="3" fillId="0" borderId="53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0" fillId="0" borderId="54" xfId="0" applyNumberFormat="1" applyFill="1" applyBorder="1" applyAlignment="1">
      <alignment horizontal="center"/>
    </xf>
    <xf numFmtId="3" fontId="0" fillId="0" borderId="53" xfId="0" applyNumberFormat="1" applyFill="1" applyBorder="1" applyAlignment="1">
      <alignment horizontal="center"/>
    </xf>
    <xf numFmtId="3" fontId="0" fillId="0" borderId="54" xfId="0" applyNumberFormat="1" applyFill="1" applyBorder="1" applyAlignment="1">
      <alignment horizontal="center" vertical="center"/>
    </xf>
    <xf numFmtId="3" fontId="0" fillId="0" borderId="53" xfId="0" applyNumberFormat="1" applyFill="1" applyBorder="1" applyAlignment="1">
      <alignment horizontal="center" vertical="center"/>
    </xf>
    <xf numFmtId="3" fontId="0" fillId="0" borderId="14" xfId="0" applyNumberFormat="1" applyFill="1" applyBorder="1" applyAlignment="1">
      <alignment horizontal="center" vertical="center"/>
    </xf>
    <xf numFmtId="3" fontId="1" fillId="0" borderId="54" xfId="0" applyNumberFormat="1" applyFont="1" applyFill="1" applyBorder="1" applyAlignment="1">
      <alignment horizontal="center" vertical="center"/>
    </xf>
    <xf numFmtId="3" fontId="1" fillId="0" borderId="53" xfId="0" applyNumberFormat="1" applyFont="1" applyFill="1" applyBorder="1" applyAlignment="1">
      <alignment horizontal="center" vertical="center"/>
    </xf>
    <xf numFmtId="0" fontId="3" fillId="0" borderId="47" xfId="0" applyNumberFormat="1" applyFont="1" applyFill="1" applyBorder="1" applyAlignment="1">
      <alignment horizontal="center" vertical="center"/>
    </xf>
    <xf numFmtId="0" fontId="3" fillId="0" borderId="48" xfId="0" applyNumberFormat="1" applyFont="1" applyFill="1" applyBorder="1" applyAlignment="1">
      <alignment horizontal="center" vertical="center"/>
    </xf>
    <xf numFmtId="0" fontId="3" fillId="0" borderId="28" xfId="0" applyNumberFormat="1" applyFont="1" applyFill="1" applyBorder="1" applyAlignment="1">
      <alignment horizontal="center" vertical="center"/>
    </xf>
    <xf numFmtId="3" fontId="0" fillId="0" borderId="47" xfId="0" applyNumberFormat="1" applyFill="1" applyBorder="1" applyAlignment="1">
      <alignment horizontal="center"/>
    </xf>
    <xf numFmtId="3" fontId="0" fillId="0" borderId="48" xfId="0" applyNumberForma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3" fontId="0" fillId="0" borderId="49" xfId="0" applyNumberFormat="1" applyFill="1" applyBorder="1" applyAlignment="1">
      <alignment horizontal="center"/>
    </xf>
    <xf numFmtId="3" fontId="0" fillId="0" borderId="50" xfId="0" applyNumberFormat="1" applyFill="1" applyBorder="1" applyAlignment="1">
      <alignment horizontal="center"/>
    </xf>
    <xf numFmtId="3" fontId="0" fillId="0" borderId="49" xfId="0" applyNumberFormat="1" applyFill="1" applyBorder="1" applyAlignment="1">
      <alignment horizontal="center" vertical="center"/>
    </xf>
    <xf numFmtId="3" fontId="0" fillId="0" borderId="50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0" fontId="15" fillId="0" borderId="42" xfId="0" applyNumberFormat="1" applyFont="1" applyFill="1" applyBorder="1" applyAlignment="1">
      <alignment horizontal="center" vertical="center"/>
    </xf>
    <xf numFmtId="164" fontId="16" fillId="0" borderId="6" xfId="0" applyNumberFormat="1" applyFont="1" applyFill="1" applyBorder="1" applyAlignment="1">
      <alignment horizontal="center" vertical="center"/>
    </xf>
    <xf numFmtId="164" fontId="16" fillId="0" borderId="7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2" fontId="16" fillId="0" borderId="12" xfId="0" quotePrefix="1" applyNumberFormat="1" applyFont="1" applyFill="1" applyBorder="1" applyAlignment="1">
      <alignment horizontal="center" vertical="center"/>
    </xf>
    <xf numFmtId="2" fontId="16" fillId="0" borderId="12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3" fontId="16" fillId="0" borderId="1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2" fontId="16" fillId="0" borderId="1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/>
    </xf>
    <xf numFmtId="1" fontId="16" fillId="0" borderId="1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4" fontId="16" fillId="0" borderId="1" xfId="0" quotePrefix="1" applyNumberFormat="1" applyFont="1" applyFill="1" applyBorder="1" applyAlignment="1">
      <alignment horizontal="center" vertical="center"/>
    </xf>
    <xf numFmtId="4" fontId="16" fillId="0" borderId="11" xfId="0" applyNumberFormat="1" applyFont="1" applyFill="1" applyBorder="1" applyAlignment="1">
      <alignment horizontal="center"/>
    </xf>
    <xf numFmtId="164" fontId="16" fillId="0" borderId="40" xfId="0" applyNumberFormat="1" applyFont="1" applyFill="1" applyBorder="1" applyAlignment="1">
      <alignment horizontal="center" vertical="center"/>
    </xf>
    <xf numFmtId="164" fontId="16" fillId="0" borderId="41" xfId="0" applyNumberFormat="1" applyFont="1" applyFill="1" applyBorder="1" applyAlignment="1">
      <alignment horizontal="center" vertical="center"/>
    </xf>
    <xf numFmtId="164" fontId="16" fillId="0" borderId="36" xfId="0" applyNumberFormat="1" applyFont="1" applyFill="1" applyBorder="1" applyAlignment="1">
      <alignment horizontal="center" vertical="center"/>
    </xf>
    <xf numFmtId="164" fontId="16" fillId="0" borderId="37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2" fontId="16" fillId="0" borderId="28" xfId="0" quotePrefix="1" applyNumberFormat="1" applyFont="1" applyFill="1" applyBorder="1" applyAlignment="1">
      <alignment horizontal="center" vertical="center"/>
    </xf>
    <xf numFmtId="2" fontId="16" fillId="0" borderId="31" xfId="0" applyNumberFormat="1" applyFont="1" applyFill="1" applyBorder="1" applyAlignment="1">
      <alignment horizontal="center" vertical="center"/>
    </xf>
    <xf numFmtId="2" fontId="16" fillId="0" borderId="31" xfId="0" quotePrefix="1" applyNumberFormat="1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center" vertical="center"/>
    </xf>
    <xf numFmtId="3" fontId="16" fillId="0" borderId="14" xfId="0" applyNumberFormat="1" applyFont="1" applyFill="1" applyBorder="1" applyAlignment="1">
      <alignment horizontal="center" vertical="center"/>
    </xf>
    <xf numFmtId="1" fontId="0" fillId="0" borderId="11" xfId="0" applyNumberFormat="1" applyFill="1" applyBorder="1" applyAlignment="1">
      <alignment horizontal="center" vertical="center"/>
    </xf>
    <xf numFmtId="4" fontId="1" fillId="0" borderId="28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3" fontId="16" fillId="0" borderId="28" xfId="0" applyNumberFormat="1" applyFont="1" applyFill="1" applyBorder="1" applyAlignment="1">
      <alignment horizontal="center" vertical="center"/>
    </xf>
    <xf numFmtId="4" fontId="16" fillId="0" borderId="12" xfId="0" applyNumberFormat="1" applyFont="1" applyFill="1" applyBorder="1" applyAlignment="1">
      <alignment horizontal="center"/>
    </xf>
    <xf numFmtId="4" fontId="16" fillId="0" borderId="12" xfId="0" applyNumberFormat="1" applyFont="1" applyFill="1" applyBorder="1" applyAlignment="1">
      <alignment horizontal="center" vertical="center"/>
    </xf>
    <xf numFmtId="1" fontId="16" fillId="0" borderId="28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/>
    </xf>
    <xf numFmtId="166" fontId="16" fillId="0" borderId="40" xfId="0" applyNumberFormat="1" applyFont="1" applyFill="1" applyBorder="1" applyAlignment="1">
      <alignment horizontal="center" vertical="center"/>
    </xf>
    <xf numFmtId="166" fontId="16" fillId="0" borderId="41" xfId="0" applyNumberFormat="1" applyFont="1" applyFill="1" applyBorder="1" applyAlignment="1">
      <alignment horizontal="center" vertical="center"/>
    </xf>
    <xf numFmtId="166" fontId="16" fillId="0" borderId="6" xfId="0" applyNumberFormat="1" applyFont="1" applyFill="1" applyBorder="1" applyAlignment="1">
      <alignment horizontal="center" vertical="center"/>
    </xf>
    <xf numFmtId="166" fontId="16" fillId="0" borderId="7" xfId="0" applyNumberFormat="1" applyFont="1" applyFill="1" applyBorder="1" applyAlignment="1">
      <alignment horizontal="center" vertical="center"/>
    </xf>
    <xf numFmtId="167" fontId="16" fillId="0" borderId="40" xfId="0" applyNumberFormat="1" applyFont="1" applyFill="1" applyBorder="1" applyAlignment="1">
      <alignment horizontal="center" vertical="center"/>
    </xf>
    <xf numFmtId="167" fontId="16" fillId="0" borderId="41" xfId="0" applyNumberFormat="1" applyFont="1" applyFill="1" applyBorder="1" applyAlignment="1">
      <alignment horizontal="center" vertical="center"/>
    </xf>
    <xf numFmtId="167" fontId="16" fillId="0" borderId="6" xfId="0" applyNumberFormat="1" applyFont="1" applyFill="1" applyBorder="1" applyAlignment="1">
      <alignment horizontal="center" vertical="center"/>
    </xf>
    <xf numFmtId="167" fontId="16" fillId="0" borderId="7" xfId="0" applyNumberFormat="1" applyFont="1" applyFill="1" applyBorder="1" applyAlignment="1">
      <alignment horizontal="center" vertical="center"/>
    </xf>
    <xf numFmtId="168" fontId="16" fillId="0" borderId="1" xfId="0" applyNumberFormat="1" applyFont="1" applyFill="1" applyBorder="1" applyAlignment="1">
      <alignment horizontal="center" vertical="center"/>
    </xf>
    <xf numFmtId="3" fontId="16" fillId="0" borderId="12" xfId="0" applyNumberFormat="1" applyFont="1" applyFill="1" applyBorder="1" applyAlignment="1">
      <alignment horizontal="center"/>
    </xf>
    <xf numFmtId="169" fontId="16" fillId="0" borderId="12" xfId="0" applyNumberFormat="1" applyFont="1" applyFill="1" applyBorder="1" applyAlignment="1">
      <alignment horizontal="center"/>
    </xf>
    <xf numFmtId="4" fontId="1" fillId="0" borderId="47" xfId="0" applyNumberFormat="1" applyFont="1" applyFill="1" applyBorder="1" applyAlignment="1">
      <alignment horizontal="center" vertical="center"/>
    </xf>
    <xf numFmtId="4" fontId="1" fillId="0" borderId="48" xfId="0" applyNumberFormat="1" applyFont="1" applyFill="1" applyBorder="1" applyAlignment="1">
      <alignment horizontal="center" vertical="center"/>
    </xf>
    <xf numFmtId="4" fontId="16" fillId="0" borderId="40" xfId="0" applyNumberFormat="1" applyFon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50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 vertical="center"/>
    </xf>
    <xf numFmtId="4" fontId="16" fillId="0" borderId="7" xfId="0" applyNumberFormat="1" applyFont="1" applyFill="1" applyBorder="1" applyAlignment="1">
      <alignment horizontal="center" vertical="center"/>
    </xf>
    <xf numFmtId="4" fontId="1" fillId="0" borderId="40" xfId="0" applyNumberFormat="1" applyFont="1" applyFill="1" applyBorder="1" applyAlignment="1">
      <alignment horizontal="center" vertical="center"/>
    </xf>
    <xf numFmtId="4" fontId="1" fillId="0" borderId="41" xfId="0" applyNumberFormat="1" applyFont="1" applyFill="1" applyBorder="1" applyAlignment="1">
      <alignment horizontal="center" vertical="center"/>
    </xf>
    <xf numFmtId="3" fontId="1" fillId="0" borderId="49" xfId="0" applyNumberFormat="1" applyFont="1" applyFill="1" applyBorder="1" applyAlignment="1">
      <alignment horizontal="center" vertical="center"/>
    </xf>
    <xf numFmtId="3" fontId="1" fillId="0" borderId="50" xfId="0" applyNumberFormat="1" applyFont="1" applyFill="1" applyBorder="1" applyAlignment="1">
      <alignment horizontal="center" vertical="center"/>
    </xf>
    <xf numFmtId="3" fontId="16" fillId="0" borderId="40" xfId="0" applyNumberFormat="1" applyFont="1" applyFill="1" applyBorder="1" applyAlignment="1">
      <alignment horizontal="center" vertical="center"/>
    </xf>
    <xf numFmtId="3" fontId="16" fillId="0" borderId="41" xfId="0" applyNumberFormat="1" applyFont="1" applyFill="1" applyBorder="1" applyAlignment="1">
      <alignment horizontal="center" vertical="center"/>
    </xf>
    <xf numFmtId="3" fontId="16" fillId="0" borderId="6" xfId="0" applyNumberFormat="1" applyFont="1" applyFill="1" applyBorder="1" applyAlignment="1">
      <alignment horizontal="center" vertical="center"/>
    </xf>
    <xf numFmtId="3" fontId="16" fillId="0" borderId="7" xfId="0" applyNumberFormat="1" applyFont="1" applyFill="1" applyBorder="1" applyAlignment="1">
      <alignment horizontal="center" vertical="center"/>
    </xf>
    <xf numFmtId="4" fontId="0" fillId="0" borderId="6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2" fontId="16" fillId="0" borderId="40" xfId="0" applyNumberFormat="1" applyFont="1" applyFill="1" applyBorder="1" applyAlignment="1">
      <alignment horizontal="center" vertical="center"/>
    </xf>
    <xf numFmtId="2" fontId="16" fillId="0" borderId="41" xfId="0" applyNumberFormat="1" applyFont="1" applyFill="1" applyBorder="1" applyAlignment="1">
      <alignment horizontal="center" vertical="center"/>
    </xf>
    <xf numFmtId="4" fontId="16" fillId="0" borderId="6" xfId="0" applyNumberFormat="1" applyFont="1" applyFill="1" applyBorder="1" applyAlignment="1">
      <alignment horizontal="center"/>
    </xf>
    <xf numFmtId="4" fontId="16" fillId="0" borderId="7" xfId="0" applyNumberFormat="1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2" fontId="16" fillId="0" borderId="6" xfId="0" applyNumberFormat="1" applyFont="1" applyFill="1" applyBorder="1" applyAlignment="1">
      <alignment horizontal="center" vertical="center"/>
    </xf>
    <xf numFmtId="2" fontId="16" fillId="0" borderId="7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2" fontId="3" fillId="0" borderId="6" xfId="0" quotePrefix="1" applyNumberFormat="1" applyFont="1" applyFill="1" applyBorder="1" applyAlignment="1">
      <alignment horizontal="center" vertical="center"/>
    </xf>
    <xf numFmtId="2" fontId="3" fillId="0" borderId="7" xfId="0" quotePrefix="1" applyNumberFormat="1" applyFont="1" applyFill="1" applyBorder="1" applyAlignment="1">
      <alignment horizontal="center" vertical="center"/>
    </xf>
    <xf numFmtId="2" fontId="1" fillId="0" borderId="7" xfId="0" quotePrefix="1" applyNumberFormat="1" applyFont="1" applyFill="1" applyBorder="1" applyAlignment="1">
      <alignment horizontal="center" vertical="center"/>
    </xf>
    <xf numFmtId="4" fontId="0" fillId="0" borderId="47" xfId="0" applyNumberFormat="1" applyFill="1" applyBorder="1" applyAlignment="1">
      <alignment horizontal="center" vertical="center"/>
    </xf>
    <xf numFmtId="4" fontId="0" fillId="0" borderId="48" xfId="0" applyNumberFormat="1" applyFill="1" applyBorder="1" applyAlignment="1">
      <alignment horizontal="center" vertical="center"/>
    </xf>
    <xf numFmtId="4" fontId="16" fillId="0" borderId="41" xfId="0" applyNumberFormat="1" applyFont="1" applyFill="1" applyBorder="1" applyAlignment="1">
      <alignment horizontal="center"/>
    </xf>
    <xf numFmtId="4" fontId="1" fillId="0" borderId="6" xfId="0" applyNumberFormat="1" applyFont="1" applyFill="1" applyBorder="1" applyAlignment="1">
      <alignment horizontal="center" vertical="center"/>
    </xf>
    <xf numFmtId="4" fontId="3" fillId="0" borderId="6" xfId="0" quotePrefix="1" applyNumberFormat="1" applyFont="1" applyFill="1" applyBorder="1" applyAlignment="1">
      <alignment horizontal="center" vertical="center"/>
    </xf>
    <xf numFmtId="4" fontId="3" fillId="0" borderId="7" xfId="0" quotePrefix="1" applyNumberFormat="1" applyFont="1" applyFill="1" applyBorder="1" applyAlignment="1">
      <alignment horizontal="center" vertical="center"/>
    </xf>
    <xf numFmtId="4" fontId="16" fillId="0" borderId="6" xfId="0" quotePrefix="1" applyNumberFormat="1" applyFont="1" applyFill="1" applyBorder="1" applyAlignment="1">
      <alignment horizontal="center" vertical="center"/>
    </xf>
    <xf numFmtId="4" fontId="16" fillId="0" borderId="7" xfId="0" quotePrefix="1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4" fontId="1" fillId="0" borderId="37" xfId="0" applyNumberFormat="1" applyFont="1" applyFill="1" applyBorder="1" applyAlignment="1">
      <alignment horizontal="center" vertical="center"/>
    </xf>
    <xf numFmtId="4" fontId="16" fillId="0" borderId="49" xfId="0" applyNumberFormat="1" applyFont="1" applyFill="1" applyBorder="1" applyAlignment="1">
      <alignment horizontal="center" vertical="center"/>
    </xf>
    <xf numFmtId="4" fontId="16" fillId="0" borderId="50" xfId="0" applyNumberFormat="1" applyFont="1" applyFill="1" applyBorder="1" applyAlignment="1">
      <alignment horizontal="center" vertical="center"/>
    </xf>
    <xf numFmtId="3" fontId="16" fillId="0" borderId="49" xfId="0" applyNumberFormat="1" applyFont="1" applyFill="1" applyBorder="1" applyAlignment="1">
      <alignment horizontal="center" vertical="center"/>
    </xf>
    <xf numFmtId="3" fontId="16" fillId="0" borderId="50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0" fillId="0" borderId="27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4" fontId="0" fillId="0" borderId="40" xfId="0" applyNumberFormat="1" applyFill="1" applyBorder="1" applyAlignment="1">
      <alignment horizontal="center" vertical="center"/>
    </xf>
    <xf numFmtId="4" fontId="0" fillId="0" borderId="41" xfId="0" applyNumberForma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 textRotation="90"/>
    </xf>
    <xf numFmtId="0" fontId="0" fillId="0" borderId="28" xfId="0" applyFill="1" applyBorder="1"/>
    <xf numFmtId="4" fontId="3" fillId="0" borderId="28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3" fontId="0" fillId="0" borderId="3" xfId="0" applyNumberForma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4" fontId="1" fillId="0" borderId="31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170" fontId="4" fillId="0" borderId="29" xfId="0" quotePrefix="1" applyNumberFormat="1" applyFont="1" applyFill="1" applyBorder="1" applyAlignment="1">
      <alignment horizontal="center"/>
    </xf>
    <xf numFmtId="4" fontId="1" fillId="0" borderId="13" xfId="0" applyNumberFormat="1" applyFont="1" applyFill="1" applyBorder="1" applyAlignment="1">
      <alignment horizontal="center" vertical="center"/>
    </xf>
    <xf numFmtId="2" fontId="3" fillId="0" borderId="31" xfId="0" applyNumberFormat="1" applyFont="1" applyFill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4" fontId="0" fillId="0" borderId="14" xfId="0" applyNumberFormat="1" applyFill="1" applyBorder="1" applyAlignment="1">
      <alignment horizontal="center"/>
    </xf>
    <xf numFmtId="1" fontId="16" fillId="0" borderId="14" xfId="0" applyNumberFormat="1" applyFont="1" applyFill="1" applyBorder="1" applyAlignment="1">
      <alignment horizontal="center" vertical="center"/>
    </xf>
    <xf numFmtId="4" fontId="3" fillId="0" borderId="5" xfId="0" quotePrefix="1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28" xfId="0" applyNumberForma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4" fontId="16" fillId="0" borderId="16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3" fontId="16" fillId="0" borderId="16" xfId="0" applyNumberFormat="1" applyFont="1" applyFill="1" applyBorder="1" applyAlignment="1">
      <alignment horizontal="center" vertical="center"/>
    </xf>
    <xf numFmtId="4" fontId="0" fillId="0" borderId="21" xfId="0" applyNumberFormat="1" applyFill="1" applyBorder="1" applyAlignment="1"/>
    <xf numFmtId="4" fontId="0" fillId="0" borderId="21" xfId="0" applyNumberForma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4" fontId="0" fillId="0" borderId="11" xfId="0" applyNumberForma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2" fontId="1" fillId="0" borderId="12" xfId="0" quotePrefix="1" applyNumberFormat="1" applyFont="1" applyFill="1" applyBorder="1" applyAlignment="1">
      <alignment horizontal="center" vertical="center"/>
    </xf>
    <xf numFmtId="4" fontId="16" fillId="0" borderId="54" xfId="0" applyNumberFormat="1" applyFont="1" applyFill="1" applyBorder="1" applyAlignment="1">
      <alignment horizontal="center" vertical="center"/>
    </xf>
    <xf numFmtId="3" fontId="16" fillId="0" borderId="54" xfId="0" applyNumberFormat="1" applyFont="1" applyFill="1" applyBorder="1" applyAlignment="1">
      <alignment horizontal="center" vertical="center"/>
    </xf>
    <xf numFmtId="3" fontId="16" fillId="0" borderId="53" xfId="0" applyNumberFormat="1" applyFont="1" applyFill="1" applyBorder="1" applyAlignment="1">
      <alignment horizontal="center" vertical="center"/>
    </xf>
    <xf numFmtId="3" fontId="1" fillId="0" borderId="36" xfId="0" applyNumberFormat="1" applyFont="1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/>
    </xf>
    <xf numFmtId="2" fontId="16" fillId="0" borderId="54" xfId="0" applyNumberFormat="1" applyFont="1" applyFill="1" applyBorder="1" applyAlignment="1">
      <alignment horizontal="center" vertical="center"/>
    </xf>
    <xf numFmtId="2" fontId="16" fillId="0" borderId="53" xfId="0" applyNumberFormat="1" applyFont="1" applyFill="1" applyBorder="1" applyAlignment="1">
      <alignment horizontal="center" vertical="center"/>
    </xf>
    <xf numFmtId="2" fontId="1" fillId="0" borderId="36" xfId="0" applyNumberFormat="1" applyFont="1" applyFill="1" applyBorder="1" applyAlignment="1">
      <alignment horizontal="center" vertical="center"/>
    </xf>
    <xf numFmtId="2" fontId="1" fillId="0" borderId="37" xfId="0" applyNumberFormat="1" applyFont="1" applyFill="1" applyBorder="1" applyAlignment="1">
      <alignment horizontal="center" vertical="center"/>
    </xf>
    <xf numFmtId="4" fontId="0" fillId="0" borderId="36" xfId="0" applyNumberFormat="1" applyFill="1" applyBorder="1" applyAlignment="1">
      <alignment horizontal="center"/>
    </xf>
    <xf numFmtId="4" fontId="0" fillId="0" borderId="37" xfId="0" applyNumberFormat="1" applyFill="1" applyBorder="1" applyAlignment="1">
      <alignment horizontal="center"/>
    </xf>
    <xf numFmtId="4" fontId="16" fillId="0" borderId="36" xfId="0" applyNumberFormat="1" applyFont="1" applyFill="1" applyBorder="1" applyAlignment="1">
      <alignment horizontal="center"/>
    </xf>
    <xf numFmtId="4" fontId="16" fillId="0" borderId="37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3" fontId="12" fillId="5" borderId="55" xfId="1" applyNumberFormat="1" applyAlignment="1">
      <alignment horizontal="center"/>
    </xf>
    <xf numFmtId="1" fontId="0" fillId="0" borderId="13" xfId="0" applyNumberForma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3" fontId="12" fillId="5" borderId="55" xfId="1" applyNumberFormat="1" applyAlignment="1">
      <alignment horizontal="center"/>
    </xf>
    <xf numFmtId="3" fontId="3" fillId="0" borderId="50" xfId="0" applyNumberFormat="1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4" fillId="7" borderId="42" xfId="0" applyNumberFormat="1" applyFont="1" applyFill="1" applyBorder="1" applyAlignment="1">
      <alignment horizontal="center"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7" borderId="32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/>
    </xf>
    <xf numFmtId="4" fontId="4" fillId="0" borderId="44" xfId="0" applyNumberFormat="1" applyFont="1" applyFill="1" applyBorder="1" applyAlignment="1">
      <alignment horizontal="right"/>
    </xf>
    <xf numFmtId="4" fontId="4" fillId="0" borderId="44" xfId="0" applyNumberFormat="1" applyFont="1" applyFill="1" applyBorder="1" applyAlignment="1">
      <alignment horizontal="center"/>
    </xf>
    <xf numFmtId="4" fontId="4" fillId="0" borderId="44" xfId="0" quotePrefix="1" applyNumberFormat="1" applyFont="1" applyFill="1" applyBorder="1" applyAlignment="1">
      <alignment horizontal="center"/>
    </xf>
    <xf numFmtId="170" fontId="4" fillId="0" borderId="12" xfId="0" quotePrefix="1" applyNumberFormat="1" applyFont="1" applyFill="1" applyBorder="1" applyAlignment="1">
      <alignment horizontal="center"/>
    </xf>
    <xf numFmtId="4" fontId="0" fillId="0" borderId="30" xfId="0" applyNumberFormat="1" applyFill="1" applyBorder="1" applyAlignment="1">
      <alignment horizontal="center"/>
    </xf>
    <xf numFmtId="4" fontId="4" fillId="0" borderId="57" xfId="0" applyNumberFormat="1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0" fontId="0" fillId="0" borderId="44" xfId="0" applyFill="1" applyBorder="1" applyAlignment="1">
      <alignment horizontal="center"/>
    </xf>
    <xf numFmtId="3" fontId="4" fillId="7" borderId="21" xfId="0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vertical="center"/>
    </xf>
    <xf numFmtId="1" fontId="3" fillId="0" borderId="27" xfId="0" applyNumberFormat="1" applyFont="1" applyFill="1" applyBorder="1" applyAlignment="1">
      <alignment vertical="center"/>
    </xf>
    <xf numFmtId="1" fontId="3" fillId="0" borderId="13" xfId="0" applyNumberFormat="1" applyFont="1" applyFill="1" applyBorder="1" applyAlignment="1">
      <alignment vertical="center"/>
    </xf>
    <xf numFmtId="3" fontId="4" fillId="7" borderId="45" xfId="0" applyNumberFormat="1" applyFont="1" applyFill="1" applyBorder="1" applyAlignment="1">
      <alignment vertical="center"/>
    </xf>
    <xf numFmtId="3" fontId="1" fillId="0" borderId="26" xfId="0" applyNumberFormat="1" applyFont="1" applyFill="1" applyBorder="1" applyAlignment="1">
      <alignment horizontal="center" vertical="center"/>
    </xf>
    <xf numFmtId="3" fontId="1" fillId="0" borderId="30" xfId="0" applyNumberFormat="1" applyFont="1" applyFill="1" applyBorder="1" applyAlignment="1">
      <alignment horizontal="center"/>
    </xf>
    <xf numFmtId="3" fontId="4" fillId="7" borderId="51" xfId="0" applyNumberFormat="1" applyFont="1" applyFill="1" applyBorder="1" applyAlignment="1">
      <alignment vertical="center"/>
    </xf>
    <xf numFmtId="3" fontId="4" fillId="7" borderId="52" xfId="0" applyNumberFormat="1" applyFont="1" applyFill="1" applyBorder="1" applyAlignment="1">
      <alignment vertical="center"/>
    </xf>
    <xf numFmtId="3" fontId="4" fillId="0" borderId="46" xfId="0" applyNumberFormat="1" applyFont="1" applyFill="1" applyBorder="1" applyAlignment="1">
      <alignment horizontal="center" vertical="center"/>
    </xf>
    <xf numFmtId="3" fontId="4" fillId="0" borderId="32" xfId="0" applyNumberFormat="1" applyFont="1" applyFill="1" applyBorder="1" applyAlignment="1">
      <alignment horizontal="center" vertical="center"/>
    </xf>
    <xf numFmtId="3" fontId="4" fillId="7" borderId="46" xfId="0" applyNumberFormat="1" applyFont="1" applyFill="1" applyBorder="1" applyAlignment="1">
      <alignment horizontal="center" vertical="center"/>
    </xf>
    <xf numFmtId="3" fontId="4" fillId="7" borderId="32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1" fontId="3" fillId="0" borderId="26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>
      <alignment horizontal="center" vertical="center"/>
    </xf>
    <xf numFmtId="1" fontId="3" fillId="0" borderId="13" xfId="0" applyNumberFormat="1" applyFont="1" applyFill="1" applyBorder="1" applyAlignment="1">
      <alignment horizontal="center" vertical="center"/>
    </xf>
    <xf numFmtId="4" fontId="1" fillId="0" borderId="23" xfId="0" applyNumberFormat="1" applyFont="1" applyFill="1" applyBorder="1" applyAlignment="1">
      <alignment horizontal="center" textRotation="90" wrapText="1"/>
    </xf>
    <xf numFmtId="4" fontId="1" fillId="0" borderId="31" xfId="0" applyNumberFormat="1" applyFont="1" applyFill="1" applyBorder="1" applyAlignment="1">
      <alignment horizontal="center" textRotation="90" wrapText="1"/>
    </xf>
    <xf numFmtId="4" fontId="1" fillId="0" borderId="8" xfId="0" applyNumberFormat="1" applyFont="1" applyFill="1" applyBorder="1" applyAlignment="1">
      <alignment horizontal="center" textRotation="90" wrapText="1"/>
    </xf>
    <xf numFmtId="4" fontId="1" fillId="0" borderId="16" xfId="0" applyNumberFormat="1" applyFont="1" applyFill="1" applyBorder="1" applyAlignment="1">
      <alignment horizontal="center" textRotation="90" wrapText="1"/>
    </xf>
    <xf numFmtId="4" fontId="1" fillId="0" borderId="24" xfId="0" applyNumberFormat="1" applyFont="1" applyFill="1" applyBorder="1" applyAlignment="1">
      <alignment horizontal="center" textRotation="90" wrapText="1"/>
    </xf>
    <xf numFmtId="4" fontId="1" fillId="0" borderId="28" xfId="0" applyNumberFormat="1" applyFont="1" applyFill="1" applyBorder="1" applyAlignment="1">
      <alignment horizontal="center" textRotation="90" wrapText="1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center" textRotation="90" wrapText="1"/>
    </xf>
    <xf numFmtId="4" fontId="3" fillId="0" borderId="31" xfId="0" applyNumberFormat="1" applyFont="1" applyFill="1" applyBorder="1" applyAlignment="1">
      <alignment horizontal="center" textRotation="90" wrapText="1"/>
    </xf>
    <xf numFmtId="4" fontId="3" fillId="0" borderId="8" xfId="0" applyNumberFormat="1" applyFont="1" applyFill="1" applyBorder="1" applyAlignment="1">
      <alignment horizontal="center" textRotation="90" wrapText="1"/>
    </xf>
    <xf numFmtId="4" fontId="3" fillId="0" borderId="16" xfId="0" applyNumberFormat="1" applyFont="1" applyFill="1" applyBorder="1" applyAlignment="1">
      <alignment horizontal="center" textRotation="90" wrapText="1"/>
    </xf>
    <xf numFmtId="4" fontId="3" fillId="0" borderId="24" xfId="0" applyNumberFormat="1" applyFont="1" applyFill="1" applyBorder="1" applyAlignment="1">
      <alignment horizontal="center" textRotation="90" wrapText="1"/>
    </xf>
    <xf numFmtId="4" fontId="3" fillId="0" borderId="28" xfId="0" applyNumberFormat="1" applyFont="1" applyFill="1" applyBorder="1" applyAlignment="1">
      <alignment horizontal="center" textRotation="90" wrapText="1"/>
    </xf>
    <xf numFmtId="4" fontId="1" fillId="0" borderId="5" xfId="0" applyNumberFormat="1" applyFont="1" applyFill="1" applyBorder="1" applyAlignment="1">
      <alignment horizontal="center" textRotation="90" wrapText="1"/>
    </xf>
    <xf numFmtId="4" fontId="3" fillId="0" borderId="14" xfId="0" applyNumberFormat="1" applyFont="1" applyFill="1" applyBorder="1" applyAlignment="1">
      <alignment horizontal="center" textRotation="90" wrapText="1"/>
    </xf>
    <xf numFmtId="4" fontId="3" fillId="0" borderId="11" xfId="0" applyNumberFormat="1" applyFont="1" applyFill="1" applyBorder="1" applyAlignment="1">
      <alignment horizontal="center" textRotation="90" wrapText="1"/>
    </xf>
    <xf numFmtId="4" fontId="1" fillId="0" borderId="14" xfId="0" applyNumberFormat="1" applyFont="1" applyFill="1" applyBorder="1" applyAlignment="1">
      <alignment horizontal="center" textRotation="90" wrapText="1"/>
    </xf>
    <xf numFmtId="4" fontId="1" fillId="0" borderId="11" xfId="0" applyNumberFormat="1" applyFont="1" applyFill="1" applyBorder="1" applyAlignment="1">
      <alignment horizontal="center" textRotation="90" wrapText="1"/>
    </xf>
    <xf numFmtId="3" fontId="1" fillId="0" borderId="23" xfId="0" applyNumberFormat="1" applyFont="1" applyFill="1" applyBorder="1" applyAlignment="1">
      <alignment horizontal="center" textRotation="90" wrapText="1"/>
    </xf>
    <xf numFmtId="3" fontId="1" fillId="0" borderId="31" xfId="0" applyNumberFormat="1" applyFont="1" applyFill="1" applyBorder="1" applyAlignment="1">
      <alignment horizontal="center" textRotation="90" wrapText="1"/>
    </xf>
    <xf numFmtId="3" fontId="1" fillId="0" borderId="8" xfId="0" applyNumberFormat="1" applyFont="1" applyFill="1" applyBorder="1" applyAlignment="1">
      <alignment horizontal="center" textRotation="90" wrapText="1"/>
    </xf>
    <xf numFmtId="3" fontId="1" fillId="0" borderId="16" xfId="0" applyNumberFormat="1" applyFont="1" applyFill="1" applyBorder="1" applyAlignment="1">
      <alignment horizontal="center" textRotation="90" wrapText="1"/>
    </xf>
    <xf numFmtId="3" fontId="1" fillId="0" borderId="24" xfId="0" applyNumberFormat="1" applyFont="1" applyFill="1" applyBorder="1" applyAlignment="1">
      <alignment horizontal="center" textRotation="90" wrapText="1"/>
    </xf>
    <xf numFmtId="3" fontId="1" fillId="0" borderId="28" xfId="0" applyNumberFormat="1" applyFont="1" applyFill="1" applyBorder="1" applyAlignment="1">
      <alignment horizontal="center" textRotation="90" wrapText="1"/>
    </xf>
    <xf numFmtId="0" fontId="0" fillId="0" borderId="14" xfId="0" applyFill="1" applyBorder="1" applyAlignment="1">
      <alignment horizontal="center" textRotation="90" wrapText="1"/>
    </xf>
    <xf numFmtId="0" fontId="0" fillId="0" borderId="11" xfId="0" applyFill="1" applyBorder="1" applyAlignment="1">
      <alignment horizontal="center" textRotation="90" wrapText="1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6" fillId="0" borderId="45" xfId="0" applyNumberFormat="1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3" fontId="4" fillId="0" borderId="63" xfId="0" applyNumberFormat="1" applyFont="1" applyFill="1" applyBorder="1" applyAlignment="1">
      <alignment horizontal="center" vertical="center"/>
    </xf>
    <xf numFmtId="3" fontId="4" fillId="0" borderId="52" xfId="0" applyNumberFormat="1" applyFont="1" applyFill="1" applyBorder="1" applyAlignment="1">
      <alignment horizontal="center" vertical="center"/>
    </xf>
    <xf numFmtId="3" fontId="4" fillId="7" borderId="45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textRotation="90" wrapText="1"/>
    </xf>
    <xf numFmtId="1" fontId="1" fillId="0" borderId="14" xfId="0" applyNumberFormat="1" applyFont="1" applyFill="1" applyBorder="1" applyAlignment="1">
      <alignment horizontal="center" textRotation="90" wrapText="1"/>
    </xf>
    <xf numFmtId="1" fontId="1" fillId="0" borderId="11" xfId="0" applyNumberFormat="1" applyFont="1" applyFill="1" applyBorder="1" applyAlignment="1">
      <alignment horizontal="center" textRotation="90" wrapText="1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2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3" fontId="4" fillId="0" borderId="45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" fontId="4" fillId="0" borderId="17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right" vertical="center" wrapText="1"/>
    </xf>
    <xf numFmtId="3" fontId="4" fillId="0" borderId="21" xfId="0" applyNumberFormat="1" applyFont="1" applyFill="1" applyBorder="1" applyAlignment="1">
      <alignment horizontal="right" vertical="center" wrapText="1"/>
    </xf>
    <xf numFmtId="3" fontId="4" fillId="0" borderId="22" xfId="0" applyNumberFormat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horizontal="right" vertical="center"/>
    </xf>
    <xf numFmtId="3" fontId="4" fillId="0" borderId="18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3" fontId="4" fillId="0" borderId="22" xfId="0" applyNumberFormat="1" applyFont="1" applyFill="1" applyBorder="1" applyAlignment="1">
      <alignment horizontal="right" vertical="center"/>
    </xf>
    <xf numFmtId="165" fontId="0" fillId="0" borderId="21" xfId="0" applyNumberFormat="1" applyFill="1" applyBorder="1" applyAlignment="1">
      <alignment horizontal="center"/>
    </xf>
    <xf numFmtId="4" fontId="0" fillId="0" borderId="21" xfId="0" applyNumberForma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3" fontId="3" fillId="0" borderId="60" xfId="0" applyNumberFormat="1" applyFont="1" applyFill="1" applyBorder="1" applyAlignment="1">
      <alignment horizontal="center" vertical="center"/>
    </xf>
    <xf numFmtId="3" fontId="0" fillId="0" borderId="49" xfId="0" applyNumberFormat="1" applyFill="1" applyBorder="1" applyAlignment="1">
      <alignment horizontal="center" vertical="center"/>
    </xf>
    <xf numFmtId="3" fontId="3" fillId="0" borderId="62" xfId="0" applyNumberFormat="1" applyFont="1" applyFill="1" applyBorder="1" applyAlignment="1">
      <alignment horizontal="center" vertical="center"/>
    </xf>
    <xf numFmtId="3" fontId="0" fillId="0" borderId="50" xfId="0" applyNumberFormat="1" applyFill="1" applyBorder="1" applyAlignment="1">
      <alignment horizontal="center" vertical="center"/>
    </xf>
    <xf numFmtId="2" fontId="1" fillId="3" borderId="33" xfId="0" applyNumberFormat="1" applyFont="1" applyFill="1" applyBorder="1" applyAlignment="1">
      <alignment horizontal="center"/>
    </xf>
    <xf numFmtId="2" fontId="1" fillId="3" borderId="34" xfId="0" applyNumberFormat="1" applyFont="1" applyFill="1" applyBorder="1" applyAlignment="1">
      <alignment horizontal="center"/>
    </xf>
    <xf numFmtId="2" fontId="1" fillId="3" borderId="35" xfId="0" applyNumberFormat="1" applyFont="1" applyFill="1" applyBorder="1" applyAlignment="1">
      <alignment horizontal="center"/>
    </xf>
    <xf numFmtId="3" fontId="12" fillId="5" borderId="55" xfId="1" applyNumberFormat="1" applyAlignment="1">
      <alignment horizont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center" vertical="center"/>
    </xf>
    <xf numFmtId="3" fontId="3" fillId="0" borderId="22" xfId="0" applyNumberFormat="1" applyFont="1" applyFill="1" applyBorder="1" applyAlignment="1">
      <alignment horizontal="center" vertical="center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1" fontId="0" fillId="0" borderId="26" xfId="0" applyNumberFormat="1" applyFill="1" applyBorder="1" applyAlignment="1">
      <alignment horizontal="center" vertical="center"/>
    </xf>
    <xf numFmtId="1" fontId="0" fillId="0" borderId="13" xfId="0" applyNumberFormat="1" applyFill="1" applyBorder="1" applyAlignment="1">
      <alignment horizontal="center" vertical="center"/>
    </xf>
    <xf numFmtId="3" fontId="3" fillId="0" borderId="23" xfId="0" applyNumberFormat="1" applyFont="1" applyFill="1" applyBorder="1" applyAlignment="1">
      <alignment horizontal="center" vertical="center"/>
    </xf>
    <xf numFmtId="3" fontId="3" fillId="0" borderId="31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textRotation="90" wrapText="1"/>
    </xf>
    <xf numFmtId="3" fontId="1" fillId="0" borderId="19" xfId="0" applyNumberFormat="1" applyFont="1" applyFill="1" applyBorder="1" applyAlignment="1">
      <alignment horizontal="center" textRotation="90" wrapText="1"/>
    </xf>
    <xf numFmtId="3" fontId="3" fillId="0" borderId="17" xfId="0" applyNumberFormat="1" applyFont="1" applyFill="1" applyBorder="1" applyAlignment="1">
      <alignment horizontal="center" textRotation="90" wrapText="1"/>
    </xf>
    <xf numFmtId="3" fontId="3" fillId="0" borderId="19" xfId="0" applyNumberFormat="1" applyFont="1" applyFill="1" applyBorder="1" applyAlignment="1">
      <alignment horizontal="center" textRotation="90" wrapText="1"/>
    </xf>
    <xf numFmtId="3" fontId="3" fillId="0" borderId="8" xfId="0" applyNumberFormat="1" applyFont="1" applyFill="1" applyBorder="1" applyAlignment="1">
      <alignment horizontal="center" textRotation="90" wrapText="1"/>
    </xf>
    <xf numFmtId="3" fontId="3" fillId="0" borderId="16" xfId="0" applyNumberFormat="1" applyFont="1" applyFill="1" applyBorder="1" applyAlignment="1">
      <alignment horizontal="center" textRotation="90" wrapText="1"/>
    </xf>
    <xf numFmtId="3" fontId="3" fillId="0" borderId="24" xfId="0" applyNumberFormat="1" applyFont="1" applyFill="1" applyBorder="1" applyAlignment="1">
      <alignment horizontal="center" textRotation="90" wrapText="1"/>
    </xf>
    <xf numFmtId="3" fontId="3" fillId="0" borderId="28" xfId="0" applyNumberFormat="1" applyFont="1" applyFill="1" applyBorder="1" applyAlignment="1">
      <alignment horizontal="center" textRotation="90" wrapText="1"/>
    </xf>
    <xf numFmtId="0" fontId="1" fillId="0" borderId="25" xfId="0" applyFont="1" applyFill="1" applyBorder="1" applyAlignment="1">
      <alignment horizontal="left" textRotation="90" wrapText="1"/>
    </xf>
    <xf numFmtId="0" fontId="3" fillId="0" borderId="14" xfId="0" applyFont="1" applyFill="1" applyBorder="1" applyAlignment="1">
      <alignment horizontal="left" textRotation="90" wrapText="1"/>
    </xf>
    <xf numFmtId="3" fontId="1" fillId="0" borderId="1" xfId="0" applyNumberFormat="1" applyFont="1" applyFill="1" applyBorder="1" applyAlignment="1">
      <alignment horizontal="center" vertical="center" textRotation="90" wrapText="1"/>
    </xf>
    <xf numFmtId="3" fontId="3" fillId="0" borderId="1" xfId="0" applyNumberFormat="1" applyFont="1" applyFill="1" applyBorder="1" applyAlignment="1">
      <alignment horizontal="center" vertical="center" textRotation="90" wrapText="1"/>
    </xf>
    <xf numFmtId="1" fontId="3" fillId="0" borderId="26" xfId="0" applyNumberFormat="1" applyFont="1" applyFill="1" applyBorder="1" applyAlignment="1">
      <alignment horizontal="center"/>
    </xf>
    <xf numFmtId="1" fontId="3" fillId="0" borderId="27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4" fontId="1" fillId="0" borderId="23" xfId="0" applyNumberFormat="1" applyFont="1" applyFill="1" applyBorder="1" applyAlignment="1">
      <alignment horizontal="center" vertical="center"/>
    </xf>
    <xf numFmtId="4" fontId="1" fillId="0" borderId="31" xfId="0" applyNumberFormat="1" applyFont="1" applyFill="1" applyBorder="1" applyAlignment="1">
      <alignment horizontal="center" vertical="center"/>
    </xf>
    <xf numFmtId="164" fontId="4" fillId="0" borderId="24" xfId="0" applyNumberFormat="1" applyFont="1" applyFill="1" applyBorder="1" applyAlignment="1">
      <alignment horizontal="center"/>
    </xf>
    <xf numFmtId="164" fontId="4" fillId="0" borderId="28" xfId="0" applyNumberFormat="1" applyFont="1" applyFill="1" applyBorder="1" applyAlignment="1">
      <alignment horizontal="center"/>
    </xf>
    <xf numFmtId="164" fontId="2" fillId="0" borderId="36" xfId="0" applyNumberFormat="1" applyFont="1" applyFill="1" applyBorder="1" applyAlignment="1">
      <alignment horizontal="center" vertical="center"/>
    </xf>
    <xf numFmtId="164" fontId="2" fillId="0" borderId="54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/>
    </xf>
    <xf numFmtId="164" fontId="2" fillId="0" borderId="53" xfId="0" applyNumberFormat="1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textRotation="90" wrapText="1"/>
    </xf>
    <xf numFmtId="4" fontId="1" fillId="0" borderId="19" xfId="0" applyNumberFormat="1" applyFont="1" applyFill="1" applyBorder="1" applyAlignment="1">
      <alignment horizontal="center" textRotation="90" wrapText="1"/>
    </xf>
    <xf numFmtId="164" fontId="2" fillId="0" borderId="17" xfId="0" applyNumberFormat="1" applyFont="1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164" fontId="0" fillId="0" borderId="16" xfId="0" applyNumberFormat="1" applyFill="1" applyBorder="1" applyAlignment="1">
      <alignment horizontal="center" vertical="center"/>
    </xf>
    <xf numFmtId="164" fontId="4" fillId="0" borderId="26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4" fontId="3" fillId="0" borderId="25" xfId="0" applyNumberFormat="1" applyFont="1" applyFill="1" applyBorder="1" applyAlignment="1">
      <alignment horizontal="center" textRotation="90"/>
    </xf>
    <xf numFmtId="0" fontId="0" fillId="0" borderId="1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3" fillId="0" borderId="25" xfId="0" applyFont="1" applyFill="1" applyBorder="1" applyAlignment="1">
      <alignment horizontal="left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1" fillId="0" borderId="14" xfId="0" applyFont="1" applyFill="1" applyBorder="1" applyAlignment="1">
      <alignment horizontal="center" vertical="center" textRotation="90" wrapText="1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 vertical="center"/>
    </xf>
    <xf numFmtId="3" fontId="4" fillId="0" borderId="22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textRotation="90" wrapText="1"/>
    </xf>
    <xf numFmtId="4" fontId="3" fillId="0" borderId="1" xfId="0" applyNumberFormat="1" applyFont="1" applyFill="1" applyBorder="1" applyAlignment="1">
      <alignment horizontal="center" textRotation="90" wrapText="1"/>
    </xf>
    <xf numFmtId="2" fontId="1" fillId="3" borderId="20" xfId="0" applyNumberFormat="1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center"/>
    </xf>
    <xf numFmtId="2" fontId="1" fillId="3" borderId="38" xfId="0" applyNumberFormat="1" applyFont="1" applyFill="1" applyBorder="1" applyAlignment="1">
      <alignment horizontal="center"/>
    </xf>
    <xf numFmtId="1" fontId="4" fillId="0" borderId="58" xfId="0" applyNumberFormat="1" applyFont="1" applyFill="1" applyBorder="1" applyAlignment="1">
      <alignment horizontal="center" vertical="center"/>
    </xf>
    <xf numFmtId="1" fontId="4" fillId="0" borderId="18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1" fillId="0" borderId="21" xfId="0" applyNumberFormat="1" applyFont="1" applyFill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1" fontId="1" fillId="0" borderId="22" xfId="0" applyNumberFormat="1" applyFont="1" applyFill="1" applyBorder="1" applyAlignment="1">
      <alignment horizontal="center" vertical="center"/>
    </xf>
    <xf numFmtId="2" fontId="1" fillId="6" borderId="9" xfId="0" applyNumberFormat="1" applyFont="1" applyFill="1" applyBorder="1" applyAlignment="1">
      <alignment horizontal="center"/>
    </xf>
    <xf numFmtId="2" fontId="1" fillId="6" borderId="44" xfId="0" applyNumberFormat="1" applyFont="1" applyFill="1" applyBorder="1" applyAlignment="1">
      <alignment horizontal="center"/>
    </xf>
    <xf numFmtId="2" fontId="1" fillId="6" borderId="59" xfId="0" applyNumberFormat="1" applyFont="1" applyFill="1" applyBorder="1" applyAlignment="1">
      <alignment horizontal="center"/>
    </xf>
    <xf numFmtId="2" fontId="1" fillId="3" borderId="43" xfId="0" applyNumberFormat="1" applyFont="1" applyFill="1" applyBorder="1" applyAlignment="1">
      <alignment horizontal="center"/>
    </xf>
    <xf numFmtId="2" fontId="1" fillId="3" borderId="44" xfId="0" applyNumberFormat="1" applyFont="1" applyFill="1" applyBorder="1" applyAlignment="1">
      <alignment horizontal="center"/>
    </xf>
    <xf numFmtId="2" fontId="1" fillId="3" borderId="59" xfId="0" applyNumberFormat="1" applyFont="1" applyFill="1" applyBorder="1" applyAlignment="1">
      <alignment horizontal="center"/>
    </xf>
    <xf numFmtId="2" fontId="1" fillId="3" borderId="28" xfId="0" applyNumberFormat="1" applyFont="1" applyFill="1" applyBorder="1" applyAlignment="1">
      <alignment horizontal="center"/>
    </xf>
    <xf numFmtId="2" fontId="1" fillId="3" borderId="24" xfId="0" applyNumberFormat="1" applyFont="1" applyFill="1" applyBorder="1" applyAlignment="1">
      <alignment horizontal="center"/>
    </xf>
    <xf numFmtId="2" fontId="1" fillId="3" borderId="39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2" fontId="1" fillId="3" borderId="22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1" xfId="0" applyNumberFormat="1" applyFont="1" applyFill="1" applyBorder="1" applyAlignment="1">
      <alignment horizontal="center"/>
    </xf>
    <xf numFmtId="1" fontId="4" fillId="0" borderId="17" xfId="0" applyNumberFormat="1" applyFont="1" applyFill="1" applyBorder="1" applyAlignment="1">
      <alignment horizontal="center" vertical="center"/>
    </xf>
    <xf numFmtId="1" fontId="4" fillId="0" borderId="61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textRotation="90"/>
    </xf>
    <xf numFmtId="0" fontId="3" fillId="0" borderId="15" xfId="0" applyFont="1" applyFill="1" applyBorder="1" applyAlignment="1">
      <alignment horizontal="center" vertical="center" textRotation="90"/>
    </xf>
    <xf numFmtId="0" fontId="0" fillId="0" borderId="14" xfId="0" applyFill="1" applyBorder="1"/>
    <xf numFmtId="0" fontId="0" fillId="0" borderId="15" xfId="0" applyFill="1" applyBorder="1"/>
    <xf numFmtId="164" fontId="4" fillId="0" borderId="19" xfId="0" applyNumberFormat="1" applyFont="1" applyFill="1" applyBorder="1" applyAlignment="1">
      <alignment horizontal="center"/>
    </xf>
    <xf numFmtId="3" fontId="3" fillId="0" borderId="25" xfId="0" applyNumberFormat="1" applyFont="1" applyFill="1" applyBorder="1" applyAlignment="1">
      <alignment horizontal="center" textRotation="90" wrapText="1"/>
    </xf>
    <xf numFmtId="3" fontId="0" fillId="0" borderId="14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 textRotation="90" wrapText="1"/>
    </xf>
    <xf numFmtId="0" fontId="0" fillId="0" borderId="24" xfId="0" applyFill="1" applyBorder="1" applyAlignment="1">
      <alignment horizontal="center" textRotation="90" wrapText="1"/>
    </xf>
    <xf numFmtId="1" fontId="1" fillId="0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 textRotation="90" wrapText="1"/>
    </xf>
    <xf numFmtId="3" fontId="4" fillId="0" borderId="17" xfId="0" applyNumberFormat="1" applyFont="1" applyFill="1" applyBorder="1" applyAlignment="1">
      <alignment horizontal="center" vertical="center"/>
    </xf>
    <xf numFmtId="3" fontId="4" fillId="0" borderId="18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center" vertical="center"/>
    </xf>
    <xf numFmtId="164" fontId="4" fillId="0" borderId="19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164" fontId="4" fillId="0" borderId="20" xfId="0" applyNumberFormat="1" applyFont="1" applyFill="1" applyBorder="1" applyAlignment="1">
      <alignment horizontal="center" vertical="center"/>
    </xf>
    <xf numFmtId="164" fontId="4" fillId="0" borderId="22" xfId="0" applyNumberFormat="1" applyFont="1" applyFill="1" applyBorder="1" applyAlignment="1">
      <alignment horizontal="center" vertical="center"/>
    </xf>
    <xf numFmtId="164" fontId="16" fillId="0" borderId="9" xfId="0" applyNumberFormat="1" applyFont="1" applyFill="1" applyBorder="1" applyAlignment="1">
      <alignment horizontal="center" vertical="center"/>
    </xf>
    <xf numFmtId="164" fontId="16" fillId="0" borderId="12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textRotation="90" wrapText="1"/>
    </xf>
    <xf numFmtId="1" fontId="3" fillId="0" borderId="1" xfId="0" applyNumberFormat="1" applyFont="1" applyFill="1" applyBorder="1" applyAlignment="1">
      <alignment horizontal="center" textRotation="90" wrapText="1"/>
    </xf>
    <xf numFmtId="1" fontId="3" fillId="0" borderId="23" xfId="0" applyNumberFormat="1" applyFont="1" applyFill="1" applyBorder="1" applyAlignment="1">
      <alignment horizontal="center" textRotation="90" wrapText="1"/>
    </xf>
    <xf numFmtId="1" fontId="0" fillId="0" borderId="8" xfId="0" applyNumberFormat="1" applyFill="1" applyBorder="1" applyAlignment="1">
      <alignment horizontal="center" textRotation="90" wrapText="1"/>
    </xf>
    <xf numFmtId="1" fontId="0" fillId="0" borderId="24" xfId="0" applyNumberFormat="1" applyFill="1" applyBorder="1" applyAlignment="1">
      <alignment horizontal="center" textRotation="90" wrapText="1"/>
    </xf>
    <xf numFmtId="1" fontId="3" fillId="0" borderId="25" xfId="0" applyNumberFormat="1" applyFont="1" applyFill="1" applyBorder="1" applyAlignment="1">
      <alignment horizontal="center" textRotation="90" wrapText="1"/>
    </xf>
    <xf numFmtId="1" fontId="0" fillId="0" borderId="14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1" fillId="3" borderId="39" xfId="0" applyNumberFormat="1" applyFont="1" applyFill="1" applyBorder="1" applyAlignment="1">
      <alignment horizontal="center"/>
    </xf>
    <xf numFmtId="1" fontId="1" fillId="3" borderId="21" xfId="0" applyNumberFormat="1" applyFont="1" applyFill="1" applyBorder="1" applyAlignment="1">
      <alignment horizontal="center"/>
    </xf>
    <xf numFmtId="1" fontId="1" fillId="3" borderId="38" xfId="0" applyNumberFormat="1" applyFont="1" applyFill="1" applyBorder="1" applyAlignment="1">
      <alignment horizontal="center"/>
    </xf>
    <xf numFmtId="1" fontId="1" fillId="3" borderId="22" xfId="0" applyNumberFormat="1" applyFont="1" applyFill="1" applyBorder="1" applyAlignment="1">
      <alignment horizontal="center"/>
    </xf>
    <xf numFmtId="1" fontId="1" fillId="3" borderId="43" xfId="0" applyNumberFormat="1" applyFont="1" applyFill="1" applyBorder="1" applyAlignment="1">
      <alignment horizontal="center"/>
    </xf>
    <xf numFmtId="1" fontId="1" fillId="3" borderId="44" xfId="0" applyNumberFormat="1" applyFont="1" applyFill="1" applyBorder="1" applyAlignment="1">
      <alignment horizontal="center"/>
    </xf>
    <xf numFmtId="1" fontId="1" fillId="3" borderId="59" xfId="0" applyNumberFormat="1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3" fontId="1" fillId="0" borderId="25" xfId="0" applyNumberFormat="1" applyFont="1" applyFill="1" applyBorder="1" applyAlignment="1">
      <alignment horizontal="center" vertical="center"/>
    </xf>
    <xf numFmtId="1" fontId="1" fillId="0" borderId="26" xfId="0" applyNumberFormat="1" applyFont="1" applyFill="1" applyBorder="1" applyAlignment="1">
      <alignment horizontal="center"/>
    </xf>
    <xf numFmtId="1" fontId="1" fillId="0" borderId="27" xfId="0" applyNumberFormat="1" applyFont="1" applyFill="1" applyBorder="1" applyAlignment="1">
      <alignment horizontal="center"/>
    </xf>
    <xf numFmtId="1" fontId="1" fillId="0" borderId="13" xfId="0" applyNumberFormat="1" applyFont="1" applyFill="1" applyBorder="1" applyAlignment="1">
      <alignment horizontal="center"/>
    </xf>
    <xf numFmtId="3" fontId="1" fillId="0" borderId="15" xfId="0" applyNumberFormat="1" applyFont="1" applyFill="1" applyBorder="1" applyAlignment="1">
      <alignment horizontal="center" vertical="center"/>
    </xf>
    <xf numFmtId="4" fontId="1" fillId="0" borderId="25" xfId="0" applyNumberFormat="1" applyFont="1" applyFill="1" applyBorder="1" applyAlignment="1">
      <alignment horizontal="center" textRotation="90" wrapText="1"/>
    </xf>
    <xf numFmtId="1" fontId="1" fillId="0" borderId="26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textRotation="90" wrapText="1"/>
    </xf>
    <xf numFmtId="0" fontId="5" fillId="0" borderId="25" xfId="0" applyFont="1" applyFill="1" applyBorder="1" applyAlignment="1">
      <alignment horizontal="center" vertical="center" textRotation="90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5" fillId="0" borderId="15" xfId="0" applyFont="1" applyFill="1" applyBorder="1" applyAlignment="1">
      <alignment horizontal="center" vertical="center" textRotation="90" wrapText="1"/>
    </xf>
    <xf numFmtId="0" fontId="1" fillId="0" borderId="11" xfId="0" applyFont="1" applyFill="1" applyBorder="1" applyAlignment="1">
      <alignment horizontal="center" vertical="center" textRotation="90" wrapText="1"/>
    </xf>
    <xf numFmtId="4" fontId="1" fillId="0" borderId="25" xfId="0" applyNumberFormat="1" applyFont="1" applyFill="1" applyBorder="1" applyAlignment="1">
      <alignment horizontal="center" textRotation="90"/>
    </xf>
    <xf numFmtId="4" fontId="1" fillId="0" borderId="14" xfId="0" applyNumberFormat="1" applyFont="1" applyFill="1" applyBorder="1" applyAlignment="1">
      <alignment horizontal="center" textRotation="90"/>
    </xf>
    <xf numFmtId="4" fontId="1" fillId="0" borderId="11" xfId="0" applyNumberFormat="1" applyFont="1" applyFill="1" applyBorder="1" applyAlignment="1">
      <alignment horizontal="center" textRotation="90"/>
    </xf>
    <xf numFmtId="0" fontId="1" fillId="0" borderId="2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2" fontId="1" fillId="3" borderId="9" xfId="0" applyNumberFormat="1" applyFont="1" applyFill="1" applyBorder="1" applyAlignment="1">
      <alignment horizontal="center"/>
    </xf>
    <xf numFmtId="0" fontId="4" fillId="0" borderId="17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center" textRotation="90" wrapText="1"/>
    </xf>
    <xf numFmtId="3" fontId="3" fillId="0" borderId="14" xfId="0" applyNumberFormat="1" applyFont="1" applyFill="1" applyBorder="1" applyAlignment="1">
      <alignment horizontal="center" textRotation="90" wrapText="1"/>
    </xf>
    <xf numFmtId="3" fontId="3" fillId="0" borderId="11" xfId="0" applyNumberFormat="1" applyFont="1" applyFill="1" applyBorder="1" applyAlignment="1">
      <alignment horizontal="center" textRotation="90" wrapText="1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0" fillId="0" borderId="17" xfId="0" applyNumberFormat="1" applyFill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 vertical="center"/>
    </xf>
    <xf numFmtId="3" fontId="0" fillId="0" borderId="20" xfId="0" applyNumberFormat="1" applyFill="1" applyBorder="1" applyAlignment="1">
      <alignment horizontal="center" vertical="center"/>
    </xf>
    <xf numFmtId="3" fontId="0" fillId="0" borderId="22" xfId="0" applyNumberFormat="1" applyFill="1" applyBorder="1" applyAlignment="1">
      <alignment horizontal="center" vertical="center"/>
    </xf>
    <xf numFmtId="3" fontId="4" fillId="0" borderId="42" xfId="0" applyNumberFormat="1" applyFont="1" applyFill="1" applyBorder="1" applyAlignment="1">
      <alignment horizontal="right" vertical="center"/>
    </xf>
    <xf numFmtId="1" fontId="3" fillId="4" borderId="26" xfId="0" applyNumberFormat="1" applyFont="1" applyFill="1" applyBorder="1" applyAlignment="1">
      <alignment horizontal="center" vertical="center"/>
    </xf>
    <xf numFmtId="1" fontId="3" fillId="4" borderId="27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textRotation="90" wrapText="1"/>
    </xf>
    <xf numFmtId="4" fontId="1" fillId="4" borderId="23" xfId="0" applyNumberFormat="1" applyFont="1" applyFill="1" applyBorder="1" applyAlignment="1">
      <alignment horizontal="center" textRotation="90" wrapText="1"/>
    </xf>
    <xf numFmtId="0" fontId="0" fillId="4" borderId="8" xfId="0" applyFill="1" applyBorder="1" applyAlignment="1">
      <alignment horizontal="center" textRotation="90" wrapText="1"/>
    </xf>
    <xf numFmtId="0" fontId="0" fillId="4" borderId="24" xfId="0" applyFill="1" applyBorder="1" applyAlignment="1">
      <alignment horizontal="center" textRotation="90" wrapText="1"/>
    </xf>
    <xf numFmtId="4" fontId="3" fillId="4" borderId="23" xfId="0" applyNumberFormat="1" applyFont="1" applyFill="1" applyBorder="1" applyAlignment="1">
      <alignment horizontal="center" textRotation="90" wrapText="1"/>
    </xf>
    <xf numFmtId="3" fontId="16" fillId="0" borderId="25" xfId="0" applyNumberFormat="1" applyFont="1" applyFill="1" applyBorder="1" applyAlignment="1">
      <alignment horizontal="center" vertical="center"/>
    </xf>
    <xf numFmtId="3" fontId="16" fillId="0" borderId="1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</cellXfs>
  <cellStyles count="4">
    <cellStyle name="Calculation" xfId="3" builtinId="22"/>
    <cellStyle name="Normal" xfId="0" builtinId="0"/>
    <cellStyle name="Output" xfId="1" builtinId="2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4"/>
  <sheetViews>
    <sheetView tabSelected="1" view="pageBreakPreview" zoomScale="80" zoomScaleNormal="100" zoomScaleSheetLayoutView="80" workbookViewId="0">
      <pane xSplit="2" ySplit="22" topLeftCell="O29" activePane="bottomRight" state="frozen"/>
      <selection pane="topRight" activeCell="C1" sqref="C1"/>
      <selection pane="bottomLeft" activeCell="A22" sqref="A22"/>
      <selection pane="bottomRight" activeCell="AR41" sqref="AR41"/>
    </sheetView>
  </sheetViews>
  <sheetFormatPr defaultRowHeight="12.75" x14ac:dyDescent="0.2"/>
  <cols>
    <col min="1" max="1" width="2.42578125" style="15" customWidth="1"/>
    <col min="2" max="2" width="48" style="36" customWidth="1"/>
    <col min="3" max="3" width="8.42578125" style="36" customWidth="1"/>
    <col min="4" max="4" width="6.7109375" style="36" customWidth="1"/>
    <col min="5" max="5" width="7.7109375" style="36" customWidth="1"/>
    <col min="6" max="6" width="7.85546875" style="36" customWidth="1"/>
    <col min="7" max="7" width="7.85546875" style="87" customWidth="1"/>
    <col min="8" max="8" width="4.85546875" style="8" customWidth="1"/>
    <col min="9" max="9" width="3" style="87" bestFit="1" customWidth="1"/>
    <col min="10" max="10" width="8.28515625" style="11" customWidth="1"/>
    <col min="11" max="11" width="8.42578125" style="88" customWidth="1"/>
    <col min="12" max="12" width="8.140625" style="11" customWidth="1"/>
    <col min="13" max="13" width="8.85546875" style="88" customWidth="1"/>
    <col min="14" max="14" width="6" style="11" customWidth="1"/>
    <col min="15" max="15" width="6.7109375" style="88" customWidth="1"/>
    <col min="16" max="16" width="5.28515625" style="13" customWidth="1"/>
    <col min="17" max="17" width="6.7109375" style="13" customWidth="1"/>
    <col min="18" max="20" width="9.140625" style="13" customWidth="1"/>
    <col min="21" max="21" width="9.28515625" style="13" customWidth="1"/>
    <col min="22" max="22" width="7.42578125" style="8" customWidth="1"/>
    <col min="23" max="23" width="7.42578125" style="87" customWidth="1"/>
    <col min="24" max="24" width="8.42578125" style="87" customWidth="1"/>
    <col min="25" max="25" width="7.7109375" style="8" customWidth="1"/>
    <col min="26" max="26" width="7.42578125" style="87" customWidth="1"/>
    <col min="27" max="27" width="6.85546875" style="8" customWidth="1"/>
    <col min="28" max="28" width="7" style="8" customWidth="1"/>
    <col min="29" max="29" width="11" style="87" customWidth="1"/>
    <col min="30" max="30" width="10.140625" style="87" customWidth="1"/>
    <col min="31" max="32" width="10.140625" style="8" customWidth="1"/>
    <col min="33" max="33" width="7.42578125" style="8" customWidth="1"/>
    <col min="34" max="34" width="6.7109375" style="87" customWidth="1"/>
    <col min="35" max="35" width="7.42578125" style="87" customWidth="1"/>
    <col min="36" max="36" width="6.28515625" style="8" customWidth="1"/>
    <col min="37" max="37" width="10.140625" style="87" customWidth="1"/>
    <col min="38" max="39" width="4.5703125" style="87" customWidth="1"/>
    <col min="40" max="40" width="10.140625" style="8" customWidth="1"/>
    <col min="41" max="41" width="10" style="8" customWidth="1"/>
    <col min="42" max="42" width="8.140625" style="8" customWidth="1"/>
    <col min="43" max="45" width="9.7109375" style="87" customWidth="1"/>
    <col min="46" max="46" width="8" style="87" customWidth="1"/>
    <col min="47" max="47" width="7.28515625" style="87" customWidth="1"/>
    <col min="48" max="48" width="8.140625" style="8" customWidth="1"/>
    <col min="49" max="49" width="7.42578125" style="87" customWidth="1"/>
    <col min="50" max="50" width="8.7109375" style="1" customWidth="1"/>
    <col min="51" max="16384" width="9.140625" style="1"/>
  </cols>
  <sheetData>
    <row r="1" spans="1:51" s="15" customFormat="1" x14ac:dyDescent="0.2">
      <c r="B1" s="35"/>
      <c r="C1" s="52"/>
      <c r="D1" s="52"/>
      <c r="E1" s="52"/>
      <c r="F1" s="52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20"/>
      <c r="AX1" s="120"/>
    </row>
    <row r="2" spans="1:51" s="15" customFormat="1" ht="13.5" thickBot="1" x14ac:dyDescent="0.25">
      <c r="A2" s="120"/>
      <c r="B2" s="52"/>
      <c r="C2" s="52"/>
      <c r="D2" s="52"/>
      <c r="E2" s="52"/>
      <c r="F2" s="52"/>
      <c r="G2" s="261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Q2" s="10"/>
      <c r="AR2" s="10"/>
      <c r="AS2" s="10"/>
      <c r="AT2" s="10"/>
      <c r="AU2" s="10"/>
      <c r="AV2" s="10"/>
      <c r="AW2" s="10"/>
      <c r="AX2" s="120"/>
      <c r="AY2" s="120"/>
    </row>
    <row r="3" spans="1:51" s="15" customFormat="1" x14ac:dyDescent="0.2">
      <c r="A3" s="120"/>
      <c r="B3" s="437" t="s">
        <v>247</v>
      </c>
      <c r="C3" s="52"/>
      <c r="D3" s="52"/>
      <c r="E3" s="52"/>
      <c r="F3" s="52"/>
      <c r="G3" s="53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20"/>
      <c r="AE3" s="120"/>
      <c r="AF3" s="120"/>
      <c r="AG3" s="120"/>
      <c r="AH3" s="120"/>
      <c r="AI3" s="120"/>
      <c r="AJ3" s="120"/>
      <c r="AK3" s="120"/>
      <c r="AL3" s="140"/>
      <c r="AM3" s="140"/>
      <c r="AN3" s="140"/>
      <c r="AO3" s="120"/>
      <c r="AQ3" s="10"/>
      <c r="AR3" s="10"/>
      <c r="AS3" s="146"/>
      <c r="AT3" s="145" t="s">
        <v>35</v>
      </c>
      <c r="AU3" s="168" t="s">
        <v>144</v>
      </c>
      <c r="AV3" s="438"/>
      <c r="AW3" s="170" t="s">
        <v>34</v>
      </c>
      <c r="AX3" s="211">
        <v>41922</v>
      </c>
    </row>
    <row r="4" spans="1:51" s="15" customFormat="1" x14ac:dyDescent="0.2">
      <c r="A4" s="120"/>
      <c r="B4" s="513" t="s">
        <v>248</v>
      </c>
      <c r="C4" s="432"/>
      <c r="D4" s="52"/>
      <c r="E4" s="52"/>
      <c r="F4" s="120"/>
      <c r="G4" s="432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20"/>
      <c r="AE4" s="120"/>
      <c r="AF4" s="120"/>
      <c r="AG4" s="120"/>
      <c r="AH4" s="120"/>
      <c r="AI4" s="120"/>
      <c r="AJ4" s="120"/>
      <c r="AK4" s="120"/>
      <c r="AL4" s="140"/>
      <c r="AM4" s="140"/>
      <c r="AN4" s="140"/>
      <c r="AO4" s="120"/>
      <c r="AQ4" s="10"/>
      <c r="AR4" s="10"/>
      <c r="AS4" s="517"/>
      <c r="AT4" s="518" t="s">
        <v>36</v>
      </c>
      <c r="AU4" s="519" t="s">
        <v>266</v>
      </c>
      <c r="AV4" s="526"/>
      <c r="AW4" s="520" t="s">
        <v>34</v>
      </c>
      <c r="AX4" s="521">
        <v>41926</v>
      </c>
    </row>
    <row r="5" spans="1:51" s="90" customFormat="1" ht="13.5" thickBot="1" x14ac:dyDescent="0.25">
      <c r="A5" s="120"/>
      <c r="B5" s="512" t="s">
        <v>249</v>
      </c>
      <c r="C5" s="432"/>
      <c r="D5" s="52"/>
      <c r="E5" s="52"/>
      <c r="F5" s="120"/>
      <c r="G5" s="432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20"/>
      <c r="AE5" s="120"/>
      <c r="AF5" s="120"/>
      <c r="AG5" s="120"/>
      <c r="AH5" s="120"/>
      <c r="AI5" s="120"/>
      <c r="AJ5" s="120"/>
      <c r="AK5" s="120"/>
      <c r="AL5" s="140"/>
      <c r="AM5" s="140"/>
      <c r="AN5" s="140"/>
      <c r="AO5" s="120"/>
      <c r="AQ5" s="10"/>
      <c r="AR5" s="10"/>
      <c r="AS5" s="522"/>
      <c r="AT5" s="523" t="s">
        <v>280</v>
      </c>
      <c r="AU5" s="216" t="s">
        <v>266</v>
      </c>
      <c r="AV5" s="439"/>
      <c r="AW5" s="217" t="s">
        <v>34</v>
      </c>
      <c r="AX5" s="459">
        <v>42598</v>
      </c>
    </row>
    <row r="6" spans="1:51" s="15" customFormat="1" ht="13.5" thickBot="1" x14ac:dyDescent="0.25">
      <c r="A6" s="120"/>
      <c r="B6" s="436"/>
      <c r="C6" s="52"/>
      <c r="D6" s="52"/>
      <c r="E6" s="52"/>
      <c r="F6" s="52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20"/>
      <c r="AQ6" s="120"/>
      <c r="AR6" s="120"/>
      <c r="AS6" s="120"/>
      <c r="AT6" s="10"/>
      <c r="AU6" s="10"/>
      <c r="AV6" s="10"/>
      <c r="AW6" s="10"/>
      <c r="AX6" s="231"/>
    </row>
    <row r="7" spans="1:51" s="16" customFormat="1" ht="12.75" customHeight="1" x14ac:dyDescent="0.2">
      <c r="A7" s="40"/>
      <c r="B7" s="572" t="s">
        <v>37</v>
      </c>
      <c r="C7" s="542">
        <v>202</v>
      </c>
      <c r="D7" s="544"/>
      <c r="E7" s="262">
        <v>203</v>
      </c>
      <c r="F7" s="542">
        <v>204</v>
      </c>
      <c r="G7" s="543"/>
      <c r="H7" s="543"/>
      <c r="I7" s="544"/>
      <c r="J7" s="542">
        <v>206</v>
      </c>
      <c r="K7" s="543"/>
      <c r="L7" s="543"/>
      <c r="M7" s="543"/>
      <c r="N7" s="543"/>
      <c r="O7" s="544"/>
      <c r="P7" s="542">
        <v>252</v>
      </c>
      <c r="Q7" s="544"/>
      <c r="R7" s="262">
        <v>254</v>
      </c>
      <c r="S7" s="542">
        <v>301</v>
      </c>
      <c r="T7" s="543"/>
      <c r="U7" s="544"/>
      <c r="V7" s="542">
        <v>302</v>
      </c>
      <c r="W7" s="544"/>
      <c r="X7" s="542">
        <v>304</v>
      </c>
      <c r="Y7" s="543"/>
      <c r="Z7" s="544"/>
      <c r="AA7" s="529"/>
      <c r="AB7" s="530"/>
      <c r="AC7" s="528">
        <v>407</v>
      </c>
      <c r="AD7" s="542">
        <v>441</v>
      </c>
      <c r="AE7" s="543"/>
      <c r="AF7" s="544"/>
      <c r="AG7" s="542">
        <v>442</v>
      </c>
      <c r="AH7" s="543"/>
      <c r="AI7" s="543"/>
      <c r="AJ7" s="543"/>
      <c r="AK7" s="544"/>
      <c r="AL7" s="543">
        <v>451</v>
      </c>
      <c r="AM7" s="544"/>
      <c r="AN7" s="542">
        <v>452</v>
      </c>
      <c r="AO7" s="543"/>
      <c r="AP7" s="543"/>
      <c r="AQ7" s="544"/>
      <c r="AR7" s="542">
        <v>617</v>
      </c>
      <c r="AS7" s="543"/>
      <c r="AT7" s="542">
        <v>618</v>
      </c>
      <c r="AU7" s="543"/>
      <c r="AV7" s="543"/>
      <c r="AW7" s="544"/>
      <c r="AX7" s="232" t="s">
        <v>152</v>
      </c>
      <c r="AY7" s="17"/>
    </row>
    <row r="8" spans="1:51" ht="12.75" customHeight="1" x14ac:dyDescent="0.2">
      <c r="B8" s="573"/>
      <c r="C8" s="545" t="s">
        <v>40</v>
      </c>
      <c r="D8" s="546"/>
      <c r="E8" s="559" t="s">
        <v>149</v>
      </c>
      <c r="F8" s="545" t="s">
        <v>8</v>
      </c>
      <c r="G8" s="546"/>
      <c r="H8" s="553" t="s">
        <v>7</v>
      </c>
      <c r="I8" s="554"/>
      <c r="J8" s="553" t="s">
        <v>18</v>
      </c>
      <c r="K8" s="554"/>
      <c r="L8" s="545" t="s">
        <v>19</v>
      </c>
      <c r="M8" s="546"/>
      <c r="N8" s="553" t="s">
        <v>23</v>
      </c>
      <c r="O8" s="554"/>
      <c r="P8" s="545" t="s">
        <v>161</v>
      </c>
      <c r="Q8" s="554"/>
      <c r="R8" s="559" t="s">
        <v>43</v>
      </c>
      <c r="S8" s="545" t="s">
        <v>32</v>
      </c>
      <c r="T8" s="546"/>
      <c r="U8" s="559" t="s">
        <v>125</v>
      </c>
      <c r="V8" s="545" t="s">
        <v>42</v>
      </c>
      <c r="W8" s="546"/>
      <c r="X8" s="559" t="s">
        <v>33</v>
      </c>
      <c r="Y8" s="553" t="s">
        <v>9</v>
      </c>
      <c r="Z8" s="554"/>
      <c r="AA8" s="545" t="s">
        <v>281</v>
      </c>
      <c r="AB8" s="546"/>
      <c r="AC8" s="559" t="s">
        <v>281</v>
      </c>
      <c r="AD8" s="559" t="s">
        <v>146</v>
      </c>
      <c r="AE8" s="559" t="s">
        <v>147</v>
      </c>
      <c r="AF8" s="559" t="s">
        <v>242</v>
      </c>
      <c r="AG8" s="553" t="s">
        <v>25</v>
      </c>
      <c r="AH8" s="554"/>
      <c r="AI8" s="545" t="s">
        <v>162</v>
      </c>
      <c r="AJ8" s="546"/>
      <c r="AK8" s="559" t="s">
        <v>143</v>
      </c>
      <c r="AL8" s="564" t="s">
        <v>133</v>
      </c>
      <c r="AM8" s="565"/>
      <c r="AN8" s="559" t="s">
        <v>163</v>
      </c>
      <c r="AO8" s="580" t="s">
        <v>159</v>
      </c>
      <c r="AP8" s="545" t="s">
        <v>29</v>
      </c>
      <c r="AQ8" s="546"/>
      <c r="AR8" s="545" t="s">
        <v>283</v>
      </c>
      <c r="AS8" s="546"/>
      <c r="AT8" s="545" t="s">
        <v>157</v>
      </c>
      <c r="AU8" s="546"/>
      <c r="AV8" s="545" t="s">
        <v>156</v>
      </c>
      <c r="AW8" s="546"/>
      <c r="AX8" s="559" t="s">
        <v>153</v>
      </c>
      <c r="AY8" s="18"/>
    </row>
    <row r="9" spans="1:51" ht="12.75" customHeight="1" x14ac:dyDescent="0.2">
      <c r="B9" s="573"/>
      <c r="C9" s="547"/>
      <c r="D9" s="548"/>
      <c r="E9" s="570"/>
      <c r="F9" s="547"/>
      <c r="G9" s="548"/>
      <c r="H9" s="555"/>
      <c r="I9" s="556"/>
      <c r="J9" s="555"/>
      <c r="K9" s="556"/>
      <c r="L9" s="547"/>
      <c r="M9" s="548"/>
      <c r="N9" s="555"/>
      <c r="O9" s="556"/>
      <c r="P9" s="555"/>
      <c r="Q9" s="556"/>
      <c r="R9" s="570"/>
      <c r="S9" s="547"/>
      <c r="T9" s="548"/>
      <c r="U9" s="560"/>
      <c r="V9" s="547"/>
      <c r="W9" s="548"/>
      <c r="X9" s="560"/>
      <c r="Y9" s="555"/>
      <c r="Z9" s="556"/>
      <c r="AA9" s="547"/>
      <c r="AB9" s="548"/>
      <c r="AC9" s="560"/>
      <c r="AD9" s="562"/>
      <c r="AE9" s="562"/>
      <c r="AF9" s="560"/>
      <c r="AG9" s="555"/>
      <c r="AH9" s="556"/>
      <c r="AI9" s="547"/>
      <c r="AJ9" s="548"/>
      <c r="AK9" s="560"/>
      <c r="AL9" s="566"/>
      <c r="AM9" s="567"/>
      <c r="AN9" s="560"/>
      <c r="AO9" s="581"/>
      <c r="AP9" s="547"/>
      <c r="AQ9" s="548"/>
      <c r="AR9" s="547"/>
      <c r="AS9" s="548"/>
      <c r="AT9" s="547"/>
      <c r="AU9" s="548"/>
      <c r="AV9" s="547"/>
      <c r="AW9" s="548"/>
      <c r="AX9" s="560"/>
      <c r="AY9" s="18"/>
    </row>
    <row r="10" spans="1:51" ht="12.75" customHeight="1" x14ac:dyDescent="0.2">
      <c r="B10" s="573"/>
      <c r="C10" s="547"/>
      <c r="D10" s="548"/>
      <c r="E10" s="570"/>
      <c r="F10" s="547"/>
      <c r="G10" s="548"/>
      <c r="H10" s="555"/>
      <c r="I10" s="556"/>
      <c r="J10" s="555"/>
      <c r="K10" s="556"/>
      <c r="L10" s="547"/>
      <c r="M10" s="548"/>
      <c r="N10" s="555"/>
      <c r="O10" s="556"/>
      <c r="P10" s="555"/>
      <c r="Q10" s="556"/>
      <c r="R10" s="570"/>
      <c r="S10" s="547"/>
      <c r="T10" s="548"/>
      <c r="U10" s="560"/>
      <c r="V10" s="547"/>
      <c r="W10" s="548"/>
      <c r="X10" s="560"/>
      <c r="Y10" s="555"/>
      <c r="Z10" s="556"/>
      <c r="AA10" s="547"/>
      <c r="AB10" s="548"/>
      <c r="AC10" s="560"/>
      <c r="AD10" s="562"/>
      <c r="AE10" s="562"/>
      <c r="AF10" s="560"/>
      <c r="AG10" s="555"/>
      <c r="AH10" s="556"/>
      <c r="AI10" s="547"/>
      <c r="AJ10" s="548"/>
      <c r="AK10" s="560"/>
      <c r="AL10" s="566"/>
      <c r="AM10" s="567"/>
      <c r="AN10" s="560"/>
      <c r="AO10" s="581"/>
      <c r="AP10" s="547"/>
      <c r="AQ10" s="548"/>
      <c r="AR10" s="547"/>
      <c r="AS10" s="548"/>
      <c r="AT10" s="547"/>
      <c r="AU10" s="548"/>
      <c r="AV10" s="547"/>
      <c r="AW10" s="548"/>
      <c r="AX10" s="560"/>
      <c r="AY10" s="18"/>
    </row>
    <row r="11" spans="1:51" ht="12.75" customHeight="1" x14ac:dyDescent="0.2">
      <c r="B11" s="573"/>
      <c r="C11" s="547"/>
      <c r="D11" s="548"/>
      <c r="E11" s="570"/>
      <c r="F11" s="547"/>
      <c r="G11" s="548"/>
      <c r="H11" s="555"/>
      <c r="I11" s="556"/>
      <c r="J11" s="555"/>
      <c r="K11" s="556"/>
      <c r="L11" s="547"/>
      <c r="M11" s="548"/>
      <c r="N11" s="555"/>
      <c r="O11" s="556"/>
      <c r="P11" s="555"/>
      <c r="Q11" s="556"/>
      <c r="R11" s="570"/>
      <c r="S11" s="547"/>
      <c r="T11" s="548"/>
      <c r="U11" s="560"/>
      <c r="V11" s="547"/>
      <c r="W11" s="548"/>
      <c r="X11" s="560"/>
      <c r="Y11" s="555"/>
      <c r="Z11" s="556"/>
      <c r="AA11" s="547"/>
      <c r="AB11" s="548"/>
      <c r="AC11" s="560"/>
      <c r="AD11" s="562"/>
      <c r="AE11" s="562"/>
      <c r="AF11" s="560"/>
      <c r="AG11" s="555"/>
      <c r="AH11" s="556"/>
      <c r="AI11" s="547"/>
      <c r="AJ11" s="548"/>
      <c r="AK11" s="560"/>
      <c r="AL11" s="566"/>
      <c r="AM11" s="567"/>
      <c r="AN11" s="560"/>
      <c r="AO11" s="581"/>
      <c r="AP11" s="547"/>
      <c r="AQ11" s="548"/>
      <c r="AR11" s="547"/>
      <c r="AS11" s="548"/>
      <c r="AT11" s="547"/>
      <c r="AU11" s="548"/>
      <c r="AV11" s="547"/>
      <c r="AW11" s="548"/>
      <c r="AX11" s="560"/>
      <c r="AY11" s="18"/>
    </row>
    <row r="12" spans="1:51" ht="12.75" customHeight="1" x14ac:dyDescent="0.2">
      <c r="B12" s="573"/>
      <c r="C12" s="547"/>
      <c r="D12" s="548"/>
      <c r="E12" s="570"/>
      <c r="F12" s="547"/>
      <c r="G12" s="548"/>
      <c r="H12" s="555"/>
      <c r="I12" s="556"/>
      <c r="J12" s="555"/>
      <c r="K12" s="556"/>
      <c r="L12" s="547"/>
      <c r="M12" s="548"/>
      <c r="N12" s="555"/>
      <c r="O12" s="556"/>
      <c r="P12" s="555"/>
      <c r="Q12" s="556"/>
      <c r="R12" s="570"/>
      <c r="S12" s="547"/>
      <c r="T12" s="548"/>
      <c r="U12" s="560"/>
      <c r="V12" s="547"/>
      <c r="W12" s="548"/>
      <c r="X12" s="560"/>
      <c r="Y12" s="555"/>
      <c r="Z12" s="556"/>
      <c r="AA12" s="547"/>
      <c r="AB12" s="548"/>
      <c r="AC12" s="560"/>
      <c r="AD12" s="562"/>
      <c r="AE12" s="562"/>
      <c r="AF12" s="560"/>
      <c r="AG12" s="555"/>
      <c r="AH12" s="556"/>
      <c r="AI12" s="547"/>
      <c r="AJ12" s="548"/>
      <c r="AK12" s="560"/>
      <c r="AL12" s="566"/>
      <c r="AM12" s="567"/>
      <c r="AN12" s="560"/>
      <c r="AO12" s="581"/>
      <c r="AP12" s="547"/>
      <c r="AQ12" s="548"/>
      <c r="AR12" s="547"/>
      <c r="AS12" s="548"/>
      <c r="AT12" s="547"/>
      <c r="AU12" s="548"/>
      <c r="AV12" s="547"/>
      <c r="AW12" s="548"/>
      <c r="AX12" s="560"/>
      <c r="AY12" s="18"/>
    </row>
    <row r="13" spans="1:51" ht="12.75" customHeight="1" x14ac:dyDescent="0.2">
      <c r="B13" s="573"/>
      <c r="C13" s="547"/>
      <c r="D13" s="548"/>
      <c r="E13" s="570"/>
      <c r="F13" s="547"/>
      <c r="G13" s="548"/>
      <c r="H13" s="555"/>
      <c r="I13" s="556"/>
      <c r="J13" s="555"/>
      <c r="K13" s="556"/>
      <c r="L13" s="547"/>
      <c r="M13" s="548"/>
      <c r="N13" s="555"/>
      <c r="O13" s="556"/>
      <c r="P13" s="555"/>
      <c r="Q13" s="556"/>
      <c r="R13" s="570"/>
      <c r="S13" s="547"/>
      <c r="T13" s="548"/>
      <c r="U13" s="560"/>
      <c r="V13" s="547"/>
      <c r="W13" s="548"/>
      <c r="X13" s="560"/>
      <c r="Y13" s="555"/>
      <c r="Z13" s="556"/>
      <c r="AA13" s="547"/>
      <c r="AB13" s="548"/>
      <c r="AC13" s="560"/>
      <c r="AD13" s="562"/>
      <c r="AE13" s="562"/>
      <c r="AF13" s="560"/>
      <c r="AG13" s="555"/>
      <c r="AH13" s="556"/>
      <c r="AI13" s="547"/>
      <c r="AJ13" s="548"/>
      <c r="AK13" s="560"/>
      <c r="AL13" s="566"/>
      <c r="AM13" s="567"/>
      <c r="AN13" s="560"/>
      <c r="AO13" s="581"/>
      <c r="AP13" s="547"/>
      <c r="AQ13" s="548"/>
      <c r="AR13" s="547"/>
      <c r="AS13" s="548"/>
      <c r="AT13" s="547"/>
      <c r="AU13" s="548"/>
      <c r="AV13" s="547"/>
      <c r="AW13" s="548"/>
      <c r="AX13" s="560"/>
      <c r="AY13" s="18"/>
    </row>
    <row r="14" spans="1:51" ht="12.75" customHeight="1" x14ac:dyDescent="0.2">
      <c r="B14" s="573"/>
      <c r="C14" s="547"/>
      <c r="D14" s="548"/>
      <c r="E14" s="570"/>
      <c r="F14" s="547"/>
      <c r="G14" s="548"/>
      <c r="H14" s="555"/>
      <c r="I14" s="556"/>
      <c r="J14" s="555"/>
      <c r="K14" s="556"/>
      <c r="L14" s="547"/>
      <c r="M14" s="548"/>
      <c r="N14" s="555"/>
      <c r="O14" s="556"/>
      <c r="P14" s="555"/>
      <c r="Q14" s="556"/>
      <c r="R14" s="570"/>
      <c r="S14" s="547"/>
      <c r="T14" s="548"/>
      <c r="U14" s="560"/>
      <c r="V14" s="547"/>
      <c r="W14" s="548"/>
      <c r="X14" s="560"/>
      <c r="Y14" s="555"/>
      <c r="Z14" s="556"/>
      <c r="AA14" s="547"/>
      <c r="AB14" s="548"/>
      <c r="AC14" s="560"/>
      <c r="AD14" s="562"/>
      <c r="AE14" s="562"/>
      <c r="AF14" s="560"/>
      <c r="AG14" s="555"/>
      <c r="AH14" s="556"/>
      <c r="AI14" s="547"/>
      <c r="AJ14" s="548"/>
      <c r="AK14" s="560"/>
      <c r="AL14" s="566"/>
      <c r="AM14" s="567"/>
      <c r="AN14" s="560"/>
      <c r="AO14" s="581"/>
      <c r="AP14" s="547"/>
      <c r="AQ14" s="548"/>
      <c r="AR14" s="547"/>
      <c r="AS14" s="548"/>
      <c r="AT14" s="547"/>
      <c r="AU14" s="548"/>
      <c r="AV14" s="547"/>
      <c r="AW14" s="548"/>
      <c r="AX14" s="560"/>
      <c r="AY14" s="18"/>
    </row>
    <row r="15" spans="1:51" ht="12.75" customHeight="1" x14ac:dyDescent="0.2">
      <c r="B15" s="573"/>
      <c r="C15" s="547"/>
      <c r="D15" s="548"/>
      <c r="E15" s="570"/>
      <c r="F15" s="547"/>
      <c r="G15" s="548"/>
      <c r="H15" s="555"/>
      <c r="I15" s="556"/>
      <c r="J15" s="555"/>
      <c r="K15" s="556"/>
      <c r="L15" s="547"/>
      <c r="M15" s="548"/>
      <c r="N15" s="555"/>
      <c r="O15" s="556"/>
      <c r="P15" s="555"/>
      <c r="Q15" s="556"/>
      <c r="R15" s="570"/>
      <c r="S15" s="547"/>
      <c r="T15" s="548"/>
      <c r="U15" s="560"/>
      <c r="V15" s="547"/>
      <c r="W15" s="548"/>
      <c r="X15" s="560"/>
      <c r="Y15" s="555"/>
      <c r="Z15" s="556"/>
      <c r="AA15" s="547"/>
      <c r="AB15" s="548"/>
      <c r="AC15" s="560"/>
      <c r="AD15" s="562"/>
      <c r="AE15" s="562"/>
      <c r="AF15" s="560"/>
      <c r="AG15" s="555"/>
      <c r="AH15" s="556"/>
      <c r="AI15" s="547"/>
      <c r="AJ15" s="548"/>
      <c r="AK15" s="560"/>
      <c r="AL15" s="566"/>
      <c r="AM15" s="567"/>
      <c r="AN15" s="560"/>
      <c r="AO15" s="581"/>
      <c r="AP15" s="547"/>
      <c r="AQ15" s="548"/>
      <c r="AR15" s="547"/>
      <c r="AS15" s="548"/>
      <c r="AT15" s="547"/>
      <c r="AU15" s="548"/>
      <c r="AV15" s="547"/>
      <c r="AW15" s="548"/>
      <c r="AX15" s="560"/>
      <c r="AY15" s="18"/>
    </row>
    <row r="16" spans="1:51" ht="12.75" customHeight="1" x14ac:dyDescent="0.2">
      <c r="B16" s="573"/>
      <c r="C16" s="547"/>
      <c r="D16" s="548"/>
      <c r="E16" s="570"/>
      <c r="F16" s="547"/>
      <c r="G16" s="548"/>
      <c r="H16" s="555"/>
      <c r="I16" s="556"/>
      <c r="J16" s="555"/>
      <c r="K16" s="556"/>
      <c r="L16" s="547"/>
      <c r="M16" s="548"/>
      <c r="N16" s="555"/>
      <c r="O16" s="556"/>
      <c r="P16" s="555"/>
      <c r="Q16" s="556"/>
      <c r="R16" s="570"/>
      <c r="S16" s="547"/>
      <c r="T16" s="548"/>
      <c r="U16" s="560"/>
      <c r="V16" s="547"/>
      <c r="W16" s="548"/>
      <c r="X16" s="560"/>
      <c r="Y16" s="555"/>
      <c r="Z16" s="556"/>
      <c r="AA16" s="547"/>
      <c r="AB16" s="548"/>
      <c r="AC16" s="560"/>
      <c r="AD16" s="562"/>
      <c r="AE16" s="562"/>
      <c r="AF16" s="560"/>
      <c r="AG16" s="555"/>
      <c r="AH16" s="556"/>
      <c r="AI16" s="547"/>
      <c r="AJ16" s="548"/>
      <c r="AK16" s="560"/>
      <c r="AL16" s="566"/>
      <c r="AM16" s="567"/>
      <c r="AN16" s="560"/>
      <c r="AO16" s="581"/>
      <c r="AP16" s="547"/>
      <c r="AQ16" s="548"/>
      <c r="AR16" s="547"/>
      <c r="AS16" s="548"/>
      <c r="AT16" s="547"/>
      <c r="AU16" s="548"/>
      <c r="AV16" s="547"/>
      <c r="AW16" s="548"/>
      <c r="AX16" s="560"/>
      <c r="AY16" s="18"/>
    </row>
    <row r="17" spans="1:51" ht="12.75" customHeight="1" x14ac:dyDescent="0.2">
      <c r="B17" s="573"/>
      <c r="C17" s="547"/>
      <c r="D17" s="548"/>
      <c r="E17" s="570"/>
      <c r="F17" s="547"/>
      <c r="G17" s="548"/>
      <c r="H17" s="555"/>
      <c r="I17" s="556"/>
      <c r="J17" s="555"/>
      <c r="K17" s="556"/>
      <c r="L17" s="547"/>
      <c r="M17" s="548"/>
      <c r="N17" s="555"/>
      <c r="O17" s="556"/>
      <c r="P17" s="555"/>
      <c r="Q17" s="556"/>
      <c r="R17" s="570"/>
      <c r="S17" s="547"/>
      <c r="T17" s="548"/>
      <c r="U17" s="560"/>
      <c r="V17" s="547"/>
      <c r="W17" s="548"/>
      <c r="X17" s="560"/>
      <c r="Y17" s="555"/>
      <c r="Z17" s="556"/>
      <c r="AA17" s="547"/>
      <c r="AB17" s="548"/>
      <c r="AC17" s="560"/>
      <c r="AD17" s="562"/>
      <c r="AE17" s="562"/>
      <c r="AF17" s="560"/>
      <c r="AG17" s="555"/>
      <c r="AH17" s="556"/>
      <c r="AI17" s="547"/>
      <c r="AJ17" s="548"/>
      <c r="AK17" s="560"/>
      <c r="AL17" s="566"/>
      <c r="AM17" s="567"/>
      <c r="AN17" s="560"/>
      <c r="AO17" s="581"/>
      <c r="AP17" s="547"/>
      <c r="AQ17" s="548"/>
      <c r="AR17" s="547"/>
      <c r="AS17" s="548"/>
      <c r="AT17" s="547"/>
      <c r="AU17" s="548"/>
      <c r="AV17" s="547"/>
      <c r="AW17" s="548"/>
      <c r="AX17" s="560"/>
      <c r="AY17" s="18"/>
    </row>
    <row r="18" spans="1:51" ht="12.75" customHeight="1" x14ac:dyDescent="0.2">
      <c r="B18" s="573"/>
      <c r="C18" s="547"/>
      <c r="D18" s="548"/>
      <c r="E18" s="570"/>
      <c r="F18" s="547"/>
      <c r="G18" s="548"/>
      <c r="H18" s="555"/>
      <c r="I18" s="556"/>
      <c r="J18" s="555"/>
      <c r="K18" s="556"/>
      <c r="L18" s="547"/>
      <c r="M18" s="548"/>
      <c r="N18" s="555"/>
      <c r="O18" s="556"/>
      <c r="P18" s="555"/>
      <c r="Q18" s="556"/>
      <c r="R18" s="570"/>
      <c r="S18" s="547"/>
      <c r="T18" s="548"/>
      <c r="U18" s="560"/>
      <c r="V18" s="547"/>
      <c r="W18" s="548"/>
      <c r="X18" s="560"/>
      <c r="Y18" s="555"/>
      <c r="Z18" s="556"/>
      <c r="AA18" s="547"/>
      <c r="AB18" s="548"/>
      <c r="AC18" s="560"/>
      <c r="AD18" s="562"/>
      <c r="AE18" s="562"/>
      <c r="AF18" s="560"/>
      <c r="AG18" s="555"/>
      <c r="AH18" s="556"/>
      <c r="AI18" s="547"/>
      <c r="AJ18" s="548"/>
      <c r="AK18" s="560"/>
      <c r="AL18" s="566"/>
      <c r="AM18" s="567"/>
      <c r="AN18" s="560"/>
      <c r="AO18" s="581"/>
      <c r="AP18" s="547"/>
      <c r="AQ18" s="548"/>
      <c r="AR18" s="547"/>
      <c r="AS18" s="548"/>
      <c r="AT18" s="547"/>
      <c r="AU18" s="548"/>
      <c r="AV18" s="547"/>
      <c r="AW18" s="548"/>
      <c r="AX18" s="560"/>
      <c r="AY18" s="18"/>
    </row>
    <row r="19" spans="1:51" ht="13.5" customHeight="1" x14ac:dyDescent="0.2">
      <c r="B19" s="573"/>
      <c r="C19" s="549"/>
      <c r="D19" s="550"/>
      <c r="E19" s="571"/>
      <c r="F19" s="549"/>
      <c r="G19" s="550"/>
      <c r="H19" s="557"/>
      <c r="I19" s="558"/>
      <c r="J19" s="557"/>
      <c r="K19" s="558"/>
      <c r="L19" s="549"/>
      <c r="M19" s="550"/>
      <c r="N19" s="557"/>
      <c r="O19" s="558"/>
      <c r="P19" s="557"/>
      <c r="Q19" s="558"/>
      <c r="R19" s="571"/>
      <c r="S19" s="549"/>
      <c r="T19" s="550"/>
      <c r="U19" s="561"/>
      <c r="V19" s="549"/>
      <c r="W19" s="550"/>
      <c r="X19" s="561"/>
      <c r="Y19" s="557"/>
      <c r="Z19" s="558"/>
      <c r="AA19" s="549"/>
      <c r="AB19" s="550"/>
      <c r="AC19" s="561"/>
      <c r="AD19" s="563"/>
      <c r="AE19" s="563"/>
      <c r="AF19" s="561"/>
      <c r="AG19" s="557"/>
      <c r="AH19" s="558"/>
      <c r="AI19" s="549"/>
      <c r="AJ19" s="550"/>
      <c r="AK19" s="561"/>
      <c r="AL19" s="568"/>
      <c r="AM19" s="569"/>
      <c r="AN19" s="561"/>
      <c r="AO19" s="582"/>
      <c r="AP19" s="549"/>
      <c r="AQ19" s="550"/>
      <c r="AR19" s="549"/>
      <c r="AS19" s="550"/>
      <c r="AT19" s="549"/>
      <c r="AU19" s="550"/>
      <c r="AV19" s="549"/>
      <c r="AW19" s="550"/>
      <c r="AX19" s="561"/>
      <c r="AY19" s="18"/>
    </row>
    <row r="20" spans="1:51" ht="12.75" customHeight="1" x14ac:dyDescent="0.2">
      <c r="B20" s="573"/>
      <c r="C20" s="551" t="s">
        <v>10</v>
      </c>
      <c r="D20" s="552"/>
      <c r="E20" s="83" t="s">
        <v>12</v>
      </c>
      <c r="F20" s="551" t="s">
        <v>10</v>
      </c>
      <c r="G20" s="552"/>
      <c r="H20" s="551" t="s">
        <v>11</v>
      </c>
      <c r="I20" s="552"/>
      <c r="J20" s="551" t="s">
        <v>10</v>
      </c>
      <c r="K20" s="552"/>
      <c r="L20" s="551" t="s">
        <v>10</v>
      </c>
      <c r="M20" s="552"/>
      <c r="N20" s="551" t="s">
        <v>22</v>
      </c>
      <c r="O20" s="552"/>
      <c r="P20" s="551" t="s">
        <v>5</v>
      </c>
      <c r="Q20" s="552"/>
      <c r="R20" s="433" t="s">
        <v>10</v>
      </c>
      <c r="S20" s="420" t="s">
        <v>12</v>
      </c>
      <c r="T20" s="451" t="s">
        <v>12</v>
      </c>
      <c r="U20" s="433" t="s">
        <v>12</v>
      </c>
      <c r="V20" s="551" t="s">
        <v>12</v>
      </c>
      <c r="W20" s="552"/>
      <c r="X20" s="433" t="s">
        <v>12</v>
      </c>
      <c r="Y20" s="551" t="s">
        <v>12</v>
      </c>
      <c r="Z20" s="552"/>
      <c r="AA20" s="551" t="s">
        <v>13</v>
      </c>
      <c r="AB20" s="552"/>
      <c r="AC20" s="433" t="s">
        <v>13</v>
      </c>
      <c r="AD20" s="433" t="s">
        <v>12</v>
      </c>
      <c r="AE20" s="433" t="s">
        <v>12</v>
      </c>
      <c r="AF20" s="433" t="s">
        <v>12</v>
      </c>
      <c r="AG20" s="551" t="s">
        <v>12</v>
      </c>
      <c r="AH20" s="552"/>
      <c r="AI20" s="551" t="s">
        <v>12</v>
      </c>
      <c r="AJ20" s="552"/>
      <c r="AK20" s="433" t="s">
        <v>12</v>
      </c>
      <c r="AL20" s="540" t="s">
        <v>5</v>
      </c>
      <c r="AM20" s="541"/>
      <c r="AN20" s="433" t="s">
        <v>10</v>
      </c>
      <c r="AO20" s="433" t="s">
        <v>10</v>
      </c>
      <c r="AP20" s="551" t="s">
        <v>10</v>
      </c>
      <c r="AQ20" s="552"/>
      <c r="AR20" s="540" t="s">
        <v>12</v>
      </c>
      <c r="AS20" s="552"/>
      <c r="AT20" s="540" t="s">
        <v>5</v>
      </c>
      <c r="AU20" s="541"/>
      <c r="AV20" s="540" t="s">
        <v>5</v>
      </c>
      <c r="AW20" s="541"/>
      <c r="AX20" s="83" t="s">
        <v>10</v>
      </c>
      <c r="AY20" s="18"/>
    </row>
    <row r="21" spans="1:51" s="81" customFormat="1" ht="12.75" customHeight="1" thickBot="1" x14ac:dyDescent="0.25">
      <c r="A21" s="90"/>
      <c r="B21" s="574"/>
      <c r="C21" s="434" t="s">
        <v>245</v>
      </c>
      <c r="D21" s="435" t="s">
        <v>246</v>
      </c>
      <c r="E21" s="431" t="s">
        <v>245</v>
      </c>
      <c r="F21" s="434" t="s">
        <v>245</v>
      </c>
      <c r="G21" s="435" t="s">
        <v>246</v>
      </c>
      <c r="H21" s="434" t="s">
        <v>245</v>
      </c>
      <c r="I21" s="435" t="s">
        <v>246</v>
      </c>
      <c r="J21" s="434" t="s">
        <v>245</v>
      </c>
      <c r="K21" s="435" t="s">
        <v>246</v>
      </c>
      <c r="L21" s="434" t="s">
        <v>245</v>
      </c>
      <c r="M21" s="435" t="s">
        <v>246</v>
      </c>
      <c r="N21" s="434" t="s">
        <v>245</v>
      </c>
      <c r="O21" s="435" t="s">
        <v>246</v>
      </c>
      <c r="P21" s="434" t="s">
        <v>245</v>
      </c>
      <c r="Q21" s="435" t="s">
        <v>246</v>
      </c>
      <c r="R21" s="435" t="s">
        <v>246</v>
      </c>
      <c r="S21" s="434" t="s">
        <v>245</v>
      </c>
      <c r="T21" s="435" t="s">
        <v>246</v>
      </c>
      <c r="U21" s="435" t="s">
        <v>246</v>
      </c>
      <c r="V21" s="434" t="s">
        <v>245</v>
      </c>
      <c r="W21" s="435" t="s">
        <v>246</v>
      </c>
      <c r="X21" s="434" t="s">
        <v>245</v>
      </c>
      <c r="Y21" s="434" t="s">
        <v>245</v>
      </c>
      <c r="Z21" s="435" t="s">
        <v>246</v>
      </c>
      <c r="AA21" s="434" t="s">
        <v>245</v>
      </c>
      <c r="AB21" s="435" t="s">
        <v>246</v>
      </c>
      <c r="AC21" s="435" t="s">
        <v>246</v>
      </c>
      <c r="AD21" s="435" t="s">
        <v>246</v>
      </c>
      <c r="AE21" s="435" t="s">
        <v>246</v>
      </c>
      <c r="AF21" s="435" t="s">
        <v>246</v>
      </c>
      <c r="AG21" s="434" t="s">
        <v>245</v>
      </c>
      <c r="AH21" s="435" t="s">
        <v>246</v>
      </c>
      <c r="AI21" s="434" t="s">
        <v>245</v>
      </c>
      <c r="AJ21" s="435" t="s">
        <v>246</v>
      </c>
      <c r="AK21" s="435" t="s">
        <v>246</v>
      </c>
      <c r="AL21" s="434" t="s">
        <v>245</v>
      </c>
      <c r="AM21" s="435" t="s">
        <v>246</v>
      </c>
      <c r="AN21" s="435" t="s">
        <v>246</v>
      </c>
      <c r="AO21" s="435" t="s">
        <v>246</v>
      </c>
      <c r="AP21" s="434" t="s">
        <v>245</v>
      </c>
      <c r="AQ21" s="435" t="s">
        <v>246</v>
      </c>
      <c r="AR21" s="434" t="s">
        <v>245</v>
      </c>
      <c r="AS21" s="435" t="s">
        <v>246</v>
      </c>
      <c r="AT21" s="434" t="s">
        <v>245</v>
      </c>
      <c r="AU21" s="435" t="s">
        <v>246</v>
      </c>
      <c r="AV21" s="434" t="s">
        <v>245</v>
      </c>
      <c r="AW21" s="435" t="s">
        <v>246</v>
      </c>
      <c r="AX21" s="431" t="s">
        <v>245</v>
      </c>
      <c r="AY21" s="93"/>
    </row>
    <row r="22" spans="1:51" s="37" customFormat="1" ht="25.5" customHeight="1" thickBot="1" x14ac:dyDescent="0.25">
      <c r="A22" s="41"/>
      <c r="B22" s="334" t="s">
        <v>137</v>
      </c>
      <c r="C22" s="575"/>
      <c r="D22" s="575"/>
      <c r="E22" s="575"/>
      <c r="F22" s="575"/>
      <c r="G22" s="575"/>
      <c r="H22" s="575"/>
      <c r="I22" s="575"/>
      <c r="J22" s="575"/>
      <c r="K22" s="575"/>
      <c r="L22" s="575"/>
      <c r="M22" s="575"/>
      <c r="N22" s="575"/>
      <c r="O22" s="575"/>
      <c r="P22" s="575"/>
      <c r="Q22" s="575"/>
      <c r="R22" s="575"/>
      <c r="S22" s="575"/>
      <c r="T22" s="575"/>
      <c r="U22" s="575"/>
      <c r="V22" s="575"/>
      <c r="W22" s="575"/>
      <c r="X22" s="575"/>
      <c r="Y22" s="575"/>
      <c r="Z22" s="575"/>
      <c r="AA22" s="575"/>
      <c r="AB22" s="575"/>
      <c r="AC22" s="575"/>
      <c r="AD22" s="575"/>
      <c r="AE22" s="575"/>
      <c r="AF22" s="575"/>
      <c r="AG22" s="575"/>
      <c r="AH22" s="575"/>
      <c r="AI22" s="575"/>
      <c r="AJ22" s="575"/>
      <c r="AK22" s="575"/>
      <c r="AL22" s="575"/>
      <c r="AM22" s="575"/>
      <c r="AN22" s="575"/>
      <c r="AO22" s="575"/>
      <c r="AP22" s="575"/>
      <c r="AQ22" s="575"/>
      <c r="AR22" s="575"/>
      <c r="AS22" s="575"/>
      <c r="AT22" s="575"/>
      <c r="AU22" s="575"/>
      <c r="AV22" s="575"/>
      <c r="AW22" s="575"/>
      <c r="AX22" s="576"/>
    </row>
    <row r="23" spans="1:51" s="37" customFormat="1" x14ac:dyDescent="0.2">
      <c r="A23" s="41"/>
      <c r="B23" s="263" t="s">
        <v>140</v>
      </c>
      <c r="C23" s="264">
        <f>'IR75 FLEXIBLE'!$V$178</f>
        <v>226876</v>
      </c>
      <c r="D23" s="265"/>
      <c r="E23" s="124">
        <f>'CABLE BARRIER'!J28</f>
        <v>67</v>
      </c>
      <c r="F23" s="264"/>
      <c r="G23" s="265"/>
      <c r="H23" s="264"/>
      <c r="I23" s="265"/>
      <c r="J23" s="264"/>
      <c r="K23" s="265"/>
      <c r="L23" s="264"/>
      <c r="M23" s="265"/>
      <c r="N23" s="264"/>
      <c r="O23" s="265"/>
      <c r="P23" s="264">
        <f>'IR75 FLEXIBLE'!$AG$178</f>
        <v>207</v>
      </c>
      <c r="Q23" s="265"/>
      <c r="R23" s="124"/>
      <c r="S23" s="264"/>
      <c r="T23" s="265"/>
      <c r="U23" s="118"/>
      <c r="V23" s="264"/>
      <c r="W23" s="265"/>
      <c r="X23" s="124"/>
      <c r="Y23" s="264"/>
      <c r="Z23" s="265"/>
      <c r="AA23" s="532">
        <f>'IR75 FLEXIBLE'!$AL$178</f>
        <v>1438</v>
      </c>
      <c r="AB23" s="264"/>
      <c r="AC23" s="265"/>
      <c r="AD23" s="124"/>
      <c r="AE23" s="124"/>
      <c r="AF23" s="124"/>
      <c r="AG23" s="264">
        <f>'IR75 FLEXIBLE'!$AN$178</f>
        <v>1090</v>
      </c>
      <c r="AH23" s="265"/>
      <c r="AI23" s="264"/>
      <c r="AJ23" s="265"/>
      <c r="AK23" s="124"/>
      <c r="AL23" s="264"/>
      <c r="AM23" s="265"/>
      <c r="AN23" s="266"/>
      <c r="AO23" s="124"/>
      <c r="AP23" s="264"/>
      <c r="AQ23" s="265"/>
      <c r="AR23" s="264"/>
      <c r="AS23" s="265"/>
      <c r="AT23" s="264"/>
      <c r="AU23" s="265"/>
      <c r="AV23" s="264"/>
      <c r="AW23" s="265"/>
      <c r="AX23" s="126">
        <f>'CABLE BARRIER'!M28</f>
        <v>596</v>
      </c>
    </row>
    <row r="24" spans="1:51" s="37" customFormat="1" x14ac:dyDescent="0.2">
      <c r="A24" s="41"/>
      <c r="B24" s="267" t="s">
        <v>142</v>
      </c>
      <c r="C24" s="268"/>
      <c r="D24" s="269">
        <f>'US68 FLEXIBLE'!$R$76</f>
        <v>2484</v>
      </c>
      <c r="E24" s="270"/>
      <c r="F24" s="268"/>
      <c r="G24" s="269">
        <f>'US68 FLEXIBLE'!$S$76</f>
        <v>719</v>
      </c>
      <c r="H24" s="221"/>
      <c r="I24" s="269">
        <f>'US68 FLEXIBLE'!$T$76</f>
        <v>1</v>
      </c>
      <c r="J24" s="221"/>
      <c r="K24" s="269"/>
      <c r="L24" s="271"/>
      <c r="M24" s="269"/>
      <c r="N24" s="271"/>
      <c r="O24" s="269"/>
      <c r="P24" s="221"/>
      <c r="Q24" s="269">
        <f>'US68 FLEXIBLE'!$X$76</f>
        <v>1029</v>
      </c>
      <c r="R24" s="123">
        <f>'US68 FLEXIBLE'!$Y$76</f>
        <v>7022</v>
      </c>
      <c r="S24" s="221"/>
      <c r="T24" s="269"/>
      <c r="U24" s="123"/>
      <c r="V24" s="221"/>
      <c r="W24" s="269">
        <f>'US68 FLEXIBLE'!$Z$76</f>
        <v>222</v>
      </c>
      <c r="X24" s="123"/>
      <c r="Y24" s="221"/>
      <c r="Z24" s="269">
        <f>'US68 FLEXIBLE'!$AA$76</f>
        <v>119</v>
      </c>
      <c r="AA24" s="273"/>
      <c r="AB24" s="221">
        <f>'US68 FLEXIBLE'!$AC$76</f>
        <v>599</v>
      </c>
      <c r="AC24" s="269">
        <f>'US68 FLEXIBLE'!$AB$76</f>
        <v>387</v>
      </c>
      <c r="AD24" s="123"/>
      <c r="AE24" s="123"/>
      <c r="AF24" s="123"/>
      <c r="AG24" s="221"/>
      <c r="AH24" s="269">
        <f>'US68 FLEXIBLE'!$AD$76</f>
        <v>454</v>
      </c>
      <c r="AI24" s="221"/>
      <c r="AJ24" s="269">
        <f>'US68 FLEXIBLE'!$AE$76</f>
        <v>375</v>
      </c>
      <c r="AK24" s="123"/>
      <c r="AL24" s="221"/>
      <c r="AM24" s="269"/>
      <c r="AN24" s="272"/>
      <c r="AO24" s="123"/>
      <c r="AP24" s="221"/>
      <c r="AQ24" s="269"/>
      <c r="AR24" s="221"/>
      <c r="AS24" s="269">
        <f>'US68 FLEXIBLE'!$AF$76</f>
        <v>62</v>
      </c>
      <c r="AT24" s="273"/>
      <c r="AU24" s="269">
        <f>'US68 FLEXIBLE'!$AG$76</f>
        <v>5685</v>
      </c>
      <c r="AV24" s="221"/>
      <c r="AW24" s="274"/>
      <c r="AX24" s="126"/>
    </row>
    <row r="25" spans="1:51" s="37" customFormat="1" x14ac:dyDescent="0.2">
      <c r="A25" s="41"/>
      <c r="B25" s="267" t="s">
        <v>138</v>
      </c>
      <c r="C25" s="221"/>
      <c r="D25" s="269"/>
      <c r="E25" s="270"/>
      <c r="F25" s="221"/>
      <c r="G25" s="269">
        <f>'LIMA RAMPS'!$P$65</f>
        <v>10818</v>
      </c>
      <c r="H25" s="221"/>
      <c r="I25" s="269">
        <f>'LIMA RAMPS'!$Q$65</f>
        <v>13</v>
      </c>
      <c r="J25" s="221"/>
      <c r="K25" s="269">
        <f>'LIMA RAMPS'!$R$65</f>
        <v>14192</v>
      </c>
      <c r="L25" s="271"/>
      <c r="M25" s="269">
        <f>'LIMA RAMPS'!$S$65</f>
        <v>14192</v>
      </c>
      <c r="N25" s="271"/>
      <c r="O25" s="269">
        <f>'LIMA RAMPS'!$T$65</f>
        <v>422</v>
      </c>
      <c r="P25" s="221"/>
      <c r="Q25" s="269"/>
      <c r="R25" s="123"/>
      <c r="S25" s="221"/>
      <c r="T25" s="269"/>
      <c r="U25" s="123"/>
      <c r="V25" s="221"/>
      <c r="W25" s="269"/>
      <c r="X25" s="123"/>
      <c r="Y25" s="221"/>
      <c r="Z25" s="269">
        <f>'LIMA RAMPS'!$U$65</f>
        <v>4181</v>
      </c>
      <c r="AA25" s="273"/>
      <c r="AB25" s="221"/>
      <c r="AC25" s="269"/>
      <c r="AD25" s="123"/>
      <c r="AE25" s="123"/>
      <c r="AF25" s="123"/>
      <c r="AG25" s="221"/>
      <c r="AH25" s="269"/>
      <c r="AI25" s="221"/>
      <c r="AJ25" s="269"/>
      <c r="AK25" s="123"/>
      <c r="AL25" s="221"/>
      <c r="AM25" s="269"/>
      <c r="AN25" s="272"/>
      <c r="AO25" s="123"/>
      <c r="AP25" s="221"/>
      <c r="AQ25" s="269">
        <f>'LIMA RAMPS'!$V$65</f>
        <v>22567</v>
      </c>
      <c r="AR25" s="221"/>
      <c r="AS25" s="269">
        <f>'LIMA RAMPS'!$W$65</f>
        <v>229</v>
      </c>
      <c r="AT25" s="221"/>
      <c r="AU25" s="269"/>
      <c r="AV25" s="221"/>
      <c r="AW25" s="269"/>
      <c r="AX25" s="127"/>
    </row>
    <row r="26" spans="1:51" ht="12.75" customHeight="1" x14ac:dyDescent="0.2">
      <c r="B26" s="267" t="s">
        <v>241</v>
      </c>
      <c r="C26" s="221"/>
      <c r="D26" s="269">
        <f>'SR12,US224 RAMPS'!$P$69</f>
        <v>1681</v>
      </c>
      <c r="E26" s="270"/>
      <c r="F26" s="221"/>
      <c r="G26" s="275"/>
      <c r="H26" s="271"/>
      <c r="I26" s="276">
        <f>'SR12,US224 RAMPS'!$Q$69</f>
        <v>8</v>
      </c>
      <c r="J26" s="277"/>
      <c r="K26" s="276">
        <f>'SR12,US224 RAMPS'!$R$69</f>
        <v>14906</v>
      </c>
      <c r="L26" s="277"/>
      <c r="M26" s="276">
        <f>'SR12,US224 RAMPS'!$S$69</f>
        <v>14906</v>
      </c>
      <c r="N26" s="277"/>
      <c r="O26" s="276">
        <f>'SR12,US224 RAMPS'!$T$69</f>
        <v>443</v>
      </c>
      <c r="P26" s="273"/>
      <c r="Q26" s="276">
        <f>'SR12,US224 RAMPS'!$U$69</f>
        <v>250</v>
      </c>
      <c r="R26" s="123"/>
      <c r="S26" s="221"/>
      <c r="T26" s="269"/>
      <c r="U26" s="123"/>
      <c r="V26" s="221"/>
      <c r="W26" s="269"/>
      <c r="X26" s="123"/>
      <c r="Y26" s="273"/>
      <c r="Z26" s="269">
        <f>'SR12,US224 RAMPS'!$V$69</f>
        <v>2474</v>
      </c>
      <c r="AA26" s="277"/>
      <c r="AB26" s="271"/>
      <c r="AC26" s="269"/>
      <c r="AD26" s="123"/>
      <c r="AE26" s="123"/>
      <c r="AF26" s="123"/>
      <c r="AG26" s="221"/>
      <c r="AH26" s="269"/>
      <c r="AI26" s="221"/>
      <c r="AJ26" s="269"/>
      <c r="AK26" s="123"/>
      <c r="AL26" s="221"/>
      <c r="AM26" s="269"/>
      <c r="AN26" s="272"/>
      <c r="AO26" s="123"/>
      <c r="AP26" s="273"/>
      <c r="AQ26" s="269">
        <f>'SR12,US224 RAMPS'!$W$69</f>
        <v>13448</v>
      </c>
      <c r="AR26" s="221"/>
      <c r="AS26" s="269">
        <f>'SR12,US224 RAMPS'!$X$69</f>
        <v>155</v>
      </c>
      <c r="AT26" s="221"/>
      <c r="AU26" s="269"/>
      <c r="AV26" s="221"/>
      <c r="AW26" s="269"/>
      <c r="AX26" s="127"/>
    </row>
    <row r="27" spans="1:51" ht="12.75" customHeight="1" x14ac:dyDescent="0.2">
      <c r="B27" s="278" t="s">
        <v>240</v>
      </c>
      <c r="C27" s="221"/>
      <c r="D27" s="269"/>
      <c r="E27" s="270"/>
      <c r="F27" s="221"/>
      <c r="G27" s="269">
        <f>'LIMA,GRAY,LOGAN,BIKE PATH'!$M$68</f>
        <v>14707</v>
      </c>
      <c r="H27" s="271"/>
      <c r="I27" s="276">
        <f>'LIMA,GRAY,LOGAN,BIKE PATH'!$N$68</f>
        <v>8</v>
      </c>
      <c r="J27" s="271"/>
      <c r="K27" s="276"/>
      <c r="L27" s="271"/>
      <c r="M27" s="276"/>
      <c r="N27" s="271"/>
      <c r="O27" s="276"/>
      <c r="P27" s="221"/>
      <c r="Q27" s="276">
        <f>'LIMA,GRAY,LOGAN,BIKE PATH'!$O$68</f>
        <v>471</v>
      </c>
      <c r="R27" s="123"/>
      <c r="S27" s="222"/>
      <c r="T27" s="274"/>
      <c r="U27" s="272">
        <f>'LIMA,GRAY,LOGAN,BIKE PATH'!$P$68</f>
        <v>2097</v>
      </c>
      <c r="V27" s="221"/>
      <c r="W27" s="269"/>
      <c r="X27" s="123"/>
      <c r="Y27" s="221"/>
      <c r="Z27" s="269">
        <f>'LIMA,GRAY,LOGAN,BIKE PATH'!$Q$68</f>
        <v>2811</v>
      </c>
      <c r="AA27" s="277"/>
      <c r="AB27" s="271">
        <f>'LIMA,GRAY,LOGAN,BIKE PATH'!$R$68</f>
        <v>625</v>
      </c>
      <c r="AC27" s="269"/>
      <c r="AD27" s="123"/>
      <c r="AE27" s="123">
        <f>'LIMA,GRAY,LOGAN,BIKE PATH'!$S$68</f>
        <v>120</v>
      </c>
      <c r="AF27" s="123">
        <f>'LIMA,GRAY,LOGAN,BIKE PATH'!$T$68</f>
        <v>552</v>
      </c>
      <c r="AG27" s="221"/>
      <c r="AH27" s="269"/>
      <c r="AI27" s="221"/>
      <c r="AJ27" s="269"/>
      <c r="AK27" s="123">
        <f>'LIMA,GRAY,LOGAN,BIKE PATH'!$U$68</f>
        <v>395</v>
      </c>
      <c r="AL27" s="221"/>
      <c r="AM27" s="269"/>
      <c r="AN27" s="123">
        <f>'LIMA,GRAY,LOGAN,BIKE PATH'!$V$68</f>
        <v>594</v>
      </c>
      <c r="AO27" s="272">
        <f>'LIMA,GRAY,LOGAN,BIKE PATH'!$W$68</f>
        <v>153</v>
      </c>
      <c r="AP27" s="221"/>
      <c r="AQ27" s="269"/>
      <c r="AR27" s="221"/>
      <c r="AS27" s="269"/>
      <c r="AT27" s="221"/>
      <c r="AU27" s="269"/>
      <c r="AV27" s="221"/>
      <c r="AW27" s="269"/>
      <c r="AX27" s="123"/>
    </row>
    <row r="28" spans="1:51" ht="13.5" thickBot="1" x14ac:dyDescent="0.25">
      <c r="A28" s="56"/>
      <c r="B28" s="279" t="s">
        <v>145</v>
      </c>
      <c r="C28" s="223"/>
      <c r="D28" s="280"/>
      <c r="E28" s="281"/>
      <c r="F28" s="223"/>
      <c r="G28" s="280"/>
      <c r="H28" s="282"/>
      <c r="I28" s="280">
        <f>'HARRISON,SERVICE RD'!$Q$47</f>
        <v>5</v>
      </c>
      <c r="J28" s="223"/>
      <c r="K28" s="280">
        <f>'HARRISON,SERVICE RD'!$R$47</f>
        <v>9033</v>
      </c>
      <c r="L28" s="223"/>
      <c r="M28" s="280">
        <f>'HARRISON,SERVICE RD'!$S$47</f>
        <v>9033</v>
      </c>
      <c r="N28" s="223"/>
      <c r="O28" s="280">
        <f>'HARRISON,SERVICE RD'!$T$47</f>
        <v>268</v>
      </c>
      <c r="P28" s="223"/>
      <c r="Q28" s="280">
        <f>'HARRISON,SERVICE RD'!$U$47</f>
        <v>59</v>
      </c>
      <c r="R28" s="119"/>
      <c r="S28" s="223"/>
      <c r="T28" s="280">
        <f>'HARRISON,SERVICE RD'!V47</f>
        <v>69</v>
      </c>
      <c r="U28" s="280">
        <f>'HARRISON,SERVICE RD'!W47</f>
        <v>1116</v>
      </c>
      <c r="V28" s="223"/>
      <c r="W28" s="280"/>
      <c r="X28" s="119"/>
      <c r="Y28" s="223"/>
      <c r="Z28" s="280">
        <f>'HARRISON,SERVICE RD'!$X$47</f>
        <v>1491</v>
      </c>
      <c r="AA28" s="533"/>
      <c r="AB28" s="223">
        <f>'HARRISON,SERVICE RD'!$Y$47</f>
        <v>413</v>
      </c>
      <c r="AC28" s="280"/>
      <c r="AD28" s="119">
        <f>'HARRISON,SERVICE RD'!$Z$47</f>
        <v>260</v>
      </c>
      <c r="AE28" s="119"/>
      <c r="AF28" s="119">
        <f>'HARRISON,SERVICE RD'!$AA$47</f>
        <v>365</v>
      </c>
      <c r="AG28" s="223"/>
      <c r="AH28" s="280"/>
      <c r="AI28" s="223"/>
      <c r="AJ28" s="280"/>
      <c r="AK28" s="119"/>
      <c r="AL28" s="223"/>
      <c r="AM28" s="280"/>
      <c r="AN28" s="283"/>
      <c r="AO28" s="119"/>
      <c r="AP28" s="223"/>
      <c r="AQ28" s="280"/>
      <c r="AR28" s="223"/>
      <c r="AS28" s="280"/>
      <c r="AT28" s="223"/>
      <c r="AU28" s="280"/>
      <c r="AV28" s="223"/>
      <c r="AW28" s="280"/>
      <c r="AX28" s="119"/>
    </row>
    <row r="29" spans="1:51" s="39" customFormat="1" ht="25.5" customHeight="1" thickBot="1" x14ac:dyDescent="0.25">
      <c r="A29" s="42"/>
      <c r="B29" s="284" t="s">
        <v>165</v>
      </c>
      <c r="C29" s="285">
        <f>SUM(C23:C28)</f>
        <v>226876</v>
      </c>
      <c r="D29" s="286">
        <f>SUM(D23:D28)</f>
        <v>4165</v>
      </c>
      <c r="E29" s="287"/>
      <c r="F29" s="285">
        <f t="shared" ref="F29:R29" si="0">SUM(F23:F28)</f>
        <v>0</v>
      </c>
      <c r="G29" s="286">
        <f t="shared" si="0"/>
        <v>26244</v>
      </c>
      <c r="H29" s="285">
        <f t="shared" si="0"/>
        <v>0</v>
      </c>
      <c r="I29" s="286">
        <f t="shared" si="0"/>
        <v>35</v>
      </c>
      <c r="J29" s="285">
        <f t="shared" si="0"/>
        <v>0</v>
      </c>
      <c r="K29" s="286">
        <f t="shared" si="0"/>
        <v>38131</v>
      </c>
      <c r="L29" s="285">
        <f t="shared" si="0"/>
        <v>0</v>
      </c>
      <c r="M29" s="286">
        <f t="shared" si="0"/>
        <v>38131</v>
      </c>
      <c r="N29" s="285">
        <f t="shared" si="0"/>
        <v>0</v>
      </c>
      <c r="O29" s="286">
        <f t="shared" si="0"/>
        <v>1133</v>
      </c>
      <c r="P29" s="285">
        <f t="shared" si="0"/>
        <v>207</v>
      </c>
      <c r="Q29" s="286">
        <f t="shared" si="0"/>
        <v>1809</v>
      </c>
      <c r="R29" s="287">
        <f t="shared" si="0"/>
        <v>7022</v>
      </c>
      <c r="S29" s="285">
        <f>SUM(S23:S28)</f>
        <v>0</v>
      </c>
      <c r="T29" s="577">
        <f>SUM(T23:T28,U23:U28)</f>
        <v>3282</v>
      </c>
      <c r="U29" s="578"/>
      <c r="V29" s="285">
        <f>SUM(V23:V28)</f>
        <v>0</v>
      </c>
      <c r="W29" s="286">
        <f>SUM(W23:W28)</f>
        <v>222</v>
      </c>
      <c r="X29" s="287"/>
      <c r="Y29" s="285">
        <f>SUM(Y23:Y28)</f>
        <v>0</v>
      </c>
      <c r="Z29" s="286">
        <f>SUM(Z23:Z28)</f>
        <v>11076</v>
      </c>
      <c r="AA29" s="509">
        <f>SUM(AA23:AA28)</f>
        <v>1438</v>
      </c>
      <c r="AB29" s="285">
        <f>SUM(AB23:AB28)</f>
        <v>1637</v>
      </c>
      <c r="AC29" s="511">
        <f>SUM(AC23:AC28)</f>
        <v>387</v>
      </c>
      <c r="AD29" s="536">
        <f>SUM(AD23:AD28,AE23:AE28)</f>
        <v>380</v>
      </c>
      <c r="AE29" s="537"/>
      <c r="AF29" s="287">
        <f t="shared" ref="AF29:AK29" si="1">SUM(AF23:AF28)</f>
        <v>917</v>
      </c>
      <c r="AG29" s="285">
        <f t="shared" si="1"/>
        <v>1090</v>
      </c>
      <c r="AH29" s="286">
        <f t="shared" si="1"/>
        <v>454</v>
      </c>
      <c r="AI29" s="285">
        <f t="shared" si="1"/>
        <v>0</v>
      </c>
      <c r="AJ29" s="286">
        <f t="shared" si="1"/>
        <v>375</v>
      </c>
      <c r="AK29" s="287">
        <f t="shared" si="1"/>
        <v>395</v>
      </c>
      <c r="AL29" s="285"/>
      <c r="AM29" s="286"/>
      <c r="AN29" s="288">
        <f t="shared" ref="AN29:AU29" si="2">SUM(AN23:AN28)</f>
        <v>594</v>
      </c>
      <c r="AO29" s="287">
        <f t="shared" si="2"/>
        <v>153</v>
      </c>
      <c r="AP29" s="285">
        <f t="shared" si="2"/>
        <v>0</v>
      </c>
      <c r="AQ29" s="286">
        <f t="shared" si="2"/>
        <v>36015</v>
      </c>
      <c r="AR29" s="285"/>
      <c r="AS29" s="455">
        <f>SUM(AS23:AS28)</f>
        <v>446</v>
      </c>
      <c r="AT29" s="285">
        <f t="shared" si="2"/>
        <v>0</v>
      </c>
      <c r="AU29" s="286">
        <f t="shared" si="2"/>
        <v>5685</v>
      </c>
      <c r="AV29" s="285"/>
      <c r="AW29" s="286"/>
      <c r="AX29" s="287"/>
    </row>
    <row r="30" spans="1:51" s="39" customFormat="1" ht="25.5" customHeight="1" thickBot="1" x14ac:dyDescent="0.25">
      <c r="A30" s="42"/>
      <c r="B30" s="289" t="s">
        <v>166</v>
      </c>
      <c r="C30" s="538">
        <f>C29+D29</f>
        <v>231041</v>
      </c>
      <c r="D30" s="539"/>
      <c r="E30" s="527">
        <f>SUM(E23:E29)</f>
        <v>67</v>
      </c>
      <c r="F30" s="538">
        <f>F29+G29</f>
        <v>26244</v>
      </c>
      <c r="G30" s="579"/>
      <c r="H30" s="538">
        <f>H29+I29</f>
        <v>35</v>
      </c>
      <c r="I30" s="579"/>
      <c r="J30" s="538">
        <f>J29+K29</f>
        <v>38131</v>
      </c>
      <c r="K30" s="579"/>
      <c r="L30" s="538">
        <f>L29+M29</f>
        <v>38131</v>
      </c>
      <c r="M30" s="579"/>
      <c r="N30" s="538">
        <f>N29+O29</f>
        <v>1133</v>
      </c>
      <c r="O30" s="579"/>
      <c r="P30" s="538">
        <f>P29+Q29</f>
        <v>2016</v>
      </c>
      <c r="Q30" s="539"/>
      <c r="R30" s="508">
        <f>R29</f>
        <v>7022</v>
      </c>
      <c r="S30" s="538">
        <f>T29</f>
        <v>3282</v>
      </c>
      <c r="T30" s="579"/>
      <c r="U30" s="539"/>
      <c r="V30" s="538">
        <f>W29</f>
        <v>222</v>
      </c>
      <c r="W30" s="539"/>
      <c r="X30" s="287"/>
      <c r="Y30" s="538">
        <f>Y29+Z29</f>
        <v>11076</v>
      </c>
      <c r="Z30" s="539"/>
      <c r="AA30" s="531"/>
      <c r="AB30" s="534"/>
      <c r="AC30" s="535"/>
      <c r="AD30" s="538">
        <f>AD29</f>
        <v>380</v>
      </c>
      <c r="AE30" s="539"/>
      <c r="AF30" s="508">
        <f>AF29</f>
        <v>917</v>
      </c>
      <c r="AG30" s="538">
        <f>AG29+AH29</f>
        <v>1544</v>
      </c>
      <c r="AH30" s="539"/>
      <c r="AI30" s="538">
        <f>AI29+AJ29</f>
        <v>375</v>
      </c>
      <c r="AJ30" s="539"/>
      <c r="AK30" s="508">
        <f>AK29</f>
        <v>395</v>
      </c>
      <c r="AL30" s="536"/>
      <c r="AM30" s="537"/>
      <c r="AN30" s="508">
        <f>AN29</f>
        <v>594</v>
      </c>
      <c r="AO30" s="508">
        <f>AO29</f>
        <v>153</v>
      </c>
      <c r="AP30" s="538">
        <f>AP29+AQ29</f>
        <v>36015</v>
      </c>
      <c r="AQ30" s="539"/>
      <c r="AR30" s="538">
        <f>AR29+AS29</f>
        <v>446</v>
      </c>
      <c r="AS30" s="539"/>
      <c r="AT30" s="538">
        <f>AT29+AU29</f>
        <v>5685</v>
      </c>
      <c r="AU30" s="539"/>
      <c r="AV30" s="506"/>
      <c r="AW30" s="507"/>
      <c r="AX30" s="510">
        <f>SUM(AX23:AX29)</f>
        <v>596</v>
      </c>
    </row>
    <row r="31" spans="1:51" ht="24.75" customHeight="1" thickBot="1" x14ac:dyDescent="0.25">
      <c r="B31" s="334" t="s">
        <v>135</v>
      </c>
      <c r="C31" s="575"/>
      <c r="D31" s="575"/>
      <c r="E31" s="575"/>
      <c r="F31" s="575"/>
      <c r="G31" s="575"/>
      <c r="H31" s="575"/>
      <c r="I31" s="575"/>
      <c r="J31" s="575"/>
      <c r="K31" s="575"/>
      <c r="L31" s="575"/>
      <c r="M31" s="575"/>
      <c r="N31" s="575"/>
      <c r="O31" s="575"/>
      <c r="P31" s="575"/>
      <c r="Q31" s="575"/>
      <c r="R31" s="575"/>
      <c r="S31" s="575"/>
      <c r="T31" s="575"/>
      <c r="U31" s="575"/>
      <c r="V31" s="575"/>
      <c r="W31" s="575"/>
      <c r="X31" s="575"/>
      <c r="Y31" s="575"/>
      <c r="Z31" s="575"/>
      <c r="AA31" s="575"/>
      <c r="AB31" s="575"/>
      <c r="AC31" s="575"/>
      <c r="AD31" s="575"/>
      <c r="AE31" s="575"/>
      <c r="AF31" s="575"/>
      <c r="AG31" s="575"/>
      <c r="AH31" s="575"/>
      <c r="AI31" s="575"/>
      <c r="AJ31" s="575"/>
      <c r="AK31" s="575"/>
      <c r="AL31" s="575"/>
      <c r="AM31" s="575"/>
      <c r="AN31" s="575"/>
      <c r="AO31" s="575"/>
      <c r="AP31" s="575"/>
      <c r="AQ31" s="575"/>
      <c r="AR31" s="575"/>
      <c r="AS31" s="575"/>
      <c r="AT31" s="575"/>
      <c r="AU31" s="575"/>
      <c r="AV31" s="575"/>
      <c r="AW31" s="575"/>
      <c r="AX31" s="576"/>
    </row>
    <row r="32" spans="1:51" ht="12.75" customHeight="1" x14ac:dyDescent="0.2">
      <c r="A32" s="56"/>
      <c r="B32" s="263" t="s">
        <v>140</v>
      </c>
      <c r="C32" s="291"/>
      <c r="D32" s="292"/>
      <c r="E32" s="293"/>
      <c r="F32" s="291">
        <f>'IR75 FLEXIBLE'!W180</f>
        <v>38838</v>
      </c>
      <c r="G32" s="292">
        <f>'IR75 FLEXIBLE'!X180</f>
        <v>12835</v>
      </c>
      <c r="H32" s="291">
        <f>'IR75 FLEXIBLE'!Y180</f>
        <v>140</v>
      </c>
      <c r="I32" s="292">
        <f>'IR75 FLEXIBLE'!Z180</f>
        <v>57</v>
      </c>
      <c r="J32" s="291">
        <f>'IR75 FLEXIBLE'!AA180</f>
        <v>237987</v>
      </c>
      <c r="K32" s="292">
        <f>'IR75 FLEXIBLE'!AB180</f>
        <v>99213</v>
      </c>
      <c r="L32" s="291">
        <f>'IR75 FLEXIBLE'!AC180</f>
        <v>237987</v>
      </c>
      <c r="M32" s="292">
        <f>'IR75 FLEXIBLE'!AD180</f>
        <v>99213</v>
      </c>
      <c r="N32" s="291">
        <f>'IR75 FLEXIBLE'!AE180</f>
        <v>7069</v>
      </c>
      <c r="O32" s="292">
        <f>'IR75 FLEXIBLE'!AF180</f>
        <v>2947</v>
      </c>
      <c r="P32" s="294"/>
      <c r="Q32" s="295"/>
      <c r="R32" s="296"/>
      <c r="S32" s="294"/>
      <c r="T32" s="295"/>
      <c r="U32" s="296"/>
      <c r="V32" s="264">
        <f>'IR75 FLEXIBLE'!AH180</f>
        <v>85834</v>
      </c>
      <c r="W32" s="265">
        <f>'IR75 FLEXIBLE'!AI180</f>
        <v>35630</v>
      </c>
      <c r="X32" s="124"/>
      <c r="Y32" s="264">
        <f>'IR75 FLEXIBLE'!AJ180</f>
        <v>46084</v>
      </c>
      <c r="Z32" s="265">
        <f>'IR75 FLEXIBLE'!AK180</f>
        <v>18716</v>
      </c>
      <c r="AA32" s="264">
        <f>'IR75 FLEXIBLE'!AL180</f>
        <v>14575</v>
      </c>
      <c r="AB32" s="265">
        <f>'IR75 FLEXIBLE'!AM180</f>
        <v>6135</v>
      </c>
      <c r="AC32" s="124"/>
      <c r="AD32" s="124"/>
      <c r="AE32" s="124"/>
      <c r="AF32" s="124"/>
      <c r="AG32" s="264">
        <f>'IR75 FLEXIBLE'!AN180</f>
        <v>10701</v>
      </c>
      <c r="AH32" s="265">
        <f>'IR75 FLEXIBLE'!AO180</f>
        <v>4648</v>
      </c>
      <c r="AI32" s="264">
        <f>'IR75 FLEXIBLE'!AP180</f>
        <v>12914</v>
      </c>
      <c r="AJ32" s="265">
        <f>'IR75 FLEXIBLE'!AQ180</f>
        <v>5423</v>
      </c>
      <c r="AK32" s="124"/>
      <c r="AL32" s="264"/>
      <c r="AM32" s="265"/>
      <c r="AN32" s="124"/>
      <c r="AO32" s="124"/>
      <c r="AP32" s="264"/>
      <c r="AQ32" s="265"/>
      <c r="AR32" s="264">
        <f>'IR75 FLEXIBLE'!$AR$180</f>
        <v>1494</v>
      </c>
      <c r="AS32" s="265"/>
      <c r="AT32" s="264">
        <f>'IR75 FLEXIBLE'!AS180</f>
        <v>108098</v>
      </c>
      <c r="AU32" s="265"/>
      <c r="AV32" s="264"/>
      <c r="AW32" s="265"/>
      <c r="AX32" s="124"/>
    </row>
    <row r="33" spans="1:50" ht="12.75" customHeight="1" x14ac:dyDescent="0.2">
      <c r="A33" s="56"/>
      <c r="B33" s="267" t="s">
        <v>141</v>
      </c>
      <c r="C33" s="297"/>
      <c r="D33" s="298"/>
      <c r="E33" s="299"/>
      <c r="F33" s="297"/>
      <c r="G33" s="298">
        <f>'US68 FLEXIBLE'!$S$57</f>
        <v>24349</v>
      </c>
      <c r="H33" s="300"/>
      <c r="I33" s="301">
        <f>'US68 FLEXIBLE'!$T$57</f>
        <v>20</v>
      </c>
      <c r="J33" s="300"/>
      <c r="K33" s="301">
        <f>'US68 FLEXIBLE'!$U$57</f>
        <v>15301</v>
      </c>
      <c r="L33" s="300"/>
      <c r="M33" s="301">
        <f>'US68 FLEXIBLE'!$V$57</f>
        <v>15301</v>
      </c>
      <c r="N33" s="300"/>
      <c r="O33" s="301">
        <f>'US68 FLEXIBLE'!$W$57</f>
        <v>455</v>
      </c>
      <c r="P33" s="302"/>
      <c r="Q33" s="303"/>
      <c r="R33" s="255"/>
      <c r="S33" s="302"/>
      <c r="T33" s="303"/>
      <c r="U33" s="123"/>
      <c r="V33" s="221"/>
      <c r="W33" s="269">
        <f>'US68 FLEXIBLE'!$Z$57</f>
        <v>12148</v>
      </c>
      <c r="X33" s="123"/>
      <c r="Y33" s="221"/>
      <c r="Z33" s="269">
        <f>'US68 FLEXIBLE'!$AA$57</f>
        <v>6586</v>
      </c>
      <c r="AA33" s="221"/>
      <c r="AB33" s="301">
        <f>'US68 FLEXIBLE'!$AC$57</f>
        <v>2074</v>
      </c>
      <c r="AC33" s="123"/>
      <c r="AD33" s="123"/>
      <c r="AE33" s="123"/>
      <c r="AF33" s="123"/>
      <c r="AG33" s="221"/>
      <c r="AH33" s="269">
        <f>'US68 FLEXIBLE'!$AD$57</f>
        <v>1525</v>
      </c>
      <c r="AI33" s="221"/>
      <c r="AJ33" s="269">
        <f>'US68 FLEXIBLE'!$AE$57</f>
        <v>1840</v>
      </c>
      <c r="AK33" s="123"/>
      <c r="AL33" s="221"/>
      <c r="AM33" s="269"/>
      <c r="AN33" s="123"/>
      <c r="AO33" s="123"/>
      <c r="AP33" s="221"/>
      <c r="AQ33" s="269"/>
      <c r="AR33" s="221"/>
      <c r="AS33" s="269">
        <f>'US68 FLEXIBLE'!$AF$57</f>
        <v>135</v>
      </c>
      <c r="AT33" s="221"/>
      <c r="AU33" s="269">
        <f>'US68 FLEXIBLE'!$AG$57</f>
        <v>13677</v>
      </c>
      <c r="AV33" s="221"/>
      <c r="AW33" s="269"/>
      <c r="AX33" s="123"/>
    </row>
    <row r="34" spans="1:50" ht="12.75" customHeight="1" thickBot="1" x14ac:dyDescent="0.25">
      <c r="A34" s="56"/>
      <c r="B34" s="304" t="s">
        <v>139</v>
      </c>
      <c r="C34" s="305"/>
      <c r="D34" s="306"/>
      <c r="E34" s="307"/>
      <c r="F34" s="305"/>
      <c r="G34" s="306">
        <f>'US68 RAMPS FLEXIBLE'!R66</f>
        <v>21453</v>
      </c>
      <c r="H34" s="308"/>
      <c r="I34" s="309">
        <f>'US68 RAMPS FLEXIBLE'!$S$66</f>
        <v>19</v>
      </c>
      <c r="J34" s="308"/>
      <c r="K34" s="309">
        <f>'US68 RAMPS FLEXIBLE'!$T$66</f>
        <v>16103</v>
      </c>
      <c r="L34" s="308"/>
      <c r="M34" s="309">
        <f>'US68 RAMPS FLEXIBLE'!$U$66</f>
        <v>16103</v>
      </c>
      <c r="N34" s="308"/>
      <c r="O34" s="309">
        <f>'US68 RAMPS FLEXIBLE'!$V$66</f>
        <v>479</v>
      </c>
      <c r="P34" s="310"/>
      <c r="Q34" s="311"/>
      <c r="R34" s="312"/>
      <c r="S34" s="329"/>
      <c r="T34" s="330"/>
      <c r="U34" s="165"/>
      <c r="V34" s="221"/>
      <c r="W34" s="309">
        <f>'US68 RAMPS FLEXIBLE'!$W$66</f>
        <v>11227</v>
      </c>
      <c r="X34" s="165"/>
      <c r="Y34" s="221"/>
      <c r="Z34" s="309">
        <f>'US68 RAMPS FLEXIBLE'!$X$66</f>
        <v>6329</v>
      </c>
      <c r="AA34" s="221"/>
      <c r="AB34" s="309">
        <f>'US68 RAMPS FLEXIBLE'!$Y$66</f>
        <v>1880</v>
      </c>
      <c r="AC34" s="165"/>
      <c r="AD34" s="165"/>
      <c r="AE34" s="165"/>
      <c r="AF34" s="165"/>
      <c r="AG34" s="313"/>
      <c r="AH34" s="309">
        <f>'US68 RAMPS FLEXIBLE'!$Z$66</f>
        <v>1417</v>
      </c>
      <c r="AI34" s="221"/>
      <c r="AJ34" s="309">
        <f>'US68 RAMPS FLEXIBLE'!$AA$66</f>
        <v>1664</v>
      </c>
      <c r="AK34" s="165"/>
      <c r="AL34" s="313"/>
      <c r="AM34" s="314"/>
      <c r="AN34" s="165"/>
      <c r="AO34" s="165"/>
      <c r="AP34" s="313"/>
      <c r="AQ34" s="314"/>
      <c r="AR34" s="313"/>
      <c r="AS34" s="314">
        <f>'US68 RAMPS FLEXIBLE'!$AB$66</f>
        <v>342</v>
      </c>
      <c r="AT34" s="221"/>
      <c r="AU34" s="314">
        <f>'US68 RAMPS FLEXIBLE'!$AC$66</f>
        <v>18461</v>
      </c>
      <c r="AV34" s="313"/>
      <c r="AW34" s="314"/>
      <c r="AX34" s="165"/>
    </row>
    <row r="35" spans="1:50" s="38" customFormat="1" ht="38.25" customHeight="1" thickBot="1" x14ac:dyDescent="0.25">
      <c r="A35" s="42"/>
      <c r="B35" s="284" t="s">
        <v>167</v>
      </c>
      <c r="C35" s="285"/>
      <c r="D35" s="286"/>
      <c r="E35" s="290"/>
      <c r="F35" s="285">
        <f>SUM(F32:F34)</f>
        <v>38838</v>
      </c>
      <c r="G35" s="286">
        <f>SUM(G32:G34)</f>
        <v>58637</v>
      </c>
      <c r="H35" s="285">
        <f t="shared" ref="H35:O35" si="3">SUM(H32:H34)</f>
        <v>140</v>
      </c>
      <c r="I35" s="286">
        <f t="shared" si="3"/>
        <v>96</v>
      </c>
      <c r="J35" s="285">
        <f t="shared" si="3"/>
        <v>237987</v>
      </c>
      <c r="K35" s="286">
        <f t="shared" si="3"/>
        <v>130617</v>
      </c>
      <c r="L35" s="285">
        <f t="shared" si="3"/>
        <v>237987</v>
      </c>
      <c r="M35" s="286">
        <f t="shared" si="3"/>
        <v>130617</v>
      </c>
      <c r="N35" s="285">
        <f t="shared" si="3"/>
        <v>7069</v>
      </c>
      <c r="O35" s="286">
        <f t="shared" si="3"/>
        <v>3881</v>
      </c>
      <c r="P35" s="285"/>
      <c r="Q35" s="286"/>
      <c r="R35" s="290"/>
      <c r="S35" s="285"/>
      <c r="T35" s="577"/>
      <c r="U35" s="578"/>
      <c r="V35" s="285">
        <f t="shared" ref="V35:AJ35" si="4">SUM(V32:V34)</f>
        <v>85834</v>
      </c>
      <c r="W35" s="286">
        <f t="shared" si="4"/>
        <v>59005</v>
      </c>
      <c r="X35" s="290"/>
      <c r="Y35" s="285">
        <f t="shared" si="4"/>
        <v>46084</v>
      </c>
      <c r="Z35" s="286">
        <f t="shared" si="4"/>
        <v>31631</v>
      </c>
      <c r="AA35" s="285">
        <f t="shared" si="4"/>
        <v>14575</v>
      </c>
      <c r="AB35" s="286">
        <f>SUM(AB32:AB34)</f>
        <v>10089</v>
      </c>
      <c r="AC35" s="290"/>
      <c r="AD35" s="290"/>
      <c r="AE35" s="290"/>
      <c r="AF35" s="290"/>
      <c r="AG35" s="285">
        <f t="shared" si="4"/>
        <v>10701</v>
      </c>
      <c r="AH35" s="286">
        <f t="shared" si="4"/>
        <v>7590</v>
      </c>
      <c r="AI35" s="285">
        <f t="shared" si="4"/>
        <v>12914</v>
      </c>
      <c r="AJ35" s="286">
        <f t="shared" si="4"/>
        <v>8927</v>
      </c>
      <c r="AK35" s="290"/>
      <c r="AL35" s="285"/>
      <c r="AM35" s="286"/>
      <c r="AN35" s="290"/>
      <c r="AO35" s="290"/>
      <c r="AP35" s="285"/>
      <c r="AQ35" s="286"/>
      <c r="AR35" s="285">
        <f t="shared" ref="AR35:AU35" si="5">SUM(AR32:AR34)</f>
        <v>1494</v>
      </c>
      <c r="AS35" s="455">
        <f t="shared" si="5"/>
        <v>477</v>
      </c>
      <c r="AT35" s="285">
        <f t="shared" si="5"/>
        <v>108098</v>
      </c>
      <c r="AU35" s="286">
        <f t="shared" si="5"/>
        <v>32138</v>
      </c>
      <c r="AV35" s="285"/>
      <c r="AW35" s="286"/>
      <c r="AX35" s="290"/>
    </row>
    <row r="36" spans="1:50" s="38" customFormat="1" ht="38.25" customHeight="1" thickBot="1" x14ac:dyDescent="0.25">
      <c r="A36" s="42"/>
      <c r="B36" s="284" t="s">
        <v>168</v>
      </c>
      <c r="C36" s="536"/>
      <c r="D36" s="537"/>
      <c r="E36" s="288"/>
      <c r="F36" s="538">
        <f>F35+G35</f>
        <v>97475</v>
      </c>
      <c r="G36" s="539"/>
      <c r="H36" s="538">
        <f>H35+I35</f>
        <v>236</v>
      </c>
      <c r="I36" s="539"/>
      <c r="J36" s="538">
        <f>J35+K35</f>
        <v>368604</v>
      </c>
      <c r="K36" s="539"/>
      <c r="L36" s="538">
        <f>L35+M35</f>
        <v>368604</v>
      </c>
      <c r="M36" s="539"/>
      <c r="N36" s="538">
        <f>N35+O35</f>
        <v>10950</v>
      </c>
      <c r="O36" s="539"/>
      <c r="P36" s="536"/>
      <c r="Q36" s="537"/>
      <c r="R36" s="288"/>
      <c r="S36" s="536"/>
      <c r="T36" s="589"/>
      <c r="U36" s="537"/>
      <c r="V36" s="538">
        <f>V35+W35</f>
        <v>144839</v>
      </c>
      <c r="W36" s="539"/>
      <c r="X36" s="288"/>
      <c r="Y36" s="538">
        <f>Y35+Z35</f>
        <v>77715</v>
      </c>
      <c r="Z36" s="539"/>
      <c r="AA36" s="538">
        <f>AA35+AB35</f>
        <v>24664</v>
      </c>
      <c r="AB36" s="539"/>
      <c r="AC36" s="288"/>
      <c r="AD36" s="536"/>
      <c r="AE36" s="537"/>
      <c r="AF36" s="288"/>
      <c r="AG36" s="538">
        <f>AG35+AH35</f>
        <v>18291</v>
      </c>
      <c r="AH36" s="539"/>
      <c r="AI36" s="538">
        <f>AI35+AJ35</f>
        <v>21841</v>
      </c>
      <c r="AJ36" s="539"/>
      <c r="AK36" s="288"/>
      <c r="AL36" s="536"/>
      <c r="AM36" s="537"/>
      <c r="AN36" s="536"/>
      <c r="AO36" s="537"/>
      <c r="AP36" s="536"/>
      <c r="AQ36" s="537"/>
      <c r="AR36" s="538">
        <f>AR35+AS35</f>
        <v>1971</v>
      </c>
      <c r="AS36" s="539"/>
      <c r="AT36" s="538">
        <f>AT35+AU35</f>
        <v>140236</v>
      </c>
      <c r="AU36" s="539"/>
      <c r="AV36" s="536"/>
      <c r="AW36" s="537"/>
      <c r="AX36" s="290"/>
    </row>
    <row r="37" spans="1:50" ht="25.5" customHeight="1" thickBot="1" x14ac:dyDescent="0.25">
      <c r="B37" s="334" t="s">
        <v>136</v>
      </c>
      <c r="C37" s="575"/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575"/>
      <c r="S37" s="575"/>
      <c r="T37" s="575"/>
      <c r="U37" s="575"/>
      <c r="V37" s="575"/>
      <c r="W37" s="575"/>
      <c r="X37" s="575"/>
      <c r="Y37" s="575"/>
      <c r="Z37" s="575"/>
      <c r="AA37" s="575"/>
      <c r="AB37" s="575"/>
      <c r="AC37" s="575"/>
      <c r="AD37" s="575"/>
      <c r="AE37" s="575"/>
      <c r="AF37" s="575"/>
      <c r="AG37" s="575"/>
      <c r="AH37" s="575"/>
      <c r="AI37" s="575"/>
      <c r="AJ37" s="575"/>
      <c r="AK37" s="575"/>
      <c r="AL37" s="575"/>
      <c r="AM37" s="575"/>
      <c r="AN37" s="575"/>
      <c r="AO37" s="575"/>
      <c r="AP37" s="575"/>
      <c r="AQ37" s="575"/>
      <c r="AR37" s="575"/>
      <c r="AS37" s="575"/>
      <c r="AT37" s="575"/>
      <c r="AU37" s="575"/>
      <c r="AV37" s="575"/>
      <c r="AW37" s="575"/>
      <c r="AX37" s="576"/>
    </row>
    <row r="38" spans="1:50" ht="12.75" customHeight="1" x14ac:dyDescent="0.2">
      <c r="A38" s="56"/>
      <c r="B38" s="263" t="s">
        <v>140</v>
      </c>
      <c r="C38" s="315"/>
      <c r="D38" s="316"/>
      <c r="E38" s="317"/>
      <c r="F38" s="291">
        <f>'IR75 RIGID'!T135</f>
        <v>38701</v>
      </c>
      <c r="G38" s="292">
        <f>'IR75 RIGID'!U135</f>
        <v>12767</v>
      </c>
      <c r="H38" s="291">
        <f>'IR75 RIGID'!V135</f>
        <v>138</v>
      </c>
      <c r="I38" s="292">
        <f>'IR75 RIGID'!W135</f>
        <v>57</v>
      </c>
      <c r="J38" s="291">
        <f>'IR75 RIGID'!X135</f>
        <v>235651</v>
      </c>
      <c r="K38" s="292">
        <f>'IR75 RIGID'!Y135</f>
        <v>99191</v>
      </c>
      <c r="L38" s="291">
        <f>'IR75 RIGID'!Z135</f>
        <v>235651</v>
      </c>
      <c r="M38" s="292">
        <f>'IR75 RIGID'!AA135</f>
        <v>99191</v>
      </c>
      <c r="N38" s="291">
        <f>'IR75 RIGID'!AB135</f>
        <v>7000</v>
      </c>
      <c r="O38" s="292">
        <f>'IR75 RIGID'!AC135</f>
        <v>2946</v>
      </c>
      <c r="P38" s="294"/>
      <c r="Q38" s="295"/>
      <c r="R38" s="296"/>
      <c r="S38" s="294"/>
      <c r="T38" s="295"/>
      <c r="U38" s="124"/>
      <c r="V38" s="264"/>
      <c r="W38" s="265"/>
      <c r="X38" s="124"/>
      <c r="Y38" s="264">
        <f>'IR75 RIGID'!AD135</f>
        <v>45674</v>
      </c>
      <c r="Z38" s="265">
        <f>'IR75 RIGID'!AE135</f>
        <v>18705</v>
      </c>
      <c r="AA38" s="124"/>
      <c r="AB38" s="318"/>
      <c r="AC38" s="319"/>
      <c r="AD38" s="124"/>
      <c r="AE38" s="124"/>
      <c r="AF38" s="124"/>
      <c r="AG38" s="264"/>
      <c r="AH38" s="265"/>
      <c r="AI38" s="264"/>
      <c r="AJ38" s="265"/>
      <c r="AK38" s="124"/>
      <c r="AL38" s="264">
        <f>'IR75 RIGID'!$AF$135</f>
        <v>991</v>
      </c>
      <c r="AM38" s="265"/>
      <c r="AN38" s="124"/>
      <c r="AO38" s="124"/>
      <c r="AP38" s="264">
        <f>'IR75 RIGID'!AG135</f>
        <v>255017</v>
      </c>
      <c r="AQ38" s="265">
        <f>'IR75 RIGID'!AH135</f>
        <v>111469</v>
      </c>
      <c r="AR38" s="264">
        <f>'IR75 RIGID'!$AI$135</f>
        <v>1438</v>
      </c>
      <c r="AS38" s="265"/>
      <c r="AT38" s="264"/>
      <c r="AU38" s="265"/>
      <c r="AV38" s="264">
        <f>'IR75 RIGID'!$AJ$135</f>
        <v>105037</v>
      </c>
      <c r="AW38" s="265"/>
      <c r="AX38" s="124"/>
    </row>
    <row r="39" spans="1:50" ht="12.75" customHeight="1" x14ac:dyDescent="0.2">
      <c r="A39" s="56"/>
      <c r="B39" s="267" t="s">
        <v>142</v>
      </c>
      <c r="C39" s="320"/>
      <c r="D39" s="321"/>
      <c r="E39" s="322"/>
      <c r="F39" s="320"/>
      <c r="G39" s="298">
        <f>'US68 RIGID'!$P$56</f>
        <v>24331</v>
      </c>
      <c r="H39" s="300"/>
      <c r="I39" s="301">
        <f>'US68 RIGID'!$Q$56</f>
        <v>20</v>
      </c>
      <c r="J39" s="300"/>
      <c r="K39" s="301">
        <f>'US68 RIGID'!$R$56</f>
        <v>15301</v>
      </c>
      <c r="L39" s="300"/>
      <c r="M39" s="301">
        <f>'US68 RIGID'!$S$56</f>
        <v>15301</v>
      </c>
      <c r="N39" s="300"/>
      <c r="O39" s="301">
        <f>'US68 RIGID'!$T$56</f>
        <v>455</v>
      </c>
      <c r="P39" s="302"/>
      <c r="Q39" s="303"/>
      <c r="R39" s="255"/>
      <c r="S39" s="302"/>
      <c r="T39" s="303"/>
      <c r="U39" s="123"/>
      <c r="V39" s="221"/>
      <c r="W39" s="269"/>
      <c r="X39" s="123"/>
      <c r="Y39" s="221"/>
      <c r="Z39" s="301">
        <f>'US68 RIGID'!$U$56</f>
        <v>6569</v>
      </c>
      <c r="AA39" s="123"/>
      <c r="AB39" s="300"/>
      <c r="AC39" s="301"/>
      <c r="AD39" s="323"/>
      <c r="AE39" s="123"/>
      <c r="AF39" s="123"/>
      <c r="AG39" s="300"/>
      <c r="AH39" s="301"/>
      <c r="AI39" s="300"/>
      <c r="AJ39" s="301"/>
      <c r="AK39" s="323"/>
      <c r="AL39" s="300"/>
      <c r="AM39" s="269">
        <f>'US68 RIGID'!$V$56</f>
        <v>184</v>
      </c>
      <c r="AN39" s="123"/>
      <c r="AO39" s="123"/>
      <c r="AP39" s="221"/>
      <c r="AQ39" s="301">
        <f>'US68 RIGID'!$W$56</f>
        <v>36607</v>
      </c>
      <c r="AR39" s="300"/>
      <c r="AS39" s="301">
        <f>'US68 RIGID'!$X$56</f>
        <v>135</v>
      </c>
      <c r="AT39" s="221"/>
      <c r="AU39" s="269"/>
      <c r="AV39" s="221"/>
      <c r="AW39" s="269">
        <f>'US68 RIGID'!$Y$56</f>
        <v>13677</v>
      </c>
      <c r="AX39" s="123"/>
    </row>
    <row r="40" spans="1:50" ht="12.75" customHeight="1" thickBot="1" x14ac:dyDescent="0.25">
      <c r="A40" s="56"/>
      <c r="B40" s="279" t="s">
        <v>139</v>
      </c>
      <c r="C40" s="324"/>
      <c r="D40" s="325"/>
      <c r="E40" s="326"/>
      <c r="F40" s="324"/>
      <c r="G40" s="505">
        <f>'US68 RAMPS RIGID'!P65</f>
        <v>21344</v>
      </c>
      <c r="H40" s="327"/>
      <c r="I40" s="328">
        <f>'US68 RAMPS RIGID'!$Q$65</f>
        <v>19</v>
      </c>
      <c r="J40" s="327"/>
      <c r="K40" s="328">
        <f>'US68 RAMPS RIGID'!$R$65</f>
        <v>16103</v>
      </c>
      <c r="L40" s="327"/>
      <c r="M40" s="328">
        <f>'US68 RAMPS RIGID'!$S$65</f>
        <v>16103</v>
      </c>
      <c r="N40" s="327"/>
      <c r="O40" s="328">
        <f>'US68 RAMPS RIGID'!$T$65</f>
        <v>479</v>
      </c>
      <c r="P40" s="329"/>
      <c r="Q40" s="330"/>
      <c r="R40" s="331"/>
      <c r="S40" s="452"/>
      <c r="T40" s="453"/>
      <c r="U40" s="283"/>
      <c r="V40" s="223"/>
      <c r="W40" s="280"/>
      <c r="X40" s="283"/>
      <c r="Y40" s="223"/>
      <c r="Z40" s="328">
        <f>'US68 RAMPS RIGID'!$U$65</f>
        <v>6327</v>
      </c>
      <c r="AA40" s="283"/>
      <c r="AB40" s="332"/>
      <c r="AC40" s="333"/>
      <c r="AD40" s="283"/>
      <c r="AE40" s="283"/>
      <c r="AF40" s="283"/>
      <c r="AG40" s="223"/>
      <c r="AH40" s="280"/>
      <c r="AI40" s="223"/>
      <c r="AJ40" s="280"/>
      <c r="AK40" s="283"/>
      <c r="AL40" s="223"/>
      <c r="AM40" s="280">
        <f>'US68 RAMPS RIGID'!$V$65</f>
        <v>313</v>
      </c>
      <c r="AN40" s="283"/>
      <c r="AO40" s="283"/>
      <c r="AP40" s="223"/>
      <c r="AQ40" s="328">
        <f>'US68 RAMPS RIGID'!$W$65</f>
        <v>33988</v>
      </c>
      <c r="AR40" s="327"/>
      <c r="AS40" s="328">
        <f>'US68 RAMPS RIGID'!$X$65</f>
        <v>342</v>
      </c>
      <c r="AT40" s="223"/>
      <c r="AU40" s="280"/>
      <c r="AV40" s="223"/>
      <c r="AW40" s="280">
        <f>'US68 RAMPS RIGID'!$Y$65</f>
        <v>18461</v>
      </c>
      <c r="AX40" s="283"/>
    </row>
    <row r="41" spans="1:50" s="38" customFormat="1" ht="36" customHeight="1" thickBot="1" x14ac:dyDescent="0.25">
      <c r="A41" s="42"/>
      <c r="B41" s="284" t="s">
        <v>169</v>
      </c>
      <c r="C41" s="285"/>
      <c r="D41" s="286"/>
      <c r="E41" s="290"/>
      <c r="F41" s="285">
        <f t="shared" ref="F41:O41" si="6">SUM(F38:F40)</f>
        <v>38701</v>
      </c>
      <c r="G41" s="286">
        <f t="shared" si="6"/>
        <v>58442</v>
      </c>
      <c r="H41" s="285">
        <f t="shared" si="6"/>
        <v>138</v>
      </c>
      <c r="I41" s="286">
        <f t="shared" si="6"/>
        <v>96</v>
      </c>
      <c r="J41" s="285">
        <f t="shared" si="6"/>
        <v>235651</v>
      </c>
      <c r="K41" s="286">
        <f t="shared" si="6"/>
        <v>130595</v>
      </c>
      <c r="L41" s="285">
        <f t="shared" si="6"/>
        <v>235651</v>
      </c>
      <c r="M41" s="286">
        <f t="shared" si="6"/>
        <v>130595</v>
      </c>
      <c r="N41" s="285">
        <f t="shared" si="6"/>
        <v>7000</v>
      </c>
      <c r="O41" s="286">
        <f t="shared" si="6"/>
        <v>3880</v>
      </c>
      <c r="P41" s="285"/>
      <c r="Q41" s="286"/>
      <c r="R41" s="290"/>
      <c r="S41" s="285"/>
      <c r="T41" s="577"/>
      <c r="U41" s="578"/>
      <c r="V41" s="285"/>
      <c r="W41" s="286"/>
      <c r="X41" s="290"/>
      <c r="Y41" s="285">
        <f t="shared" ref="Y41:AW41" si="7">SUM(Y38:Y40)</f>
        <v>45674</v>
      </c>
      <c r="Z41" s="286">
        <f t="shared" si="7"/>
        <v>31601</v>
      </c>
      <c r="AA41" s="290"/>
      <c r="AB41" s="285"/>
      <c r="AC41" s="286"/>
      <c r="AD41" s="290"/>
      <c r="AE41" s="290"/>
      <c r="AF41" s="290"/>
      <c r="AG41" s="285"/>
      <c r="AH41" s="286"/>
      <c r="AI41" s="285"/>
      <c r="AJ41" s="286"/>
      <c r="AK41" s="290"/>
      <c r="AL41" s="285">
        <f t="shared" si="7"/>
        <v>991</v>
      </c>
      <c r="AM41" s="286">
        <f t="shared" si="7"/>
        <v>497</v>
      </c>
      <c r="AN41" s="290"/>
      <c r="AO41" s="290"/>
      <c r="AP41" s="285">
        <f t="shared" si="7"/>
        <v>255017</v>
      </c>
      <c r="AQ41" s="286">
        <f t="shared" si="7"/>
        <v>182064</v>
      </c>
      <c r="AR41" s="285">
        <f t="shared" ref="AR41:AS41" si="8">SUM(AR38:AR40)</f>
        <v>1438</v>
      </c>
      <c r="AS41" s="455">
        <f t="shared" si="8"/>
        <v>477</v>
      </c>
      <c r="AT41" s="285"/>
      <c r="AU41" s="286"/>
      <c r="AV41" s="285">
        <f t="shared" si="7"/>
        <v>105037</v>
      </c>
      <c r="AW41" s="286">
        <f t="shared" si="7"/>
        <v>32138</v>
      </c>
      <c r="AX41" s="290"/>
    </row>
    <row r="42" spans="1:50" s="38" customFormat="1" ht="36" customHeight="1" thickBot="1" x14ac:dyDescent="0.25">
      <c r="A42" s="42"/>
      <c r="B42" s="284" t="s">
        <v>170</v>
      </c>
      <c r="C42" s="536"/>
      <c r="D42" s="537"/>
      <c r="E42" s="288"/>
      <c r="F42" s="538">
        <f>F41+G41</f>
        <v>97143</v>
      </c>
      <c r="G42" s="539"/>
      <c r="H42" s="538">
        <f>H41+I41</f>
        <v>234</v>
      </c>
      <c r="I42" s="539"/>
      <c r="J42" s="538">
        <f>J41+K41</f>
        <v>366246</v>
      </c>
      <c r="K42" s="539"/>
      <c r="L42" s="538">
        <f>L41+M41</f>
        <v>366246</v>
      </c>
      <c r="M42" s="539"/>
      <c r="N42" s="538">
        <f>N41+O41</f>
        <v>10880</v>
      </c>
      <c r="O42" s="539"/>
      <c r="P42" s="536"/>
      <c r="Q42" s="537"/>
      <c r="R42" s="287"/>
      <c r="S42" s="536"/>
      <c r="T42" s="589"/>
      <c r="U42" s="537"/>
      <c r="V42" s="536"/>
      <c r="W42" s="537"/>
      <c r="X42" s="288"/>
      <c r="Y42" s="538">
        <f>Y41+Z41</f>
        <v>77275</v>
      </c>
      <c r="Z42" s="539"/>
      <c r="AA42" s="288"/>
      <c r="AB42" s="536"/>
      <c r="AC42" s="537"/>
      <c r="AD42" s="536"/>
      <c r="AE42" s="537"/>
      <c r="AF42" s="288"/>
      <c r="AG42" s="536"/>
      <c r="AH42" s="537"/>
      <c r="AI42" s="536"/>
      <c r="AJ42" s="537"/>
      <c r="AK42" s="288"/>
      <c r="AL42" s="538">
        <f>AL41+AM41</f>
        <v>1488</v>
      </c>
      <c r="AM42" s="539"/>
      <c r="AN42" s="287"/>
      <c r="AO42" s="288"/>
      <c r="AP42" s="538">
        <f>AP41+AQ41</f>
        <v>437081</v>
      </c>
      <c r="AQ42" s="539"/>
      <c r="AR42" s="538">
        <f>AR41+AS41</f>
        <v>1915</v>
      </c>
      <c r="AS42" s="539"/>
      <c r="AT42" s="536"/>
      <c r="AU42" s="537"/>
      <c r="AV42" s="538">
        <f>AV41+AW41</f>
        <v>137175</v>
      </c>
      <c r="AW42" s="539"/>
      <c r="AX42" s="290"/>
    </row>
    <row r="43" spans="1:50" x14ac:dyDescent="0.2">
      <c r="B43" s="587" t="s">
        <v>251</v>
      </c>
      <c r="C43" s="583"/>
      <c r="D43" s="583"/>
      <c r="E43" s="583"/>
      <c r="F43" s="583"/>
      <c r="G43" s="583"/>
      <c r="H43" s="583"/>
      <c r="I43" s="583"/>
      <c r="J43" s="583"/>
      <c r="K43" s="583"/>
      <c r="L43" s="583"/>
      <c r="M43" s="583"/>
      <c r="N43" s="583"/>
      <c r="O43" s="583"/>
      <c r="P43" s="583"/>
      <c r="Q43" s="583"/>
      <c r="R43" s="583"/>
      <c r="S43" s="583"/>
      <c r="T43" s="583"/>
      <c r="U43" s="583"/>
      <c r="V43" s="583"/>
      <c r="W43" s="583"/>
      <c r="X43" s="583"/>
      <c r="Y43" s="583"/>
      <c r="Z43" s="583"/>
      <c r="AA43" s="583"/>
      <c r="AB43" s="583"/>
      <c r="AC43" s="583"/>
      <c r="AD43" s="583"/>
      <c r="AE43" s="583"/>
      <c r="AF43" s="583"/>
      <c r="AG43" s="583"/>
      <c r="AH43" s="583"/>
      <c r="AI43" s="583"/>
      <c r="AJ43" s="583"/>
      <c r="AK43" s="583"/>
      <c r="AL43" s="583"/>
      <c r="AM43" s="583"/>
      <c r="AN43" s="583"/>
      <c r="AO43" s="583"/>
      <c r="AP43" s="583"/>
      <c r="AQ43" s="583"/>
      <c r="AR43" s="583"/>
      <c r="AS43" s="583"/>
      <c r="AT43" s="583"/>
      <c r="AU43" s="583"/>
      <c r="AV43" s="583"/>
      <c r="AW43" s="583"/>
      <c r="AX43" s="584"/>
    </row>
    <row r="44" spans="1:50" ht="13.5" thickBot="1" x14ac:dyDescent="0.25">
      <c r="B44" s="588"/>
      <c r="C44" s="585"/>
      <c r="D44" s="585"/>
      <c r="E44" s="585"/>
      <c r="F44" s="585"/>
      <c r="G44" s="585"/>
      <c r="H44" s="585"/>
      <c r="I44" s="585"/>
      <c r="J44" s="585"/>
      <c r="K44" s="585"/>
      <c r="L44" s="585"/>
      <c r="M44" s="585"/>
      <c r="N44" s="585"/>
      <c r="O44" s="585"/>
      <c r="P44" s="585"/>
      <c r="Q44" s="585"/>
      <c r="R44" s="585"/>
      <c r="S44" s="585"/>
      <c r="T44" s="585"/>
      <c r="U44" s="585"/>
      <c r="V44" s="585"/>
      <c r="W44" s="585"/>
      <c r="X44" s="585"/>
      <c r="Y44" s="585"/>
      <c r="Z44" s="585"/>
      <c r="AA44" s="585"/>
      <c r="AB44" s="585"/>
      <c r="AC44" s="585"/>
      <c r="AD44" s="585"/>
      <c r="AE44" s="585"/>
      <c r="AF44" s="585"/>
      <c r="AG44" s="585"/>
      <c r="AH44" s="585"/>
      <c r="AI44" s="585"/>
      <c r="AJ44" s="585"/>
      <c r="AK44" s="585"/>
      <c r="AL44" s="585"/>
      <c r="AM44" s="585"/>
      <c r="AN44" s="585"/>
      <c r="AO44" s="585"/>
      <c r="AP44" s="585"/>
      <c r="AQ44" s="585"/>
      <c r="AR44" s="585"/>
      <c r="AS44" s="585"/>
      <c r="AT44" s="585"/>
      <c r="AU44" s="585"/>
      <c r="AV44" s="585"/>
      <c r="AW44" s="585"/>
      <c r="AX44" s="586"/>
    </row>
  </sheetData>
  <customSheetViews>
    <customSheetView guid="{221143F3-72E3-4C4A-9811-2F859DD19779}" scale="85" fitToPage="1">
      <pane ySplit="20" topLeftCell="A21" activePane="bottomLeft" state="frozen"/>
      <selection pane="bottomLeft" activeCell="C20" sqref="C20"/>
      <pageMargins left="0.39" right="0.25" top="0.89" bottom="0.73" header="0.5" footer="0.5"/>
      <pageSetup paperSize="17" scale="69" orientation="landscape" r:id="rId1"/>
      <headerFooter alignWithMargins="0">
        <oddFooter>&amp;L&amp;D&amp;R&amp;F, &amp;A</oddFooter>
      </headerFooter>
    </customSheetView>
  </customSheetViews>
  <mergeCells count="126">
    <mergeCell ref="AT42:AU42"/>
    <mergeCell ref="C43:AX44"/>
    <mergeCell ref="B43:B44"/>
    <mergeCell ref="S8:T19"/>
    <mergeCell ref="S30:U30"/>
    <mergeCell ref="S7:U7"/>
    <mergeCell ref="S36:U36"/>
    <mergeCell ref="T35:U35"/>
    <mergeCell ref="S42:U42"/>
    <mergeCell ref="T41:U41"/>
    <mergeCell ref="AL42:AM42"/>
    <mergeCell ref="AP42:AQ42"/>
    <mergeCell ref="AV42:AW42"/>
    <mergeCell ref="AT30:AU30"/>
    <mergeCell ref="AT36:AU36"/>
    <mergeCell ref="AG30:AH30"/>
    <mergeCell ref="AP30:AQ30"/>
    <mergeCell ref="AN36:AO36"/>
    <mergeCell ref="AP36:AQ36"/>
    <mergeCell ref="AV36:AW36"/>
    <mergeCell ref="AD42:AE42"/>
    <mergeCell ref="AG42:AH42"/>
    <mergeCell ref="AI42:AJ42"/>
    <mergeCell ref="AR30:AS30"/>
    <mergeCell ref="AR36:AS36"/>
    <mergeCell ref="AR42:AS42"/>
    <mergeCell ref="B7:B21"/>
    <mergeCell ref="C37:AX37"/>
    <mergeCell ref="C31:AX31"/>
    <mergeCell ref="C22:AX22"/>
    <mergeCell ref="T29:U29"/>
    <mergeCell ref="AD29:AE29"/>
    <mergeCell ref="C30:D30"/>
    <mergeCell ref="F30:G30"/>
    <mergeCell ref="H30:I30"/>
    <mergeCell ref="J30:K30"/>
    <mergeCell ref="L30:M30"/>
    <mergeCell ref="N30:O30"/>
    <mergeCell ref="P30:Q30"/>
    <mergeCell ref="Y30:Z30"/>
    <mergeCell ref="V30:W30"/>
    <mergeCell ref="AD30:AE30"/>
    <mergeCell ref="AI30:AJ30"/>
    <mergeCell ref="AL30:AM30"/>
    <mergeCell ref="U8:U19"/>
    <mergeCell ref="AO8:AO19"/>
    <mergeCell ref="R8:R19"/>
    <mergeCell ref="AC8:AC19"/>
    <mergeCell ref="Y20:Z20"/>
    <mergeCell ref="J7:O7"/>
    <mergeCell ref="J8:K19"/>
    <mergeCell ref="J20:K20"/>
    <mergeCell ref="L8:M19"/>
    <mergeCell ref="L20:M20"/>
    <mergeCell ref="N8:O19"/>
    <mergeCell ref="N20:O20"/>
    <mergeCell ref="C7:D7"/>
    <mergeCell ref="C8:D19"/>
    <mergeCell ref="C20:D20"/>
    <mergeCell ref="E8:E19"/>
    <mergeCell ref="P7:Q7"/>
    <mergeCell ref="P8:Q19"/>
    <mergeCell ref="F7:I7"/>
    <mergeCell ref="F8:G19"/>
    <mergeCell ref="F20:G20"/>
    <mergeCell ref="H8:I19"/>
    <mergeCell ref="H20:I20"/>
    <mergeCell ref="P20:Q20"/>
    <mergeCell ref="V7:W7"/>
    <mergeCell ref="V8:W19"/>
    <mergeCell ref="V20:W20"/>
    <mergeCell ref="AX8:AX19"/>
    <mergeCell ref="AD8:AD19"/>
    <mergeCell ref="AD7:AF7"/>
    <mergeCell ref="AF8:AF19"/>
    <mergeCell ref="AK8:AK19"/>
    <mergeCell ref="AN8:AN19"/>
    <mergeCell ref="AE8:AE19"/>
    <mergeCell ref="X8:X19"/>
    <mergeCell ref="AV8:AW19"/>
    <mergeCell ref="X7:Z7"/>
    <mergeCell ref="Y8:Z19"/>
    <mergeCell ref="AA8:AB19"/>
    <mergeCell ref="AL7:AM7"/>
    <mergeCell ref="AL8:AM19"/>
    <mergeCell ref="AV20:AW20"/>
    <mergeCell ref="AT7:AW7"/>
    <mergeCell ref="AL20:AM20"/>
    <mergeCell ref="AP8:AQ19"/>
    <mergeCell ref="AP20:AQ20"/>
    <mergeCell ref="AT8:AU19"/>
    <mergeCell ref="AT20:AU20"/>
    <mergeCell ref="AA20:AB20"/>
    <mergeCell ref="AG8:AH19"/>
    <mergeCell ref="AG20:AH20"/>
    <mergeCell ref="AG7:AK7"/>
    <mergeCell ref="AI8:AJ19"/>
    <mergeCell ref="AI20:AJ20"/>
    <mergeCell ref="AN7:AQ7"/>
    <mergeCell ref="AR7:AS7"/>
    <mergeCell ref="AR8:AS19"/>
    <mergeCell ref="AR20:AS20"/>
    <mergeCell ref="C36:D36"/>
    <mergeCell ref="P36:Q36"/>
    <mergeCell ref="AD36:AE36"/>
    <mergeCell ref="AL36:AM36"/>
    <mergeCell ref="F36:G36"/>
    <mergeCell ref="H36:I36"/>
    <mergeCell ref="J36:K36"/>
    <mergeCell ref="L36:M36"/>
    <mergeCell ref="N36:O36"/>
    <mergeCell ref="AI36:AJ36"/>
    <mergeCell ref="V36:W36"/>
    <mergeCell ref="Y36:Z36"/>
    <mergeCell ref="AA36:AB36"/>
    <mergeCell ref="AG36:AH36"/>
    <mergeCell ref="C42:D42"/>
    <mergeCell ref="P42:Q42"/>
    <mergeCell ref="V42:W42"/>
    <mergeCell ref="AB42:AC42"/>
    <mergeCell ref="N42:O42"/>
    <mergeCell ref="L42:M42"/>
    <mergeCell ref="J42:K42"/>
    <mergeCell ref="H42:I42"/>
    <mergeCell ref="F42:G42"/>
    <mergeCell ref="Y42:Z42"/>
  </mergeCells>
  <pageMargins left="0.39" right="0.25" top="0.89" bottom="0.73" header="0.5" footer="0.5"/>
  <pageSetup paperSize="17" scale="32" orientation="landscape" r:id="rId2"/>
  <headerFooter scaleWithDoc="0" alignWithMargins="0">
    <oddHeader>&amp;LHAN-75-14.39</oddHeader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49"/>
  <sheetViews>
    <sheetView view="pageBreakPreview" zoomScaleNormal="80" zoomScaleSheetLayoutView="100" workbookViewId="0">
      <pane ySplit="16" topLeftCell="A17" activePane="bottomLeft" state="frozen"/>
      <selection pane="bottomLeft" activeCell="X16" sqref="X16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2" width="9.28515625" style="87" customWidth="1"/>
    <col min="13" max="13" width="10.7109375" style="94" customWidth="1"/>
    <col min="14" max="14" width="10" style="94" customWidth="1"/>
    <col min="15" max="17" width="10.7109375" style="94" customWidth="1"/>
    <col min="18" max="18" width="9.28515625" style="87" customWidth="1"/>
    <col min="19" max="21" width="9.28515625" style="88" customWidth="1"/>
    <col min="22" max="24" width="9.28515625" style="13" customWidth="1"/>
    <col min="25" max="25" width="9.28515625" style="87" customWidth="1"/>
    <col min="26" max="26" width="9.140625" style="90"/>
    <col min="27" max="27" width="11.85546875" style="90" bestFit="1" customWidth="1"/>
    <col min="28" max="28" width="9.85546875" style="90" bestFit="1" customWidth="1"/>
    <col min="29" max="29" width="9.7109375" style="90" customWidth="1"/>
    <col min="30" max="40" width="9.7109375" style="81" customWidth="1"/>
    <col min="41" max="16384" width="9.140625" style="81"/>
  </cols>
  <sheetData>
    <row r="1" spans="1:37" s="90" customFormat="1" ht="13.5" thickBot="1" x14ac:dyDescent="0.25">
      <c r="B1" s="97"/>
      <c r="C1" s="97"/>
      <c r="K1" s="88"/>
      <c r="L1" s="88"/>
      <c r="M1" s="105"/>
      <c r="N1" s="105"/>
      <c r="O1" s="105"/>
      <c r="P1" s="105"/>
      <c r="Q1" s="105"/>
      <c r="R1" s="88"/>
      <c r="S1" s="88">
        <v>12</v>
      </c>
      <c r="T1" s="88"/>
      <c r="U1" s="88">
        <v>6</v>
      </c>
      <c r="V1" s="10"/>
      <c r="W1" s="10"/>
      <c r="X1" s="10">
        <v>6</v>
      </c>
      <c r="Y1" s="88"/>
    </row>
    <row r="2" spans="1:37" s="90" customFormat="1" x14ac:dyDescent="0.2">
      <c r="A2" s="120"/>
      <c r="B2" s="52"/>
      <c r="C2" s="52"/>
      <c r="J2" s="10"/>
      <c r="K2" s="10"/>
      <c r="L2" s="10"/>
      <c r="M2" s="10"/>
      <c r="N2" s="10"/>
      <c r="O2" s="10"/>
      <c r="P2" s="10"/>
      <c r="Q2" s="10"/>
      <c r="R2" s="10"/>
      <c r="S2" s="146"/>
      <c r="T2" s="145" t="s">
        <v>35</v>
      </c>
      <c r="U2" s="168" t="s">
        <v>144</v>
      </c>
      <c r="V2" s="168"/>
      <c r="W2" s="170"/>
      <c r="X2" s="170" t="s">
        <v>34</v>
      </c>
      <c r="Y2" s="211">
        <v>41920</v>
      </c>
      <c r="AA2" s="224" t="s">
        <v>101</v>
      </c>
      <c r="AB2" s="141"/>
      <c r="AC2" s="224" t="s">
        <v>103</v>
      </c>
      <c r="AD2" s="219" t="s">
        <v>202</v>
      </c>
    </row>
    <row r="3" spans="1:37" s="90" customFormat="1" ht="13.5" thickBot="1" x14ac:dyDescent="0.25">
      <c r="A3" s="120"/>
      <c r="B3" s="52"/>
      <c r="C3" s="52"/>
      <c r="J3" s="10"/>
      <c r="K3" s="10"/>
      <c r="L3" s="10"/>
      <c r="M3" s="10"/>
      <c r="N3" s="10"/>
      <c r="O3" s="10"/>
      <c r="P3" s="10"/>
      <c r="Q3" s="10"/>
      <c r="R3" s="10"/>
      <c r="S3" s="45"/>
      <c r="T3" s="46" t="s">
        <v>36</v>
      </c>
      <c r="U3" s="169" t="s">
        <v>266</v>
      </c>
      <c r="V3" s="169"/>
      <c r="W3" s="171"/>
      <c r="X3" s="171" t="s">
        <v>34</v>
      </c>
      <c r="Y3" s="459">
        <v>41926</v>
      </c>
      <c r="AA3" s="225" t="s">
        <v>102</v>
      </c>
      <c r="AB3" s="166"/>
      <c r="AC3" s="225" t="s">
        <v>104</v>
      </c>
      <c r="AD3" s="106" t="s">
        <v>203</v>
      </c>
    </row>
    <row r="4" spans="1:37" s="90" customFormat="1" ht="13.5" thickBot="1" x14ac:dyDescent="0.25">
      <c r="A4" s="120"/>
      <c r="B4" s="52"/>
      <c r="C4" s="52"/>
      <c r="D4" s="52"/>
      <c r="E4" s="52"/>
      <c r="F4" s="5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225" t="s">
        <v>107</v>
      </c>
      <c r="AB4" s="142"/>
      <c r="AC4" s="225" t="s">
        <v>109</v>
      </c>
      <c r="AD4" s="106" t="s">
        <v>204</v>
      </c>
    </row>
    <row r="5" spans="1:37" s="91" customFormat="1" ht="12.75" customHeight="1" x14ac:dyDescent="0.2">
      <c r="B5" s="657" t="s">
        <v>1</v>
      </c>
      <c r="C5" s="658"/>
      <c r="D5" s="653" t="s">
        <v>0</v>
      </c>
      <c r="E5" s="667" t="s">
        <v>99</v>
      </c>
      <c r="F5" s="667" t="s">
        <v>100</v>
      </c>
      <c r="G5" s="667" t="s">
        <v>106</v>
      </c>
      <c r="H5" s="667" t="s">
        <v>190</v>
      </c>
      <c r="I5" s="667" t="s">
        <v>46</v>
      </c>
      <c r="J5" s="667" t="s">
        <v>114</v>
      </c>
      <c r="K5" s="663" t="s">
        <v>4</v>
      </c>
      <c r="L5" s="663" t="s">
        <v>21</v>
      </c>
      <c r="M5" s="717" t="s">
        <v>17</v>
      </c>
      <c r="N5" s="717" t="s">
        <v>20</v>
      </c>
      <c r="O5" s="717" t="s">
        <v>14</v>
      </c>
      <c r="P5" s="642">
        <v>204</v>
      </c>
      <c r="Q5" s="644"/>
      <c r="R5" s="789">
        <v>206</v>
      </c>
      <c r="S5" s="790"/>
      <c r="T5" s="790"/>
      <c r="U5" s="2">
        <v>304</v>
      </c>
      <c r="V5" s="62">
        <v>451</v>
      </c>
      <c r="W5" s="2">
        <v>452</v>
      </c>
      <c r="X5" s="49">
        <v>617</v>
      </c>
      <c r="Y5" s="49">
        <v>618</v>
      </c>
      <c r="Z5" s="141"/>
      <c r="AA5" s="225" t="s">
        <v>108</v>
      </c>
      <c r="AB5" s="142"/>
      <c r="AC5" s="225" t="s">
        <v>110</v>
      </c>
      <c r="AD5" s="106" t="s">
        <v>205</v>
      </c>
      <c r="AE5" s="116"/>
    </row>
    <row r="6" spans="1:37" ht="12.75" customHeight="1" thickBot="1" x14ac:dyDescent="0.25">
      <c r="B6" s="659"/>
      <c r="C6" s="660"/>
      <c r="D6" s="654"/>
      <c r="E6" s="712"/>
      <c r="F6" s="714"/>
      <c r="G6" s="714"/>
      <c r="H6" s="710"/>
      <c r="I6" s="710"/>
      <c r="J6" s="710"/>
      <c r="K6" s="664"/>
      <c r="L6" s="664"/>
      <c r="M6" s="718"/>
      <c r="N6" s="718"/>
      <c r="O6" s="718"/>
      <c r="P6" s="675" t="s">
        <v>185</v>
      </c>
      <c r="Q6" s="791" t="s">
        <v>7</v>
      </c>
      <c r="R6" s="791" t="s">
        <v>18</v>
      </c>
      <c r="S6" s="792" t="s">
        <v>19</v>
      </c>
      <c r="T6" s="795" t="s">
        <v>23</v>
      </c>
      <c r="U6" s="559" t="s">
        <v>9</v>
      </c>
      <c r="V6" s="779" t="s">
        <v>133</v>
      </c>
      <c r="W6" s="559" t="s">
        <v>29</v>
      </c>
      <c r="X6" s="675" t="s">
        <v>282</v>
      </c>
      <c r="Y6" s="675" t="s">
        <v>155</v>
      </c>
      <c r="Z6" s="166"/>
      <c r="AA6" s="226" t="s">
        <v>97</v>
      </c>
      <c r="AB6" s="142"/>
      <c r="AC6" s="225" t="s">
        <v>105</v>
      </c>
      <c r="AD6" s="220" t="s">
        <v>206</v>
      </c>
      <c r="AE6" s="116"/>
    </row>
    <row r="7" spans="1:37" ht="12.75" customHeight="1" thickBot="1" x14ac:dyDescent="0.25">
      <c r="B7" s="659"/>
      <c r="C7" s="660"/>
      <c r="D7" s="654"/>
      <c r="E7" s="712"/>
      <c r="F7" s="714"/>
      <c r="G7" s="714"/>
      <c r="H7" s="710"/>
      <c r="I7" s="710"/>
      <c r="J7" s="710"/>
      <c r="K7" s="664"/>
      <c r="L7" s="664"/>
      <c r="M7" s="718"/>
      <c r="N7" s="718"/>
      <c r="O7" s="718"/>
      <c r="P7" s="676"/>
      <c r="Q7" s="791"/>
      <c r="R7" s="791"/>
      <c r="S7" s="793"/>
      <c r="T7" s="793"/>
      <c r="U7" s="560"/>
      <c r="V7" s="780"/>
      <c r="W7" s="560"/>
      <c r="X7" s="676"/>
      <c r="Y7" s="676"/>
      <c r="Z7" s="142"/>
      <c r="AA7" s="142"/>
      <c r="AB7" s="142"/>
      <c r="AC7" s="226" t="s">
        <v>112</v>
      </c>
      <c r="AD7" s="220" t="s">
        <v>207</v>
      </c>
      <c r="AE7" s="116"/>
    </row>
    <row r="8" spans="1:37" ht="12.75" customHeight="1" thickBot="1" x14ac:dyDescent="0.25">
      <c r="B8" s="659"/>
      <c r="C8" s="660"/>
      <c r="D8" s="654"/>
      <c r="E8" s="712"/>
      <c r="F8" s="714"/>
      <c r="G8" s="714"/>
      <c r="H8" s="710"/>
      <c r="I8" s="710"/>
      <c r="J8" s="710"/>
      <c r="K8" s="664"/>
      <c r="L8" s="664"/>
      <c r="M8" s="718"/>
      <c r="N8" s="718"/>
      <c r="O8" s="718"/>
      <c r="P8" s="676"/>
      <c r="Q8" s="791"/>
      <c r="R8" s="791"/>
      <c r="S8" s="793"/>
      <c r="T8" s="793"/>
      <c r="U8" s="560"/>
      <c r="V8" s="780"/>
      <c r="W8" s="560"/>
      <c r="X8" s="676"/>
      <c r="Y8" s="676"/>
      <c r="Z8" s="142"/>
      <c r="AD8" s="142"/>
      <c r="AE8" s="116"/>
    </row>
    <row r="9" spans="1:37" ht="12.75" customHeight="1" thickBot="1" x14ac:dyDescent="0.25">
      <c r="B9" s="659"/>
      <c r="C9" s="660"/>
      <c r="D9" s="654"/>
      <c r="E9" s="712"/>
      <c r="F9" s="714"/>
      <c r="G9" s="714"/>
      <c r="H9" s="710"/>
      <c r="I9" s="710"/>
      <c r="J9" s="710"/>
      <c r="K9" s="664"/>
      <c r="L9" s="664"/>
      <c r="M9" s="718"/>
      <c r="N9" s="718"/>
      <c r="O9" s="718"/>
      <c r="P9" s="676"/>
      <c r="Q9" s="791"/>
      <c r="R9" s="791"/>
      <c r="S9" s="793"/>
      <c r="T9" s="793"/>
      <c r="U9" s="560"/>
      <c r="V9" s="780"/>
      <c r="W9" s="560"/>
      <c r="X9" s="676"/>
      <c r="Y9" s="676"/>
      <c r="Z9" s="142"/>
      <c r="AA9" s="697" t="s">
        <v>201</v>
      </c>
      <c r="AB9" s="698"/>
      <c r="AC9" s="698"/>
      <c r="AD9" s="698"/>
      <c r="AE9" s="698"/>
      <c r="AF9" s="698"/>
      <c r="AG9" s="698"/>
      <c r="AH9" s="698"/>
      <c r="AI9" s="698"/>
      <c r="AJ9" s="698"/>
      <c r="AK9" s="699"/>
    </row>
    <row r="10" spans="1:37" ht="12.75" customHeight="1" x14ac:dyDescent="0.2">
      <c r="B10" s="659"/>
      <c r="C10" s="660"/>
      <c r="D10" s="654"/>
      <c r="E10" s="712"/>
      <c r="F10" s="714"/>
      <c r="G10" s="714"/>
      <c r="H10" s="710"/>
      <c r="I10" s="710"/>
      <c r="J10" s="710"/>
      <c r="K10" s="664"/>
      <c r="L10" s="664"/>
      <c r="M10" s="718"/>
      <c r="N10" s="718"/>
      <c r="O10" s="718"/>
      <c r="P10" s="676"/>
      <c r="Q10" s="791"/>
      <c r="R10" s="791"/>
      <c r="S10" s="793"/>
      <c r="T10" s="793"/>
      <c r="U10" s="560"/>
      <c r="V10" s="780"/>
      <c r="W10" s="560"/>
      <c r="X10" s="676"/>
      <c r="Y10" s="676"/>
      <c r="Z10" s="142"/>
      <c r="AA10" s="671" t="s">
        <v>208</v>
      </c>
      <c r="AB10" s="673" t="s">
        <v>214</v>
      </c>
      <c r="AC10" s="704" t="s">
        <v>189</v>
      </c>
      <c r="AD10" s="681"/>
      <c r="AE10" s="705"/>
      <c r="AF10" s="680" t="s">
        <v>45</v>
      </c>
      <c r="AG10" s="681"/>
      <c r="AH10" s="705"/>
      <c r="AI10" s="680" t="s">
        <v>113</v>
      </c>
      <c r="AJ10" s="681"/>
      <c r="AK10" s="682"/>
    </row>
    <row r="11" spans="1:37" ht="12.75" customHeight="1" thickBot="1" x14ac:dyDescent="0.25">
      <c r="B11" s="659"/>
      <c r="C11" s="660"/>
      <c r="D11" s="654"/>
      <c r="E11" s="712"/>
      <c r="F11" s="714"/>
      <c r="G11" s="714"/>
      <c r="H11" s="710"/>
      <c r="I11" s="710"/>
      <c r="J11" s="710"/>
      <c r="K11" s="664"/>
      <c r="L11" s="664"/>
      <c r="M11" s="718"/>
      <c r="N11" s="718"/>
      <c r="O11" s="718"/>
      <c r="P11" s="676"/>
      <c r="Q11" s="791"/>
      <c r="R11" s="791"/>
      <c r="S11" s="793"/>
      <c r="T11" s="793"/>
      <c r="U11" s="560"/>
      <c r="V11" s="780"/>
      <c r="W11" s="560"/>
      <c r="X11" s="676"/>
      <c r="Y11" s="676"/>
      <c r="Z11" s="142"/>
      <c r="AA11" s="672"/>
      <c r="AB11" s="674"/>
      <c r="AC11" s="683" t="s">
        <v>209</v>
      </c>
      <c r="AD11" s="684"/>
      <c r="AE11" s="685"/>
      <c r="AF11" s="686" t="s">
        <v>210</v>
      </c>
      <c r="AG11" s="684"/>
      <c r="AH11" s="685"/>
      <c r="AI11" s="686" t="s">
        <v>217</v>
      </c>
      <c r="AJ11" s="684"/>
      <c r="AK11" s="687"/>
    </row>
    <row r="12" spans="1:37" ht="12.75" customHeight="1" x14ac:dyDescent="0.2">
      <c r="B12" s="659"/>
      <c r="C12" s="660"/>
      <c r="D12" s="654"/>
      <c r="E12" s="712"/>
      <c r="F12" s="714"/>
      <c r="G12" s="714"/>
      <c r="H12" s="710"/>
      <c r="I12" s="710"/>
      <c r="J12" s="710"/>
      <c r="K12" s="664"/>
      <c r="L12" s="664"/>
      <c r="M12" s="718"/>
      <c r="N12" s="718"/>
      <c r="O12" s="718"/>
      <c r="P12" s="676"/>
      <c r="Q12" s="791"/>
      <c r="R12" s="791"/>
      <c r="S12" s="793"/>
      <c r="T12" s="793"/>
      <c r="U12" s="560"/>
      <c r="V12" s="780"/>
      <c r="W12" s="560"/>
      <c r="X12" s="676"/>
      <c r="Y12" s="676"/>
      <c r="Z12" s="142"/>
      <c r="AA12" s="222" t="s">
        <v>101</v>
      </c>
      <c r="AB12" s="104" t="s">
        <v>211</v>
      </c>
      <c r="AC12" s="695">
        <v>1.5</v>
      </c>
      <c r="AD12" s="617"/>
      <c r="AE12" s="618"/>
      <c r="AF12" s="616">
        <v>0.75</v>
      </c>
      <c r="AG12" s="617"/>
      <c r="AH12" s="618"/>
      <c r="AI12" s="616" t="s">
        <v>97</v>
      </c>
      <c r="AJ12" s="617"/>
      <c r="AK12" s="694"/>
    </row>
    <row r="13" spans="1:37" ht="12.75" customHeight="1" x14ac:dyDescent="0.2">
      <c r="B13" s="659"/>
      <c r="C13" s="660"/>
      <c r="D13" s="654"/>
      <c r="E13" s="712"/>
      <c r="F13" s="714"/>
      <c r="G13" s="714"/>
      <c r="H13" s="710"/>
      <c r="I13" s="710"/>
      <c r="J13" s="710"/>
      <c r="K13" s="664"/>
      <c r="L13" s="664"/>
      <c r="M13" s="718"/>
      <c r="N13" s="718"/>
      <c r="O13" s="718"/>
      <c r="P13" s="676"/>
      <c r="Q13" s="791"/>
      <c r="R13" s="791"/>
      <c r="S13" s="793"/>
      <c r="T13" s="793"/>
      <c r="U13" s="560"/>
      <c r="V13" s="780"/>
      <c r="W13" s="560"/>
      <c r="X13" s="676"/>
      <c r="Y13" s="676"/>
      <c r="Z13" s="142"/>
      <c r="AA13" s="221" t="s">
        <v>102</v>
      </c>
      <c r="AB13" s="103" t="s">
        <v>212</v>
      </c>
      <c r="AC13" s="688">
        <v>2</v>
      </c>
      <c r="AD13" s="689"/>
      <c r="AE13" s="690"/>
      <c r="AF13" s="691">
        <v>0.75</v>
      </c>
      <c r="AG13" s="692"/>
      <c r="AH13" s="693"/>
      <c r="AI13" s="691" t="s">
        <v>97</v>
      </c>
      <c r="AJ13" s="692"/>
      <c r="AK13" s="729"/>
    </row>
    <row r="14" spans="1:37" ht="12.75" customHeight="1" x14ac:dyDescent="0.2">
      <c r="B14" s="659"/>
      <c r="C14" s="660"/>
      <c r="D14" s="654"/>
      <c r="E14" s="712"/>
      <c r="F14" s="714"/>
      <c r="G14" s="714"/>
      <c r="H14" s="710"/>
      <c r="I14" s="710"/>
      <c r="J14" s="710"/>
      <c r="K14" s="664"/>
      <c r="L14" s="664"/>
      <c r="M14" s="718"/>
      <c r="N14" s="718"/>
      <c r="O14" s="718"/>
      <c r="P14" s="676"/>
      <c r="Q14" s="791"/>
      <c r="R14" s="791"/>
      <c r="S14" s="793"/>
      <c r="T14" s="793"/>
      <c r="U14" s="560"/>
      <c r="V14" s="780"/>
      <c r="W14" s="560"/>
      <c r="X14" s="676"/>
      <c r="Y14" s="676"/>
      <c r="Z14" s="142"/>
      <c r="AA14" s="221" t="s">
        <v>107</v>
      </c>
      <c r="AB14" s="103" t="s">
        <v>213</v>
      </c>
      <c r="AC14" s="688" t="s">
        <v>97</v>
      </c>
      <c r="AD14" s="689"/>
      <c r="AE14" s="690"/>
      <c r="AF14" s="691" t="s">
        <v>97</v>
      </c>
      <c r="AG14" s="692"/>
      <c r="AH14" s="693"/>
      <c r="AI14" s="691">
        <v>-1.42</v>
      </c>
      <c r="AJ14" s="692"/>
      <c r="AK14" s="729"/>
    </row>
    <row r="15" spans="1:37" ht="12.75" customHeight="1" x14ac:dyDescent="0.2">
      <c r="B15" s="659"/>
      <c r="C15" s="660"/>
      <c r="D15" s="654"/>
      <c r="E15" s="712"/>
      <c r="F15" s="714"/>
      <c r="G15" s="714"/>
      <c r="H15" s="710"/>
      <c r="I15" s="710"/>
      <c r="J15" s="710"/>
      <c r="K15" s="665"/>
      <c r="L15" s="665"/>
      <c r="M15" s="719"/>
      <c r="N15" s="719"/>
      <c r="O15" s="719"/>
      <c r="P15" s="676"/>
      <c r="Q15" s="791"/>
      <c r="R15" s="791"/>
      <c r="S15" s="794"/>
      <c r="T15" s="794"/>
      <c r="U15" s="561"/>
      <c r="V15" s="781"/>
      <c r="W15" s="561"/>
      <c r="X15" s="676"/>
      <c r="Y15" s="676"/>
      <c r="Z15" s="142"/>
      <c r="AA15" s="221" t="s">
        <v>215</v>
      </c>
      <c r="AB15" s="103" t="s">
        <v>211</v>
      </c>
      <c r="AC15" s="695">
        <v>3.83</v>
      </c>
      <c r="AD15" s="617"/>
      <c r="AE15" s="618"/>
      <c r="AF15" s="616">
        <v>1.42</v>
      </c>
      <c r="AG15" s="617"/>
      <c r="AH15" s="618"/>
      <c r="AI15" s="616" t="s">
        <v>97</v>
      </c>
      <c r="AJ15" s="617"/>
      <c r="AK15" s="694"/>
    </row>
    <row r="16" spans="1:37" ht="12.75" customHeight="1" thickBot="1" x14ac:dyDescent="0.25">
      <c r="B16" s="98" t="s">
        <v>2</v>
      </c>
      <c r="C16" s="99" t="s">
        <v>3</v>
      </c>
      <c r="D16" s="711"/>
      <c r="E16" s="713"/>
      <c r="F16" s="715"/>
      <c r="G16" s="715"/>
      <c r="H16" s="5" t="s">
        <v>5</v>
      </c>
      <c r="I16" s="5" t="s">
        <v>12</v>
      </c>
      <c r="J16" s="84" t="s">
        <v>5</v>
      </c>
      <c r="K16" s="5" t="s">
        <v>5</v>
      </c>
      <c r="L16" s="5" t="s">
        <v>5</v>
      </c>
      <c r="M16" s="73" t="s">
        <v>6</v>
      </c>
      <c r="N16" s="73" t="s">
        <v>6</v>
      </c>
      <c r="O16" s="73" t="s">
        <v>6</v>
      </c>
      <c r="P16" s="84" t="s">
        <v>10</v>
      </c>
      <c r="Q16" s="206" t="s">
        <v>11</v>
      </c>
      <c r="R16" s="206" t="s">
        <v>10</v>
      </c>
      <c r="S16" s="206" t="s">
        <v>10</v>
      </c>
      <c r="T16" s="206" t="s">
        <v>22</v>
      </c>
      <c r="U16" s="73" t="s">
        <v>12</v>
      </c>
      <c r="V16" s="73" t="s">
        <v>5</v>
      </c>
      <c r="W16" s="73" t="s">
        <v>10</v>
      </c>
      <c r="X16" s="458" t="s">
        <v>12</v>
      </c>
      <c r="Y16" s="5" t="s">
        <v>5</v>
      </c>
      <c r="Z16" s="143"/>
      <c r="AA16" s="223" t="s">
        <v>216</v>
      </c>
      <c r="AB16" s="158" t="s">
        <v>211</v>
      </c>
      <c r="AC16" s="677">
        <v>3.17</v>
      </c>
      <c r="AD16" s="678"/>
      <c r="AE16" s="679"/>
      <c r="AF16" s="696">
        <v>1.0900000000000001</v>
      </c>
      <c r="AG16" s="678"/>
      <c r="AH16" s="679"/>
      <c r="AI16" s="696" t="s">
        <v>97</v>
      </c>
      <c r="AJ16" s="678"/>
      <c r="AK16" s="701"/>
    </row>
    <row r="17" spans="1:46" ht="12.75" customHeight="1" x14ac:dyDescent="0.2">
      <c r="A17" s="106"/>
      <c r="B17" s="661" t="s">
        <v>183</v>
      </c>
      <c r="C17" s="662"/>
      <c r="D17" s="100"/>
      <c r="E17" s="100"/>
      <c r="F17" s="100"/>
      <c r="G17" s="100"/>
      <c r="H17" s="192"/>
      <c r="I17" s="193"/>
      <c r="J17" s="193"/>
      <c r="K17" s="101"/>
      <c r="L17" s="101"/>
      <c r="M17" s="118"/>
      <c r="N17" s="118"/>
      <c r="O17" s="118"/>
      <c r="P17" s="118"/>
      <c r="Q17" s="118"/>
      <c r="R17" s="173"/>
      <c r="S17" s="173"/>
      <c r="T17" s="173"/>
      <c r="U17" s="173"/>
      <c r="V17" s="101"/>
      <c r="W17" s="101"/>
      <c r="X17" s="101"/>
      <c r="Y17" s="195"/>
      <c r="Z17" s="143"/>
      <c r="AA17" s="81"/>
      <c r="AB17" s="81"/>
      <c r="AC17" s="81"/>
    </row>
    <row r="18" spans="1:46" ht="12.75" customHeight="1" x14ac:dyDescent="0.2">
      <c r="B18" s="335">
        <v>73445</v>
      </c>
      <c r="C18" s="336">
        <v>74144.14</v>
      </c>
      <c r="D18" s="337" t="s">
        <v>16</v>
      </c>
      <c r="E18" s="337" t="s">
        <v>107</v>
      </c>
      <c r="F18" s="337" t="s">
        <v>101</v>
      </c>
      <c r="G18" s="103" t="str">
        <f t="shared" ref="G18:G34" si="0">IF(AND($E18=$AA$2,$F18=$AA$2),$AC$2,IF(OR(AND($E18=$AA$2,$F18=$AA$3),AND($E18=$AA$3,$F18=$AA$2)),$AC$3,IF(OR(AND($E18=$AA$2,$F18=$AA$4),AND($E18=$AA$4,$F18=$AA$2)),$AC$4,IF(OR(AND($E18=$AA$3,$F18=$AA$4),AND($E18=$AA$4,$F18=$AA$3)),$AC$5,IF(AND($E18=$AA$3,$F18=$AA$3),$AC$6,IF(AND($E18=$AA$4,$F18=$AA$4),$AC$7,"-"))))))</f>
        <v>E/S - C/B</v>
      </c>
      <c r="H18" s="77">
        <f>IF(AND($E18=$AA$2,$F18=$AA$2),2*$AC$12,IF(OR(AND($E18=$AA$2, $F18=$AA$3),AND($E18=$AA$3,$F18=$AA$2)),$AC$12+$AC$13,IF(OR(AND($E18=$AA$2,$F18=$AA$4),AND($E18=$AA$4,$F18=$AA$2)),$AC$12,IF(OR(AND($E18=$AA$3,$F18=$AA$4),AND($E18=$AA$4,$F18=$AA$3)),$AC$13,IF(AND($E18=$AA$3,$F18=$AA$3),2*$AC$13,0)))))</f>
        <v>1.5</v>
      </c>
      <c r="I18" s="27">
        <f>IF(AND($E18=$AA$2,$F18=$AA$2),2*$AF$12*$K18/27,IF(OR(AND($E18=$AA$2,$F18=$AA$3),AND($E18=$AA$3,$F18=$AA$2)),($AF$12+$AF$13)*$K18/27,IF(OR(AND($E18=$AA$2,$F18=$AA$4),AND($E18=$AA$4,$F18=$AA$2)),$AF$12*$K18/27,IF(OR(AND($E18=$AA$3,$F18=$AA$4),AND($E18=$AA$4,$F18=$AA$3)),$AF$13*$K18/27,IF(AND($E18=$AA$3,$F18=$AA$3),2*$AF$13*$K18/27,0)))))</f>
        <v>19.420555555555538</v>
      </c>
      <c r="J18" s="78">
        <f>IF(OR(AND($E18=$AA$2,$F18=$AA$4),AND($E18=$AA$4,$F18=$AA$2)),$AI$14,IF(OR(AND($E18=$AA$3,$F18=$AA$4),AND($E18=$AA$4,$F18=$AA$3)),$AI$14,IF(AND($E18=$AA$4,$F18=$AA$4),2*$AI$14,0)))</f>
        <v>-1.42</v>
      </c>
      <c r="K18" s="83">
        <f t="shared" ref="K18:K34" si="1">C18-B18</f>
        <v>699.13999999999942</v>
      </c>
      <c r="L18" s="342">
        <v>42.18</v>
      </c>
      <c r="M18" s="124">
        <f t="shared" ref="M18:M34" si="2">IF(L18="-",0,ROUNDUP($K18*L18,0))</f>
        <v>29490</v>
      </c>
      <c r="N18" s="344">
        <v>0</v>
      </c>
      <c r="O18" s="123">
        <f t="shared" ref="O18:O34" si="3">SUM(M18:N18)</f>
        <v>29490</v>
      </c>
      <c r="P18" s="85">
        <f>IF(OR($A18="APP SLAB",O18=0),0,($O18+$H18*$K18)/9)</f>
        <v>3393.19</v>
      </c>
      <c r="Q18" s="210">
        <f>IF(AND(P18=0,S18=0),0,IF(S18=0,P18/2000,S18/2000))</f>
        <v>1.6965950000000001</v>
      </c>
      <c r="R18" s="85">
        <f t="shared" ref="R18:R22" si="4">IF(OR(A18="APP SLAB",P18&lt;&gt;0),0,S18)</f>
        <v>0</v>
      </c>
      <c r="S18" s="85">
        <f t="shared" ref="S18:S22" si="5">IF(OR(A18="APP SLAB",P18&lt;&gt;0),0,($O18+H18*K18)/9)</f>
        <v>0</v>
      </c>
      <c r="T18" s="85">
        <f t="shared" ref="T18:T22" si="6">IF(OR(A18="APP SLAB",P18&lt;&gt;0),0,$S$1*S18*110*0.06*0.75/2000)</f>
        <v>0</v>
      </c>
      <c r="U18" s="85">
        <f>(O18*$U$1/12)/27+I18</f>
        <v>565.53166666666664</v>
      </c>
      <c r="V18" s="380">
        <v>0</v>
      </c>
      <c r="W18" s="111">
        <f>IF(A18="APP SLAB",0,(O18+J18*K18)/9)</f>
        <v>3166.3579111111112</v>
      </c>
      <c r="X18" s="454">
        <f>IF(AND($E18=$F18="Uncurbed"),(2*$K18*2*$X$1/12)/27,IF(OR($E18="Uncurbed",$F18="Uncurbed"),($K18*2*$X$1/12)/27,IF(OR(AND($E18="Med. Barr.",$F18="Curbed"),AND($E18="Curbed",$F18="Med. Barr."),$E18=$F18,$E18="Unique",$F18="Unique",$E18="-",$F18="-"),0,"?")))</f>
        <v>25.894074074074052</v>
      </c>
      <c r="Y18" s="85">
        <f>IF(A18="APP SLAB",0,(K18*2))</f>
        <v>1398.2799999999988</v>
      </c>
      <c r="Z18" s="143"/>
      <c r="AA18" s="81"/>
      <c r="AB18" s="81"/>
      <c r="AC18" s="81"/>
    </row>
    <row r="19" spans="1:46" ht="12.75" customHeight="1" x14ac:dyDescent="0.2">
      <c r="B19" s="335">
        <v>74144.14</v>
      </c>
      <c r="C19" s="336">
        <v>74242.990000000005</v>
      </c>
      <c r="D19" s="337" t="s">
        <v>16</v>
      </c>
      <c r="E19" s="337" t="s">
        <v>107</v>
      </c>
      <c r="F19" s="337" t="s">
        <v>101</v>
      </c>
      <c r="G19" s="103" t="str">
        <f t="shared" si="0"/>
        <v>E/S - C/B</v>
      </c>
      <c r="H19" s="77">
        <f t="shared" ref="H19:H34" si="7">IF(AND($E19=$AA$2,$F19=$AA$2),2*$AC$12,IF(OR(AND($E19=$AA$2, $F19=$AA$3),AND($E19=$AA$3,$F19=$AA$2)),$AC$12+$AC$13,IF(OR(AND($E19=$AA$2,$F19=$AA$4),AND($E19=$AA$4,$F19=$AA$2)),$AC$12,IF(OR(AND($E19=$AA$3,$F19=$AA$4),AND($E19=$AA$4,$F19=$AA$3)),$AC$13,IF(AND($E19=$AA$3,$F19=$AA$3),2*$AC$13,0)))))</f>
        <v>1.5</v>
      </c>
      <c r="I19" s="27">
        <f t="shared" ref="I19:I34" si="8">IF(AND($E19=$AA$2,$F19=$AA$2),2*$AF$12*$K19/27,IF(OR(AND($E19=$AA$2,$F19=$AA$3),AND($E19=$AA$3,$F19=$AA$2)),($AF$12+$AF$13)*$K19/27,IF(OR(AND($E19=$AA$2,$F19=$AA$4),AND($E19=$AA$4,$F19=$AA$2)),$AF$12*$K19/27,IF(OR(AND($E19=$AA$3,$F19=$AA$4),AND($E19=$AA$4,$F19=$AA$3)),$AF$13*$K19/27,IF(AND($E19=$AA$3,$F19=$AA$3),2*$AF$13*$K19/27,0)))))</f>
        <v>2.7458333333334952</v>
      </c>
      <c r="J19" s="78">
        <f t="shared" ref="J19:J34" si="9">IF(OR(AND($E19=$AA$2,$F19=$AA$4),AND($E19=$AA$4,$F19=$AA$2)),$AI$14,IF(OR(AND($E19=$AA$3,$F19=$AA$4),AND($E19=$AA$4,$F19=$AA$3)),$AI$14,IF(AND($E19=$AA$4,$F19=$AA$4),2*$AI$14,0)))</f>
        <v>-1.42</v>
      </c>
      <c r="K19" s="83">
        <f t="shared" si="1"/>
        <v>98.850000000005821</v>
      </c>
      <c r="L19" s="342">
        <v>45.15</v>
      </c>
      <c r="M19" s="124">
        <f t="shared" si="2"/>
        <v>4464</v>
      </c>
      <c r="N19" s="344">
        <v>0</v>
      </c>
      <c r="O19" s="123">
        <f t="shared" si="3"/>
        <v>4464</v>
      </c>
      <c r="P19" s="85">
        <f t="shared" ref="P19:P22" si="10">IF(OR($A19="APP SLAB",O19=0),0,($O19+$H19*$K19)/9)</f>
        <v>512.47500000000093</v>
      </c>
      <c r="Q19" s="210">
        <f t="shared" ref="Q19:Q34" si="11">IF(AND(P19=0,S19=0),0,IF(S19=0,P19/2000,S19/2000))</f>
        <v>0.25623750000000045</v>
      </c>
      <c r="R19" s="85">
        <f t="shared" si="4"/>
        <v>0</v>
      </c>
      <c r="S19" s="85">
        <f t="shared" si="5"/>
        <v>0</v>
      </c>
      <c r="T19" s="85">
        <f t="shared" si="6"/>
        <v>0</v>
      </c>
      <c r="U19" s="85">
        <f t="shared" ref="U19:U34" si="12">(O19*$U$1/12)/27+I19</f>
        <v>85.412500000000165</v>
      </c>
      <c r="V19" s="380">
        <v>0</v>
      </c>
      <c r="W19" s="111">
        <f t="shared" ref="W19:W34" si="13">IF(A19="APP SLAB",0,(O19+J19*K19)/9)</f>
        <v>480.40366666666574</v>
      </c>
      <c r="X19" s="454">
        <f t="shared" ref="X19:X34" si="14">IF(AND($E19=$F19="Uncurbed"),(2*$K19*2*$X$1/12)/27,IF(OR($E19="Uncurbed",$F19="Uncurbed"),($K19*2*$X$1/12)/27,IF(OR(AND($E19="Med. Barr.",$F19="Curbed"),AND($E19="Curbed",$F19="Med. Barr."),$E19=$F19,$E19="Unique",$F19="Unique",$E19="-",$F19="-"),0,"?")))</f>
        <v>3.6611111111113268</v>
      </c>
      <c r="Y19" s="85">
        <f t="shared" ref="Y19:Y34" si="15">IF(A19="APP SLAB",0,(K19*2))</f>
        <v>197.70000000001164</v>
      </c>
      <c r="Z19" s="143"/>
      <c r="AA19" s="81"/>
      <c r="AB19" s="81"/>
      <c r="AC19" s="81"/>
    </row>
    <row r="20" spans="1:46" ht="12.75" customHeight="1" x14ac:dyDescent="0.2">
      <c r="B20" s="335">
        <v>74242.990000000005</v>
      </c>
      <c r="C20" s="336">
        <v>74499.11</v>
      </c>
      <c r="D20" s="337" t="s">
        <v>16</v>
      </c>
      <c r="E20" s="337" t="s">
        <v>107</v>
      </c>
      <c r="F20" s="337" t="s">
        <v>101</v>
      </c>
      <c r="G20" s="103" t="str">
        <f t="shared" si="0"/>
        <v>E/S - C/B</v>
      </c>
      <c r="H20" s="77">
        <f t="shared" si="7"/>
        <v>1.5</v>
      </c>
      <c r="I20" s="27">
        <f t="shared" si="8"/>
        <v>7.1144444444443149</v>
      </c>
      <c r="J20" s="78">
        <f t="shared" si="9"/>
        <v>-1.42</v>
      </c>
      <c r="K20" s="83">
        <f t="shared" si="1"/>
        <v>256.11999999999534</v>
      </c>
      <c r="L20" s="342">
        <v>50.87</v>
      </c>
      <c r="M20" s="124">
        <f t="shared" si="2"/>
        <v>13029</v>
      </c>
      <c r="N20" s="344">
        <v>0</v>
      </c>
      <c r="O20" s="123">
        <f t="shared" si="3"/>
        <v>13029</v>
      </c>
      <c r="P20" s="85">
        <f t="shared" si="10"/>
        <v>1490.3533333333326</v>
      </c>
      <c r="Q20" s="210">
        <f t="shared" si="11"/>
        <v>0.74517666666666627</v>
      </c>
      <c r="R20" s="85">
        <f t="shared" si="4"/>
        <v>0</v>
      </c>
      <c r="S20" s="85">
        <f t="shared" si="5"/>
        <v>0</v>
      </c>
      <c r="T20" s="85">
        <f t="shared" si="6"/>
        <v>0</v>
      </c>
      <c r="U20" s="85">
        <f t="shared" si="12"/>
        <v>248.39222222222207</v>
      </c>
      <c r="V20" s="380">
        <v>0</v>
      </c>
      <c r="W20" s="111">
        <f t="shared" si="13"/>
        <v>1407.2566222222229</v>
      </c>
      <c r="X20" s="454">
        <f t="shared" si="14"/>
        <v>9.4859259259257538</v>
      </c>
      <c r="Y20" s="85">
        <f t="shared" si="15"/>
        <v>512.23999999999069</v>
      </c>
      <c r="Z20" s="120"/>
      <c r="AA20" s="81"/>
      <c r="AB20" s="81"/>
      <c r="AC20" s="81"/>
    </row>
    <row r="21" spans="1:46" ht="12.75" customHeight="1" x14ac:dyDescent="0.2">
      <c r="B21" s="335">
        <v>74499.11</v>
      </c>
      <c r="C21" s="336">
        <v>74584.929999999993</v>
      </c>
      <c r="D21" s="337" t="s">
        <v>16</v>
      </c>
      <c r="E21" s="337" t="s">
        <v>107</v>
      </c>
      <c r="F21" s="337" t="s">
        <v>101</v>
      </c>
      <c r="G21" s="103" t="str">
        <f t="shared" si="0"/>
        <v>E/S - C/B</v>
      </c>
      <c r="H21" s="77">
        <f t="shared" si="7"/>
        <v>1.5</v>
      </c>
      <c r="I21" s="27">
        <f t="shared" si="8"/>
        <v>2.3838888888886789</v>
      </c>
      <c r="J21" s="78">
        <f t="shared" si="9"/>
        <v>-1.42</v>
      </c>
      <c r="K21" s="83">
        <f t="shared" si="1"/>
        <v>85.819999999992433</v>
      </c>
      <c r="L21" s="342">
        <v>50.42</v>
      </c>
      <c r="M21" s="124">
        <f t="shared" si="2"/>
        <v>4328</v>
      </c>
      <c r="N21" s="344">
        <v>0</v>
      </c>
      <c r="O21" s="123">
        <f t="shared" si="3"/>
        <v>4328</v>
      </c>
      <c r="P21" s="85">
        <f t="shared" si="10"/>
        <v>495.19222222222095</v>
      </c>
      <c r="Q21" s="210">
        <f t="shared" si="11"/>
        <v>0.24759611111111046</v>
      </c>
      <c r="R21" s="85">
        <f t="shared" si="4"/>
        <v>0</v>
      </c>
      <c r="S21" s="85">
        <f t="shared" si="5"/>
        <v>0</v>
      </c>
      <c r="T21" s="85">
        <f t="shared" si="6"/>
        <v>0</v>
      </c>
      <c r="U21" s="85">
        <f t="shared" si="12"/>
        <v>82.532037037036829</v>
      </c>
      <c r="V21" s="380">
        <v>0</v>
      </c>
      <c r="W21" s="111">
        <f t="shared" si="13"/>
        <v>467.34840000000116</v>
      </c>
      <c r="X21" s="454">
        <f t="shared" si="14"/>
        <v>3.1785185185182381</v>
      </c>
      <c r="Y21" s="85">
        <f t="shared" si="15"/>
        <v>171.63999999998487</v>
      </c>
      <c r="Z21" s="10"/>
      <c r="AA21" s="81"/>
      <c r="AB21" s="81"/>
      <c r="AC21" s="81"/>
    </row>
    <row r="22" spans="1:46" ht="12.75" customHeight="1" x14ac:dyDescent="0.2">
      <c r="B22" s="335">
        <v>74584.929999999993</v>
      </c>
      <c r="C22" s="336">
        <v>74587</v>
      </c>
      <c r="D22" s="337" t="s">
        <v>16</v>
      </c>
      <c r="E22" s="337" t="s">
        <v>107</v>
      </c>
      <c r="F22" s="337" t="s">
        <v>101</v>
      </c>
      <c r="G22" s="103" t="str">
        <f t="shared" si="0"/>
        <v>E/S - C/B</v>
      </c>
      <c r="H22" s="77">
        <f t="shared" si="7"/>
        <v>1.5</v>
      </c>
      <c r="I22" s="27">
        <f t="shared" si="8"/>
        <v>5.7500000000194028E-2</v>
      </c>
      <c r="J22" s="78">
        <f t="shared" si="9"/>
        <v>-1.42</v>
      </c>
      <c r="K22" s="83">
        <f t="shared" si="1"/>
        <v>2.0700000000069849</v>
      </c>
      <c r="L22" s="342" t="s">
        <v>97</v>
      </c>
      <c r="M22" s="124">
        <f t="shared" si="2"/>
        <v>0</v>
      </c>
      <c r="N22" s="344">
        <v>104</v>
      </c>
      <c r="O22" s="123">
        <f t="shared" si="3"/>
        <v>104</v>
      </c>
      <c r="P22" s="85">
        <f t="shared" si="10"/>
        <v>11.90055555555672</v>
      </c>
      <c r="Q22" s="210">
        <f t="shared" si="11"/>
        <v>5.9502777777783594E-3</v>
      </c>
      <c r="R22" s="85">
        <f t="shared" si="4"/>
        <v>0</v>
      </c>
      <c r="S22" s="85">
        <f t="shared" si="5"/>
        <v>0</v>
      </c>
      <c r="T22" s="85">
        <f t="shared" si="6"/>
        <v>0</v>
      </c>
      <c r="U22" s="85">
        <f t="shared" si="12"/>
        <v>1.9834259259261198</v>
      </c>
      <c r="V22" s="380">
        <v>0</v>
      </c>
      <c r="W22" s="111">
        <f t="shared" si="13"/>
        <v>11.228955555554453</v>
      </c>
      <c r="X22" s="454">
        <f t="shared" si="14"/>
        <v>7.666666666692537E-2</v>
      </c>
      <c r="Y22" s="85">
        <f t="shared" si="15"/>
        <v>4.1400000000139698</v>
      </c>
      <c r="Z22" s="10"/>
      <c r="AA22" s="81"/>
      <c r="AB22" s="81"/>
      <c r="AC22" s="81"/>
    </row>
    <row r="23" spans="1:46" ht="12.75" customHeight="1" x14ac:dyDescent="0.2">
      <c r="B23" s="353">
        <v>74587</v>
      </c>
      <c r="C23" s="354">
        <v>75039.25</v>
      </c>
      <c r="D23" s="337" t="s">
        <v>16</v>
      </c>
      <c r="E23" s="337" t="s">
        <v>107</v>
      </c>
      <c r="F23" s="337" t="s">
        <v>101</v>
      </c>
      <c r="G23" s="103" t="str">
        <f t="shared" si="0"/>
        <v>E/S - C/B</v>
      </c>
      <c r="H23" s="77">
        <f t="shared" si="7"/>
        <v>1.5</v>
      </c>
      <c r="I23" s="27">
        <f t="shared" si="8"/>
        <v>12.5625</v>
      </c>
      <c r="J23" s="78">
        <f t="shared" si="9"/>
        <v>-1.42</v>
      </c>
      <c r="K23" s="89">
        <f t="shared" si="1"/>
        <v>452.25</v>
      </c>
      <c r="L23" s="342" t="s">
        <v>97</v>
      </c>
      <c r="M23" s="124">
        <f t="shared" si="2"/>
        <v>0</v>
      </c>
      <c r="N23" s="344">
        <v>26866</v>
      </c>
      <c r="O23" s="124">
        <f t="shared" si="3"/>
        <v>26866</v>
      </c>
      <c r="P23" s="349">
        <v>0</v>
      </c>
      <c r="Q23" s="210">
        <f t="shared" si="11"/>
        <v>1.5302430555555557</v>
      </c>
      <c r="R23" s="85">
        <f>IF(OR(A23="APP SLAB",P23&lt;&gt;0),0,S23)</f>
        <v>3060.4861111111113</v>
      </c>
      <c r="S23" s="85">
        <f>IF(OR(A23="APP SLAB",P23&lt;&gt;0),0,($O23+H23*K23)/9)</f>
        <v>3060.4861111111113</v>
      </c>
      <c r="T23" s="85">
        <f>IF(OR(A23="APP SLAB",P23&lt;&gt;0),0,$S$1*S23*110*0.06*0.75/2000)</f>
        <v>90.896437500000005</v>
      </c>
      <c r="U23" s="85">
        <f t="shared" si="12"/>
        <v>510.08101851851853</v>
      </c>
      <c r="V23" s="380">
        <v>0</v>
      </c>
      <c r="W23" s="111">
        <f t="shared" si="13"/>
        <v>2913.7561111111113</v>
      </c>
      <c r="X23" s="454">
        <f t="shared" si="14"/>
        <v>16.75</v>
      </c>
      <c r="Y23" s="85">
        <f t="shared" si="15"/>
        <v>904.5</v>
      </c>
      <c r="Z23" s="10"/>
      <c r="AA23" s="81"/>
      <c r="AB23" s="81"/>
      <c r="AC23" s="81"/>
    </row>
    <row r="24" spans="1:46" ht="12.75" customHeight="1" x14ac:dyDescent="0.2">
      <c r="B24" s="353">
        <v>75039.25</v>
      </c>
      <c r="C24" s="354">
        <v>75100</v>
      </c>
      <c r="D24" s="337" t="s">
        <v>16</v>
      </c>
      <c r="E24" s="337" t="s">
        <v>107</v>
      </c>
      <c r="F24" s="337" t="s">
        <v>101</v>
      </c>
      <c r="G24" s="104" t="str">
        <f t="shared" si="0"/>
        <v>E/S - C/B</v>
      </c>
      <c r="H24" s="77">
        <f t="shared" si="7"/>
        <v>1.5</v>
      </c>
      <c r="I24" s="27">
        <f t="shared" si="8"/>
        <v>1.6875</v>
      </c>
      <c r="J24" s="78">
        <f t="shared" si="9"/>
        <v>-1.42</v>
      </c>
      <c r="K24" s="89">
        <f t="shared" si="1"/>
        <v>60.75</v>
      </c>
      <c r="L24" s="342">
        <v>42.42</v>
      </c>
      <c r="M24" s="124">
        <f t="shared" si="2"/>
        <v>2578</v>
      </c>
      <c r="N24" s="344">
        <v>0</v>
      </c>
      <c r="O24" s="124">
        <f t="shared" si="3"/>
        <v>2578</v>
      </c>
      <c r="P24" s="349">
        <v>0</v>
      </c>
      <c r="Q24" s="210">
        <f t="shared" si="11"/>
        <v>0.14828472222222222</v>
      </c>
      <c r="R24" s="85">
        <f t="shared" ref="R24:R34" si="16">IF(OR(A24="APP SLAB",P24&lt;&gt;0),0,S24)</f>
        <v>296.56944444444446</v>
      </c>
      <c r="S24" s="85">
        <f t="shared" ref="S24:S34" si="17">IF(OR(A24="APP SLAB",P24&lt;&gt;0),0,($O24+H24*K24)/9)</f>
        <v>296.56944444444446</v>
      </c>
      <c r="T24" s="85">
        <f t="shared" ref="T24:T34" si="18">IF(OR(A24="APP SLAB",P24&lt;&gt;0),0,$S$1*S24*110*0.06*0.75/2000)</f>
        <v>8.8081125</v>
      </c>
      <c r="U24" s="85">
        <f t="shared" si="12"/>
        <v>49.42824074074074</v>
      </c>
      <c r="V24" s="380">
        <v>0</v>
      </c>
      <c r="W24" s="111">
        <f t="shared" si="13"/>
        <v>276.85944444444448</v>
      </c>
      <c r="X24" s="454">
        <f t="shared" si="14"/>
        <v>2.25</v>
      </c>
      <c r="Y24" s="85">
        <f t="shared" si="15"/>
        <v>121.5</v>
      </c>
      <c r="Z24" s="10"/>
      <c r="AA24" s="93"/>
      <c r="AB24" s="93"/>
      <c r="AC24" s="93"/>
      <c r="AD24" s="93"/>
      <c r="AE24" s="722"/>
      <c r="AF24" s="722"/>
      <c r="AG24" s="722"/>
      <c r="AH24" s="93"/>
      <c r="AI24" s="722"/>
      <c r="AJ24" s="722"/>
      <c r="AK24" s="722"/>
      <c r="AL24" s="722"/>
      <c r="AM24" s="722"/>
      <c r="AN24" s="722"/>
      <c r="AO24" s="722"/>
      <c r="AP24" s="722"/>
      <c r="AQ24" s="722"/>
      <c r="AR24" s="722"/>
      <c r="AS24" s="722"/>
      <c r="AT24" s="722"/>
    </row>
    <row r="25" spans="1:46" ht="12.75" customHeight="1" x14ac:dyDescent="0.2">
      <c r="B25" s="353">
        <v>75100</v>
      </c>
      <c r="C25" s="354">
        <v>75140</v>
      </c>
      <c r="D25" s="337" t="s">
        <v>16</v>
      </c>
      <c r="E25" s="337" t="s">
        <v>107</v>
      </c>
      <c r="F25" s="337" t="s">
        <v>101</v>
      </c>
      <c r="G25" s="104" t="str">
        <f t="shared" si="0"/>
        <v>E/S - C/B</v>
      </c>
      <c r="H25" s="77">
        <f t="shared" si="7"/>
        <v>1.5</v>
      </c>
      <c r="I25" s="27">
        <f t="shared" si="8"/>
        <v>1.1111111111111112</v>
      </c>
      <c r="J25" s="78">
        <f t="shared" si="9"/>
        <v>-1.42</v>
      </c>
      <c r="K25" s="482">
        <f t="shared" ref="K25" si="19">C25-B25</f>
        <v>40</v>
      </c>
      <c r="L25" s="342">
        <v>42.42</v>
      </c>
      <c r="M25" s="124">
        <f t="shared" ref="M25" si="20">IF(L25="-",0,ROUNDUP($K25*L25,0))</f>
        <v>1697</v>
      </c>
      <c r="N25" s="344">
        <v>0</v>
      </c>
      <c r="O25" s="124">
        <f t="shared" ref="O25" si="21">SUM(M25:N25)</f>
        <v>1697</v>
      </c>
      <c r="P25" s="480">
        <f t="shared" ref="P25:P32" si="22">IF(OR($A25="APP SLAB",O25=0),0,($O25+$H25*$K25)/9)</f>
        <v>195.22222222222223</v>
      </c>
      <c r="Q25" s="210">
        <f t="shared" ref="Q25" si="23">IF(AND(P25=0,S25=0),0,IF(S25=0,P25/2000,S25/2000))</f>
        <v>9.7611111111111121E-2</v>
      </c>
      <c r="R25" s="480">
        <f t="shared" ref="R25" si="24">IF(OR(A25="APP SLAB",P25&lt;&gt;0),0,S25)</f>
        <v>0</v>
      </c>
      <c r="S25" s="480">
        <f t="shared" ref="S25" si="25">IF(OR(A25="APP SLAB",P25&lt;&gt;0),0,($O25+H25*K25)/9)</f>
        <v>0</v>
      </c>
      <c r="T25" s="480">
        <f t="shared" ref="T25" si="26">IF(OR(A25="APP SLAB",P25&lt;&gt;0),0,$S$1*S25*110*0.06*0.75/2000)</f>
        <v>0</v>
      </c>
      <c r="U25" s="480">
        <f t="shared" ref="U25" si="27">(O25*$U$1/12)/27+I25</f>
        <v>32.537037037037038</v>
      </c>
      <c r="V25" s="380">
        <v>0</v>
      </c>
      <c r="W25" s="111">
        <f t="shared" ref="W25" si="28">IF(A25="APP SLAB",0,(O25+J25*K25)/9)</f>
        <v>182.24444444444444</v>
      </c>
      <c r="X25" s="498">
        <f t="shared" si="14"/>
        <v>1.4814814814814814</v>
      </c>
      <c r="Y25" s="480">
        <f t="shared" ref="Y25" si="29">IF(A25="APP SLAB",0,(K25*2))</f>
        <v>80</v>
      </c>
      <c r="Z25" s="10"/>
      <c r="AA25" s="93"/>
      <c r="AB25" s="93"/>
      <c r="AC25" s="93"/>
      <c r="AD25" s="93"/>
      <c r="AE25" s="501"/>
      <c r="AF25" s="501"/>
      <c r="AG25" s="501"/>
      <c r="AH25" s="93"/>
      <c r="AI25" s="501"/>
      <c r="AJ25" s="501"/>
      <c r="AK25" s="501"/>
      <c r="AL25" s="501"/>
      <c r="AM25" s="501"/>
      <c r="AN25" s="501"/>
      <c r="AO25" s="501"/>
      <c r="AP25" s="501"/>
      <c r="AQ25" s="501"/>
      <c r="AR25" s="501"/>
      <c r="AS25" s="501"/>
      <c r="AT25" s="501"/>
    </row>
    <row r="26" spans="1:46" ht="12.75" customHeight="1" x14ac:dyDescent="0.2">
      <c r="B26" s="335">
        <v>75140</v>
      </c>
      <c r="C26" s="336">
        <v>75778.14</v>
      </c>
      <c r="D26" s="337" t="s">
        <v>16</v>
      </c>
      <c r="E26" s="337" t="s">
        <v>107</v>
      </c>
      <c r="F26" s="337" t="s">
        <v>102</v>
      </c>
      <c r="G26" s="103" t="str">
        <f t="shared" si="0"/>
        <v>F/C - C/B</v>
      </c>
      <c r="H26" s="77">
        <f t="shared" si="7"/>
        <v>2</v>
      </c>
      <c r="I26" s="27">
        <f t="shared" si="8"/>
        <v>17.726111111111095</v>
      </c>
      <c r="J26" s="78">
        <f t="shared" si="9"/>
        <v>-1.42</v>
      </c>
      <c r="K26" s="83">
        <f t="shared" si="1"/>
        <v>638.13999999999942</v>
      </c>
      <c r="L26" s="342">
        <v>44.42</v>
      </c>
      <c r="M26" s="124">
        <f t="shared" si="2"/>
        <v>28347</v>
      </c>
      <c r="N26" s="344">
        <v>0</v>
      </c>
      <c r="O26" s="123">
        <f t="shared" si="3"/>
        <v>28347</v>
      </c>
      <c r="P26" s="480">
        <f t="shared" si="22"/>
        <v>3291.4755555555553</v>
      </c>
      <c r="Q26" s="210">
        <f t="shared" si="11"/>
        <v>1.6457377777777777</v>
      </c>
      <c r="R26" s="85">
        <f t="shared" si="16"/>
        <v>0</v>
      </c>
      <c r="S26" s="85">
        <f t="shared" si="17"/>
        <v>0</v>
      </c>
      <c r="T26" s="85">
        <f t="shared" si="18"/>
        <v>0</v>
      </c>
      <c r="U26" s="85">
        <f t="shared" si="12"/>
        <v>542.67055555555555</v>
      </c>
      <c r="V26" s="380">
        <v>0</v>
      </c>
      <c r="W26" s="111">
        <f t="shared" si="13"/>
        <v>3048.9823555555558</v>
      </c>
      <c r="X26" s="454">
        <f t="shared" si="14"/>
        <v>0</v>
      </c>
      <c r="Y26" s="85">
        <f t="shared" si="15"/>
        <v>1276.2799999999988</v>
      </c>
      <c r="Z26" s="189"/>
      <c r="AA26" s="93"/>
      <c r="AB26" s="93"/>
      <c r="AC26" s="93"/>
      <c r="AD26" s="93"/>
      <c r="AE26" s="723"/>
      <c r="AF26" s="723"/>
      <c r="AG26" s="723"/>
      <c r="AH26" s="93"/>
      <c r="AI26" s="723"/>
      <c r="AJ26" s="723"/>
      <c r="AK26" s="723"/>
      <c r="AL26" s="723"/>
      <c r="AM26" s="723"/>
      <c r="AN26" s="723"/>
      <c r="AO26" s="723"/>
      <c r="AP26" s="723"/>
      <c r="AQ26" s="723"/>
      <c r="AR26" s="723"/>
      <c r="AS26" s="723"/>
      <c r="AT26" s="723"/>
    </row>
    <row r="27" spans="1:46" ht="12.75" customHeight="1" x14ac:dyDescent="0.2">
      <c r="B27" s="335">
        <v>75778.14</v>
      </c>
      <c r="C27" s="336">
        <v>75788.42</v>
      </c>
      <c r="D27" s="337" t="s">
        <v>16</v>
      </c>
      <c r="E27" s="337" t="s">
        <v>107</v>
      </c>
      <c r="F27" s="337" t="s">
        <v>97</v>
      </c>
      <c r="G27" s="103" t="str">
        <f t="shared" si="0"/>
        <v>-</v>
      </c>
      <c r="H27" s="349">
        <v>0</v>
      </c>
      <c r="I27" s="338">
        <v>0</v>
      </c>
      <c r="J27" s="358">
        <v>-1.42</v>
      </c>
      <c r="K27" s="83">
        <f t="shared" si="1"/>
        <v>10.279999999998836</v>
      </c>
      <c r="L27" s="342" t="s">
        <v>97</v>
      </c>
      <c r="M27" s="124">
        <f t="shared" si="2"/>
        <v>0</v>
      </c>
      <c r="N27" s="344">
        <v>229</v>
      </c>
      <c r="O27" s="123">
        <f t="shared" si="3"/>
        <v>229</v>
      </c>
      <c r="P27" s="480">
        <f t="shared" si="22"/>
        <v>25.444444444444443</v>
      </c>
      <c r="Q27" s="210">
        <f t="shared" si="11"/>
        <v>1.2722222222222222E-2</v>
      </c>
      <c r="R27" s="85">
        <f t="shared" si="16"/>
        <v>0</v>
      </c>
      <c r="S27" s="85">
        <f t="shared" si="17"/>
        <v>0</v>
      </c>
      <c r="T27" s="85">
        <f t="shared" si="18"/>
        <v>0</v>
      </c>
      <c r="U27" s="85">
        <f t="shared" si="12"/>
        <v>4.2407407407407405</v>
      </c>
      <c r="V27" s="380">
        <v>0</v>
      </c>
      <c r="W27" s="111">
        <f t="shared" si="13"/>
        <v>23.822488888889072</v>
      </c>
      <c r="X27" s="454">
        <f t="shared" si="14"/>
        <v>0</v>
      </c>
      <c r="Y27" s="85">
        <f t="shared" si="15"/>
        <v>20.559999999997672</v>
      </c>
      <c r="Z27" s="189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</row>
    <row r="28" spans="1:46" ht="12.75" customHeight="1" x14ac:dyDescent="0.2">
      <c r="A28" s="81" t="s">
        <v>28</v>
      </c>
      <c r="B28" s="335">
        <v>75788.42</v>
      </c>
      <c r="C28" s="336">
        <v>75818.42</v>
      </c>
      <c r="D28" s="337" t="s">
        <v>16</v>
      </c>
      <c r="E28" s="337" t="s">
        <v>97</v>
      </c>
      <c r="F28" s="337" t="s">
        <v>97</v>
      </c>
      <c r="G28" s="103" t="str">
        <f t="shared" si="0"/>
        <v>-</v>
      </c>
      <c r="H28" s="77">
        <v>4</v>
      </c>
      <c r="I28" s="27">
        <f t="shared" si="8"/>
        <v>0</v>
      </c>
      <c r="J28" s="78">
        <f t="shared" si="9"/>
        <v>0</v>
      </c>
      <c r="K28" s="83">
        <f t="shared" si="1"/>
        <v>30</v>
      </c>
      <c r="L28" s="342" t="s">
        <v>97</v>
      </c>
      <c r="M28" s="124">
        <f t="shared" si="2"/>
        <v>0</v>
      </c>
      <c r="N28" s="344">
        <v>1413</v>
      </c>
      <c r="O28" s="123">
        <f t="shared" si="3"/>
        <v>1413</v>
      </c>
      <c r="P28" s="480">
        <f>IF(OR(O28=0),0,($O28+$H28*$K28)/9)</f>
        <v>170.33333333333334</v>
      </c>
      <c r="Q28" s="210">
        <f t="shared" si="11"/>
        <v>8.5166666666666668E-2</v>
      </c>
      <c r="R28" s="85">
        <f t="shared" si="16"/>
        <v>0</v>
      </c>
      <c r="S28" s="85">
        <f t="shared" si="17"/>
        <v>0</v>
      </c>
      <c r="T28" s="85">
        <f t="shared" si="18"/>
        <v>0</v>
      </c>
      <c r="U28" s="85">
        <f t="shared" si="12"/>
        <v>26.166666666666668</v>
      </c>
      <c r="V28" s="380">
        <v>46</v>
      </c>
      <c r="W28" s="111">
        <f t="shared" si="13"/>
        <v>0</v>
      </c>
      <c r="X28" s="454">
        <f t="shared" si="14"/>
        <v>0</v>
      </c>
      <c r="Y28" s="85">
        <f t="shared" si="15"/>
        <v>0</v>
      </c>
      <c r="Z28" s="189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</row>
    <row r="29" spans="1:46" ht="12.75" customHeight="1" x14ac:dyDescent="0.2">
      <c r="A29" s="81" t="s">
        <v>28</v>
      </c>
      <c r="B29" s="335">
        <v>75914.84</v>
      </c>
      <c r="C29" s="336">
        <v>75944.84</v>
      </c>
      <c r="D29" s="337" t="s">
        <v>16</v>
      </c>
      <c r="E29" s="337" t="s">
        <v>97</v>
      </c>
      <c r="F29" s="337" t="s">
        <v>97</v>
      </c>
      <c r="G29" s="103" t="str">
        <f t="shared" si="0"/>
        <v>-</v>
      </c>
      <c r="H29" s="77">
        <v>4</v>
      </c>
      <c r="I29" s="27">
        <f t="shared" si="8"/>
        <v>0</v>
      </c>
      <c r="J29" s="78">
        <f t="shared" si="9"/>
        <v>0</v>
      </c>
      <c r="K29" s="83">
        <f t="shared" si="1"/>
        <v>30</v>
      </c>
      <c r="L29" s="342" t="s">
        <v>97</v>
      </c>
      <c r="M29" s="124">
        <f t="shared" si="2"/>
        <v>0</v>
      </c>
      <c r="N29" s="344">
        <v>1413</v>
      </c>
      <c r="O29" s="123">
        <f t="shared" si="3"/>
        <v>1413</v>
      </c>
      <c r="P29" s="480">
        <f>IF(OR(O29=0),0,($O29+$H29*$K29)/9)</f>
        <v>170.33333333333334</v>
      </c>
      <c r="Q29" s="210">
        <f t="shared" si="11"/>
        <v>8.5166666666666668E-2</v>
      </c>
      <c r="R29" s="85">
        <f t="shared" si="16"/>
        <v>0</v>
      </c>
      <c r="S29" s="85">
        <f t="shared" si="17"/>
        <v>0</v>
      </c>
      <c r="T29" s="85">
        <f t="shared" si="18"/>
        <v>0</v>
      </c>
      <c r="U29" s="85">
        <f t="shared" si="12"/>
        <v>26.166666666666668</v>
      </c>
      <c r="V29" s="380">
        <v>46</v>
      </c>
      <c r="W29" s="111">
        <f t="shared" si="13"/>
        <v>0</v>
      </c>
      <c r="X29" s="454">
        <f t="shared" si="14"/>
        <v>0</v>
      </c>
      <c r="Y29" s="85">
        <f t="shared" si="15"/>
        <v>0</v>
      </c>
      <c r="Z29" s="10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</row>
    <row r="30" spans="1:46" ht="12.75" customHeight="1" x14ac:dyDescent="0.2">
      <c r="B30" s="335">
        <v>75934.570000000007</v>
      </c>
      <c r="C30" s="336">
        <v>75944.84</v>
      </c>
      <c r="D30" s="337" t="s">
        <v>16</v>
      </c>
      <c r="E30" s="337" t="s">
        <v>97</v>
      </c>
      <c r="F30" s="337" t="s">
        <v>102</v>
      </c>
      <c r="G30" s="103" t="str">
        <f t="shared" si="0"/>
        <v>-</v>
      </c>
      <c r="H30" s="349">
        <v>1.5</v>
      </c>
      <c r="I30" s="338">
        <v>0.19</v>
      </c>
      <c r="J30" s="358">
        <v>0</v>
      </c>
      <c r="K30" s="83">
        <f t="shared" si="1"/>
        <v>10.269999999989523</v>
      </c>
      <c r="L30" s="342" t="s">
        <v>97</v>
      </c>
      <c r="M30" s="124">
        <f t="shared" si="2"/>
        <v>0</v>
      </c>
      <c r="N30" s="344">
        <v>229</v>
      </c>
      <c r="O30" s="123">
        <f t="shared" si="3"/>
        <v>229</v>
      </c>
      <c r="P30" s="480">
        <f t="shared" si="22"/>
        <v>27.156111111109364</v>
      </c>
      <c r="Q30" s="210">
        <f t="shared" si="11"/>
        <v>1.3578055555554682E-2</v>
      </c>
      <c r="R30" s="85">
        <f t="shared" si="16"/>
        <v>0</v>
      </c>
      <c r="S30" s="85">
        <f t="shared" si="17"/>
        <v>0</v>
      </c>
      <c r="T30" s="85">
        <f t="shared" si="18"/>
        <v>0</v>
      </c>
      <c r="U30" s="85">
        <f t="shared" si="12"/>
        <v>4.4307407407407409</v>
      </c>
      <c r="V30" s="380">
        <v>0</v>
      </c>
      <c r="W30" s="111">
        <f t="shared" si="13"/>
        <v>25.444444444444443</v>
      </c>
      <c r="X30" s="454">
        <f t="shared" si="14"/>
        <v>0</v>
      </c>
      <c r="Y30" s="85">
        <f t="shared" si="15"/>
        <v>20.539999999979045</v>
      </c>
      <c r="Z30" s="10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</row>
    <row r="31" spans="1:46" ht="12.75" customHeight="1" x14ac:dyDescent="0.2">
      <c r="B31" s="335">
        <v>75944.84</v>
      </c>
      <c r="C31" s="336">
        <v>76085.570000000007</v>
      </c>
      <c r="D31" s="337" t="s">
        <v>16</v>
      </c>
      <c r="E31" s="337" t="s">
        <v>107</v>
      </c>
      <c r="F31" s="337" t="s">
        <v>102</v>
      </c>
      <c r="G31" s="103" t="str">
        <f t="shared" si="0"/>
        <v>F/C - C/B</v>
      </c>
      <c r="H31" s="77">
        <f t="shared" si="7"/>
        <v>2</v>
      </c>
      <c r="I31" s="27">
        <f t="shared" si="8"/>
        <v>3.9091666666669576</v>
      </c>
      <c r="J31" s="78">
        <f t="shared" si="9"/>
        <v>-1.42</v>
      </c>
      <c r="K31" s="83">
        <f t="shared" si="1"/>
        <v>140.73000000001048</v>
      </c>
      <c r="L31" s="342">
        <v>44.42</v>
      </c>
      <c r="M31" s="124">
        <f t="shared" si="2"/>
        <v>6252</v>
      </c>
      <c r="N31" s="344">
        <v>0</v>
      </c>
      <c r="O31" s="123">
        <f t="shared" si="3"/>
        <v>6252</v>
      </c>
      <c r="P31" s="480">
        <f t="shared" si="22"/>
        <v>725.94000000000233</v>
      </c>
      <c r="Q31" s="210">
        <f t="shared" si="11"/>
        <v>0.36297000000000118</v>
      </c>
      <c r="R31" s="85">
        <f t="shared" si="16"/>
        <v>0</v>
      </c>
      <c r="S31" s="85">
        <f t="shared" si="17"/>
        <v>0</v>
      </c>
      <c r="T31" s="85">
        <f t="shared" si="18"/>
        <v>0</v>
      </c>
      <c r="U31" s="85">
        <f t="shared" si="12"/>
        <v>119.68694444444473</v>
      </c>
      <c r="V31" s="380">
        <v>0</v>
      </c>
      <c r="W31" s="111">
        <f t="shared" si="13"/>
        <v>672.46259999999836</v>
      </c>
      <c r="X31" s="454">
        <f t="shared" si="14"/>
        <v>0</v>
      </c>
      <c r="Y31" s="85">
        <f t="shared" si="15"/>
        <v>281.46000000002095</v>
      </c>
      <c r="Z31" s="10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</row>
    <row r="32" spans="1:46" ht="12.75" customHeight="1" x14ac:dyDescent="0.2">
      <c r="B32" s="335">
        <v>76085.570000000007</v>
      </c>
      <c r="C32" s="336">
        <v>76300</v>
      </c>
      <c r="D32" s="337" t="s">
        <v>16</v>
      </c>
      <c r="E32" s="337" t="s">
        <v>107</v>
      </c>
      <c r="F32" s="337" t="s">
        <v>102</v>
      </c>
      <c r="G32" s="103" t="str">
        <f t="shared" si="0"/>
        <v>F/C - C/B</v>
      </c>
      <c r="H32" s="77">
        <f t="shared" si="7"/>
        <v>2</v>
      </c>
      <c r="I32" s="27">
        <f t="shared" si="8"/>
        <v>5.9563888888886947</v>
      </c>
      <c r="J32" s="78">
        <f t="shared" si="9"/>
        <v>-1.42</v>
      </c>
      <c r="K32" s="83">
        <f t="shared" si="1"/>
        <v>214.42999999999302</v>
      </c>
      <c r="L32" s="342" t="s">
        <v>97</v>
      </c>
      <c r="M32" s="124">
        <f t="shared" si="2"/>
        <v>0</v>
      </c>
      <c r="N32" s="344">
        <v>9812</v>
      </c>
      <c r="O32" s="123">
        <f t="shared" si="3"/>
        <v>9812</v>
      </c>
      <c r="P32" s="480">
        <f t="shared" si="22"/>
        <v>1137.8733333333319</v>
      </c>
      <c r="Q32" s="210">
        <f t="shared" si="11"/>
        <v>0.56893666666666598</v>
      </c>
      <c r="R32" s="85">
        <f t="shared" si="16"/>
        <v>0</v>
      </c>
      <c r="S32" s="85">
        <f t="shared" si="17"/>
        <v>0</v>
      </c>
      <c r="T32" s="85">
        <f t="shared" si="18"/>
        <v>0</v>
      </c>
      <c r="U32" s="85">
        <f t="shared" si="12"/>
        <v>187.66009259259238</v>
      </c>
      <c r="V32" s="380">
        <v>0</v>
      </c>
      <c r="W32" s="111">
        <f t="shared" si="13"/>
        <v>1056.3899333333345</v>
      </c>
      <c r="X32" s="454">
        <f t="shared" si="14"/>
        <v>0</v>
      </c>
      <c r="Y32" s="85">
        <f t="shared" si="15"/>
        <v>428.85999999998603</v>
      </c>
      <c r="Z32" s="10"/>
      <c r="AA32" s="81"/>
      <c r="AB32" s="81"/>
      <c r="AC32" s="81"/>
    </row>
    <row r="33" spans="1:30" ht="12.75" customHeight="1" x14ac:dyDescent="0.2">
      <c r="B33" s="335">
        <v>76300</v>
      </c>
      <c r="C33" s="336">
        <v>76681.61</v>
      </c>
      <c r="D33" s="337" t="s">
        <v>16</v>
      </c>
      <c r="E33" s="337" t="s">
        <v>107</v>
      </c>
      <c r="F33" s="337" t="s">
        <v>102</v>
      </c>
      <c r="G33" s="103" t="str">
        <f t="shared" si="0"/>
        <v>F/C - C/B</v>
      </c>
      <c r="H33" s="77">
        <f t="shared" si="7"/>
        <v>2</v>
      </c>
      <c r="I33" s="27">
        <f t="shared" si="8"/>
        <v>10.600277777777794</v>
      </c>
      <c r="J33" s="78">
        <f t="shared" si="9"/>
        <v>-1.42</v>
      </c>
      <c r="K33" s="479">
        <f t="shared" ref="K33" si="30">C33-B33</f>
        <v>381.61000000000058</v>
      </c>
      <c r="L33" s="342" t="s">
        <v>97</v>
      </c>
      <c r="M33" s="124">
        <f t="shared" ref="M33" si="31">IF(L33="-",0,ROUNDUP($K33*L33,0))</f>
        <v>0</v>
      </c>
      <c r="N33" s="344">
        <v>22175</v>
      </c>
      <c r="O33" s="123">
        <f t="shared" ref="O33" si="32">SUM(M33:N33)</f>
        <v>22175</v>
      </c>
      <c r="P33" s="349">
        <v>0</v>
      </c>
      <c r="Q33" s="210">
        <f t="shared" ref="Q33" si="33">IF(AND(P33=0,S33=0),0,IF(S33=0,P33/2000,S33/2000))</f>
        <v>1.2743455555555556</v>
      </c>
      <c r="R33" s="480">
        <f t="shared" ref="R33" si="34">IF(OR(A33="APP SLAB",P33&lt;&gt;0),0,S33)</f>
        <v>2548.6911111111112</v>
      </c>
      <c r="S33" s="480">
        <f t="shared" ref="S33" si="35">IF(OR(A33="APP SLAB",P33&lt;&gt;0),0,($O33+H33*K33)/9)</f>
        <v>2548.6911111111112</v>
      </c>
      <c r="T33" s="480">
        <f t="shared" ref="T33" si="36">IF(OR(A33="APP SLAB",P33&lt;&gt;0),0,$S$1*S33*110*0.06*0.75/2000)</f>
        <v>75.696125999999992</v>
      </c>
      <c r="U33" s="480">
        <f t="shared" ref="U33" si="37">(O33*$U$1/12)/27+I33</f>
        <v>421.24842592592597</v>
      </c>
      <c r="V33" s="380">
        <v>0</v>
      </c>
      <c r="W33" s="111">
        <f t="shared" ref="W33" si="38">IF(A33="APP SLAB",0,(O33+J33*K33)/9)</f>
        <v>2403.679311111111</v>
      </c>
      <c r="X33" s="498">
        <f t="shared" si="14"/>
        <v>0</v>
      </c>
      <c r="Y33" s="480">
        <f t="shared" ref="Y33" si="39">IF(A33="APP SLAB",0,(K33*2))</f>
        <v>763.22000000000116</v>
      </c>
      <c r="Z33" s="10"/>
      <c r="AA33" s="81"/>
      <c r="AB33" s="81"/>
      <c r="AC33" s="81"/>
    </row>
    <row r="34" spans="1:30" ht="12.75" customHeight="1" x14ac:dyDescent="0.2">
      <c r="B34" s="335">
        <v>76681.61</v>
      </c>
      <c r="C34" s="336">
        <v>76998.59</v>
      </c>
      <c r="D34" s="337" t="s">
        <v>16</v>
      </c>
      <c r="E34" s="337" t="s">
        <v>107</v>
      </c>
      <c r="F34" s="337" t="s">
        <v>101</v>
      </c>
      <c r="G34" s="103" t="str">
        <f t="shared" si="0"/>
        <v>E/S - C/B</v>
      </c>
      <c r="H34" s="77">
        <f t="shared" si="7"/>
        <v>1.5</v>
      </c>
      <c r="I34" s="27">
        <f t="shared" si="8"/>
        <v>8.804999999999886</v>
      </c>
      <c r="J34" s="78">
        <f t="shared" si="9"/>
        <v>-1.42</v>
      </c>
      <c r="K34" s="83">
        <f t="shared" si="1"/>
        <v>316.97999999999593</v>
      </c>
      <c r="L34" s="342">
        <v>28.42</v>
      </c>
      <c r="M34" s="124">
        <f t="shared" si="2"/>
        <v>9009</v>
      </c>
      <c r="N34" s="344">
        <v>0</v>
      </c>
      <c r="O34" s="123">
        <f t="shared" si="3"/>
        <v>9009</v>
      </c>
      <c r="P34" s="349">
        <v>0</v>
      </c>
      <c r="Q34" s="210">
        <f t="shared" si="11"/>
        <v>0.52691499999999958</v>
      </c>
      <c r="R34" s="85">
        <f t="shared" si="16"/>
        <v>1053.8299999999992</v>
      </c>
      <c r="S34" s="85">
        <f t="shared" si="17"/>
        <v>1053.8299999999992</v>
      </c>
      <c r="T34" s="85">
        <f t="shared" si="18"/>
        <v>31.298750999999982</v>
      </c>
      <c r="U34" s="85">
        <f t="shared" si="12"/>
        <v>175.63833333333324</v>
      </c>
      <c r="V34" s="380">
        <v>0</v>
      </c>
      <c r="W34" s="111">
        <f t="shared" si="13"/>
        <v>950.98760000000061</v>
      </c>
      <c r="X34" s="454">
        <f t="shared" si="14"/>
        <v>11.739999999999849</v>
      </c>
      <c r="Y34" s="85">
        <f t="shared" si="15"/>
        <v>633.95999999999185</v>
      </c>
      <c r="Z34" s="10"/>
      <c r="AA34" s="81"/>
      <c r="AB34" s="81"/>
      <c r="AC34" s="81"/>
    </row>
    <row r="35" spans="1:30" ht="12.75" customHeight="1" thickBot="1" x14ac:dyDescent="0.25">
      <c r="B35" s="107"/>
      <c r="C35" s="82"/>
      <c r="D35" s="133"/>
      <c r="E35" s="158"/>
      <c r="F35" s="158"/>
      <c r="G35" s="158"/>
      <c r="H35" s="159"/>
      <c r="I35" s="160"/>
      <c r="J35" s="160"/>
      <c r="K35" s="84"/>
      <c r="L35" s="84"/>
      <c r="M35" s="119"/>
      <c r="N35" s="119"/>
      <c r="O35" s="119"/>
      <c r="P35" s="119"/>
      <c r="Q35" s="119"/>
      <c r="R35" s="19"/>
      <c r="S35" s="19"/>
      <c r="T35" s="19"/>
      <c r="U35" s="19"/>
      <c r="V35" s="84"/>
      <c r="W35" s="84"/>
      <c r="X35" s="84"/>
      <c r="Y35" s="162"/>
      <c r="Z35" s="10"/>
      <c r="AA35" s="81"/>
      <c r="AB35" s="81"/>
      <c r="AC35" s="81"/>
    </row>
    <row r="36" spans="1:30" ht="12.75" customHeight="1" x14ac:dyDescent="0.2">
      <c r="B36" s="661" t="s">
        <v>192</v>
      </c>
      <c r="C36" s="662"/>
      <c r="D36" s="104"/>
      <c r="E36" s="104"/>
      <c r="F36" s="104"/>
      <c r="G36" s="104"/>
      <c r="H36" s="138"/>
      <c r="I36" s="78"/>
      <c r="J36" s="78"/>
      <c r="K36" s="89"/>
      <c r="L36" s="89"/>
      <c r="M36" s="124"/>
      <c r="N36" s="124"/>
      <c r="O36" s="124"/>
      <c r="P36" s="124"/>
      <c r="Q36" s="124"/>
      <c r="R36" s="135"/>
      <c r="S36" s="135"/>
      <c r="T36" s="135"/>
      <c r="U36" s="135"/>
      <c r="V36" s="89"/>
      <c r="W36" s="89"/>
      <c r="X36" s="89"/>
      <c r="Y36" s="139"/>
      <c r="Z36" s="10"/>
      <c r="AA36" s="81"/>
      <c r="AB36" s="81"/>
      <c r="AC36" s="81"/>
    </row>
    <row r="37" spans="1:30" ht="12.75" customHeight="1" x14ac:dyDescent="0.2">
      <c r="B37" s="335">
        <v>73445</v>
      </c>
      <c r="C37" s="336">
        <v>74518.080000000002</v>
      </c>
      <c r="D37" s="337" t="s">
        <v>15</v>
      </c>
      <c r="E37" s="337" t="s">
        <v>101</v>
      </c>
      <c r="F37" s="337" t="s">
        <v>107</v>
      </c>
      <c r="G37" s="103" t="str">
        <f t="shared" ref="G37:G54" si="40">IF(AND($E37=$AA$2,$F37=$AA$2),$AC$2,IF(OR(AND($E37=$AA$2,$F37=$AA$3),AND($E37=$AA$3,$F37=$AA$2)),$AC$3,IF(OR(AND($E37=$AA$2,$F37=$AA$4),AND($E37=$AA$4,$F37=$AA$2)),$AC$4,IF(OR(AND($E37=$AA$3,$F37=$AA$4),AND($E37=$AA$4,$F37=$AA$3)),$AC$5,IF(AND($E37=$AA$3,$F37=$AA$3),$AC$6,IF(AND($E37=$AA$4,$F37=$AA$4),$AC$7,"-"))))))</f>
        <v>E/S - C/B</v>
      </c>
      <c r="H37" s="77">
        <f t="shared" ref="H37:H41" si="41">IF(AND($E37=$AA$2,$F37=$AA$2),2*$AC$12,IF(OR(AND($E37=$AA$2, $F37=$AA$3),AND($E37=$AA$3,$F37=$AA$2)),$AC$12+$AC$13,IF(OR(AND($E37=$AA$2,$F37=$AA$4),AND($E37=$AA$4,$F37=$AA$2)),$AC$12,IF(OR(AND($E37=$AA$3,$F37=$AA$4),AND($E37=$AA$4,$F37=$AA$3)),$AC$13,IF(AND($E37=$AA$3,$F37=$AA$3),2*$AC$13,0)))))</f>
        <v>1.5</v>
      </c>
      <c r="I37" s="27">
        <f t="shared" ref="I37:I41" si="42">IF(AND($E37=$AA$2,$F37=$AA$2),2*$AF$12*$K37/27,IF(OR(AND($E37=$AA$2,$F37=$AA$3),AND($E37=$AA$3,$F37=$AA$2)),($AF$12+$AF$13)*$K37/27,IF(OR(AND($E37=$AA$2,$F37=$AA$4),AND($E37=$AA$4,$F37=$AA$2)),$AF$12*$K37/27,IF(OR(AND($E37=$AA$3,$F37=$AA$4),AND($E37=$AA$4,$F37=$AA$3)),$AF$13*$K37/27,IF(AND($E37=$AA$3,$F37=$AA$3),2*$AF$13*$K37/27,0)))))</f>
        <v>29.807777777777826</v>
      </c>
      <c r="J37" s="78">
        <f t="shared" ref="J37:J41" si="43">IF(OR(AND($E37=$AA$2,$F37=$AA$4),AND($E37=$AA$4,$F37=$AA$2)),$AI$14,IF(OR(AND($E37=$AA$3,$F37=$AA$4),AND($E37=$AA$4,$F37=$AA$3)),$AI$14,IF(AND($E37=$AA$4,$F37=$AA$4),2*$AI$14,0)))</f>
        <v>-1.42</v>
      </c>
      <c r="K37" s="83">
        <f t="shared" ref="K37:K54" si="44">C37-B37</f>
        <v>1073.0800000000017</v>
      </c>
      <c r="L37" s="342">
        <v>54.1</v>
      </c>
      <c r="M37" s="124">
        <f t="shared" ref="M37:M54" si="45">IF(L37="-",0,ROUNDUP($K37*L37,0))</f>
        <v>58054</v>
      </c>
      <c r="N37" s="344">
        <v>0</v>
      </c>
      <c r="O37" s="123">
        <f t="shared" ref="O37:O54" si="46">SUM(M37:N37)</f>
        <v>58054</v>
      </c>
      <c r="P37" s="85">
        <f t="shared" ref="P37:P38" si="47">IF(OR($A37="APP SLAB",O37=0),0,($O37+$H37*$K37)/9)</f>
        <v>6629.2911111111116</v>
      </c>
      <c r="Q37" s="210">
        <f t="shared" ref="Q37:Q54" si="48">IF(AND(P37=0,S37=0),0,IF(S37=0,P37/2000,S37/2000))</f>
        <v>3.3146455555555558</v>
      </c>
      <c r="R37" s="85">
        <f t="shared" ref="R37:R54" si="49">IF(OR(A37="APP SLAB",P37&lt;&gt;0),0,S37)</f>
        <v>0</v>
      </c>
      <c r="S37" s="85">
        <f t="shared" ref="S37:S54" si="50">IF(OR(A37="APP SLAB",P37&lt;&gt;0),0,($O37+H37*K37)/9)</f>
        <v>0</v>
      </c>
      <c r="T37" s="85">
        <f t="shared" ref="T37:T54" si="51">IF(OR(A37="APP SLAB",P37&lt;&gt;0),0,$S$1*S37*110*0.06*0.75/2000)</f>
        <v>0</v>
      </c>
      <c r="U37" s="85">
        <f t="shared" ref="U37" si="52">(O37*$U$1/12)/27+I37</f>
        <v>1104.8818518518519</v>
      </c>
      <c r="V37" s="380">
        <v>0</v>
      </c>
      <c r="W37" s="111">
        <f t="shared" ref="W37" si="53">IF(A37="APP SLAB",0,(O37+J37*K37)/9)</f>
        <v>6281.1362666666664</v>
      </c>
      <c r="X37" s="454">
        <f t="shared" ref="X37:X54" si="54">IF(AND($E37=$F37="Uncurbed"),(2*$K37*2*$X$1/12)/27,IF(OR($E37="Uncurbed",$F37="Uncurbed"),($K37*2*$X$1/12)/27,IF(OR(AND($E37="Med. Barr.",$F37="Curbed"),AND($E37="Curbed",$F37="Med. Barr."),$E37=$F37,$E37="Unique",$F37="Unique",$E37="-",$F37="-"),0,"?")))</f>
        <v>39.743703703703765</v>
      </c>
      <c r="Y37" s="85">
        <f t="shared" ref="Y37" si="55">IF(A37="APP SLAB",0,(K37*2))</f>
        <v>2146.1600000000035</v>
      </c>
      <c r="Z37" s="10"/>
      <c r="AA37" s="93"/>
      <c r="AB37" s="93"/>
      <c r="AC37" s="93"/>
      <c r="AD37" s="93"/>
    </row>
    <row r="38" spans="1:30" ht="12.75" customHeight="1" x14ac:dyDescent="0.2">
      <c r="B38" s="335">
        <v>74518.080000000002</v>
      </c>
      <c r="C38" s="336">
        <v>74587</v>
      </c>
      <c r="D38" s="337" t="s">
        <v>15</v>
      </c>
      <c r="E38" s="337" t="s">
        <v>101</v>
      </c>
      <c r="F38" s="337" t="s">
        <v>107</v>
      </c>
      <c r="G38" s="103" t="str">
        <f t="shared" si="40"/>
        <v>E/S - C/B</v>
      </c>
      <c r="H38" s="77">
        <f t="shared" si="41"/>
        <v>1.5</v>
      </c>
      <c r="I38" s="27">
        <f t="shared" si="42"/>
        <v>1.914444444444396</v>
      </c>
      <c r="J38" s="78">
        <f t="shared" si="43"/>
        <v>-1.42</v>
      </c>
      <c r="K38" s="83">
        <f t="shared" si="44"/>
        <v>68.919999999998254</v>
      </c>
      <c r="L38" s="342" t="s">
        <v>97</v>
      </c>
      <c r="M38" s="124">
        <f t="shared" si="45"/>
        <v>0</v>
      </c>
      <c r="N38" s="344">
        <v>4518</v>
      </c>
      <c r="O38" s="123">
        <f t="shared" si="46"/>
        <v>4518</v>
      </c>
      <c r="P38" s="85">
        <f t="shared" si="47"/>
        <v>513.48666666666634</v>
      </c>
      <c r="Q38" s="210">
        <f t="shared" si="48"/>
        <v>0.25674333333333316</v>
      </c>
      <c r="R38" s="85">
        <f t="shared" si="49"/>
        <v>0</v>
      </c>
      <c r="S38" s="85">
        <f t="shared" si="50"/>
        <v>0</v>
      </c>
      <c r="T38" s="85">
        <f t="shared" si="51"/>
        <v>0</v>
      </c>
      <c r="U38" s="85">
        <f t="shared" ref="U38:U54" si="56">(O38*$U$1/12)/27+I38</f>
        <v>85.58111111111107</v>
      </c>
      <c r="V38" s="380">
        <v>0</v>
      </c>
      <c r="W38" s="111">
        <f t="shared" ref="W38:W54" si="57">IF(A38="APP SLAB",0,(O38+J38*K38)/9)</f>
        <v>491.12595555555589</v>
      </c>
      <c r="X38" s="454">
        <f t="shared" si="54"/>
        <v>2.5525925925925281</v>
      </c>
      <c r="Y38" s="85">
        <f t="shared" ref="Y38:Y54" si="58">IF(A38="APP SLAB",0,(K38*2))</f>
        <v>137.83999999999651</v>
      </c>
      <c r="Z38" s="10"/>
      <c r="AA38" s="81"/>
      <c r="AB38" s="81"/>
      <c r="AC38" s="81"/>
    </row>
    <row r="39" spans="1:30" ht="12.75" customHeight="1" x14ac:dyDescent="0.2">
      <c r="B39" s="353">
        <v>74587</v>
      </c>
      <c r="C39" s="354">
        <v>75050</v>
      </c>
      <c r="D39" s="337" t="s">
        <v>15</v>
      </c>
      <c r="E39" s="337" t="s">
        <v>101</v>
      </c>
      <c r="F39" s="337" t="s">
        <v>107</v>
      </c>
      <c r="G39" s="103" t="str">
        <f t="shared" si="40"/>
        <v>E/S - C/B</v>
      </c>
      <c r="H39" s="77">
        <f t="shared" si="41"/>
        <v>1.5</v>
      </c>
      <c r="I39" s="27">
        <f t="shared" si="42"/>
        <v>12.861111111111111</v>
      </c>
      <c r="J39" s="78">
        <f t="shared" si="43"/>
        <v>-1.42</v>
      </c>
      <c r="K39" s="83">
        <f t="shared" si="44"/>
        <v>463</v>
      </c>
      <c r="L39" s="342" t="s">
        <v>97</v>
      </c>
      <c r="M39" s="124">
        <f t="shared" si="45"/>
        <v>0</v>
      </c>
      <c r="N39" s="344">
        <v>32775</v>
      </c>
      <c r="O39" s="123">
        <f t="shared" si="46"/>
        <v>32775</v>
      </c>
      <c r="P39" s="349">
        <v>0</v>
      </c>
      <c r="Q39" s="210">
        <f t="shared" si="48"/>
        <v>1.8594166666666667</v>
      </c>
      <c r="R39" s="85">
        <f t="shared" si="49"/>
        <v>3718.8333333333335</v>
      </c>
      <c r="S39" s="85">
        <f t="shared" si="50"/>
        <v>3718.8333333333335</v>
      </c>
      <c r="T39" s="85">
        <f t="shared" si="51"/>
        <v>110.44935</v>
      </c>
      <c r="U39" s="85">
        <f t="shared" si="56"/>
        <v>619.80555555555554</v>
      </c>
      <c r="V39" s="380">
        <v>0</v>
      </c>
      <c r="W39" s="111">
        <f t="shared" si="57"/>
        <v>3568.6155555555556</v>
      </c>
      <c r="X39" s="454">
        <f t="shared" si="54"/>
        <v>17.148148148148149</v>
      </c>
      <c r="Y39" s="85">
        <f t="shared" si="58"/>
        <v>926</v>
      </c>
      <c r="Z39" s="10"/>
      <c r="AA39" s="81"/>
      <c r="AB39" s="81"/>
      <c r="AC39" s="81"/>
    </row>
    <row r="40" spans="1:30" ht="12.75" customHeight="1" x14ac:dyDescent="0.2">
      <c r="B40" s="353">
        <v>75050</v>
      </c>
      <c r="C40" s="354">
        <v>75100</v>
      </c>
      <c r="D40" s="337" t="s">
        <v>15</v>
      </c>
      <c r="E40" s="337" t="s">
        <v>107</v>
      </c>
      <c r="F40" s="337" t="s">
        <v>107</v>
      </c>
      <c r="G40" s="104" t="str">
        <f t="shared" si="40"/>
        <v>C/B - C/B</v>
      </c>
      <c r="H40" s="77">
        <f t="shared" si="41"/>
        <v>0</v>
      </c>
      <c r="I40" s="27">
        <f t="shared" si="42"/>
        <v>0</v>
      </c>
      <c r="J40" s="78">
        <f t="shared" si="43"/>
        <v>-2.84</v>
      </c>
      <c r="K40" s="89">
        <f t="shared" si="44"/>
        <v>50</v>
      </c>
      <c r="L40" s="342">
        <v>42.42</v>
      </c>
      <c r="M40" s="124">
        <f t="shared" si="45"/>
        <v>2121</v>
      </c>
      <c r="N40" s="344">
        <v>0</v>
      </c>
      <c r="O40" s="124">
        <f t="shared" si="46"/>
        <v>2121</v>
      </c>
      <c r="P40" s="349">
        <v>0</v>
      </c>
      <c r="Q40" s="210">
        <f t="shared" si="48"/>
        <v>0.11783333333333333</v>
      </c>
      <c r="R40" s="85">
        <f t="shared" si="49"/>
        <v>235.66666666666666</v>
      </c>
      <c r="S40" s="85">
        <f t="shared" si="50"/>
        <v>235.66666666666666</v>
      </c>
      <c r="T40" s="85">
        <f t="shared" si="51"/>
        <v>6.999299999999999</v>
      </c>
      <c r="U40" s="85">
        <f t="shared" si="56"/>
        <v>39.277777777777779</v>
      </c>
      <c r="V40" s="380">
        <v>0</v>
      </c>
      <c r="W40" s="111">
        <f t="shared" si="57"/>
        <v>219.88888888888889</v>
      </c>
      <c r="X40" s="454">
        <f t="shared" si="54"/>
        <v>0</v>
      </c>
      <c r="Y40" s="85">
        <f t="shared" si="58"/>
        <v>100</v>
      </c>
      <c r="Z40" s="10"/>
      <c r="AA40" s="81"/>
      <c r="AB40" s="81"/>
      <c r="AC40" s="81"/>
    </row>
    <row r="41" spans="1:30" ht="12.75" customHeight="1" x14ac:dyDescent="0.2">
      <c r="B41" s="353">
        <v>75100</v>
      </c>
      <c r="C41" s="354">
        <v>75150</v>
      </c>
      <c r="D41" s="337" t="s">
        <v>15</v>
      </c>
      <c r="E41" s="337" t="s">
        <v>107</v>
      </c>
      <c r="F41" s="337" t="s">
        <v>107</v>
      </c>
      <c r="G41" s="104" t="str">
        <f t="shared" si="40"/>
        <v>C/B - C/B</v>
      </c>
      <c r="H41" s="77">
        <f t="shared" si="41"/>
        <v>0</v>
      </c>
      <c r="I41" s="27">
        <f t="shared" si="42"/>
        <v>0</v>
      </c>
      <c r="J41" s="78">
        <f t="shared" si="43"/>
        <v>-2.84</v>
      </c>
      <c r="K41" s="482">
        <f t="shared" ref="K41" si="59">C41-B41</f>
        <v>50</v>
      </c>
      <c r="L41" s="342">
        <v>42.42</v>
      </c>
      <c r="M41" s="124">
        <f t="shared" ref="M41" si="60">IF(L41="-",0,ROUNDUP($K41*L41,0))</f>
        <v>2121</v>
      </c>
      <c r="N41" s="344">
        <v>0</v>
      </c>
      <c r="O41" s="124">
        <f t="shared" ref="O41" si="61">SUM(M41:N41)</f>
        <v>2121</v>
      </c>
      <c r="P41" s="480">
        <f t="shared" ref="P41:P51" si="62">IF(OR($A41="APP SLAB",O41=0),0,($O41+$H41*$K41)/9)</f>
        <v>235.66666666666666</v>
      </c>
      <c r="Q41" s="210">
        <f t="shared" ref="Q41" si="63">IF(AND(P41=0,S41=0),0,IF(S41=0,P41/2000,S41/2000))</f>
        <v>0.11783333333333333</v>
      </c>
      <c r="R41" s="480">
        <f t="shared" ref="R41" si="64">IF(OR(A41="APP SLAB",P41&lt;&gt;0),0,S41)</f>
        <v>0</v>
      </c>
      <c r="S41" s="480">
        <f t="shared" ref="S41" si="65">IF(OR(A41="APP SLAB",P41&lt;&gt;0),0,($O41+H41*K41)/9)</f>
        <v>0</v>
      </c>
      <c r="T41" s="480">
        <f t="shared" ref="T41" si="66">IF(OR(A41="APP SLAB",P41&lt;&gt;0),0,$S$1*S41*110*0.06*0.75/2000)</f>
        <v>0</v>
      </c>
      <c r="U41" s="480">
        <f t="shared" ref="U41" si="67">(O41*$U$1/12)/27+I41</f>
        <v>39.277777777777779</v>
      </c>
      <c r="V41" s="380">
        <v>0</v>
      </c>
      <c r="W41" s="111">
        <f t="shared" ref="W41" si="68">IF(A41="APP SLAB",0,(O41+J41*K41)/9)</f>
        <v>219.88888888888889</v>
      </c>
      <c r="X41" s="498">
        <f t="shared" si="54"/>
        <v>0</v>
      </c>
      <c r="Y41" s="480">
        <f t="shared" ref="Y41" si="69">IF(A41="APP SLAB",0,(K41*2))</f>
        <v>100</v>
      </c>
      <c r="Z41" s="10"/>
      <c r="AA41" s="81"/>
      <c r="AB41" s="81"/>
      <c r="AC41" s="81"/>
    </row>
    <row r="42" spans="1:30" ht="12.75" customHeight="1" x14ac:dyDescent="0.2">
      <c r="B42" s="335">
        <v>75150</v>
      </c>
      <c r="C42" s="336">
        <v>75500</v>
      </c>
      <c r="D42" s="337" t="s">
        <v>15</v>
      </c>
      <c r="E42" s="337" t="s">
        <v>108</v>
      </c>
      <c r="F42" s="337" t="s">
        <v>107</v>
      </c>
      <c r="G42" s="103" t="str">
        <f t="shared" si="40"/>
        <v>-</v>
      </c>
      <c r="H42" s="349">
        <v>0</v>
      </c>
      <c r="I42" s="338">
        <v>0</v>
      </c>
      <c r="J42" s="358">
        <v>-1.42</v>
      </c>
      <c r="K42" s="83">
        <f t="shared" si="44"/>
        <v>350</v>
      </c>
      <c r="L42" s="342">
        <v>42.42</v>
      </c>
      <c r="M42" s="124">
        <f t="shared" si="45"/>
        <v>14847</v>
      </c>
      <c r="N42" s="344">
        <v>0</v>
      </c>
      <c r="O42" s="123">
        <f t="shared" si="46"/>
        <v>14847</v>
      </c>
      <c r="P42" s="480">
        <f t="shared" si="62"/>
        <v>1649.6666666666667</v>
      </c>
      <c r="Q42" s="210">
        <f t="shared" si="48"/>
        <v>0.82483333333333342</v>
      </c>
      <c r="R42" s="85">
        <f t="shared" si="49"/>
        <v>0</v>
      </c>
      <c r="S42" s="85">
        <f t="shared" si="50"/>
        <v>0</v>
      </c>
      <c r="T42" s="85">
        <f t="shared" si="51"/>
        <v>0</v>
      </c>
      <c r="U42" s="85">
        <f t="shared" si="56"/>
        <v>274.94444444444446</v>
      </c>
      <c r="V42" s="380">
        <v>0</v>
      </c>
      <c r="W42" s="111">
        <f t="shared" si="57"/>
        <v>1594.4444444444443</v>
      </c>
      <c r="X42" s="454">
        <f t="shared" si="54"/>
        <v>0</v>
      </c>
      <c r="Y42" s="85">
        <f t="shared" si="58"/>
        <v>700</v>
      </c>
      <c r="Z42" s="10"/>
      <c r="AA42" s="81"/>
      <c r="AB42" s="81"/>
      <c r="AC42" s="81"/>
    </row>
    <row r="43" spans="1:30" ht="12.75" customHeight="1" x14ac:dyDescent="0.2">
      <c r="B43" s="335">
        <v>75500</v>
      </c>
      <c r="C43" s="336">
        <v>75725</v>
      </c>
      <c r="D43" s="337" t="s">
        <v>15</v>
      </c>
      <c r="E43" s="337" t="s">
        <v>108</v>
      </c>
      <c r="F43" s="337" t="s">
        <v>107</v>
      </c>
      <c r="G43" s="103" t="str">
        <f t="shared" si="40"/>
        <v>-</v>
      </c>
      <c r="H43" s="349">
        <v>3.17</v>
      </c>
      <c r="I43" s="338">
        <v>9.08</v>
      </c>
      <c r="J43" s="358">
        <v>-1.42</v>
      </c>
      <c r="K43" s="83">
        <f t="shared" si="44"/>
        <v>225</v>
      </c>
      <c r="L43" s="342">
        <v>42.42</v>
      </c>
      <c r="M43" s="124">
        <f t="shared" si="45"/>
        <v>9545</v>
      </c>
      <c r="N43" s="344">
        <v>0</v>
      </c>
      <c r="O43" s="123">
        <f t="shared" si="46"/>
        <v>9545</v>
      </c>
      <c r="P43" s="480">
        <f t="shared" si="62"/>
        <v>1139.8055555555557</v>
      </c>
      <c r="Q43" s="210">
        <f t="shared" si="48"/>
        <v>0.56990277777777787</v>
      </c>
      <c r="R43" s="85">
        <f t="shared" si="49"/>
        <v>0</v>
      </c>
      <c r="S43" s="85">
        <f t="shared" si="50"/>
        <v>0</v>
      </c>
      <c r="T43" s="85">
        <f t="shared" si="51"/>
        <v>0</v>
      </c>
      <c r="U43" s="85">
        <f t="shared" si="56"/>
        <v>185.83925925925928</v>
      </c>
      <c r="V43" s="380">
        <v>0</v>
      </c>
      <c r="W43" s="111">
        <f t="shared" si="57"/>
        <v>1025.0555555555557</v>
      </c>
      <c r="X43" s="454">
        <f t="shared" si="54"/>
        <v>0</v>
      </c>
      <c r="Y43" s="85">
        <f t="shared" si="58"/>
        <v>450</v>
      </c>
      <c r="Z43" s="10"/>
      <c r="AA43" s="81"/>
      <c r="AB43" s="81"/>
      <c r="AC43" s="81"/>
    </row>
    <row r="44" spans="1:30" ht="12.75" customHeight="1" x14ac:dyDescent="0.2">
      <c r="B44" s="335">
        <v>75725</v>
      </c>
      <c r="C44" s="336">
        <v>75775</v>
      </c>
      <c r="D44" s="337" t="s">
        <v>15</v>
      </c>
      <c r="E44" s="337" t="s">
        <v>108</v>
      </c>
      <c r="F44" s="337" t="s">
        <v>107</v>
      </c>
      <c r="G44" s="103" t="str">
        <f t="shared" si="40"/>
        <v>-</v>
      </c>
      <c r="H44" s="349">
        <v>3.17</v>
      </c>
      <c r="I44" s="338">
        <v>2.02</v>
      </c>
      <c r="J44" s="358">
        <v>-1.42</v>
      </c>
      <c r="K44" s="83">
        <f t="shared" si="44"/>
        <v>50</v>
      </c>
      <c r="L44" s="342">
        <v>43.42</v>
      </c>
      <c r="M44" s="124">
        <f t="shared" si="45"/>
        <v>2171</v>
      </c>
      <c r="N44" s="344">
        <v>0</v>
      </c>
      <c r="O44" s="123">
        <f t="shared" si="46"/>
        <v>2171</v>
      </c>
      <c r="P44" s="480">
        <f t="shared" si="62"/>
        <v>258.83333333333331</v>
      </c>
      <c r="Q44" s="210">
        <f t="shared" si="48"/>
        <v>0.12941666666666665</v>
      </c>
      <c r="R44" s="85">
        <f t="shared" si="49"/>
        <v>0</v>
      </c>
      <c r="S44" s="85">
        <f t="shared" si="50"/>
        <v>0</v>
      </c>
      <c r="T44" s="85">
        <f t="shared" si="51"/>
        <v>0</v>
      </c>
      <c r="U44" s="85">
        <f t="shared" si="56"/>
        <v>42.223703703703706</v>
      </c>
      <c r="V44" s="380">
        <v>0</v>
      </c>
      <c r="W44" s="111">
        <f t="shared" si="57"/>
        <v>233.33333333333334</v>
      </c>
      <c r="X44" s="454">
        <f t="shared" si="54"/>
        <v>0</v>
      </c>
      <c r="Y44" s="85">
        <f t="shared" si="58"/>
        <v>100</v>
      </c>
      <c r="Z44" s="10"/>
      <c r="AA44" s="81"/>
      <c r="AB44" s="81"/>
      <c r="AC44" s="81"/>
    </row>
    <row r="45" spans="1:30" ht="12.75" customHeight="1" x14ac:dyDescent="0.2">
      <c r="B45" s="335">
        <v>75775</v>
      </c>
      <c r="C45" s="336">
        <v>75788.42</v>
      </c>
      <c r="D45" s="337" t="s">
        <v>15</v>
      </c>
      <c r="E45" s="337" t="s">
        <v>108</v>
      </c>
      <c r="F45" s="337" t="s">
        <v>107</v>
      </c>
      <c r="G45" s="103" t="str">
        <f t="shared" si="40"/>
        <v>-</v>
      </c>
      <c r="H45" s="349">
        <v>3.17</v>
      </c>
      <c r="I45" s="338">
        <v>0.54</v>
      </c>
      <c r="J45" s="358">
        <v>-1.42</v>
      </c>
      <c r="K45" s="83">
        <f t="shared" si="44"/>
        <v>13.419999999998254</v>
      </c>
      <c r="L45" s="342">
        <v>44.42</v>
      </c>
      <c r="M45" s="124">
        <f t="shared" si="45"/>
        <v>597</v>
      </c>
      <c r="N45" s="344">
        <v>0</v>
      </c>
      <c r="O45" s="123">
        <f t="shared" si="46"/>
        <v>597</v>
      </c>
      <c r="P45" s="480">
        <f t="shared" si="62"/>
        <v>71.060155555554942</v>
      </c>
      <c r="Q45" s="210">
        <f t="shared" si="48"/>
        <v>3.5530077777777475E-2</v>
      </c>
      <c r="R45" s="85">
        <f t="shared" si="49"/>
        <v>0</v>
      </c>
      <c r="S45" s="85">
        <f t="shared" si="50"/>
        <v>0</v>
      </c>
      <c r="T45" s="85">
        <f t="shared" si="51"/>
        <v>0</v>
      </c>
      <c r="U45" s="85">
        <f t="shared" si="56"/>
        <v>11.595555555555556</v>
      </c>
      <c r="V45" s="380">
        <v>0</v>
      </c>
      <c r="W45" s="111">
        <f t="shared" si="57"/>
        <v>64.215955555555823</v>
      </c>
      <c r="X45" s="454">
        <f t="shared" si="54"/>
        <v>0</v>
      </c>
      <c r="Y45" s="85">
        <f t="shared" si="58"/>
        <v>26.839999999996508</v>
      </c>
      <c r="Z45" s="10"/>
      <c r="AA45" s="81"/>
      <c r="AB45" s="81"/>
      <c r="AC45" s="81"/>
    </row>
    <row r="46" spans="1:30" ht="12.75" customHeight="1" x14ac:dyDescent="0.2">
      <c r="B46" s="335">
        <v>75788.42</v>
      </c>
      <c r="C46" s="336">
        <v>75798.7</v>
      </c>
      <c r="D46" s="337" t="s">
        <v>15</v>
      </c>
      <c r="E46" s="337" t="s">
        <v>108</v>
      </c>
      <c r="F46" s="337" t="s">
        <v>97</v>
      </c>
      <c r="G46" s="103" t="str">
        <f t="shared" si="40"/>
        <v>-</v>
      </c>
      <c r="H46" s="349">
        <v>3.17</v>
      </c>
      <c r="I46" s="338">
        <v>0.42</v>
      </c>
      <c r="J46" s="358">
        <v>0</v>
      </c>
      <c r="K46" s="83">
        <f t="shared" si="44"/>
        <v>10.279999999998836</v>
      </c>
      <c r="L46" s="342" t="s">
        <v>97</v>
      </c>
      <c r="M46" s="124">
        <f t="shared" si="45"/>
        <v>0</v>
      </c>
      <c r="N46" s="344">
        <v>229</v>
      </c>
      <c r="O46" s="123">
        <f t="shared" si="46"/>
        <v>229</v>
      </c>
      <c r="P46" s="480">
        <f t="shared" si="62"/>
        <v>29.065288888888478</v>
      </c>
      <c r="Q46" s="210">
        <f t="shared" si="48"/>
        <v>1.4532644444444239E-2</v>
      </c>
      <c r="R46" s="85">
        <f t="shared" si="49"/>
        <v>0</v>
      </c>
      <c r="S46" s="85">
        <f t="shared" si="50"/>
        <v>0</v>
      </c>
      <c r="T46" s="85">
        <f t="shared" si="51"/>
        <v>0</v>
      </c>
      <c r="U46" s="85">
        <f t="shared" si="56"/>
        <v>4.6607407407407404</v>
      </c>
      <c r="V46" s="380">
        <v>0</v>
      </c>
      <c r="W46" s="111">
        <f t="shared" si="57"/>
        <v>25.444444444444443</v>
      </c>
      <c r="X46" s="454">
        <f t="shared" si="54"/>
        <v>0</v>
      </c>
      <c r="Y46" s="85">
        <f t="shared" si="58"/>
        <v>20.559999999997672</v>
      </c>
      <c r="Z46" s="10"/>
      <c r="AA46" s="81"/>
      <c r="AB46" s="81"/>
      <c r="AC46" s="81"/>
    </row>
    <row r="47" spans="1:30" ht="12.75" customHeight="1" x14ac:dyDescent="0.2">
      <c r="A47" s="198" t="s">
        <v>28</v>
      </c>
      <c r="B47" s="335">
        <v>75788.42</v>
      </c>
      <c r="C47" s="336">
        <v>75818.42</v>
      </c>
      <c r="D47" s="337" t="s">
        <v>15</v>
      </c>
      <c r="E47" s="337" t="s">
        <v>97</v>
      </c>
      <c r="F47" s="337" t="s">
        <v>97</v>
      </c>
      <c r="G47" s="103" t="str">
        <f t="shared" si="40"/>
        <v>-</v>
      </c>
      <c r="H47" s="77">
        <v>4</v>
      </c>
      <c r="I47" s="27">
        <f t="shared" ref="I47:I54" si="70">IF(AND($E47=$AA$2,$F47=$AA$2),2*$AF$12*$K47/27,IF(OR(AND($E47=$AA$2,$F47=$AA$3),AND($E47=$AA$3,$F47=$AA$2)),($AF$12+$AF$13)*$K47/27,IF(OR(AND($E47=$AA$2,$F47=$AA$4),AND($E47=$AA$4,$F47=$AA$2)),$AF$12*$K47/27,IF(OR(AND($E47=$AA$3,$F47=$AA$4),AND($E47=$AA$4,$F47=$AA$3)),$AF$13*$K47/27,IF(AND($E47=$AA$3,$F47=$AA$3),2*$AF$13*$K47/27,0)))))</f>
        <v>0</v>
      </c>
      <c r="J47" s="78">
        <f t="shared" ref="J47:J54" si="71">IF(OR(AND($E47=$AA$2,$F47=$AA$4),AND($E47=$AA$4,$F47=$AA$2)),$AI$14,IF(OR(AND($E47=$AA$3,$F47=$AA$4),AND($E47=$AA$4,$F47=$AA$3)),$AI$14,IF(AND($E47=$AA$4,$F47=$AA$4),2*$AI$14,0)))</f>
        <v>0</v>
      </c>
      <c r="K47" s="83">
        <f t="shared" si="44"/>
        <v>30</v>
      </c>
      <c r="L47" s="342" t="s">
        <v>97</v>
      </c>
      <c r="M47" s="124">
        <f t="shared" si="45"/>
        <v>0</v>
      </c>
      <c r="N47" s="344">
        <v>1413</v>
      </c>
      <c r="O47" s="123">
        <f t="shared" si="46"/>
        <v>1413</v>
      </c>
      <c r="P47" s="480">
        <f>IF(OR(O47=0),0,($O47+$H47*$K47)/9)</f>
        <v>170.33333333333334</v>
      </c>
      <c r="Q47" s="210">
        <f t="shared" si="48"/>
        <v>8.5166666666666668E-2</v>
      </c>
      <c r="R47" s="85">
        <f t="shared" si="49"/>
        <v>0</v>
      </c>
      <c r="S47" s="85">
        <f t="shared" si="50"/>
        <v>0</v>
      </c>
      <c r="T47" s="85">
        <f t="shared" si="51"/>
        <v>0</v>
      </c>
      <c r="U47" s="85">
        <f t="shared" si="56"/>
        <v>26.166666666666668</v>
      </c>
      <c r="V47" s="380">
        <v>46</v>
      </c>
      <c r="W47" s="111">
        <f t="shared" si="57"/>
        <v>0</v>
      </c>
      <c r="X47" s="454">
        <f t="shared" si="54"/>
        <v>0</v>
      </c>
      <c r="Y47" s="85">
        <f t="shared" si="58"/>
        <v>0</v>
      </c>
      <c r="Z47" s="10"/>
      <c r="AA47" s="81"/>
      <c r="AB47" s="81"/>
      <c r="AC47" s="81"/>
    </row>
    <row r="48" spans="1:30" ht="12.75" customHeight="1" x14ac:dyDescent="0.2">
      <c r="A48" s="198" t="s">
        <v>28</v>
      </c>
      <c r="B48" s="335">
        <v>75914.84</v>
      </c>
      <c r="C48" s="336">
        <v>75944.84</v>
      </c>
      <c r="D48" s="337" t="s">
        <v>15</v>
      </c>
      <c r="E48" s="337" t="s">
        <v>97</v>
      </c>
      <c r="F48" s="337" t="s">
        <v>97</v>
      </c>
      <c r="G48" s="103" t="str">
        <f t="shared" si="40"/>
        <v>-</v>
      </c>
      <c r="H48" s="77">
        <v>4</v>
      </c>
      <c r="I48" s="27">
        <f t="shared" si="70"/>
        <v>0</v>
      </c>
      <c r="J48" s="78">
        <f t="shared" si="71"/>
        <v>0</v>
      </c>
      <c r="K48" s="83">
        <f t="shared" si="44"/>
        <v>30</v>
      </c>
      <c r="L48" s="342" t="s">
        <v>97</v>
      </c>
      <c r="M48" s="124">
        <f t="shared" si="45"/>
        <v>0</v>
      </c>
      <c r="N48" s="344">
        <v>1413</v>
      </c>
      <c r="O48" s="123">
        <f t="shared" si="46"/>
        <v>1413</v>
      </c>
      <c r="P48" s="480">
        <f>IF(OR(O48=0),0,($O48+$H48*$K48)/9)</f>
        <v>170.33333333333334</v>
      </c>
      <c r="Q48" s="210">
        <f t="shared" si="48"/>
        <v>8.5166666666666668E-2</v>
      </c>
      <c r="R48" s="85">
        <f t="shared" si="49"/>
        <v>0</v>
      </c>
      <c r="S48" s="85">
        <f t="shared" si="50"/>
        <v>0</v>
      </c>
      <c r="T48" s="85">
        <f t="shared" si="51"/>
        <v>0</v>
      </c>
      <c r="U48" s="85">
        <f t="shared" si="56"/>
        <v>26.166666666666668</v>
      </c>
      <c r="V48" s="380">
        <v>46</v>
      </c>
      <c r="W48" s="111">
        <f t="shared" si="57"/>
        <v>0</v>
      </c>
      <c r="X48" s="454">
        <f t="shared" si="54"/>
        <v>0</v>
      </c>
      <c r="Y48" s="85">
        <f t="shared" si="58"/>
        <v>0</v>
      </c>
      <c r="Z48" s="10"/>
    </row>
    <row r="49" spans="2:30" ht="12.75" customHeight="1" x14ac:dyDescent="0.2">
      <c r="B49" s="335">
        <v>75944.84</v>
      </c>
      <c r="C49" s="336">
        <v>75955.12</v>
      </c>
      <c r="D49" s="337" t="s">
        <v>15</v>
      </c>
      <c r="E49" s="337" t="s">
        <v>97</v>
      </c>
      <c r="F49" s="337" t="s">
        <v>107</v>
      </c>
      <c r="G49" s="103" t="str">
        <f t="shared" si="40"/>
        <v>-</v>
      </c>
      <c r="H49" s="349">
        <v>0</v>
      </c>
      <c r="I49" s="338">
        <v>0</v>
      </c>
      <c r="J49" s="358">
        <v>-1.42</v>
      </c>
      <c r="K49" s="83">
        <f t="shared" si="44"/>
        <v>10.279999999998836</v>
      </c>
      <c r="L49" s="342" t="s">
        <v>97</v>
      </c>
      <c r="M49" s="124">
        <f t="shared" si="45"/>
        <v>0</v>
      </c>
      <c r="N49" s="344">
        <v>229</v>
      </c>
      <c r="O49" s="123">
        <f t="shared" si="46"/>
        <v>229</v>
      </c>
      <c r="P49" s="480">
        <f t="shared" si="62"/>
        <v>25.444444444444443</v>
      </c>
      <c r="Q49" s="210">
        <f t="shared" si="48"/>
        <v>1.2722222222222222E-2</v>
      </c>
      <c r="R49" s="85">
        <f t="shared" si="49"/>
        <v>0</v>
      </c>
      <c r="S49" s="85">
        <f t="shared" si="50"/>
        <v>0</v>
      </c>
      <c r="T49" s="85">
        <f t="shared" si="51"/>
        <v>0</v>
      </c>
      <c r="U49" s="85">
        <f t="shared" si="56"/>
        <v>4.2407407407407405</v>
      </c>
      <c r="V49" s="380">
        <v>0</v>
      </c>
      <c r="W49" s="111">
        <f t="shared" si="57"/>
        <v>23.822488888889072</v>
      </c>
      <c r="X49" s="454">
        <f t="shared" si="54"/>
        <v>0</v>
      </c>
      <c r="Y49" s="85">
        <f t="shared" si="58"/>
        <v>20.559999999997672</v>
      </c>
      <c r="Z49" s="10"/>
    </row>
    <row r="50" spans="2:30" ht="12.75" customHeight="1" x14ac:dyDescent="0.2">
      <c r="B50" s="335">
        <v>75955.12</v>
      </c>
      <c r="C50" s="336">
        <v>76176.61</v>
      </c>
      <c r="D50" s="337" t="s">
        <v>15</v>
      </c>
      <c r="E50" s="337" t="s">
        <v>102</v>
      </c>
      <c r="F50" s="337" t="s">
        <v>107</v>
      </c>
      <c r="G50" s="103" t="str">
        <f t="shared" si="40"/>
        <v>F/C - C/B</v>
      </c>
      <c r="H50" s="77">
        <f t="shared" ref="H50:H54" si="72">IF(AND($E50=$AA$2,$F50=$AA$2),2*$AC$12,IF(OR(AND($E50=$AA$2, $F50=$AA$3),AND($E50=$AA$3,$F50=$AA$2)),$AC$12+$AC$13,IF(OR(AND($E50=$AA$2,$F50=$AA$4),AND($E50=$AA$4,$F50=$AA$2)),$AC$12,IF(OR(AND($E50=$AA$3,$F50=$AA$4),AND($E50=$AA$4,$F50=$AA$3)),$AC$13,IF(AND($E50=$AA$3,$F50=$AA$3),2*$AC$13,0)))))</f>
        <v>2</v>
      </c>
      <c r="I50" s="27">
        <f t="shared" si="70"/>
        <v>6.1525000000001455</v>
      </c>
      <c r="J50" s="78">
        <f t="shared" si="71"/>
        <v>-1.42</v>
      </c>
      <c r="K50" s="83">
        <f t="shared" si="44"/>
        <v>221.49000000000524</v>
      </c>
      <c r="L50" s="342">
        <v>44.42</v>
      </c>
      <c r="M50" s="124">
        <f t="shared" si="45"/>
        <v>9839</v>
      </c>
      <c r="N50" s="344">
        <v>0</v>
      </c>
      <c r="O50" s="123">
        <f t="shared" si="46"/>
        <v>9839</v>
      </c>
      <c r="P50" s="480">
        <f t="shared" si="62"/>
        <v>1142.4422222222233</v>
      </c>
      <c r="Q50" s="210">
        <f t="shared" si="48"/>
        <v>0.57122111111111162</v>
      </c>
      <c r="R50" s="85">
        <f t="shared" si="49"/>
        <v>0</v>
      </c>
      <c r="S50" s="85">
        <f t="shared" si="50"/>
        <v>0</v>
      </c>
      <c r="T50" s="85">
        <f t="shared" si="51"/>
        <v>0</v>
      </c>
      <c r="U50" s="85">
        <f t="shared" si="56"/>
        <v>188.35620370370384</v>
      </c>
      <c r="V50" s="380">
        <v>0</v>
      </c>
      <c r="W50" s="111">
        <f t="shared" si="57"/>
        <v>1058.2760222222214</v>
      </c>
      <c r="X50" s="454">
        <f t="shared" si="54"/>
        <v>0</v>
      </c>
      <c r="Y50" s="85">
        <f t="shared" si="58"/>
        <v>442.98000000001048</v>
      </c>
      <c r="Z50" s="10"/>
    </row>
    <row r="51" spans="2:30" ht="12.75" customHeight="1" x14ac:dyDescent="0.2">
      <c r="B51" s="335">
        <v>76176.61</v>
      </c>
      <c r="C51" s="336">
        <v>76300</v>
      </c>
      <c r="D51" s="337" t="s">
        <v>15</v>
      </c>
      <c r="E51" s="337" t="s">
        <v>102</v>
      </c>
      <c r="F51" s="337" t="s">
        <v>107</v>
      </c>
      <c r="G51" s="103" t="str">
        <f t="shared" si="40"/>
        <v>F/C - C/B</v>
      </c>
      <c r="H51" s="77">
        <f t="shared" si="72"/>
        <v>2</v>
      </c>
      <c r="I51" s="27">
        <f t="shared" si="70"/>
        <v>3.4274999999999838</v>
      </c>
      <c r="J51" s="78">
        <f t="shared" si="71"/>
        <v>-1.42</v>
      </c>
      <c r="K51" s="83">
        <f t="shared" si="44"/>
        <v>123.38999999999942</v>
      </c>
      <c r="L51" s="342">
        <v>45.3</v>
      </c>
      <c r="M51" s="124">
        <f t="shared" si="45"/>
        <v>5590</v>
      </c>
      <c r="N51" s="344">
        <v>0</v>
      </c>
      <c r="O51" s="123">
        <f t="shared" si="46"/>
        <v>5590</v>
      </c>
      <c r="P51" s="480">
        <f t="shared" si="62"/>
        <v>648.53111111111093</v>
      </c>
      <c r="Q51" s="210">
        <f t="shared" si="48"/>
        <v>0.32426555555555547</v>
      </c>
      <c r="R51" s="85">
        <f t="shared" si="49"/>
        <v>0</v>
      </c>
      <c r="S51" s="85">
        <f t="shared" si="50"/>
        <v>0</v>
      </c>
      <c r="T51" s="85">
        <f t="shared" si="51"/>
        <v>0</v>
      </c>
      <c r="U51" s="85">
        <f t="shared" si="56"/>
        <v>106.9460185185185</v>
      </c>
      <c r="V51" s="380">
        <v>0</v>
      </c>
      <c r="W51" s="111">
        <f t="shared" si="57"/>
        <v>601.64291111111118</v>
      </c>
      <c r="X51" s="454">
        <f t="shared" si="54"/>
        <v>0</v>
      </c>
      <c r="Y51" s="85">
        <f t="shared" si="58"/>
        <v>246.77999999999884</v>
      </c>
      <c r="Z51" s="10"/>
    </row>
    <row r="52" spans="2:30" ht="12.75" customHeight="1" x14ac:dyDescent="0.2">
      <c r="B52" s="335">
        <v>76300</v>
      </c>
      <c r="C52" s="336">
        <v>76736.5</v>
      </c>
      <c r="D52" s="337" t="s">
        <v>15</v>
      </c>
      <c r="E52" s="337" t="s">
        <v>102</v>
      </c>
      <c r="F52" s="337" t="s">
        <v>107</v>
      </c>
      <c r="G52" s="103" t="str">
        <f t="shared" si="40"/>
        <v>F/C - C/B</v>
      </c>
      <c r="H52" s="77">
        <f t="shared" si="72"/>
        <v>2</v>
      </c>
      <c r="I52" s="27">
        <f t="shared" si="70"/>
        <v>12.125</v>
      </c>
      <c r="J52" s="78">
        <f t="shared" si="71"/>
        <v>-1.42</v>
      </c>
      <c r="K52" s="479">
        <f t="shared" ref="K52" si="73">C52-B52</f>
        <v>436.5</v>
      </c>
      <c r="L52" s="342">
        <v>49.3</v>
      </c>
      <c r="M52" s="124">
        <f t="shared" ref="M52" si="74">IF(L52="-",0,ROUNDUP($K52*L52,0))</f>
        <v>21520</v>
      </c>
      <c r="N52" s="344">
        <v>0</v>
      </c>
      <c r="O52" s="123">
        <f t="shared" ref="O52" si="75">SUM(M52:N52)</f>
        <v>21520</v>
      </c>
      <c r="P52" s="349">
        <v>0</v>
      </c>
      <c r="Q52" s="210">
        <f t="shared" ref="Q52" si="76">IF(AND(P52=0,S52=0),0,IF(S52=0,P52/2000,S52/2000))</f>
        <v>1.2440555555555557</v>
      </c>
      <c r="R52" s="480">
        <f t="shared" ref="R52" si="77">IF(OR(A52="APP SLAB",P52&lt;&gt;0),0,S52)</f>
        <v>2488.1111111111113</v>
      </c>
      <c r="S52" s="480">
        <f t="shared" ref="S52" si="78">IF(OR(A52="APP SLAB",P52&lt;&gt;0),0,($O52+H52*K52)/9)</f>
        <v>2488.1111111111113</v>
      </c>
      <c r="T52" s="480">
        <f t="shared" ref="T52" si="79">IF(OR(A52="APP SLAB",P52&lt;&gt;0),0,$S$1*S52*110*0.06*0.75/2000)</f>
        <v>73.896900000000002</v>
      </c>
      <c r="U52" s="480">
        <f t="shared" ref="U52" si="80">(O52*$U$1/12)/27+I52</f>
        <v>410.64351851851853</v>
      </c>
      <c r="V52" s="380">
        <v>0</v>
      </c>
      <c r="W52" s="111">
        <f t="shared" ref="W52" si="81">IF(A52="APP SLAB",0,(O52+J52*K52)/9)</f>
        <v>2322.241111111111</v>
      </c>
      <c r="X52" s="498">
        <f t="shared" si="54"/>
        <v>0</v>
      </c>
      <c r="Y52" s="480">
        <f t="shared" ref="Y52" si="82">IF(A52="APP SLAB",0,(K52*2))</f>
        <v>873</v>
      </c>
      <c r="Z52" s="10"/>
    </row>
    <row r="53" spans="2:30" ht="12.75" customHeight="1" x14ac:dyDescent="0.2">
      <c r="B53" s="335">
        <v>76736.5</v>
      </c>
      <c r="C53" s="336">
        <v>77000</v>
      </c>
      <c r="D53" s="337" t="s">
        <v>15</v>
      </c>
      <c r="E53" s="337" t="s">
        <v>102</v>
      </c>
      <c r="F53" s="337" t="s">
        <v>107</v>
      </c>
      <c r="G53" s="103" t="str">
        <f t="shared" si="40"/>
        <v>F/C - C/B</v>
      </c>
      <c r="H53" s="77">
        <f t="shared" si="72"/>
        <v>2</v>
      </c>
      <c r="I53" s="27">
        <f t="shared" si="70"/>
        <v>7.3194444444444446</v>
      </c>
      <c r="J53" s="78">
        <f t="shared" si="71"/>
        <v>-1.42</v>
      </c>
      <c r="K53" s="83">
        <f t="shared" si="44"/>
        <v>263.5</v>
      </c>
      <c r="L53" s="342" t="s">
        <v>97</v>
      </c>
      <c r="M53" s="124">
        <f t="shared" si="45"/>
        <v>0</v>
      </c>
      <c r="N53" s="344">
        <v>15141</v>
      </c>
      <c r="O53" s="123">
        <f t="shared" si="46"/>
        <v>15141</v>
      </c>
      <c r="P53" s="349">
        <v>0</v>
      </c>
      <c r="Q53" s="210">
        <f t="shared" si="48"/>
        <v>0.87044444444444447</v>
      </c>
      <c r="R53" s="85">
        <f t="shared" si="49"/>
        <v>1740.8888888888889</v>
      </c>
      <c r="S53" s="85">
        <f t="shared" si="50"/>
        <v>1740.8888888888889</v>
      </c>
      <c r="T53" s="85">
        <f t="shared" si="51"/>
        <v>51.704399999999993</v>
      </c>
      <c r="U53" s="85">
        <f t="shared" si="56"/>
        <v>287.70833333333337</v>
      </c>
      <c r="V53" s="380">
        <v>0</v>
      </c>
      <c r="W53" s="111">
        <f t="shared" si="57"/>
        <v>1640.7588888888888</v>
      </c>
      <c r="X53" s="454">
        <f t="shared" si="54"/>
        <v>0</v>
      </c>
      <c r="Y53" s="85">
        <f t="shared" si="58"/>
        <v>527</v>
      </c>
      <c r="Z53" s="189"/>
    </row>
    <row r="54" spans="2:30" ht="12.75" customHeight="1" x14ac:dyDescent="0.2">
      <c r="B54" s="335">
        <v>77000</v>
      </c>
      <c r="C54" s="336">
        <v>77021.960000000006</v>
      </c>
      <c r="D54" s="337" t="s">
        <v>15</v>
      </c>
      <c r="E54" s="337" t="s">
        <v>102</v>
      </c>
      <c r="F54" s="337" t="s">
        <v>101</v>
      </c>
      <c r="G54" s="103" t="str">
        <f t="shared" si="40"/>
        <v>E/S - F/C</v>
      </c>
      <c r="H54" s="77">
        <f t="shared" si="72"/>
        <v>3.5</v>
      </c>
      <c r="I54" s="27">
        <f t="shared" si="70"/>
        <v>1.2200000000003557</v>
      </c>
      <c r="J54" s="78">
        <f t="shared" si="71"/>
        <v>0</v>
      </c>
      <c r="K54" s="83">
        <f t="shared" si="44"/>
        <v>21.960000000006403</v>
      </c>
      <c r="L54" s="342" t="s">
        <v>97</v>
      </c>
      <c r="M54" s="124">
        <f t="shared" si="45"/>
        <v>0</v>
      </c>
      <c r="N54" s="344">
        <v>1342</v>
      </c>
      <c r="O54" s="123">
        <f t="shared" si="46"/>
        <v>1342</v>
      </c>
      <c r="P54" s="349">
        <v>0</v>
      </c>
      <c r="Q54" s="210">
        <f t="shared" si="48"/>
        <v>7.88255555555568E-2</v>
      </c>
      <c r="R54" s="85">
        <f t="shared" si="49"/>
        <v>157.65111111111361</v>
      </c>
      <c r="S54" s="85">
        <f t="shared" si="50"/>
        <v>157.65111111111361</v>
      </c>
      <c r="T54" s="85">
        <f t="shared" si="51"/>
        <v>4.6822380000000736</v>
      </c>
      <c r="U54" s="85">
        <f t="shared" si="56"/>
        <v>26.071851851852205</v>
      </c>
      <c r="V54" s="380">
        <v>0</v>
      </c>
      <c r="W54" s="111">
        <f t="shared" si="57"/>
        <v>149.11111111111111</v>
      </c>
      <c r="X54" s="454">
        <f t="shared" si="54"/>
        <v>0.8133333333335705</v>
      </c>
      <c r="Y54" s="85">
        <f t="shared" si="58"/>
        <v>43.920000000012806</v>
      </c>
      <c r="Z54" s="189"/>
    </row>
    <row r="55" spans="2:30" ht="12.75" customHeight="1" thickBot="1" x14ac:dyDescent="0.25">
      <c r="B55" s="107"/>
      <c r="C55" s="82"/>
      <c r="D55" s="133"/>
      <c r="E55" s="158"/>
      <c r="F55" s="158"/>
      <c r="G55" s="158"/>
      <c r="H55" s="159"/>
      <c r="I55" s="160"/>
      <c r="J55" s="160"/>
      <c r="K55" s="84"/>
      <c r="L55" s="84"/>
      <c r="M55" s="119"/>
      <c r="N55" s="119"/>
      <c r="O55" s="119"/>
      <c r="P55" s="119"/>
      <c r="Q55" s="119"/>
      <c r="R55" s="19"/>
      <c r="S55" s="19"/>
      <c r="T55" s="19"/>
      <c r="U55" s="19"/>
      <c r="V55" s="84"/>
      <c r="W55" s="84"/>
      <c r="X55" s="84"/>
      <c r="Y55" s="162"/>
      <c r="Z55" s="189"/>
    </row>
    <row r="56" spans="2:30" ht="12.75" customHeight="1" thickBot="1" x14ac:dyDescent="0.25">
      <c r="B56" s="725" t="s">
        <v>262</v>
      </c>
      <c r="C56" s="673"/>
      <c r="D56" s="788" t="s">
        <v>191</v>
      </c>
      <c r="E56" s="788"/>
      <c r="F56" s="788"/>
      <c r="G56" s="788"/>
      <c r="H56" s="788"/>
      <c r="I56" s="788"/>
      <c r="J56" s="788"/>
      <c r="K56" s="788"/>
      <c r="L56" s="788"/>
      <c r="M56" s="788"/>
      <c r="N56" s="788"/>
      <c r="O56" s="788"/>
      <c r="P56" s="610">
        <f t="shared" ref="P56:W56" si="83">ROUNDUP(SUM(P18:P54),0)</f>
        <v>24331</v>
      </c>
      <c r="Q56" s="610">
        <f t="shared" si="83"/>
        <v>20</v>
      </c>
      <c r="R56" s="610">
        <f t="shared" si="83"/>
        <v>15301</v>
      </c>
      <c r="S56" s="610">
        <f t="shared" si="83"/>
        <v>15301</v>
      </c>
      <c r="T56" s="610">
        <f t="shared" si="83"/>
        <v>455</v>
      </c>
      <c r="U56" s="610">
        <f t="shared" si="83"/>
        <v>6569</v>
      </c>
      <c r="V56" s="610">
        <f t="shared" si="83"/>
        <v>184</v>
      </c>
      <c r="W56" s="610">
        <f t="shared" si="83"/>
        <v>36607</v>
      </c>
      <c r="X56" s="610">
        <f t="shared" ref="X56" si="84">ROUNDUP(SUM(X18:X54),0)</f>
        <v>135</v>
      </c>
      <c r="Y56" s="610">
        <f>ROUNDUP(SUM(Y18:Y54),0)</f>
        <v>13677</v>
      </c>
      <c r="Z56" s="10"/>
    </row>
    <row r="57" spans="2:30" ht="12.75" customHeight="1" thickBot="1" x14ac:dyDescent="0.25">
      <c r="B57" s="727"/>
      <c r="C57" s="674"/>
      <c r="D57" s="788"/>
      <c r="E57" s="788"/>
      <c r="F57" s="788"/>
      <c r="G57" s="788"/>
      <c r="H57" s="788"/>
      <c r="I57" s="788"/>
      <c r="J57" s="788"/>
      <c r="K57" s="788"/>
      <c r="L57" s="788"/>
      <c r="M57" s="788"/>
      <c r="N57" s="788"/>
      <c r="O57" s="78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10"/>
    </row>
    <row r="58" spans="2:30" ht="12.75" customHeight="1" x14ac:dyDescent="0.2">
      <c r="Z58" s="10"/>
      <c r="AA58" s="10"/>
      <c r="AB58" s="10"/>
      <c r="AC58" s="10"/>
      <c r="AD58" s="10"/>
    </row>
    <row r="59" spans="2:30" ht="12.75" customHeight="1" x14ac:dyDescent="0.2">
      <c r="Z59" s="10"/>
      <c r="AA59" s="10"/>
      <c r="AB59" s="10"/>
      <c r="AC59" s="10"/>
      <c r="AD59" s="10"/>
    </row>
    <row r="60" spans="2:30" ht="12.75" customHeight="1" x14ac:dyDescent="0.2">
      <c r="Z60" s="10"/>
    </row>
    <row r="61" spans="2:30" ht="12.75" customHeight="1" x14ac:dyDescent="0.2">
      <c r="Z61" s="10"/>
    </row>
    <row r="62" spans="2:30" ht="12.75" customHeight="1" x14ac:dyDescent="0.2">
      <c r="Z62" s="10"/>
    </row>
    <row r="63" spans="2:30" ht="12.75" customHeight="1" x14ac:dyDescent="0.2">
      <c r="Z63" s="10"/>
    </row>
    <row r="64" spans="2:30" ht="12.75" customHeight="1" x14ac:dyDescent="0.2">
      <c r="Z64" s="10"/>
    </row>
    <row r="65" spans="1:26" ht="12.75" customHeight="1" x14ac:dyDescent="0.2">
      <c r="Z65" s="10"/>
    </row>
    <row r="66" spans="1:26" ht="12.75" customHeight="1" x14ac:dyDescent="0.2">
      <c r="Z66" s="10"/>
    </row>
    <row r="67" spans="1:26" ht="12.75" customHeight="1" x14ac:dyDescent="0.2">
      <c r="Z67" s="10"/>
    </row>
    <row r="68" spans="1:26" ht="12.75" customHeight="1" x14ac:dyDescent="0.2">
      <c r="Z68" s="10"/>
    </row>
    <row r="69" spans="1:26" ht="12.75" customHeight="1" x14ac:dyDescent="0.2">
      <c r="C69" s="96"/>
      <c r="Z69" s="10"/>
    </row>
    <row r="70" spans="1:26" ht="12.75" customHeight="1" x14ac:dyDescent="0.2">
      <c r="C70" s="96"/>
      <c r="Z70" s="10"/>
    </row>
    <row r="71" spans="1:26" ht="12.75" customHeight="1" x14ac:dyDescent="0.2">
      <c r="C71" s="96"/>
      <c r="Z71" s="10"/>
    </row>
    <row r="72" spans="1:26" ht="12.75" customHeight="1" x14ac:dyDescent="0.2">
      <c r="A72" s="94"/>
      <c r="C72" s="96"/>
    </row>
    <row r="73" spans="1:26" ht="12.75" customHeight="1" x14ac:dyDescent="0.2">
      <c r="A73" s="94"/>
      <c r="C73" s="96"/>
    </row>
    <row r="74" spans="1:26" ht="12.75" customHeight="1" x14ac:dyDescent="0.2">
      <c r="C74" s="96"/>
    </row>
    <row r="75" spans="1:26" ht="12.75" customHeight="1" x14ac:dyDescent="0.25">
      <c r="C75" s="96"/>
      <c r="O75" s="199">
        <f>SUM(O17:O54)</f>
        <v>344900</v>
      </c>
      <c r="P75" s="204"/>
      <c r="Q75" s="179" t="s">
        <v>172</v>
      </c>
    </row>
    <row r="76" spans="1:26" ht="12.75" customHeight="1" x14ac:dyDescent="0.2">
      <c r="A76" s="94"/>
      <c r="C76" s="96"/>
    </row>
    <row r="77" spans="1:26" ht="12.75" customHeight="1" x14ac:dyDescent="0.2">
      <c r="A77" s="94"/>
    </row>
    <row r="78" spans="1:26" ht="12.75" customHeight="1" x14ac:dyDescent="0.2"/>
    <row r="79" spans="1:26" ht="12.75" customHeight="1" x14ac:dyDescent="0.2"/>
    <row r="80" spans="1:2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spans="31:56" ht="12.75" customHeight="1" x14ac:dyDescent="0.2"/>
    <row r="114" spans="31:56" ht="12.75" customHeight="1" x14ac:dyDescent="0.2"/>
    <row r="115" spans="31:56" ht="12.75" customHeight="1" x14ac:dyDescent="0.2"/>
    <row r="116" spans="31:56" ht="12.75" customHeight="1" x14ac:dyDescent="0.2"/>
    <row r="117" spans="31:56" ht="12.75" customHeight="1" x14ac:dyDescent="0.2"/>
    <row r="118" spans="31:56" ht="12.75" customHeight="1" x14ac:dyDescent="0.2"/>
    <row r="119" spans="31:56" ht="12.75" customHeight="1" x14ac:dyDescent="0.2"/>
    <row r="120" spans="31:56" ht="12.75" customHeight="1" x14ac:dyDescent="0.2"/>
    <row r="121" spans="31:56" ht="12.75" customHeight="1" x14ac:dyDescent="0.2"/>
    <row r="122" spans="31:56" ht="12.75" customHeight="1" x14ac:dyDescent="0.2"/>
    <row r="123" spans="31:56" ht="12.75" customHeight="1" x14ac:dyDescent="0.2"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94"/>
      <c r="AW123" s="94"/>
      <c r="AX123" s="94"/>
      <c r="AY123" s="94"/>
      <c r="AZ123" s="94"/>
      <c r="BA123" s="94"/>
      <c r="BB123" s="94"/>
      <c r="BC123" s="94"/>
      <c r="BD123" s="94"/>
    </row>
    <row r="124" spans="31:56" ht="12.75" customHeight="1" x14ac:dyDescent="0.2">
      <c r="AE124" s="94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94"/>
      <c r="AW124" s="94"/>
      <c r="AX124" s="94"/>
      <c r="AY124" s="94"/>
      <c r="AZ124" s="94"/>
      <c r="BA124" s="94"/>
      <c r="BB124" s="94"/>
      <c r="BC124" s="94"/>
      <c r="BD124" s="94"/>
    </row>
    <row r="125" spans="31:56" ht="12.75" customHeight="1" x14ac:dyDescent="0.2"/>
    <row r="126" spans="31:56" ht="12.75" customHeight="1" x14ac:dyDescent="0.2"/>
    <row r="127" spans="31:56" ht="12.75" customHeight="1" x14ac:dyDescent="0.2"/>
    <row r="128" spans="31:56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spans="1:56" ht="12.75" customHeight="1" x14ac:dyDescent="0.2"/>
    <row r="146" spans="1:56" ht="12.75" customHeight="1" x14ac:dyDescent="0.2"/>
    <row r="147" spans="1:56" ht="12.75" customHeight="1" x14ac:dyDescent="0.2"/>
    <row r="148" spans="1:56" s="94" customFormat="1" ht="12.75" customHeight="1" x14ac:dyDescent="0.2">
      <c r="A148" s="81"/>
      <c r="B148" s="95"/>
      <c r="C148" s="95"/>
      <c r="D148" s="81"/>
      <c r="E148" s="81"/>
      <c r="F148" s="81"/>
      <c r="G148" s="81"/>
      <c r="H148" s="81"/>
      <c r="I148" s="81"/>
      <c r="J148" s="81"/>
      <c r="K148" s="87"/>
      <c r="L148" s="87"/>
      <c r="R148" s="87"/>
      <c r="S148" s="88"/>
      <c r="T148" s="88"/>
      <c r="U148" s="88"/>
      <c r="V148" s="13"/>
      <c r="W148" s="13"/>
      <c r="X148" s="13"/>
      <c r="Y148" s="87"/>
      <c r="Z148" s="90"/>
      <c r="AA148" s="90"/>
      <c r="AB148" s="90"/>
      <c r="AC148" s="90"/>
      <c r="AE148" s="81"/>
      <c r="AF148" s="81"/>
      <c r="AG148" s="81"/>
      <c r="AH148" s="81"/>
      <c r="AI148" s="81"/>
      <c r="AJ148" s="81"/>
      <c r="AK148" s="81"/>
      <c r="AL148" s="81"/>
      <c r="AM148" s="81"/>
      <c r="AN148" s="81"/>
      <c r="AO148" s="81"/>
      <c r="AP148" s="81"/>
      <c r="AQ148" s="81"/>
      <c r="AR148" s="81"/>
      <c r="AS148" s="81"/>
      <c r="AT148" s="81"/>
      <c r="AU148" s="81"/>
      <c r="AV148" s="81"/>
      <c r="AW148" s="81"/>
      <c r="AX148" s="81"/>
      <c r="AY148" s="81"/>
      <c r="AZ148" s="81"/>
      <c r="BA148" s="81"/>
      <c r="BB148" s="81"/>
      <c r="BC148" s="81"/>
      <c r="BD148" s="81"/>
    </row>
    <row r="149" spans="1:56" s="94" customFormat="1" ht="12.75" customHeight="1" x14ac:dyDescent="0.2">
      <c r="A149" s="81"/>
      <c r="B149" s="95"/>
      <c r="C149" s="95"/>
      <c r="D149" s="81"/>
      <c r="E149" s="81"/>
      <c r="F149" s="81"/>
      <c r="G149" s="81"/>
      <c r="H149" s="81"/>
      <c r="I149" s="81"/>
      <c r="J149" s="81"/>
      <c r="K149" s="87"/>
      <c r="L149" s="87"/>
      <c r="R149" s="87"/>
      <c r="S149" s="88"/>
      <c r="T149" s="88"/>
      <c r="U149" s="88"/>
      <c r="V149" s="13"/>
      <c r="W149" s="13"/>
      <c r="X149" s="13"/>
      <c r="Y149" s="87"/>
      <c r="Z149" s="90"/>
      <c r="AA149" s="90"/>
      <c r="AB149" s="90"/>
      <c r="AC149" s="90"/>
      <c r="AE149" s="81"/>
      <c r="AF149" s="81"/>
      <c r="AG149" s="81"/>
      <c r="AH149" s="81"/>
      <c r="AI149" s="81"/>
      <c r="AJ149" s="81"/>
      <c r="AK149" s="81"/>
      <c r="AL149" s="81"/>
      <c r="AM149" s="81"/>
      <c r="AN149" s="81"/>
      <c r="AO149" s="81"/>
      <c r="AP149" s="81"/>
      <c r="AQ149" s="81"/>
      <c r="AR149" s="81"/>
      <c r="AS149" s="81"/>
      <c r="AT149" s="81"/>
      <c r="AU149" s="81"/>
      <c r="AV149" s="81"/>
      <c r="AW149" s="81"/>
      <c r="AX149" s="81"/>
      <c r="AY149" s="81"/>
      <c r="AZ149" s="81"/>
      <c r="BA149" s="81"/>
      <c r="BB149" s="81"/>
      <c r="BC149" s="81"/>
      <c r="BD149" s="81"/>
    </row>
  </sheetData>
  <mergeCells count="73">
    <mergeCell ref="AC16:AE16"/>
    <mergeCell ref="AF16:AH16"/>
    <mergeCell ref="AI16:AK16"/>
    <mergeCell ref="AC13:AE13"/>
    <mergeCell ref="AF13:AH13"/>
    <mergeCell ref="AI13:AK13"/>
    <mergeCell ref="AC14:AE14"/>
    <mergeCell ref="AF14:AH14"/>
    <mergeCell ref="AI14:AK14"/>
    <mergeCell ref="AC15:AE15"/>
    <mergeCell ref="AF15:AH15"/>
    <mergeCell ref="AI15:AK15"/>
    <mergeCell ref="AF10:AH10"/>
    <mergeCell ref="AI10:AK10"/>
    <mergeCell ref="AC11:AE11"/>
    <mergeCell ref="AF11:AH11"/>
    <mergeCell ref="AI11:AK11"/>
    <mergeCell ref="K5:K15"/>
    <mergeCell ref="L5:L15"/>
    <mergeCell ref="AA10:AA11"/>
    <mergeCell ref="AB10:AB11"/>
    <mergeCell ref="AC10:AE10"/>
    <mergeCell ref="X6:X15"/>
    <mergeCell ref="B36:C36"/>
    <mergeCell ref="R5:T5"/>
    <mergeCell ref="B56:C57"/>
    <mergeCell ref="P6:P15"/>
    <mergeCell ref="P5:Q5"/>
    <mergeCell ref="P56:P57"/>
    <mergeCell ref="Q6:Q15"/>
    <mergeCell ref="R6:R15"/>
    <mergeCell ref="S6:S15"/>
    <mergeCell ref="T6:T15"/>
    <mergeCell ref="M5:M15"/>
    <mergeCell ref="N5:N15"/>
    <mergeCell ref="O5:O15"/>
    <mergeCell ref="I5:I15"/>
    <mergeCell ref="F5:F16"/>
    <mergeCell ref="B5:C15"/>
    <mergeCell ref="D5:D16"/>
    <mergeCell ref="E5:E16"/>
    <mergeCell ref="AE24:AG24"/>
    <mergeCell ref="AI24:AK24"/>
    <mergeCell ref="B17:C17"/>
    <mergeCell ref="AC12:AE12"/>
    <mergeCell ref="AF12:AH12"/>
    <mergeCell ref="AI12:AK12"/>
    <mergeCell ref="G5:G16"/>
    <mergeCell ref="H5:H15"/>
    <mergeCell ref="U6:U15"/>
    <mergeCell ref="V6:V15"/>
    <mergeCell ref="W6:W15"/>
    <mergeCell ref="Y6:Y15"/>
    <mergeCell ref="AA9:AK9"/>
    <mergeCell ref="J5:J15"/>
    <mergeCell ref="AL24:AN24"/>
    <mergeCell ref="AO24:AQ24"/>
    <mergeCell ref="AR24:AT24"/>
    <mergeCell ref="AE26:AG26"/>
    <mergeCell ref="AI26:AK26"/>
    <mergeCell ref="AL26:AN26"/>
    <mergeCell ref="AO26:AQ26"/>
    <mergeCell ref="AR26:AT26"/>
    <mergeCell ref="U56:U57"/>
    <mergeCell ref="V56:V57"/>
    <mergeCell ref="W56:W57"/>
    <mergeCell ref="Y56:Y57"/>
    <mergeCell ref="D56:O57"/>
    <mergeCell ref="Q56:Q57"/>
    <mergeCell ref="R56:R57"/>
    <mergeCell ref="S56:S57"/>
    <mergeCell ref="T56:T57"/>
    <mergeCell ref="X56:X57"/>
  </mergeCells>
  <dataValidations count="1">
    <dataValidation type="list" allowBlank="1" showInputMessage="1" showErrorMessage="1" sqref="E17:F54">
      <formula1>$AA$2:$AA$6</formula1>
    </dataValidation>
  </dataValidations>
  <printOptions horizontalCentered="1" verticalCentered="1"/>
  <pageMargins left="0.73" right="0.75" top="0.66" bottom="0.4" header="0.65" footer="0.25"/>
  <pageSetup paperSize="17" scale="69" orientation="landscape" r:id="rId1"/>
  <headerFooter scaleWithDoc="0" alignWithMargins="0">
    <oddHeader>&amp;LHAN-75-14.39</oddHeader>
    <oddFooter>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36"/>
  <sheetViews>
    <sheetView view="pageBreakPreview" zoomScaleNormal="80" zoomScaleSheetLayoutView="100" workbookViewId="0">
      <pane xSplit="4" ySplit="16" topLeftCell="E17" activePane="bottomRight" state="frozen"/>
      <selection pane="topRight" activeCell="E1" sqref="E1"/>
      <selection pane="bottomLeft" activeCell="A14" sqref="A14"/>
      <selection pane="bottomRight" activeCell="X16" sqref="X16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2" width="9.28515625" style="87" customWidth="1"/>
    <col min="13" max="13" width="10.7109375" style="94" customWidth="1"/>
    <col min="14" max="14" width="10" style="94" customWidth="1"/>
    <col min="15" max="17" width="10.7109375" style="94" customWidth="1"/>
    <col min="18" max="20" width="9.28515625" style="88" customWidth="1"/>
    <col min="21" max="25" width="9.28515625" style="87" customWidth="1"/>
    <col min="26" max="26" width="9.140625" style="90" customWidth="1"/>
    <col min="27" max="27" width="11.85546875" style="81" bestFit="1" customWidth="1"/>
    <col min="28" max="28" width="9.85546875" style="81" bestFit="1" customWidth="1"/>
    <col min="29" max="36" width="9.7109375" style="81" customWidth="1"/>
    <col min="37" max="16384" width="9.140625" style="81"/>
  </cols>
  <sheetData>
    <row r="1" spans="2:37" s="90" customFormat="1" ht="13.5" thickBot="1" x14ac:dyDescent="0.25">
      <c r="B1" s="97"/>
      <c r="C1" s="97"/>
      <c r="K1" s="88"/>
      <c r="L1" s="88"/>
      <c r="M1" s="105"/>
      <c r="N1" s="105"/>
      <c r="O1" s="105"/>
      <c r="P1" s="105"/>
      <c r="Q1" s="105"/>
      <c r="R1" s="88"/>
      <c r="S1" s="88">
        <v>12</v>
      </c>
      <c r="T1" s="88"/>
      <c r="U1" s="88">
        <v>6</v>
      </c>
      <c r="V1" s="88"/>
      <c r="W1" s="88"/>
      <c r="X1" s="88">
        <v>6</v>
      </c>
      <c r="Y1" s="88"/>
    </row>
    <row r="2" spans="2:37" s="90" customFormat="1" x14ac:dyDescent="0.2">
      <c r="B2" s="97"/>
      <c r="C2" s="97"/>
      <c r="M2" s="105"/>
      <c r="N2" s="105"/>
      <c r="O2" s="105"/>
      <c r="P2" s="105"/>
      <c r="Q2" s="105"/>
      <c r="S2" s="146"/>
      <c r="T2" s="145" t="s">
        <v>35</v>
      </c>
      <c r="U2" s="168" t="s">
        <v>144</v>
      </c>
      <c r="V2" s="168"/>
      <c r="W2" s="170"/>
      <c r="X2" s="170" t="s">
        <v>34</v>
      </c>
      <c r="Y2" s="211">
        <v>41920</v>
      </c>
      <c r="AA2" s="224" t="s">
        <v>101</v>
      </c>
      <c r="AB2" s="81"/>
      <c r="AC2" s="224" t="s">
        <v>103</v>
      </c>
      <c r="AD2" s="219" t="s">
        <v>202</v>
      </c>
    </row>
    <row r="3" spans="2:37" s="90" customFormat="1" ht="13.5" thickBot="1" x14ac:dyDescent="0.25">
      <c r="B3" s="97"/>
      <c r="C3" s="97"/>
      <c r="M3" s="105"/>
      <c r="N3" s="105"/>
      <c r="O3" s="105"/>
      <c r="P3" s="105"/>
      <c r="Q3" s="105"/>
      <c r="S3" s="45"/>
      <c r="T3" s="46" t="s">
        <v>36</v>
      </c>
      <c r="U3" s="169" t="s">
        <v>266</v>
      </c>
      <c r="V3" s="216"/>
      <c r="W3" s="217"/>
      <c r="X3" s="217" t="s">
        <v>34</v>
      </c>
      <c r="Y3" s="459">
        <v>41926</v>
      </c>
      <c r="AA3" s="225" t="s">
        <v>102</v>
      </c>
      <c r="AB3" s="81"/>
      <c r="AC3" s="225" t="s">
        <v>104</v>
      </c>
      <c r="AD3" s="106" t="s">
        <v>203</v>
      </c>
    </row>
    <row r="4" spans="2:37" s="90" customFormat="1" ht="13.5" thickBot="1" x14ac:dyDescent="0.25">
      <c r="B4" s="97"/>
      <c r="C4" s="97"/>
      <c r="K4" s="88"/>
      <c r="L4" s="88"/>
      <c r="M4" s="105"/>
      <c r="N4" s="105"/>
      <c r="O4" s="105"/>
      <c r="P4" s="105"/>
      <c r="Q4" s="105"/>
      <c r="R4" s="88"/>
      <c r="S4" s="88"/>
      <c r="T4" s="88"/>
      <c r="U4" s="88"/>
      <c r="V4" s="88"/>
      <c r="W4" s="88"/>
      <c r="X4" s="88"/>
      <c r="Y4" s="88"/>
      <c r="AA4" s="225" t="s">
        <v>107</v>
      </c>
      <c r="AB4" s="81"/>
      <c r="AC4" s="225" t="s">
        <v>109</v>
      </c>
      <c r="AD4" s="106" t="s">
        <v>204</v>
      </c>
    </row>
    <row r="5" spans="2:37" s="91" customFormat="1" ht="12.75" customHeight="1" x14ac:dyDescent="0.2">
      <c r="B5" s="657" t="s">
        <v>1</v>
      </c>
      <c r="C5" s="658"/>
      <c r="D5" s="653" t="s">
        <v>0</v>
      </c>
      <c r="E5" s="667" t="s">
        <v>99</v>
      </c>
      <c r="F5" s="667" t="s">
        <v>100</v>
      </c>
      <c r="G5" s="667" t="s">
        <v>106</v>
      </c>
      <c r="H5" s="667" t="s">
        <v>190</v>
      </c>
      <c r="I5" s="667" t="s">
        <v>46</v>
      </c>
      <c r="J5" s="667" t="s">
        <v>114</v>
      </c>
      <c r="K5" s="663" t="s">
        <v>4</v>
      </c>
      <c r="L5" s="663" t="s">
        <v>21</v>
      </c>
      <c r="M5" s="717" t="s">
        <v>17</v>
      </c>
      <c r="N5" s="717" t="s">
        <v>20</v>
      </c>
      <c r="O5" s="717" t="s">
        <v>14</v>
      </c>
      <c r="P5" s="500">
        <v>204</v>
      </c>
      <c r="Q5" s="203">
        <v>204</v>
      </c>
      <c r="R5" s="542">
        <v>206</v>
      </c>
      <c r="S5" s="543"/>
      <c r="T5" s="544"/>
      <c r="U5" s="203">
        <v>304</v>
      </c>
      <c r="V5" s="62">
        <v>451</v>
      </c>
      <c r="W5" s="2">
        <v>452</v>
      </c>
      <c r="X5" s="49">
        <v>617</v>
      </c>
      <c r="Y5" s="49">
        <v>618</v>
      </c>
      <c r="Z5" s="141"/>
      <c r="AA5" s="225" t="s">
        <v>108</v>
      </c>
      <c r="AB5" s="81"/>
      <c r="AC5" s="225" t="s">
        <v>110</v>
      </c>
      <c r="AD5" s="106" t="s">
        <v>205</v>
      </c>
    </row>
    <row r="6" spans="2:37" ht="12.75" customHeight="1" thickBot="1" x14ac:dyDescent="0.25">
      <c r="B6" s="659"/>
      <c r="C6" s="660"/>
      <c r="D6" s="654"/>
      <c r="E6" s="712"/>
      <c r="F6" s="714"/>
      <c r="G6" s="714"/>
      <c r="H6" s="710"/>
      <c r="I6" s="710"/>
      <c r="J6" s="710"/>
      <c r="K6" s="664"/>
      <c r="L6" s="664"/>
      <c r="M6" s="718"/>
      <c r="N6" s="718"/>
      <c r="O6" s="718"/>
      <c r="P6" s="675" t="s">
        <v>185</v>
      </c>
      <c r="Q6" s="676" t="s">
        <v>7</v>
      </c>
      <c r="R6" s="676" t="s">
        <v>18</v>
      </c>
      <c r="S6" s="545" t="s">
        <v>19</v>
      </c>
      <c r="T6" s="553" t="s">
        <v>23</v>
      </c>
      <c r="U6" s="676" t="s">
        <v>9</v>
      </c>
      <c r="V6" s="779" t="s">
        <v>133</v>
      </c>
      <c r="W6" s="559" t="s">
        <v>29</v>
      </c>
      <c r="X6" s="675" t="s">
        <v>282</v>
      </c>
      <c r="Y6" s="675" t="s">
        <v>155</v>
      </c>
      <c r="Z6" s="166"/>
      <c r="AA6" s="226" t="s">
        <v>97</v>
      </c>
      <c r="AC6" s="225" t="s">
        <v>105</v>
      </c>
      <c r="AD6" s="220" t="s">
        <v>206</v>
      </c>
    </row>
    <row r="7" spans="2:37" ht="12.75" customHeight="1" thickBot="1" x14ac:dyDescent="0.25">
      <c r="B7" s="659"/>
      <c r="C7" s="660"/>
      <c r="D7" s="654"/>
      <c r="E7" s="712"/>
      <c r="F7" s="714"/>
      <c r="G7" s="714"/>
      <c r="H7" s="710"/>
      <c r="I7" s="710"/>
      <c r="J7" s="710"/>
      <c r="K7" s="664"/>
      <c r="L7" s="664"/>
      <c r="M7" s="718"/>
      <c r="N7" s="718"/>
      <c r="O7" s="718"/>
      <c r="P7" s="676"/>
      <c r="Q7" s="676"/>
      <c r="R7" s="676"/>
      <c r="S7" s="720"/>
      <c r="T7" s="720"/>
      <c r="U7" s="676"/>
      <c r="V7" s="780"/>
      <c r="W7" s="560"/>
      <c r="X7" s="676"/>
      <c r="Y7" s="676"/>
      <c r="Z7" s="142"/>
      <c r="AC7" s="226" t="s">
        <v>112</v>
      </c>
      <c r="AD7" s="220" t="s">
        <v>207</v>
      </c>
    </row>
    <row r="8" spans="2:37" ht="12.75" customHeight="1" thickBot="1" x14ac:dyDescent="0.25">
      <c r="B8" s="659"/>
      <c r="C8" s="660"/>
      <c r="D8" s="654"/>
      <c r="E8" s="712"/>
      <c r="F8" s="714"/>
      <c r="G8" s="714"/>
      <c r="H8" s="710"/>
      <c r="I8" s="710"/>
      <c r="J8" s="710"/>
      <c r="K8" s="664"/>
      <c r="L8" s="664"/>
      <c r="M8" s="718"/>
      <c r="N8" s="718"/>
      <c r="O8" s="718"/>
      <c r="P8" s="676"/>
      <c r="Q8" s="676"/>
      <c r="R8" s="676"/>
      <c r="S8" s="720"/>
      <c r="T8" s="720"/>
      <c r="U8" s="676"/>
      <c r="V8" s="780"/>
      <c r="W8" s="560"/>
      <c r="X8" s="676"/>
      <c r="Y8" s="676"/>
      <c r="Z8" s="142"/>
    </row>
    <row r="9" spans="2:37" ht="12.75" customHeight="1" thickBot="1" x14ac:dyDescent="0.25">
      <c r="B9" s="659"/>
      <c r="C9" s="660"/>
      <c r="D9" s="654"/>
      <c r="E9" s="712"/>
      <c r="F9" s="714"/>
      <c r="G9" s="714"/>
      <c r="H9" s="710"/>
      <c r="I9" s="710"/>
      <c r="J9" s="710"/>
      <c r="K9" s="664"/>
      <c r="L9" s="664"/>
      <c r="M9" s="718"/>
      <c r="N9" s="718"/>
      <c r="O9" s="718"/>
      <c r="P9" s="676"/>
      <c r="Q9" s="676"/>
      <c r="R9" s="676"/>
      <c r="S9" s="720"/>
      <c r="T9" s="720"/>
      <c r="U9" s="676"/>
      <c r="V9" s="780"/>
      <c r="W9" s="560"/>
      <c r="X9" s="676"/>
      <c r="Y9" s="676"/>
      <c r="Z9" s="142"/>
      <c r="AA9" s="697" t="s">
        <v>201</v>
      </c>
      <c r="AB9" s="698"/>
      <c r="AC9" s="698"/>
      <c r="AD9" s="698"/>
      <c r="AE9" s="698"/>
      <c r="AF9" s="698"/>
      <c r="AG9" s="698"/>
      <c r="AH9" s="698"/>
      <c r="AI9" s="698"/>
      <c r="AJ9" s="698"/>
      <c r="AK9" s="699"/>
    </row>
    <row r="10" spans="2:37" ht="12.75" customHeight="1" x14ac:dyDescent="0.2">
      <c r="B10" s="659"/>
      <c r="C10" s="660"/>
      <c r="D10" s="654"/>
      <c r="E10" s="712"/>
      <c r="F10" s="714"/>
      <c r="G10" s="714"/>
      <c r="H10" s="710"/>
      <c r="I10" s="710"/>
      <c r="J10" s="710"/>
      <c r="K10" s="664"/>
      <c r="L10" s="664"/>
      <c r="M10" s="718"/>
      <c r="N10" s="718"/>
      <c r="O10" s="718"/>
      <c r="P10" s="676"/>
      <c r="Q10" s="676"/>
      <c r="R10" s="676"/>
      <c r="S10" s="720"/>
      <c r="T10" s="720"/>
      <c r="U10" s="676"/>
      <c r="V10" s="780"/>
      <c r="W10" s="560"/>
      <c r="X10" s="676"/>
      <c r="Y10" s="676"/>
      <c r="Z10" s="142"/>
      <c r="AA10" s="671" t="s">
        <v>208</v>
      </c>
      <c r="AB10" s="673" t="s">
        <v>214</v>
      </c>
      <c r="AC10" s="704" t="s">
        <v>189</v>
      </c>
      <c r="AD10" s="681"/>
      <c r="AE10" s="705"/>
      <c r="AF10" s="680" t="s">
        <v>45</v>
      </c>
      <c r="AG10" s="681"/>
      <c r="AH10" s="705"/>
      <c r="AI10" s="680" t="s">
        <v>113</v>
      </c>
      <c r="AJ10" s="681"/>
      <c r="AK10" s="682"/>
    </row>
    <row r="11" spans="2:37" ht="12.75" customHeight="1" thickBot="1" x14ac:dyDescent="0.25">
      <c r="B11" s="659"/>
      <c r="C11" s="660"/>
      <c r="D11" s="654"/>
      <c r="E11" s="712"/>
      <c r="F11" s="714"/>
      <c r="G11" s="714"/>
      <c r="H11" s="710"/>
      <c r="I11" s="710"/>
      <c r="J11" s="710"/>
      <c r="K11" s="664"/>
      <c r="L11" s="664"/>
      <c r="M11" s="718"/>
      <c r="N11" s="718"/>
      <c r="O11" s="718"/>
      <c r="P11" s="676"/>
      <c r="Q11" s="676"/>
      <c r="R11" s="676"/>
      <c r="S11" s="720"/>
      <c r="T11" s="720"/>
      <c r="U11" s="676"/>
      <c r="V11" s="780"/>
      <c r="W11" s="560"/>
      <c r="X11" s="676"/>
      <c r="Y11" s="676"/>
      <c r="Z11" s="142"/>
      <c r="AA11" s="672"/>
      <c r="AB11" s="674"/>
      <c r="AC11" s="683" t="s">
        <v>209</v>
      </c>
      <c r="AD11" s="684"/>
      <c r="AE11" s="685"/>
      <c r="AF11" s="686" t="s">
        <v>210</v>
      </c>
      <c r="AG11" s="684"/>
      <c r="AH11" s="685"/>
      <c r="AI11" s="686" t="s">
        <v>217</v>
      </c>
      <c r="AJ11" s="684"/>
      <c r="AK11" s="687"/>
    </row>
    <row r="12" spans="2:37" ht="12.75" customHeight="1" x14ac:dyDescent="0.2">
      <c r="B12" s="659"/>
      <c r="C12" s="660"/>
      <c r="D12" s="654"/>
      <c r="E12" s="712"/>
      <c r="F12" s="714"/>
      <c r="G12" s="714"/>
      <c r="H12" s="710"/>
      <c r="I12" s="710"/>
      <c r="J12" s="710"/>
      <c r="K12" s="664"/>
      <c r="L12" s="664"/>
      <c r="M12" s="718"/>
      <c r="N12" s="718"/>
      <c r="O12" s="718"/>
      <c r="P12" s="676"/>
      <c r="Q12" s="676"/>
      <c r="R12" s="676"/>
      <c r="S12" s="720"/>
      <c r="T12" s="720"/>
      <c r="U12" s="676"/>
      <c r="V12" s="780"/>
      <c r="W12" s="560"/>
      <c r="X12" s="676"/>
      <c r="Y12" s="676"/>
      <c r="Z12" s="142"/>
      <c r="AA12" s="222" t="s">
        <v>101</v>
      </c>
      <c r="AB12" s="104" t="s">
        <v>211</v>
      </c>
      <c r="AC12" s="695">
        <v>1.5</v>
      </c>
      <c r="AD12" s="617"/>
      <c r="AE12" s="618"/>
      <c r="AF12" s="616">
        <v>0.75</v>
      </c>
      <c r="AG12" s="617"/>
      <c r="AH12" s="618"/>
      <c r="AI12" s="616" t="s">
        <v>97</v>
      </c>
      <c r="AJ12" s="617"/>
      <c r="AK12" s="694"/>
    </row>
    <row r="13" spans="2:37" ht="12.75" customHeight="1" x14ac:dyDescent="0.2">
      <c r="B13" s="659"/>
      <c r="C13" s="660"/>
      <c r="D13" s="654"/>
      <c r="E13" s="712"/>
      <c r="F13" s="714"/>
      <c r="G13" s="714"/>
      <c r="H13" s="710"/>
      <c r="I13" s="710"/>
      <c r="J13" s="710"/>
      <c r="K13" s="664"/>
      <c r="L13" s="664"/>
      <c r="M13" s="718"/>
      <c r="N13" s="718"/>
      <c r="O13" s="718"/>
      <c r="P13" s="676"/>
      <c r="Q13" s="676"/>
      <c r="R13" s="676"/>
      <c r="S13" s="720"/>
      <c r="T13" s="720"/>
      <c r="U13" s="676"/>
      <c r="V13" s="780"/>
      <c r="W13" s="560"/>
      <c r="X13" s="676"/>
      <c r="Y13" s="676"/>
      <c r="Z13" s="142"/>
      <c r="AA13" s="221" t="s">
        <v>102</v>
      </c>
      <c r="AB13" s="103" t="s">
        <v>212</v>
      </c>
      <c r="AC13" s="688">
        <v>2</v>
      </c>
      <c r="AD13" s="689"/>
      <c r="AE13" s="690"/>
      <c r="AF13" s="691">
        <v>0.75</v>
      </c>
      <c r="AG13" s="692"/>
      <c r="AH13" s="693"/>
      <c r="AI13" s="691" t="s">
        <v>97</v>
      </c>
      <c r="AJ13" s="692"/>
      <c r="AK13" s="729"/>
    </row>
    <row r="14" spans="2:37" ht="12.75" customHeight="1" x14ac:dyDescent="0.2">
      <c r="B14" s="659"/>
      <c r="C14" s="660"/>
      <c r="D14" s="654"/>
      <c r="E14" s="712"/>
      <c r="F14" s="714"/>
      <c r="G14" s="714"/>
      <c r="H14" s="710"/>
      <c r="I14" s="710"/>
      <c r="J14" s="710"/>
      <c r="K14" s="664"/>
      <c r="L14" s="664"/>
      <c r="M14" s="718"/>
      <c r="N14" s="718"/>
      <c r="O14" s="718"/>
      <c r="P14" s="676"/>
      <c r="Q14" s="676"/>
      <c r="R14" s="676"/>
      <c r="S14" s="720"/>
      <c r="T14" s="720"/>
      <c r="U14" s="676"/>
      <c r="V14" s="780"/>
      <c r="W14" s="560"/>
      <c r="X14" s="676"/>
      <c r="Y14" s="676"/>
      <c r="Z14" s="142"/>
      <c r="AA14" s="221" t="s">
        <v>107</v>
      </c>
      <c r="AB14" s="103" t="s">
        <v>213</v>
      </c>
      <c r="AC14" s="688" t="s">
        <v>97</v>
      </c>
      <c r="AD14" s="689"/>
      <c r="AE14" s="690"/>
      <c r="AF14" s="691" t="s">
        <v>97</v>
      </c>
      <c r="AG14" s="692"/>
      <c r="AH14" s="693"/>
      <c r="AI14" s="691">
        <v>-1.42</v>
      </c>
      <c r="AJ14" s="692"/>
      <c r="AK14" s="729"/>
    </row>
    <row r="15" spans="2:37" ht="12.75" customHeight="1" x14ac:dyDescent="0.2">
      <c r="B15" s="659"/>
      <c r="C15" s="660"/>
      <c r="D15" s="654"/>
      <c r="E15" s="712"/>
      <c r="F15" s="714"/>
      <c r="G15" s="714"/>
      <c r="H15" s="710"/>
      <c r="I15" s="710"/>
      <c r="J15" s="710"/>
      <c r="K15" s="665"/>
      <c r="L15" s="665"/>
      <c r="M15" s="719"/>
      <c r="N15" s="719"/>
      <c r="O15" s="719"/>
      <c r="P15" s="676"/>
      <c r="Q15" s="676"/>
      <c r="R15" s="676"/>
      <c r="S15" s="721"/>
      <c r="T15" s="721"/>
      <c r="U15" s="676"/>
      <c r="V15" s="781"/>
      <c r="W15" s="561"/>
      <c r="X15" s="676"/>
      <c r="Y15" s="676"/>
      <c r="Z15" s="142"/>
      <c r="AA15" s="221" t="s">
        <v>215</v>
      </c>
      <c r="AB15" s="103" t="s">
        <v>211</v>
      </c>
      <c r="AC15" s="695">
        <v>3.83</v>
      </c>
      <c r="AD15" s="617"/>
      <c r="AE15" s="618"/>
      <c r="AF15" s="616">
        <v>1.42</v>
      </c>
      <c r="AG15" s="617"/>
      <c r="AH15" s="618"/>
      <c r="AI15" s="616" t="s">
        <v>97</v>
      </c>
      <c r="AJ15" s="617"/>
      <c r="AK15" s="694"/>
    </row>
    <row r="16" spans="2:37" ht="12.75" customHeight="1" thickBot="1" x14ac:dyDescent="0.25">
      <c r="B16" s="98" t="s">
        <v>2</v>
      </c>
      <c r="C16" s="99" t="s">
        <v>3</v>
      </c>
      <c r="D16" s="711"/>
      <c r="E16" s="713"/>
      <c r="F16" s="715"/>
      <c r="G16" s="715"/>
      <c r="H16" s="5" t="s">
        <v>5</v>
      </c>
      <c r="I16" s="5" t="s">
        <v>12</v>
      </c>
      <c r="J16" s="5" t="s">
        <v>12</v>
      </c>
      <c r="K16" s="5" t="s">
        <v>5</v>
      </c>
      <c r="L16" s="5" t="s">
        <v>5</v>
      </c>
      <c r="M16" s="73" t="s">
        <v>6</v>
      </c>
      <c r="N16" s="73" t="s">
        <v>6</v>
      </c>
      <c r="O16" s="73" t="s">
        <v>6</v>
      </c>
      <c r="P16" s="84" t="s">
        <v>10</v>
      </c>
      <c r="Q16" s="5" t="s">
        <v>11</v>
      </c>
      <c r="R16" s="5" t="s">
        <v>10</v>
      </c>
      <c r="S16" s="5" t="s">
        <v>10</v>
      </c>
      <c r="T16" s="5" t="s">
        <v>22</v>
      </c>
      <c r="U16" s="5" t="s">
        <v>12</v>
      </c>
      <c r="V16" s="136" t="s">
        <v>5</v>
      </c>
      <c r="W16" s="55" t="s">
        <v>10</v>
      </c>
      <c r="X16" s="458" t="s">
        <v>12</v>
      </c>
      <c r="Y16" s="5" t="s">
        <v>5</v>
      </c>
      <c r="Z16" s="143"/>
      <c r="AA16" s="223" t="s">
        <v>216</v>
      </c>
      <c r="AB16" s="158" t="s">
        <v>211</v>
      </c>
      <c r="AC16" s="677">
        <v>3.17</v>
      </c>
      <c r="AD16" s="678"/>
      <c r="AE16" s="679"/>
      <c r="AF16" s="696">
        <v>1.0900000000000001</v>
      </c>
      <c r="AG16" s="678"/>
      <c r="AH16" s="679"/>
      <c r="AI16" s="696" t="s">
        <v>97</v>
      </c>
      <c r="AJ16" s="678"/>
      <c r="AK16" s="701"/>
    </row>
    <row r="17" spans="1:29" ht="12.75" customHeight="1" x14ac:dyDescent="0.2">
      <c r="B17" s="661" t="s">
        <v>197</v>
      </c>
      <c r="C17" s="662"/>
      <c r="D17" s="100"/>
      <c r="E17" s="100"/>
      <c r="F17" s="100"/>
      <c r="G17" s="100"/>
      <c r="H17" s="100"/>
      <c r="I17" s="100"/>
      <c r="J17" s="100"/>
      <c r="K17" s="101"/>
      <c r="L17" s="101"/>
      <c r="M17" s="118"/>
      <c r="N17" s="118"/>
      <c r="O17" s="118"/>
      <c r="P17" s="118"/>
      <c r="Q17" s="118"/>
      <c r="R17" s="101"/>
      <c r="S17" s="101"/>
      <c r="T17" s="102"/>
      <c r="U17" s="101"/>
      <c r="V17" s="137"/>
      <c r="W17" s="109"/>
      <c r="X17" s="101"/>
      <c r="Y17" s="85"/>
      <c r="Z17" s="120"/>
    </row>
    <row r="18" spans="1:29" ht="12.75" customHeight="1" x14ac:dyDescent="0.2">
      <c r="B18" s="335">
        <v>76998.59</v>
      </c>
      <c r="C18" s="336">
        <v>77149.119999999995</v>
      </c>
      <c r="D18" s="337" t="s">
        <v>30</v>
      </c>
      <c r="E18" s="337" t="s">
        <v>108</v>
      </c>
      <c r="F18" s="337" t="s">
        <v>101</v>
      </c>
      <c r="G18" s="103" t="str">
        <f t="shared" ref="G18:G23" si="0">IF(AND($E18=$AA$2,$F18=$AA$2),$AC$2,IF(OR(AND($E18=$AA$2,$F18=$AA$3),AND($E18=$AA$3,$F18=$AA$2)),$AC$3,IF(OR(AND($E18=$AA$2,$F18=$AA$4),AND($E18=$AA$4,$F18=$AA$2)),$AC$4,IF(OR(AND($E18=$AA$3,$F18=$AA$4),AND($E18=$AA$4,$F18=$AA$3)),$AC$5,IF(AND($E18=$AA$3,$F18=$AA$3),$AC$6,IF(AND($E18=$AA$4,$F18=$AA$4),$AC$7,"-"))))))</f>
        <v>-</v>
      </c>
      <c r="H18" s="349">
        <v>5.33</v>
      </c>
      <c r="I18" s="338">
        <v>12.1</v>
      </c>
      <c r="J18" s="358">
        <v>0</v>
      </c>
      <c r="K18" s="83">
        <f t="shared" ref="K18:K23" si="1">C18-B18</f>
        <v>150.52999999999884</v>
      </c>
      <c r="L18" s="342">
        <v>27</v>
      </c>
      <c r="M18" s="124">
        <f>IF(L18="-",0,ROUNDUP($K18*L18,0))</f>
        <v>4065</v>
      </c>
      <c r="N18" s="344">
        <v>0</v>
      </c>
      <c r="O18" s="123">
        <f t="shared" ref="O18:O63" si="2">SUM(M18:N18)</f>
        <v>4065</v>
      </c>
      <c r="P18" s="480">
        <f>IF(OR($A18="APP SLAB",O18=0),0,($O18+$H18*$K18)/9)</f>
        <v>540.81387777777718</v>
      </c>
      <c r="Q18" s="210">
        <f>IF(AND(P18=0,S18=0),0,IF(S18=0,P18/2000,S18/2000))</f>
        <v>0.27040693888888861</v>
      </c>
      <c r="R18" s="85">
        <f t="shared" ref="R18:R23" si="3">IF(A18="APP SLAB",0,S18)</f>
        <v>0</v>
      </c>
      <c r="S18" s="135">
        <f>IF(OR(A18="APP SLAB",P18&lt;&gt;0),0,(O18+H18*K18)/9)</f>
        <v>0</v>
      </c>
      <c r="T18" s="85">
        <f t="shared" ref="T18:T23" si="4">IF(A18="APP SLAB",0,$S$1*S18*110*0.06*0.75/2000)</f>
        <v>0</v>
      </c>
      <c r="U18" s="83">
        <f>IF(O18=0,0,(O18*$U$1/12)/27+I18)</f>
        <v>87.377777777777766</v>
      </c>
      <c r="V18" s="381">
        <v>0</v>
      </c>
      <c r="W18" s="111">
        <f>IF($A18="APP SLAB",0,(O18+K18*J18)/9)</f>
        <v>451.66666666666669</v>
      </c>
      <c r="X18" s="454">
        <f>IF(AND($E18=$F18="Uncurbed"),(2*$K18*2*$X$1/12)/27,IF(OR($E18="Uncurbed",$F18="Uncurbed"),($K18*2*$X$1/12)/27,IF(OR(AND($E18="Med. Barr.",$F18="Curbed"),AND($E18="Curbed",$F18="Med. Barr."),$E18=$F18,$E18="Unique",$F18="Unique",$E18="-",$F18="-"),0,"?")))</f>
        <v>5.5751851851851422</v>
      </c>
      <c r="Y18" s="85">
        <f>IF($A18="APP SLAB",0,($K18*2))</f>
        <v>301.05999999999767</v>
      </c>
      <c r="Z18" s="10"/>
    </row>
    <row r="19" spans="1:29" ht="12.75" customHeight="1" x14ac:dyDescent="0.2">
      <c r="B19" s="335">
        <v>77149.119999999995</v>
      </c>
      <c r="C19" s="336">
        <v>77700</v>
      </c>
      <c r="D19" s="337" t="s">
        <v>30</v>
      </c>
      <c r="E19" s="337" t="s">
        <v>101</v>
      </c>
      <c r="F19" s="337" t="s">
        <v>101</v>
      </c>
      <c r="G19" s="103" t="str">
        <f t="shared" si="0"/>
        <v>E/S - E/S</v>
      </c>
      <c r="H19" s="77">
        <f>IF(AND($E19=$AA$2,$F19=$AA$2),2*$AC$12,IF(OR(AND($E19=$AA$2, $F19=$AA$3),AND($E19=$AA$3,$F19=$AA$2)),$AC$12+$AC$13,IF(OR(AND($E19=$AA$2,$F19=$AA$4),AND($E19=$AA$4,$F19=$AA$2)),$AC$12,IF(OR(AND($E19=$AA$3,$F19=$AA$4),AND($E19=$AA$4,$F19=$AA$3)),$AC$13,IF(AND($E19=$AA$3,$F19=$AA$3),2*$AC$13,0)))))</f>
        <v>3</v>
      </c>
      <c r="I19" s="27">
        <f>IF(AND($E19=$AA$2,$F19=$AA$2),2*$AF$12*$K19/27,IF(OR(AND($E19=$AA$2,$F19=$AA$3),AND($E19=$AA$3,$F19=$AA$2)),($AF$12+$AF$13)*$K19/27,IF(OR(AND($E19=$AA$2,$F19=$AA$4),AND($E19=$AA$4,$F19=$AA$2)),$AF$12*$K19/27,IF(OR(AND($E19=$AA$3,$F19=$AA$4),AND($E19=$AA$4,$F19=$AA$3)),$AF$13*$K19/27,IF(AND($E19=$AA$3,$F19=$AA$3),2*$AF$13*$K19/27,0)))))</f>
        <v>30.604444444444702</v>
      </c>
      <c r="J19" s="78">
        <f>IF(OR(AND($E19=$AA$2,$F19=$AA$4),AND($E19=$AA$4,$F19=$AA$2)),$AI$14,IF(OR(AND($E19=$AA$3,$F19=$AA$4),AND($E19=$AA$4,$F19=$AA$3)),$AI$14,IF(AND($E19=$AA$4,$F19=$AA$4),2*$AI$14,0)))</f>
        <v>0</v>
      </c>
      <c r="K19" s="83">
        <f t="shared" si="1"/>
        <v>550.88000000000466</v>
      </c>
      <c r="L19" s="342">
        <v>26</v>
      </c>
      <c r="M19" s="124">
        <f t="shared" ref="M19:M23" si="5">IF(L19="-",0,ROUNDUP($K19*L19,0))</f>
        <v>14323</v>
      </c>
      <c r="N19" s="344">
        <v>0</v>
      </c>
      <c r="O19" s="123">
        <f t="shared" si="2"/>
        <v>14323</v>
      </c>
      <c r="P19" s="480">
        <f>IF(OR($A19="APP SLAB",O19=0),0,($O19+$H19*$K19)/9)</f>
        <v>1775.0711111111127</v>
      </c>
      <c r="Q19" s="210">
        <f t="shared" ref="Q19:Q23" si="6">IF(AND(P19=0,S19=0),0,IF(S19=0,P19/2000,S19/2000))</f>
        <v>0.88753555555555641</v>
      </c>
      <c r="R19" s="85">
        <f t="shared" si="3"/>
        <v>0</v>
      </c>
      <c r="S19" s="135">
        <f t="shared" ref="S19:S23" si="7">IF(OR(A19="APP SLAB",P19&lt;&gt;0),0,(O19+H19*K19)/9)</f>
        <v>0</v>
      </c>
      <c r="T19" s="85">
        <f t="shared" si="4"/>
        <v>0</v>
      </c>
      <c r="U19" s="83">
        <f t="shared" ref="U19:U23" si="8">IF(O19=0,0,(O19*$U$1/12)/27+I19)</f>
        <v>295.84518518518547</v>
      </c>
      <c r="V19" s="381">
        <v>0</v>
      </c>
      <c r="W19" s="111">
        <f t="shared" ref="W19:W23" si="9">IF($A19="APP SLAB",0,(O19+K19*J19)/9)</f>
        <v>1591.4444444444443</v>
      </c>
      <c r="X19" s="454">
        <f t="shared" ref="X19:X23" si="10">IF(AND($E19=$F19="Uncurbed"),(2*$K19*2*$X$1/12)/27,IF(OR($E19="Uncurbed",$F19="Uncurbed"),($K19*2*$X$1/12)/27,IF(OR(AND($E19="Med. Barr.",$F19="Curbed"),AND($E19="Curbed",$F19="Med. Barr."),$E19=$F19,$E19="Unique",$F19="Unique",$E19="-",$F19="-"),0,"?")))</f>
        <v>20.402962962963134</v>
      </c>
      <c r="Y19" s="85">
        <f>IF($A19="APP SLAB",0,($K19*2))</f>
        <v>1101.7600000000093</v>
      </c>
      <c r="Z19" s="10"/>
    </row>
    <row r="20" spans="1:29" ht="12.75" customHeight="1" x14ac:dyDescent="0.2">
      <c r="B20" s="335">
        <v>77700</v>
      </c>
      <c r="C20" s="336">
        <v>77882.509999999995</v>
      </c>
      <c r="D20" s="337" t="s">
        <v>30</v>
      </c>
      <c r="E20" s="337" t="s">
        <v>101</v>
      </c>
      <c r="F20" s="337" t="s">
        <v>101</v>
      </c>
      <c r="G20" s="103" t="str">
        <f t="shared" si="0"/>
        <v>E/S - E/S</v>
      </c>
      <c r="H20" s="77">
        <f>IF(AND($E20=$AA$2,$F20=$AA$2),2*$AC$12,IF(OR(AND($E20=$AA$2, $F20=$AA$3),AND($E20=$AA$3,$F20=$AA$2)),$AC$12+$AC$13,IF(OR(AND($E20=$AA$2,$F20=$AA$4),AND($E20=$AA$4,$F20=$AA$2)),$AC$12,IF(OR(AND($E20=$AA$3,$F20=$AA$4),AND($E20=$AA$4,$F20=$AA$3)),$AC$13,IF(AND($E20=$AA$3,$F20=$AA$3),2*$AC$13,0)))))</f>
        <v>3</v>
      </c>
      <c r="I20" s="27">
        <f>IF(AND($E20=$AA$2,$F20=$AA$2),2*$AF$12*$K20/27,IF(OR(AND($E20=$AA$2,$F20=$AA$3),AND($E20=$AA$3,$F20=$AA$2)),($AF$12+$AF$13)*$K20/27,IF(OR(AND($E20=$AA$2,$F20=$AA$4),AND($E20=$AA$4,$F20=$AA$2)),$AF$12*$K20/27,IF(OR(AND($E20=$AA$3,$F20=$AA$4),AND($E20=$AA$4,$F20=$AA$3)),$AF$13*$K20/27,IF(AND($E20=$AA$3,$F20=$AA$3),2*$AF$13*$K20/27,0)))))</f>
        <v>10.139444444444154</v>
      </c>
      <c r="J20" s="78">
        <f>IF(OR(AND($E20=$AA$2,$F20=$AA$4),AND($E20=$AA$4,$F20=$AA$2)),$AI$14,IF(OR(AND($E20=$AA$3,$F20=$AA$4),AND($E20=$AA$4,$F20=$AA$3)),$AI$14,IF(AND($E20=$AA$4,$F20=$AA$4),2*$AI$14,0)))</f>
        <v>0</v>
      </c>
      <c r="K20" s="479">
        <f t="shared" si="1"/>
        <v>182.50999999999476</v>
      </c>
      <c r="L20" s="342">
        <v>26</v>
      </c>
      <c r="M20" s="124">
        <f t="shared" ref="M20" si="11">IF(L20="-",0,ROUNDUP($K20*L20,0))</f>
        <v>4746</v>
      </c>
      <c r="N20" s="344">
        <v>0</v>
      </c>
      <c r="O20" s="123">
        <f t="shared" ref="O20" si="12">SUM(M20:N20)</f>
        <v>4746</v>
      </c>
      <c r="P20" s="344">
        <v>0</v>
      </c>
      <c r="Q20" s="210">
        <f t="shared" si="6"/>
        <v>0.29408499999999915</v>
      </c>
      <c r="R20" s="480">
        <f t="shared" si="3"/>
        <v>588.16999999999825</v>
      </c>
      <c r="S20" s="135">
        <f t="shared" si="7"/>
        <v>588.16999999999825</v>
      </c>
      <c r="T20" s="480">
        <f t="shared" si="4"/>
        <v>17.468648999999946</v>
      </c>
      <c r="U20" s="479">
        <f t="shared" ref="U20" si="13">IF(O20=0,0,(O20*$U$1/12)/27+I20)</f>
        <v>98.028333333333038</v>
      </c>
      <c r="V20" s="381">
        <v>0</v>
      </c>
      <c r="W20" s="111">
        <f t="shared" ref="W20" si="14">IF($A20="APP SLAB",0,(O20+K20*J20)/9)</f>
        <v>527.33333333333337</v>
      </c>
      <c r="X20" s="498">
        <f t="shared" si="10"/>
        <v>6.759629629629436</v>
      </c>
      <c r="Y20" s="480">
        <f>IF($A20="APP SLAB",0,($K20*2))</f>
        <v>365.01999999998952</v>
      </c>
      <c r="Z20" s="10"/>
    </row>
    <row r="21" spans="1:29" ht="12.75" customHeight="1" x14ac:dyDescent="0.2">
      <c r="A21" s="106"/>
      <c r="B21" s="335">
        <v>77882.509999999995</v>
      </c>
      <c r="C21" s="336">
        <v>79287.81</v>
      </c>
      <c r="D21" s="337" t="s">
        <v>15</v>
      </c>
      <c r="E21" s="337" t="s">
        <v>101</v>
      </c>
      <c r="F21" s="337" t="s">
        <v>108</v>
      </c>
      <c r="G21" s="103" t="str">
        <f t="shared" si="0"/>
        <v>-</v>
      </c>
      <c r="H21" s="349">
        <v>1.5</v>
      </c>
      <c r="I21" s="338">
        <v>39.04</v>
      </c>
      <c r="J21" s="358">
        <v>0</v>
      </c>
      <c r="K21" s="83">
        <f t="shared" si="1"/>
        <v>1405.3000000000029</v>
      </c>
      <c r="L21" s="342">
        <v>20</v>
      </c>
      <c r="M21" s="124">
        <f t="shared" si="5"/>
        <v>28107</v>
      </c>
      <c r="N21" s="344">
        <v>0</v>
      </c>
      <c r="O21" s="123">
        <f t="shared" si="2"/>
        <v>28107</v>
      </c>
      <c r="P21" s="344">
        <v>0</v>
      </c>
      <c r="Q21" s="210">
        <f t="shared" si="6"/>
        <v>1.6786083333333335</v>
      </c>
      <c r="R21" s="85">
        <f t="shared" si="3"/>
        <v>3357.2166666666672</v>
      </c>
      <c r="S21" s="135">
        <f t="shared" si="7"/>
        <v>3357.2166666666672</v>
      </c>
      <c r="T21" s="85">
        <f t="shared" si="4"/>
        <v>99.709335000000024</v>
      </c>
      <c r="U21" s="83">
        <f t="shared" si="8"/>
        <v>559.54</v>
      </c>
      <c r="V21" s="381">
        <v>0</v>
      </c>
      <c r="W21" s="111">
        <f t="shared" si="9"/>
        <v>3123</v>
      </c>
      <c r="X21" s="454">
        <f t="shared" si="10"/>
        <v>52.048148148148258</v>
      </c>
      <c r="Y21" s="85">
        <f>IF($A21="APP SLAB",0,($K21))</f>
        <v>1405.3000000000029</v>
      </c>
      <c r="Z21" s="10"/>
    </row>
    <row r="22" spans="1:29" ht="12.75" customHeight="1" x14ac:dyDescent="0.2">
      <c r="A22" s="106"/>
      <c r="B22" s="335">
        <v>77882.509999999995</v>
      </c>
      <c r="C22" s="336">
        <v>79287.81</v>
      </c>
      <c r="D22" s="337" t="s">
        <v>16</v>
      </c>
      <c r="E22" s="337" t="s">
        <v>108</v>
      </c>
      <c r="F22" s="337" t="s">
        <v>101</v>
      </c>
      <c r="G22" s="103" t="str">
        <f t="shared" si="0"/>
        <v>-</v>
      </c>
      <c r="H22" s="349">
        <v>1.5</v>
      </c>
      <c r="I22" s="338">
        <v>39.04</v>
      </c>
      <c r="J22" s="358">
        <v>0</v>
      </c>
      <c r="K22" s="83">
        <f t="shared" si="1"/>
        <v>1405.3000000000029</v>
      </c>
      <c r="L22" s="342" t="s">
        <v>97</v>
      </c>
      <c r="M22" s="124">
        <f t="shared" si="5"/>
        <v>0</v>
      </c>
      <c r="N22" s="344">
        <v>29014</v>
      </c>
      <c r="O22" s="123">
        <f t="shared" si="2"/>
        <v>29014</v>
      </c>
      <c r="P22" s="344">
        <v>0</v>
      </c>
      <c r="Q22" s="210">
        <f t="shared" si="6"/>
        <v>1.7289972222222225</v>
      </c>
      <c r="R22" s="85">
        <f t="shared" si="3"/>
        <v>3457.994444444445</v>
      </c>
      <c r="S22" s="135">
        <f t="shared" si="7"/>
        <v>3457.994444444445</v>
      </c>
      <c r="T22" s="85">
        <f t="shared" si="4"/>
        <v>102.70243500000002</v>
      </c>
      <c r="U22" s="83">
        <f t="shared" si="8"/>
        <v>576.33629629629627</v>
      </c>
      <c r="V22" s="381">
        <v>0</v>
      </c>
      <c r="W22" s="111">
        <f t="shared" si="9"/>
        <v>3223.7777777777778</v>
      </c>
      <c r="X22" s="454">
        <f t="shared" si="10"/>
        <v>52.048148148148258</v>
      </c>
      <c r="Y22" s="85">
        <f>IF($A22="APP SLAB",0,($K22))</f>
        <v>1405.3000000000029</v>
      </c>
      <c r="Z22" s="10"/>
    </row>
    <row r="23" spans="1:29" ht="12.75" customHeight="1" x14ac:dyDescent="0.2">
      <c r="B23" s="335">
        <v>79287.81</v>
      </c>
      <c r="C23" s="336">
        <v>79829.320000000007</v>
      </c>
      <c r="D23" s="337" t="s">
        <v>30</v>
      </c>
      <c r="E23" s="337" t="s">
        <v>101</v>
      </c>
      <c r="F23" s="337" t="s">
        <v>101</v>
      </c>
      <c r="G23" s="103" t="str">
        <f t="shared" si="0"/>
        <v>E/S - E/S</v>
      </c>
      <c r="H23" s="77">
        <f>IF(AND($E23=$AA$2,$F23=$AA$2),2*$AC$12,IF(OR(AND($E23=$AA$2, $F23=$AA$3),AND($E23=$AA$3,$F23=$AA$2)),$AC$12+$AC$13,IF(OR(AND($E23=$AA$2,$F23=$AA$4),AND($E23=$AA$4,$F23=$AA$2)),$AC$12,IF(OR(AND($E23=$AA$3,$F23=$AA$4),AND($E23=$AA$4,$F23=$AA$3)),$AC$13,IF(AND($E23=$AA$3,$F23=$AA$3),2*$AC$13,0)))))</f>
        <v>3</v>
      </c>
      <c r="I23" s="27">
        <f>IF(AND($E23=$AA$2,$F23=$AA$2),2*$AF$12*$K23/27,IF(OR(AND($E23=$AA$2,$F23=$AA$3),AND($E23=$AA$3,$F23=$AA$2)),($AF$12+$AF$13)*$K23/27,IF(OR(AND($E23=$AA$2,$F23=$AA$4),AND($E23=$AA$4,$F23=$AA$2)),$AF$12*$K23/27,IF(OR(AND($E23=$AA$3,$F23=$AA$4),AND($E23=$AA$4,$F23=$AA$3)),$AF$13*$K23/27,IF(AND($E23=$AA$3,$F23=$AA$3),2*$AF$13*$K23/27,0)))))</f>
        <v>30.083888888889405</v>
      </c>
      <c r="J23" s="78">
        <f>IF(OR(AND($E23=$AA$2,$F23=$AA$4),AND($E23=$AA$4,$F23=$AA$2)),$AI$14,IF(OR(AND($E23=$AA$3,$F23=$AA$4),AND($E23=$AA$4,$F23=$AA$3)),$AI$14,IF(AND($E23=$AA$4,$F23=$AA$4),2*$AI$14,0)))</f>
        <v>0</v>
      </c>
      <c r="K23" s="83">
        <f t="shared" si="1"/>
        <v>541.51000000000931</v>
      </c>
      <c r="L23" s="342">
        <v>26</v>
      </c>
      <c r="M23" s="124">
        <f t="shared" si="5"/>
        <v>14080</v>
      </c>
      <c r="N23" s="344">
        <v>0</v>
      </c>
      <c r="O23" s="123">
        <f t="shared" si="2"/>
        <v>14080</v>
      </c>
      <c r="P23" s="344">
        <v>0</v>
      </c>
      <c r="Q23" s="210">
        <f t="shared" si="6"/>
        <v>0.87247388888889044</v>
      </c>
      <c r="R23" s="85">
        <f t="shared" si="3"/>
        <v>1744.9477777777809</v>
      </c>
      <c r="S23" s="135">
        <f t="shared" si="7"/>
        <v>1744.9477777777809</v>
      </c>
      <c r="T23" s="85">
        <f t="shared" si="4"/>
        <v>51.824949000000089</v>
      </c>
      <c r="U23" s="83">
        <f t="shared" si="8"/>
        <v>290.82462962963018</v>
      </c>
      <c r="V23" s="381">
        <v>0</v>
      </c>
      <c r="W23" s="111">
        <f t="shared" si="9"/>
        <v>1564.4444444444443</v>
      </c>
      <c r="X23" s="454">
        <f t="shared" si="10"/>
        <v>20.055925925926271</v>
      </c>
      <c r="Y23" s="85">
        <f>IF($A23="APP SLAB",0,($K23*2))</f>
        <v>1083.0200000000186</v>
      </c>
      <c r="Z23" s="10"/>
    </row>
    <row r="24" spans="1:29" ht="12.75" customHeight="1" thickBot="1" x14ac:dyDescent="0.25">
      <c r="B24" s="107"/>
      <c r="C24" s="82"/>
      <c r="D24" s="32"/>
      <c r="E24" s="32"/>
      <c r="F24" s="32"/>
      <c r="G24" s="32"/>
      <c r="H24" s="80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9"/>
      <c r="Z24" s="174"/>
    </row>
    <row r="25" spans="1:29" ht="12.75" customHeight="1" x14ac:dyDescent="0.2">
      <c r="B25" s="661" t="s">
        <v>198</v>
      </c>
      <c r="C25" s="662"/>
      <c r="D25" s="100"/>
      <c r="E25" s="100"/>
      <c r="F25" s="100"/>
      <c r="G25" s="100"/>
      <c r="H25" s="112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35"/>
      <c r="Z25" s="175"/>
    </row>
    <row r="26" spans="1:29" ht="12.75" customHeight="1" x14ac:dyDescent="0.2">
      <c r="B26" s="335">
        <v>78801.78</v>
      </c>
      <c r="C26" s="336">
        <v>79957</v>
      </c>
      <c r="D26" s="337" t="s">
        <v>30</v>
      </c>
      <c r="E26" s="337" t="s">
        <v>107</v>
      </c>
      <c r="F26" s="337" t="s">
        <v>101</v>
      </c>
      <c r="G26" s="103" t="str">
        <f>IF(AND($E26=$AA$2,$F26=$AA$2),$AC$2,IF(OR(AND($E26=$AA$2,$F26=$AA$3),AND($E26=$AA$3,$F26=$AA$2)),$AC$3,IF(OR(AND($E26=$AA$2,$F26=$AA$4),AND($E26=$AA$4,$F26=$AA$2)),$AC$4,IF(OR(AND($E26=$AA$3,$F26=$AA$4),AND($E26=$AA$4,$F26=$AA$3)),$AC$5,IF(AND($E26=$AA$3,$F26=$AA$3),$AC$6,IF(AND($E26=$AA$4,$F26=$AA$4),$AC$7,"-"))))))</f>
        <v>E/S - C/B</v>
      </c>
      <c r="H26" s="77">
        <f>IF(AND($E26=$AA$2,$F26=$AA$2),2*$AC$12,IF(OR(AND($E26=$AA$2, $F26=$AA$3),AND($E26=$AA$3,$F26=$AA$2)),$AC$12+$AC$13,IF(OR(AND($E26=$AA$2,$F26=$AA$4),AND($E26=$AA$4,$F26=$AA$2)),$AC$12,IF(OR(AND($E26=$AA$3,$F26=$AA$4),AND($E26=$AA$4,$F26=$AA$3)),$AC$13,IF(AND($E26=$AA$3,$F26=$AA$3),2*$AC$13,0)))))</f>
        <v>1.5</v>
      </c>
      <c r="I26" s="27">
        <f>IF(AND($E26=$AA$2,$F26=$AA$2),2*$AF$12*$K26/27,IF(OR(AND($E26=$AA$2,$F26=$AA$3),AND($E26=$AA$3,$F26=$AA$2)),($AF$12+$AF$13)*$K26/27,IF(OR(AND($E26=$AA$2,$F26=$AA$4),AND($E26=$AA$4,$F26=$AA$2)),$AF$12*$K26/27,IF(OR(AND($E26=$AA$3,$F26=$AA$4),AND($E26=$AA$4,$F26=$AA$3)),$AF$13*$K26/27,IF(AND($E26=$AA$3,$F26=$AA$3),2*$AF$13*$K26/27,0)))))</f>
        <v>32.089444444444474</v>
      </c>
      <c r="J26" s="78">
        <f>IF(OR(AND($E26=$AA$2,$F26=$AA$4),AND($E26=$AA$4,$F26=$AA$2)),$AI$14,IF(OR(AND($E26=$AA$3,$F26=$AA$4),AND($E26=$AA$4,$F26=$AA$3)),$AI$14,IF(AND($E26=$AA$4,$F26=$AA$4),2*$AI$14,0)))</f>
        <v>-1.42</v>
      </c>
      <c r="K26" s="83">
        <f>C26-B26</f>
        <v>1155.2200000000012</v>
      </c>
      <c r="L26" s="342" t="s">
        <v>97</v>
      </c>
      <c r="M26" s="124">
        <f t="shared" ref="M26:M63" si="15">IF(L26="-",0,ROUNDUP($K26*L26,0))</f>
        <v>0</v>
      </c>
      <c r="N26" s="344">
        <v>50909</v>
      </c>
      <c r="O26" s="123">
        <f t="shared" si="2"/>
        <v>50909</v>
      </c>
      <c r="P26" s="344">
        <v>0</v>
      </c>
      <c r="Q26" s="210">
        <f>IF(AND(P26=0,S26=0),0,IF(S26=0,P26/2000,S26/2000))</f>
        <v>2.9245461111111113</v>
      </c>
      <c r="R26" s="85">
        <f>IF(A26="APP SLAB",0,S26)</f>
        <v>5849.0922222222225</v>
      </c>
      <c r="S26" s="135">
        <f>IF(OR(A26="APP SLAB",P26&lt;&gt;0),0,(O26+H26*K26)/9)</f>
        <v>5849.0922222222225</v>
      </c>
      <c r="T26" s="85">
        <f>IF(A26="APP SLAB",0,$S$1*S26*110*0.06*0.75/2000)</f>
        <v>173.71803900000003</v>
      </c>
      <c r="U26" s="83">
        <f t="shared" ref="U26:U28" si="16">IF(O26=0,0,(O26*$U$1/12)/27+I26)</f>
        <v>974.84870370370368</v>
      </c>
      <c r="V26" s="381">
        <v>0</v>
      </c>
      <c r="W26" s="111">
        <f t="shared" ref="W26:W28" si="17">IF($A26="APP SLAB",0,(O26+K26*J26)/9)</f>
        <v>5474.2875111111107</v>
      </c>
      <c r="X26" s="454">
        <f t="shared" ref="X26:X28" si="18">IF(AND($E26=$F26="Uncurbed"),(2*$K26*2*$X$1/12)/27,IF(OR($E26="Uncurbed",$F26="Uncurbed"),($K26*2*$X$1/12)/27,IF(OR(AND($E26="Med. Barr.",$F26="Curbed"),AND($E26="Curbed",$F26="Med. Barr."),$E26=$F26,$E26="Unique",$F26="Unique",$E26="-",$F26="-"),0,"?")))</f>
        <v>42.785925925925966</v>
      </c>
      <c r="Y26" s="85">
        <f>IF($A26="APP SLAB",0,($K26*2))</f>
        <v>2310.4400000000023</v>
      </c>
      <c r="Z26" s="10"/>
    </row>
    <row r="27" spans="1:29" ht="12.75" customHeight="1" x14ac:dyDescent="0.2">
      <c r="B27" s="335">
        <v>79957</v>
      </c>
      <c r="C27" s="336">
        <v>80300</v>
      </c>
      <c r="D27" s="337" t="s">
        <v>30</v>
      </c>
      <c r="E27" s="337" t="s">
        <v>101</v>
      </c>
      <c r="F27" s="337" t="s">
        <v>101</v>
      </c>
      <c r="G27" s="103" t="str">
        <f>IF(AND($E27=$AA$2,$F27=$AA$2),$AC$2,IF(OR(AND($E27=$AA$2,$F27=$AA$3),AND($E27=$AA$3,$F27=$AA$2)),$AC$3,IF(OR(AND($E27=$AA$2,$F27=$AA$4),AND($E27=$AA$4,$F27=$AA$2)),$AC$4,IF(OR(AND($E27=$AA$3,$F27=$AA$4),AND($E27=$AA$4,$F27=$AA$3)),$AC$5,IF(AND($E27=$AA$3,$F27=$AA$3),$AC$6,IF(AND($E27=$AA$4,$F27=$AA$4),$AC$7,"-"))))))</f>
        <v>E/S - E/S</v>
      </c>
      <c r="H27" s="77">
        <f>IF(AND($E27=$AA$2,$F27=$AA$2),2*$AC$12,IF(OR(AND($E27=$AA$2, $F27=$AA$3),AND($E27=$AA$3,$F27=$AA$2)),$AC$12+$AC$13,IF(OR(AND($E27=$AA$2,$F27=$AA$4),AND($E27=$AA$4,$F27=$AA$2)),$AC$12,IF(OR(AND($E27=$AA$3,$F27=$AA$4),AND($E27=$AA$4,$F27=$AA$3)),$AC$13,IF(AND($E27=$AA$3,$F27=$AA$3),2*$AC$13,0)))))</f>
        <v>3</v>
      </c>
      <c r="I27" s="27">
        <f>IF(AND($E27=$AA$2,$F27=$AA$2),2*$AF$12*$K27/27,IF(OR(AND($E27=$AA$2,$F27=$AA$3),AND($E27=$AA$3,$F27=$AA$2)),($AF$12+$AF$13)*$K27/27,IF(OR(AND($E27=$AA$2,$F27=$AA$4),AND($E27=$AA$4,$F27=$AA$2)),$AF$12*$K27/27,IF(OR(AND($E27=$AA$3,$F27=$AA$4),AND($E27=$AA$4,$F27=$AA$3)),$AF$13*$K27/27,IF(AND($E27=$AA$3,$F27=$AA$3),2*$AF$13*$K27/27,0)))))</f>
        <v>19.055555555555557</v>
      </c>
      <c r="J27" s="78">
        <f>IF(OR(AND($E27=$AA$2,$F27=$AA$4),AND($E27=$AA$4,$F27=$AA$2)),$AI$14,IF(OR(AND($E27=$AA$3,$F27=$AA$4),AND($E27=$AA$4,$F27=$AA$3)),$AI$14,IF(AND($E27=$AA$4,$F27=$AA$4),2*$AI$14,0)))</f>
        <v>0</v>
      </c>
      <c r="K27" s="479">
        <f>C27-B27</f>
        <v>343</v>
      </c>
      <c r="L27" s="342">
        <v>26</v>
      </c>
      <c r="M27" s="124">
        <f t="shared" ref="M27" si="19">IF(L27="-",0,ROUNDUP($K27*L27,0))</f>
        <v>8918</v>
      </c>
      <c r="N27" s="344">
        <v>0</v>
      </c>
      <c r="O27" s="123">
        <f t="shared" ref="O27" si="20">SUM(M27:N27)</f>
        <v>8918</v>
      </c>
      <c r="P27" s="344">
        <v>0</v>
      </c>
      <c r="Q27" s="210">
        <f t="shared" ref="Q27:Q28" si="21">IF(AND(P27=0,S27=0),0,IF(S27=0,P27/2000,S27/2000))</f>
        <v>0.55261111111111105</v>
      </c>
      <c r="R27" s="480">
        <f>IF(A27="APP SLAB",0,S27)</f>
        <v>1105.2222222222222</v>
      </c>
      <c r="S27" s="135">
        <f t="shared" ref="S27:S28" si="22">IF(OR(A27="APP SLAB",P27&lt;&gt;0),0,(O27+H27*K27)/9)</f>
        <v>1105.2222222222222</v>
      </c>
      <c r="T27" s="480">
        <f>IF(A27="APP SLAB",0,$S$1*S27*110*0.06*0.75/2000)</f>
        <v>32.825099999999999</v>
      </c>
      <c r="U27" s="479">
        <f t="shared" ref="U27" si="23">IF(O27=0,0,(O27*$U$1/12)/27+I27)</f>
        <v>184.2037037037037</v>
      </c>
      <c r="V27" s="381">
        <v>0</v>
      </c>
      <c r="W27" s="111">
        <f t="shared" ref="W27" si="24">IF($A27="APP SLAB",0,(O27+K27*J27)/9)</f>
        <v>990.88888888888891</v>
      </c>
      <c r="X27" s="498">
        <f t="shared" si="18"/>
        <v>12.703703703703704</v>
      </c>
      <c r="Y27" s="480">
        <f>IF($A27="APP SLAB",0,($K27*2))</f>
        <v>686</v>
      </c>
      <c r="Z27" s="10"/>
    </row>
    <row r="28" spans="1:29" ht="12.75" customHeight="1" x14ac:dyDescent="0.2">
      <c r="B28" s="335">
        <v>80300</v>
      </c>
      <c r="C28" s="336">
        <v>81216.600000000006</v>
      </c>
      <c r="D28" s="337" t="s">
        <v>30</v>
      </c>
      <c r="E28" s="337" t="s">
        <v>101</v>
      </c>
      <c r="F28" s="337" t="s">
        <v>101</v>
      </c>
      <c r="G28" s="103" t="str">
        <f>IF(AND($E28=$AA$2,$F28=$AA$2),$AC$2,IF(OR(AND($E28=$AA$2,$F28=$AA$3),AND($E28=$AA$3,$F28=$AA$2)),$AC$3,IF(OR(AND($E28=$AA$2,$F28=$AA$4),AND($E28=$AA$4,$F28=$AA$2)),$AC$4,IF(OR(AND($E28=$AA$3,$F28=$AA$4),AND($E28=$AA$4,$F28=$AA$3)),$AC$5,IF(AND($E28=$AA$3,$F28=$AA$3),$AC$6,IF(AND($E28=$AA$4,$F28=$AA$4),$AC$7,"-"))))))</f>
        <v>E/S - E/S</v>
      </c>
      <c r="H28" s="77">
        <f>IF(AND($E28=$AA$2,$F28=$AA$2),2*$AC$12,IF(OR(AND($E28=$AA$2, $F28=$AA$3),AND($E28=$AA$3,$F28=$AA$2)),$AC$12+$AC$13,IF(OR(AND($E28=$AA$2,$F28=$AA$4),AND($E28=$AA$4,$F28=$AA$2)),$AC$12,IF(OR(AND($E28=$AA$3,$F28=$AA$4),AND($E28=$AA$4,$F28=$AA$3)),$AC$13,IF(AND($E28=$AA$3,$F28=$AA$3),2*$AC$13,0)))))</f>
        <v>3</v>
      </c>
      <c r="I28" s="27">
        <f>IF(AND($E28=$AA$2,$F28=$AA$2),2*$AF$12*$K28/27,IF(OR(AND($E28=$AA$2,$F28=$AA$3),AND($E28=$AA$3,$F28=$AA$2)),($AF$12+$AF$13)*$K28/27,IF(OR(AND($E28=$AA$2,$F28=$AA$4),AND($E28=$AA$4,$F28=$AA$2)),$AF$12*$K28/27,IF(OR(AND($E28=$AA$3,$F28=$AA$4),AND($E28=$AA$4,$F28=$AA$3)),$AF$13*$K28/27,IF(AND($E28=$AA$3,$F28=$AA$3),2*$AF$13*$K28/27,0)))))</f>
        <v>50.922222222222544</v>
      </c>
      <c r="J28" s="78">
        <f>IF(OR(AND($E28=$AA$2,$F28=$AA$4),AND($E28=$AA$4,$F28=$AA$2)),$AI$14,IF(OR(AND($E28=$AA$3,$F28=$AA$4),AND($E28=$AA$4,$F28=$AA$3)),$AI$14,IF(AND($E28=$AA$4,$F28=$AA$4),2*$AI$14,0)))</f>
        <v>0</v>
      </c>
      <c r="K28" s="83">
        <f>C28-B28</f>
        <v>916.60000000000582</v>
      </c>
      <c r="L28" s="342">
        <v>26</v>
      </c>
      <c r="M28" s="124">
        <f t="shared" si="15"/>
        <v>23832</v>
      </c>
      <c r="N28" s="344">
        <v>0</v>
      </c>
      <c r="O28" s="123">
        <f t="shared" si="2"/>
        <v>23832</v>
      </c>
      <c r="P28" s="480">
        <f t="shared" ref="P28" si="25">IF(OR($A28="APP SLAB",O28=0),0,($O28+$H28*$K28)/9)</f>
        <v>2953.5333333333351</v>
      </c>
      <c r="Q28" s="210">
        <f t="shared" si="21"/>
        <v>1.4767666666666677</v>
      </c>
      <c r="R28" s="85">
        <f>IF(A28="APP SLAB",0,S28)</f>
        <v>0</v>
      </c>
      <c r="S28" s="135">
        <f t="shared" si="22"/>
        <v>0</v>
      </c>
      <c r="T28" s="85">
        <f>IF(A28="APP SLAB",0,$S$1*S28*110*0.06*0.75/2000)</f>
        <v>0</v>
      </c>
      <c r="U28" s="83">
        <f t="shared" si="16"/>
        <v>492.25555555555587</v>
      </c>
      <c r="V28" s="381">
        <v>0</v>
      </c>
      <c r="W28" s="111">
        <f t="shared" si="17"/>
        <v>2648</v>
      </c>
      <c r="X28" s="454">
        <f t="shared" si="18"/>
        <v>33.948148148148363</v>
      </c>
      <c r="Y28" s="85">
        <f>IF($A28="APP SLAB",0,($K28*2))</f>
        <v>1833.2000000000116</v>
      </c>
      <c r="Z28" s="10"/>
      <c r="AA28" s="93"/>
      <c r="AB28" s="93"/>
    </row>
    <row r="29" spans="1:29" ht="12.75" customHeight="1" thickBot="1" x14ac:dyDescent="0.25">
      <c r="B29" s="107"/>
      <c r="C29" s="82"/>
      <c r="D29" s="32"/>
      <c r="E29" s="32"/>
      <c r="F29" s="32"/>
      <c r="G29" s="32"/>
      <c r="H29" s="80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9"/>
      <c r="Z29" s="174"/>
      <c r="AA29" s="93"/>
      <c r="AB29" s="93"/>
      <c r="AC29" s="93"/>
    </row>
    <row r="30" spans="1:29" ht="12.75" customHeight="1" x14ac:dyDescent="0.2">
      <c r="B30" s="661" t="s">
        <v>199</v>
      </c>
      <c r="C30" s="662"/>
      <c r="D30" s="100"/>
      <c r="E30" s="100"/>
      <c r="F30" s="100"/>
      <c r="G30" s="100"/>
      <c r="H30" s="112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35"/>
      <c r="Z30" s="175"/>
      <c r="AA30" s="120"/>
      <c r="AB30" s="93"/>
    </row>
    <row r="31" spans="1:29" ht="12.75" customHeight="1" x14ac:dyDescent="0.2">
      <c r="B31" s="335">
        <v>78776.070000000007</v>
      </c>
      <c r="C31" s="336">
        <v>78810.09</v>
      </c>
      <c r="D31" s="337" t="s">
        <v>30</v>
      </c>
      <c r="E31" s="337" t="s">
        <v>102</v>
      </c>
      <c r="F31" s="337" t="s">
        <v>101</v>
      </c>
      <c r="G31" s="103" t="str">
        <f t="shared" ref="G31:G48" si="26">IF(AND($E31=$AA$2,$F31=$AA$2),$AC$2,IF(OR(AND($E31=$AA$2,$F31=$AA$3),AND($E31=$AA$3,$F31=$AA$2)),$AC$3,IF(OR(AND($E31=$AA$2,$F31=$AA$4),AND($E31=$AA$4,$F31=$AA$2)),$AC$4,IF(OR(AND($E31=$AA$3,$F31=$AA$4),AND($E31=$AA$4,$F31=$AA$3)),$AC$5,IF(AND($E31=$AA$3,$F31=$AA$3),$AC$6,IF(AND($E31=$AA$4,$F31=$AA$4),$AC$7,"-"))))))</f>
        <v>E/S - F/C</v>
      </c>
      <c r="H31" s="77">
        <f>IF(AND($E31=$AA$2,$F31=$AA$2),2*$AC$12,IF(OR(AND($E31=$AA$2, $F31=$AA$3),AND($E31=$AA$3,$F31=$AA$2)),$AC$12+$AC$13,IF(OR(AND($E31=$AA$2,$F31=$AA$4),AND($E31=$AA$4,$F31=$AA$2)),$AC$12,IF(OR(AND($E31=$AA$3,$F31=$AA$4),AND($E31=$AA$4,$F31=$AA$3)),$AC$13,IF(AND($E31=$AA$3,$F31=$AA$3),2*$AC$13,0)))))</f>
        <v>3.5</v>
      </c>
      <c r="I31" s="27">
        <f>IF(AND($E31=$AA$2,$F31=$AA$2),2*$AF$12*$K31/27,IF(OR(AND($E31=$AA$2,$F31=$AA$3),AND($E31=$AA$3,$F31=$AA$2)),($AF$12+$AF$13)*$K31/27,IF(OR(AND($E31=$AA$2,$F31=$AA$4),AND($E31=$AA$4,$F31=$AA$2)),$AF$12*$K31/27,IF(OR(AND($E31=$AA$3,$F31=$AA$4),AND($E31=$AA$4,$F31=$AA$3)),$AF$13*$K31/27,IF(AND($E31=$AA$3,$F31=$AA$3),2*$AF$13*$K31/27,0)))))</f>
        <v>1.8899999999994179</v>
      </c>
      <c r="J31" s="78">
        <f>IF(OR(AND($E31=$AA$2,$F31=$AA$4),AND($E31=$AA$4,$F31=$AA$2)),$AI$14,IF(OR(AND($E31=$AA$3,$F31=$AA$4),AND($E31=$AA$4,$F31=$AA$3)),$AI$14,IF(AND($E31=$AA$4,$F31=$AA$4),2*$AI$14,0)))</f>
        <v>0</v>
      </c>
      <c r="K31" s="83">
        <f t="shared" ref="K31:K48" si="27">C31-B31</f>
        <v>34.019999999989523</v>
      </c>
      <c r="L31" s="342">
        <v>28</v>
      </c>
      <c r="M31" s="124">
        <f t="shared" si="15"/>
        <v>953</v>
      </c>
      <c r="N31" s="344">
        <v>0</v>
      </c>
      <c r="O31" s="123">
        <f t="shared" si="2"/>
        <v>953</v>
      </c>
      <c r="P31" s="480">
        <f t="shared" ref="P31:P48" si="28">IF(OR($A31="APP SLAB",O31=0),0,($O31+$H31*$K31)/9)</f>
        <v>119.11888888888481</v>
      </c>
      <c r="Q31" s="210">
        <f t="shared" ref="Q31:Q48" si="29">IF(AND(P31=0,S31=0),0,IF(S31=0,P31/2000,S31/2000))</f>
        <v>5.9559444444442403E-2</v>
      </c>
      <c r="R31" s="85">
        <f t="shared" ref="R31:R48" si="30">IF(A31="APP SLAB",0,S31)</f>
        <v>0</v>
      </c>
      <c r="S31" s="135">
        <f t="shared" ref="S31:S48" si="31">IF(OR(A31="APP SLAB",P31&lt;&gt;0),0,(O31+H31*K31)/9)</f>
        <v>0</v>
      </c>
      <c r="T31" s="85">
        <f t="shared" ref="T31:T48" si="32">IF(A31="APP SLAB",0,$S$1*S31*110*0.06*0.75/2000)</f>
        <v>0</v>
      </c>
      <c r="U31" s="83">
        <f t="shared" ref="U31:U48" si="33">IF(O31=0,0,(O31*$U$1/12)/27+I31)</f>
        <v>19.538148148147567</v>
      </c>
      <c r="V31" s="381">
        <v>0</v>
      </c>
      <c r="W31" s="111">
        <f t="shared" ref="W31:W48" si="34">IF($A31="APP SLAB",0,(O31+K31*J31)/9)</f>
        <v>105.88888888888889</v>
      </c>
      <c r="X31" s="454">
        <f t="shared" ref="X31:X48" si="35">IF(AND($E31=$F31="Uncurbed"),(2*$K31*2*$X$1/12)/27,IF(OR($E31="Uncurbed",$F31="Uncurbed"),($K31*2*$X$1/12)/27,IF(OR(AND($E31="Med. Barr.",$F31="Curbed"),AND($E31="Curbed",$F31="Med. Barr."),$E31=$F31,$E31="Unique",$F31="Unique",$E31="-",$F31="-"),0,"?")))</f>
        <v>1.2599999999996119</v>
      </c>
      <c r="Y31" s="85">
        <f t="shared" ref="Y31:Y37" si="36">IF($A31="APP SLAB",0,($K31*2))</f>
        <v>68.039999999979045</v>
      </c>
      <c r="Z31" s="10"/>
    </row>
    <row r="32" spans="1:29" ht="12.75" customHeight="1" x14ac:dyDescent="0.2">
      <c r="B32" s="335">
        <v>78810.09</v>
      </c>
      <c r="C32" s="336">
        <v>79087.05</v>
      </c>
      <c r="D32" s="337" t="s">
        <v>30</v>
      </c>
      <c r="E32" s="337" t="s">
        <v>101</v>
      </c>
      <c r="F32" s="337" t="s">
        <v>101</v>
      </c>
      <c r="G32" s="103" t="str">
        <f t="shared" si="26"/>
        <v>E/S - E/S</v>
      </c>
      <c r="H32" s="77">
        <f t="shared" ref="H32:H33" si="37">IF(AND($E32=$AA$2,$F32=$AA$2),2*$AC$12,IF(OR(AND($E32=$AA$2, $F32=$AA$3),AND($E32=$AA$3,$F32=$AA$2)),$AC$12+$AC$13,IF(OR(AND($E32=$AA$2,$F32=$AA$4),AND($E32=$AA$4,$F32=$AA$2)),$AC$12,IF(OR(AND($E32=$AA$3,$F32=$AA$4),AND($E32=$AA$4,$F32=$AA$3)),$AC$13,IF(AND($E32=$AA$3,$F32=$AA$3),2*$AC$13,0)))))</f>
        <v>3</v>
      </c>
      <c r="I32" s="27">
        <f t="shared" ref="I32:I33" si="38">IF(AND($E32=$AA$2,$F32=$AA$2),2*$AF$12*$K32/27,IF(OR(AND($E32=$AA$2,$F32=$AA$3),AND($E32=$AA$3,$F32=$AA$2)),($AF$12+$AF$13)*$K32/27,IF(OR(AND($E32=$AA$2,$F32=$AA$4),AND($E32=$AA$4,$F32=$AA$2)),$AF$12*$K32/27,IF(OR(AND($E32=$AA$3,$F32=$AA$4),AND($E32=$AA$4,$F32=$AA$3)),$AF$13*$K32/27,IF(AND($E32=$AA$3,$F32=$AA$3),2*$AF$13*$K32/27,0)))))</f>
        <v>15.386666666667022</v>
      </c>
      <c r="J32" s="78">
        <f t="shared" ref="J32:J33" si="39">IF(OR(AND($E32=$AA$2,$F32=$AA$4),AND($E32=$AA$4,$F32=$AA$2)),$AI$14,IF(OR(AND($E32=$AA$3,$F32=$AA$4),AND($E32=$AA$4,$F32=$AA$3)),$AI$14,IF(AND($E32=$AA$4,$F32=$AA$4),2*$AI$14,0)))</f>
        <v>0</v>
      </c>
      <c r="K32" s="83">
        <f t="shared" si="27"/>
        <v>276.9600000000064</v>
      </c>
      <c r="L32" s="342">
        <v>26</v>
      </c>
      <c r="M32" s="124">
        <f t="shared" si="15"/>
        <v>7201</v>
      </c>
      <c r="N32" s="344">
        <v>0</v>
      </c>
      <c r="O32" s="123">
        <f t="shared" si="2"/>
        <v>7201</v>
      </c>
      <c r="P32" s="480">
        <f t="shared" si="28"/>
        <v>892.4311111111133</v>
      </c>
      <c r="Q32" s="210">
        <f t="shared" si="29"/>
        <v>0.44621555555555664</v>
      </c>
      <c r="R32" s="85">
        <f t="shared" si="30"/>
        <v>0</v>
      </c>
      <c r="S32" s="135">
        <f t="shared" si="31"/>
        <v>0</v>
      </c>
      <c r="T32" s="85">
        <f t="shared" si="32"/>
        <v>0</v>
      </c>
      <c r="U32" s="83">
        <f t="shared" si="33"/>
        <v>148.73851851851887</v>
      </c>
      <c r="V32" s="381">
        <v>0</v>
      </c>
      <c r="W32" s="111">
        <f t="shared" si="34"/>
        <v>800.11111111111109</v>
      </c>
      <c r="X32" s="454">
        <f t="shared" si="35"/>
        <v>10.257777777778015</v>
      </c>
      <c r="Y32" s="85">
        <f t="shared" si="36"/>
        <v>553.92000000001281</v>
      </c>
      <c r="Z32" s="10"/>
    </row>
    <row r="33" spans="1:26" ht="12.75" customHeight="1" x14ac:dyDescent="0.2">
      <c r="B33" s="335">
        <v>79087.05</v>
      </c>
      <c r="C33" s="336">
        <v>79173.48</v>
      </c>
      <c r="D33" s="337" t="s">
        <v>30</v>
      </c>
      <c r="E33" s="337" t="s">
        <v>101</v>
      </c>
      <c r="F33" s="337" t="s">
        <v>102</v>
      </c>
      <c r="G33" s="103" t="str">
        <f t="shared" si="26"/>
        <v>E/S - F/C</v>
      </c>
      <c r="H33" s="77">
        <f t="shared" si="37"/>
        <v>3.5</v>
      </c>
      <c r="I33" s="27">
        <f t="shared" si="38"/>
        <v>4.8016666666662786</v>
      </c>
      <c r="J33" s="78">
        <f t="shared" si="39"/>
        <v>0</v>
      </c>
      <c r="K33" s="83">
        <f t="shared" si="27"/>
        <v>86.429999999993015</v>
      </c>
      <c r="L33" s="342">
        <v>28</v>
      </c>
      <c r="M33" s="124">
        <f t="shared" si="15"/>
        <v>2421</v>
      </c>
      <c r="N33" s="344">
        <v>0</v>
      </c>
      <c r="O33" s="123">
        <f t="shared" si="2"/>
        <v>2421</v>
      </c>
      <c r="P33" s="480">
        <f t="shared" si="28"/>
        <v>302.61166666666395</v>
      </c>
      <c r="Q33" s="210">
        <f t="shared" si="29"/>
        <v>0.15130583333333197</v>
      </c>
      <c r="R33" s="85">
        <f t="shared" si="30"/>
        <v>0</v>
      </c>
      <c r="S33" s="135">
        <f t="shared" si="31"/>
        <v>0</v>
      </c>
      <c r="T33" s="85">
        <f t="shared" si="32"/>
        <v>0</v>
      </c>
      <c r="U33" s="83">
        <f t="shared" si="33"/>
        <v>49.634999999999614</v>
      </c>
      <c r="V33" s="381">
        <v>0</v>
      </c>
      <c r="W33" s="111">
        <f t="shared" si="34"/>
        <v>269</v>
      </c>
      <c r="X33" s="454">
        <f t="shared" si="35"/>
        <v>3.2011111111108526</v>
      </c>
      <c r="Y33" s="85">
        <f t="shared" si="36"/>
        <v>172.85999999998603</v>
      </c>
      <c r="Z33" s="10"/>
    </row>
    <row r="34" spans="1:26" ht="12.75" customHeight="1" x14ac:dyDescent="0.2">
      <c r="A34" s="113"/>
      <c r="B34" s="335">
        <v>79173.48</v>
      </c>
      <c r="C34" s="336">
        <v>79321.27</v>
      </c>
      <c r="D34" s="337" t="s">
        <v>16</v>
      </c>
      <c r="E34" s="337" t="s">
        <v>108</v>
      </c>
      <c r="F34" s="337" t="s">
        <v>102</v>
      </c>
      <c r="G34" s="103" t="str">
        <f t="shared" si="26"/>
        <v>-</v>
      </c>
      <c r="H34" s="349">
        <v>1.5</v>
      </c>
      <c r="I34" s="338">
        <v>2.74</v>
      </c>
      <c r="J34" s="358">
        <v>0</v>
      </c>
      <c r="K34" s="83">
        <f t="shared" si="27"/>
        <v>147.79000000000815</v>
      </c>
      <c r="L34" s="342">
        <v>22</v>
      </c>
      <c r="M34" s="124">
        <f t="shared" si="15"/>
        <v>3252</v>
      </c>
      <c r="N34" s="344">
        <v>0</v>
      </c>
      <c r="O34" s="123">
        <f t="shared" si="2"/>
        <v>3252</v>
      </c>
      <c r="P34" s="480">
        <f t="shared" si="28"/>
        <v>385.96500000000134</v>
      </c>
      <c r="Q34" s="210">
        <f t="shared" si="29"/>
        <v>0.19298250000000067</v>
      </c>
      <c r="R34" s="85">
        <f t="shared" si="30"/>
        <v>0</v>
      </c>
      <c r="S34" s="135">
        <f t="shared" si="31"/>
        <v>0</v>
      </c>
      <c r="T34" s="85">
        <f t="shared" si="32"/>
        <v>0</v>
      </c>
      <c r="U34" s="83">
        <f t="shared" si="33"/>
        <v>62.962222222222223</v>
      </c>
      <c r="V34" s="381">
        <v>0</v>
      </c>
      <c r="W34" s="111">
        <f t="shared" si="34"/>
        <v>361.33333333333331</v>
      </c>
      <c r="X34" s="454">
        <f t="shared" si="35"/>
        <v>0</v>
      </c>
      <c r="Y34" s="85">
        <f t="shared" si="36"/>
        <v>295.5800000000163</v>
      </c>
      <c r="Z34" s="10"/>
    </row>
    <row r="35" spans="1:26" ht="12.75" customHeight="1" x14ac:dyDescent="0.2">
      <c r="A35" s="113"/>
      <c r="B35" s="335">
        <v>79321.27</v>
      </c>
      <c r="C35" s="336">
        <v>79420.97</v>
      </c>
      <c r="D35" s="337" t="s">
        <v>16</v>
      </c>
      <c r="E35" s="337" t="s">
        <v>108</v>
      </c>
      <c r="F35" s="337" t="s">
        <v>102</v>
      </c>
      <c r="G35" s="103" t="str">
        <f t="shared" si="26"/>
        <v>-</v>
      </c>
      <c r="H35" s="349">
        <v>1.5</v>
      </c>
      <c r="I35" s="338">
        <v>1.85</v>
      </c>
      <c r="J35" s="358">
        <v>0</v>
      </c>
      <c r="K35" s="83">
        <f t="shared" si="27"/>
        <v>99.69999999999709</v>
      </c>
      <c r="L35" s="342">
        <v>23</v>
      </c>
      <c r="M35" s="124">
        <f t="shared" si="15"/>
        <v>2294</v>
      </c>
      <c r="N35" s="344">
        <v>0</v>
      </c>
      <c r="O35" s="123">
        <f t="shared" si="2"/>
        <v>2294</v>
      </c>
      <c r="P35" s="480">
        <f t="shared" si="28"/>
        <v>271.50555555555508</v>
      </c>
      <c r="Q35" s="210">
        <f t="shared" si="29"/>
        <v>0.13575277777777753</v>
      </c>
      <c r="R35" s="85">
        <f t="shared" si="30"/>
        <v>0</v>
      </c>
      <c r="S35" s="135">
        <f t="shared" si="31"/>
        <v>0</v>
      </c>
      <c r="T35" s="85">
        <f t="shared" si="32"/>
        <v>0</v>
      </c>
      <c r="U35" s="83">
        <f t="shared" si="33"/>
        <v>44.331481481481482</v>
      </c>
      <c r="V35" s="381">
        <v>0</v>
      </c>
      <c r="W35" s="111">
        <f t="shared" si="34"/>
        <v>254.88888888888889</v>
      </c>
      <c r="X35" s="454">
        <f t="shared" si="35"/>
        <v>0</v>
      </c>
      <c r="Y35" s="85">
        <f t="shared" si="36"/>
        <v>199.39999999999418</v>
      </c>
      <c r="Z35" s="10"/>
    </row>
    <row r="36" spans="1:26" ht="12.75" customHeight="1" x14ac:dyDescent="0.2">
      <c r="A36" s="113"/>
      <c r="B36" s="335">
        <v>79420.97</v>
      </c>
      <c r="C36" s="336">
        <v>79436.990000000005</v>
      </c>
      <c r="D36" s="337" t="s">
        <v>16</v>
      </c>
      <c r="E36" s="337" t="s">
        <v>108</v>
      </c>
      <c r="F36" s="337" t="s">
        <v>97</v>
      </c>
      <c r="G36" s="103" t="str">
        <f t="shared" si="26"/>
        <v>-</v>
      </c>
      <c r="H36" s="349">
        <v>1.5</v>
      </c>
      <c r="I36" s="338">
        <v>0.3</v>
      </c>
      <c r="J36" s="358">
        <v>0</v>
      </c>
      <c r="K36" s="83">
        <f t="shared" si="27"/>
        <v>16.020000000004075</v>
      </c>
      <c r="L36" s="342" t="s">
        <v>97</v>
      </c>
      <c r="M36" s="124">
        <f t="shared" si="15"/>
        <v>0</v>
      </c>
      <c r="N36" s="344">
        <v>193</v>
      </c>
      <c r="O36" s="123">
        <f t="shared" si="2"/>
        <v>193</v>
      </c>
      <c r="P36" s="480">
        <f t="shared" si="28"/>
        <v>24.114444444445123</v>
      </c>
      <c r="Q36" s="210">
        <f t="shared" si="29"/>
        <v>1.2057222222222561E-2</v>
      </c>
      <c r="R36" s="85">
        <f t="shared" si="30"/>
        <v>0</v>
      </c>
      <c r="S36" s="135">
        <f t="shared" si="31"/>
        <v>0</v>
      </c>
      <c r="T36" s="85">
        <f t="shared" si="32"/>
        <v>0</v>
      </c>
      <c r="U36" s="83">
        <f t="shared" si="33"/>
        <v>3.8740740740740738</v>
      </c>
      <c r="V36" s="381">
        <v>0</v>
      </c>
      <c r="W36" s="111">
        <f t="shared" si="34"/>
        <v>21.444444444444443</v>
      </c>
      <c r="X36" s="454">
        <f t="shared" si="35"/>
        <v>0</v>
      </c>
      <c r="Y36" s="85">
        <f t="shared" si="36"/>
        <v>32.040000000008149</v>
      </c>
      <c r="Z36" s="10"/>
    </row>
    <row r="37" spans="1:26" ht="12.75" customHeight="1" x14ac:dyDescent="0.2">
      <c r="A37" s="106" t="s">
        <v>28</v>
      </c>
      <c r="B37" s="335">
        <v>79436.990000000005</v>
      </c>
      <c r="C37" s="336">
        <v>79466.990000000005</v>
      </c>
      <c r="D37" s="337" t="s">
        <v>16</v>
      </c>
      <c r="E37" s="337" t="s">
        <v>97</v>
      </c>
      <c r="F37" s="337" t="s">
        <v>97</v>
      </c>
      <c r="G37" s="103" t="str">
        <f t="shared" si="26"/>
        <v>-</v>
      </c>
      <c r="H37" s="77">
        <v>4</v>
      </c>
      <c r="I37" s="27">
        <f t="shared" ref="I37:I48" si="40">IF(AND($E37=$AA$2,$F37=$AA$2),2*$AF$12*$K37/27,IF(OR(AND($E37=$AA$2,$F37=$AA$3),AND($E37=$AA$3,$F37=$AA$2)),($AF$12+$AF$13)*$K37/27,IF(OR(AND($E37=$AA$2,$F37=$AA$4),AND($E37=$AA$4,$F37=$AA$2)),$AF$12*$K37/27,IF(OR(AND($E37=$AA$3,$F37=$AA$4),AND($E37=$AA$4,$F37=$AA$3)),$AF$13*$K37/27,IF(AND($E37=$AA$3,$F37=$AA$3),2*$AF$13*$K37/27,0)))))</f>
        <v>0</v>
      </c>
      <c r="J37" s="78">
        <f t="shared" ref="J37:J48" si="41">IF(OR(AND($E37=$AA$2,$F37=$AA$4),AND($E37=$AA$4,$F37=$AA$2)),$AI$14,IF(OR(AND($E37=$AA$3,$F37=$AA$4),AND($E37=$AA$4,$F37=$AA$3)),$AI$14,IF(AND($E37=$AA$4,$F37=$AA$4),2*$AI$14,0)))</f>
        <v>0</v>
      </c>
      <c r="K37" s="83">
        <f t="shared" si="27"/>
        <v>30</v>
      </c>
      <c r="L37" s="342" t="s">
        <v>97</v>
      </c>
      <c r="M37" s="124">
        <f t="shared" si="15"/>
        <v>0</v>
      </c>
      <c r="N37" s="344">
        <v>1348</v>
      </c>
      <c r="O37" s="123">
        <f t="shared" si="2"/>
        <v>1348</v>
      </c>
      <c r="P37" s="480">
        <f>IF(OR(O37=0),0,($O37+$H37*$K37)/9)</f>
        <v>163.11111111111111</v>
      </c>
      <c r="Q37" s="210">
        <f t="shared" si="29"/>
        <v>8.1555555555555562E-2</v>
      </c>
      <c r="R37" s="85">
        <f t="shared" si="30"/>
        <v>0</v>
      </c>
      <c r="S37" s="135">
        <f t="shared" si="31"/>
        <v>0</v>
      </c>
      <c r="T37" s="85">
        <f t="shared" si="32"/>
        <v>0</v>
      </c>
      <c r="U37" s="83">
        <f t="shared" si="33"/>
        <v>24.962962962962962</v>
      </c>
      <c r="V37" s="381">
        <v>53.3</v>
      </c>
      <c r="W37" s="111">
        <f t="shared" si="34"/>
        <v>0</v>
      </c>
      <c r="X37" s="454">
        <f t="shared" si="35"/>
        <v>0</v>
      </c>
      <c r="Y37" s="85">
        <f t="shared" si="36"/>
        <v>0</v>
      </c>
      <c r="Z37" s="10"/>
    </row>
    <row r="38" spans="1:26" ht="12.75" customHeight="1" x14ac:dyDescent="0.2">
      <c r="A38" s="106" t="s">
        <v>28</v>
      </c>
      <c r="B38" s="335">
        <v>79978.03</v>
      </c>
      <c r="C38" s="336">
        <v>80008.03</v>
      </c>
      <c r="D38" s="337" t="s">
        <v>30</v>
      </c>
      <c r="E38" s="337" t="s">
        <v>97</v>
      </c>
      <c r="F38" s="337" t="s">
        <v>97</v>
      </c>
      <c r="G38" s="103" t="str">
        <f t="shared" si="26"/>
        <v>-</v>
      </c>
      <c r="H38" s="77">
        <v>4</v>
      </c>
      <c r="I38" s="27">
        <f t="shared" si="40"/>
        <v>0</v>
      </c>
      <c r="J38" s="78">
        <f t="shared" si="41"/>
        <v>0</v>
      </c>
      <c r="K38" s="83">
        <f t="shared" si="27"/>
        <v>30</v>
      </c>
      <c r="L38" s="342" t="s">
        <v>97</v>
      </c>
      <c r="M38" s="124">
        <f t="shared" si="15"/>
        <v>0</v>
      </c>
      <c r="N38" s="344">
        <v>1330</v>
      </c>
      <c r="O38" s="123">
        <f t="shared" si="2"/>
        <v>1330</v>
      </c>
      <c r="P38" s="480">
        <f>IF(OR(O38=0),0,($O38+$H38*$K38)/9)</f>
        <v>161.11111111111111</v>
      </c>
      <c r="Q38" s="210">
        <f t="shared" si="29"/>
        <v>8.0555555555555561E-2</v>
      </c>
      <c r="R38" s="85">
        <f t="shared" si="30"/>
        <v>0</v>
      </c>
      <c r="S38" s="135">
        <f t="shared" si="31"/>
        <v>0</v>
      </c>
      <c r="T38" s="85">
        <f t="shared" si="32"/>
        <v>0</v>
      </c>
      <c r="U38" s="83">
        <f t="shared" si="33"/>
        <v>24.62962962962963</v>
      </c>
      <c r="V38" s="381">
        <v>43.1</v>
      </c>
      <c r="W38" s="111">
        <f t="shared" si="34"/>
        <v>0</v>
      </c>
      <c r="X38" s="454">
        <f t="shared" si="35"/>
        <v>0</v>
      </c>
      <c r="Y38" s="85">
        <f t="shared" ref="Y38:Y48" si="42">IF($A38="APP SLAB",0,($K38*2))</f>
        <v>0</v>
      </c>
      <c r="Z38" s="10"/>
    </row>
    <row r="39" spans="1:26" ht="12.75" customHeight="1" x14ac:dyDescent="0.2">
      <c r="A39" s="106"/>
      <c r="B39" s="335">
        <v>80008.03</v>
      </c>
      <c r="C39" s="336">
        <v>80033.55</v>
      </c>
      <c r="D39" s="337" t="s">
        <v>30</v>
      </c>
      <c r="E39" s="337" t="s">
        <v>102</v>
      </c>
      <c r="F39" s="337" t="s">
        <v>102</v>
      </c>
      <c r="G39" s="103" t="str">
        <f t="shared" si="26"/>
        <v>F/C - F/C</v>
      </c>
      <c r="H39" s="77">
        <f t="shared" ref="H39:H48" si="43">IF(AND($E39=$AA$2,$F39=$AA$2),2*$AC$12,IF(OR(AND($E39=$AA$2, $F39=$AA$3),AND($E39=$AA$3,$F39=$AA$2)),$AC$12+$AC$13,IF(OR(AND($E39=$AA$2,$F39=$AA$4),AND($E39=$AA$4,$F39=$AA$2)),$AC$12,IF(OR(AND($E39=$AA$3,$F39=$AA$4),AND($E39=$AA$4,$F39=$AA$3)),$AC$13,IF(AND($E39=$AA$3,$F39=$AA$3),2*$AC$13,0)))))</f>
        <v>4</v>
      </c>
      <c r="I39" s="27">
        <f t="shared" si="40"/>
        <v>1.4177777777780041</v>
      </c>
      <c r="J39" s="78">
        <f t="shared" si="41"/>
        <v>0</v>
      </c>
      <c r="K39" s="83">
        <f t="shared" si="27"/>
        <v>25.520000000004075</v>
      </c>
      <c r="L39" s="342">
        <v>42.03</v>
      </c>
      <c r="M39" s="124">
        <f t="shared" si="15"/>
        <v>1073</v>
      </c>
      <c r="N39" s="344">
        <v>0</v>
      </c>
      <c r="O39" s="123">
        <f t="shared" si="2"/>
        <v>1073</v>
      </c>
      <c r="P39" s="480">
        <f t="shared" si="28"/>
        <v>130.56444444444625</v>
      </c>
      <c r="Q39" s="210">
        <f t="shared" si="29"/>
        <v>6.528222222222313E-2</v>
      </c>
      <c r="R39" s="85">
        <f t="shared" si="30"/>
        <v>0</v>
      </c>
      <c r="S39" s="135">
        <f t="shared" si="31"/>
        <v>0</v>
      </c>
      <c r="T39" s="85">
        <f t="shared" si="32"/>
        <v>0</v>
      </c>
      <c r="U39" s="83">
        <f t="shared" si="33"/>
        <v>21.288148148148373</v>
      </c>
      <c r="V39" s="381">
        <v>0</v>
      </c>
      <c r="W39" s="111">
        <f t="shared" si="34"/>
        <v>119.22222222222223</v>
      </c>
      <c r="X39" s="454">
        <f t="shared" si="35"/>
        <v>0</v>
      </c>
      <c r="Y39" s="85">
        <f t="shared" si="42"/>
        <v>51.040000000008149</v>
      </c>
      <c r="Z39" s="10"/>
    </row>
    <row r="40" spans="1:26" ht="12.75" customHeight="1" x14ac:dyDescent="0.2">
      <c r="A40" s="106"/>
      <c r="B40" s="335">
        <v>80033.55</v>
      </c>
      <c r="C40" s="336">
        <v>80132.899999999994</v>
      </c>
      <c r="D40" s="337" t="s">
        <v>30</v>
      </c>
      <c r="E40" s="337" t="s">
        <v>102</v>
      </c>
      <c r="F40" s="337" t="s">
        <v>102</v>
      </c>
      <c r="G40" s="103" t="str">
        <f t="shared" si="26"/>
        <v>F/C - F/C</v>
      </c>
      <c r="H40" s="77">
        <f t="shared" si="43"/>
        <v>4</v>
      </c>
      <c r="I40" s="27">
        <f t="shared" si="40"/>
        <v>5.519444444443959</v>
      </c>
      <c r="J40" s="78">
        <f t="shared" si="41"/>
        <v>0</v>
      </c>
      <c r="K40" s="83">
        <f t="shared" si="27"/>
        <v>99.349999999991269</v>
      </c>
      <c r="L40" s="342">
        <v>36</v>
      </c>
      <c r="M40" s="124">
        <f t="shared" si="15"/>
        <v>3577</v>
      </c>
      <c r="N40" s="344">
        <v>0</v>
      </c>
      <c r="O40" s="123">
        <f t="shared" si="2"/>
        <v>3577</v>
      </c>
      <c r="P40" s="480">
        <f t="shared" si="28"/>
        <v>441.5999999999961</v>
      </c>
      <c r="Q40" s="210">
        <f t="shared" si="29"/>
        <v>0.22079999999999805</v>
      </c>
      <c r="R40" s="85">
        <f t="shared" si="30"/>
        <v>0</v>
      </c>
      <c r="S40" s="135">
        <f t="shared" si="31"/>
        <v>0</v>
      </c>
      <c r="T40" s="85">
        <f t="shared" si="32"/>
        <v>0</v>
      </c>
      <c r="U40" s="83">
        <f t="shared" si="33"/>
        <v>71.76018518518471</v>
      </c>
      <c r="V40" s="381">
        <v>0</v>
      </c>
      <c r="W40" s="111">
        <f t="shared" si="34"/>
        <v>397.44444444444446</v>
      </c>
      <c r="X40" s="454">
        <f t="shared" si="35"/>
        <v>0</v>
      </c>
      <c r="Y40" s="85">
        <f t="shared" si="42"/>
        <v>198.69999999998254</v>
      </c>
      <c r="Z40" s="10"/>
    </row>
    <row r="41" spans="1:26" ht="12.75" customHeight="1" x14ac:dyDescent="0.2">
      <c r="A41" s="106"/>
      <c r="B41" s="335">
        <v>80132.899999999994</v>
      </c>
      <c r="C41" s="336">
        <v>80188.87</v>
      </c>
      <c r="D41" s="337" t="s">
        <v>30</v>
      </c>
      <c r="E41" s="337" t="s">
        <v>102</v>
      </c>
      <c r="F41" s="337" t="s">
        <v>102</v>
      </c>
      <c r="G41" s="103" t="str">
        <f t="shared" si="26"/>
        <v>F/C - F/C</v>
      </c>
      <c r="H41" s="77">
        <f t="shared" si="43"/>
        <v>4</v>
      </c>
      <c r="I41" s="27">
        <f t="shared" si="40"/>
        <v>3.1094444444445091</v>
      </c>
      <c r="J41" s="78">
        <f t="shared" si="41"/>
        <v>0</v>
      </c>
      <c r="K41" s="83">
        <f t="shared" si="27"/>
        <v>55.970000000001164</v>
      </c>
      <c r="L41" s="342">
        <v>30</v>
      </c>
      <c r="M41" s="124">
        <f t="shared" si="15"/>
        <v>1680</v>
      </c>
      <c r="N41" s="344">
        <v>0</v>
      </c>
      <c r="O41" s="123">
        <f t="shared" si="2"/>
        <v>1680</v>
      </c>
      <c r="P41" s="480">
        <f t="shared" si="28"/>
        <v>211.54222222222273</v>
      </c>
      <c r="Q41" s="210">
        <f t="shared" si="29"/>
        <v>0.10577111111111137</v>
      </c>
      <c r="R41" s="85">
        <f t="shared" si="30"/>
        <v>0</v>
      </c>
      <c r="S41" s="135">
        <f t="shared" si="31"/>
        <v>0</v>
      </c>
      <c r="T41" s="85">
        <f t="shared" si="32"/>
        <v>0</v>
      </c>
      <c r="U41" s="83">
        <f t="shared" si="33"/>
        <v>34.22055555555562</v>
      </c>
      <c r="V41" s="381">
        <v>0</v>
      </c>
      <c r="W41" s="111">
        <f t="shared" si="34"/>
        <v>186.66666666666666</v>
      </c>
      <c r="X41" s="454">
        <f t="shared" si="35"/>
        <v>0</v>
      </c>
      <c r="Y41" s="85">
        <f t="shared" si="42"/>
        <v>111.94000000000233</v>
      </c>
      <c r="Z41" s="10"/>
    </row>
    <row r="42" spans="1:26" ht="12.75" customHeight="1" x14ac:dyDescent="0.2">
      <c r="A42" s="106" t="s">
        <v>28</v>
      </c>
      <c r="B42" s="335">
        <v>80188.87</v>
      </c>
      <c r="C42" s="336">
        <v>80218.87</v>
      </c>
      <c r="D42" s="337" t="s">
        <v>30</v>
      </c>
      <c r="E42" s="337" t="s">
        <v>97</v>
      </c>
      <c r="F42" s="337" t="s">
        <v>97</v>
      </c>
      <c r="G42" s="103" t="str">
        <f t="shared" si="26"/>
        <v>-</v>
      </c>
      <c r="H42" s="77">
        <f t="shared" si="43"/>
        <v>0</v>
      </c>
      <c r="I42" s="27">
        <f t="shared" si="40"/>
        <v>0</v>
      </c>
      <c r="J42" s="78">
        <f t="shared" si="41"/>
        <v>0</v>
      </c>
      <c r="K42" s="83">
        <f t="shared" si="27"/>
        <v>30</v>
      </c>
      <c r="L42" s="342" t="s">
        <v>97</v>
      </c>
      <c r="M42" s="124">
        <f t="shared" si="15"/>
        <v>0</v>
      </c>
      <c r="N42" s="344">
        <v>951</v>
      </c>
      <c r="O42" s="123">
        <f t="shared" si="2"/>
        <v>951</v>
      </c>
      <c r="P42" s="480">
        <f t="shared" si="28"/>
        <v>0</v>
      </c>
      <c r="Q42" s="210">
        <f t="shared" si="29"/>
        <v>0</v>
      </c>
      <c r="R42" s="85">
        <f t="shared" si="30"/>
        <v>0</v>
      </c>
      <c r="S42" s="135">
        <f t="shared" si="31"/>
        <v>0</v>
      </c>
      <c r="T42" s="85">
        <f t="shared" si="32"/>
        <v>0</v>
      </c>
      <c r="U42" s="83">
        <f t="shared" si="33"/>
        <v>17.611111111111111</v>
      </c>
      <c r="V42" s="381">
        <v>31</v>
      </c>
      <c r="W42" s="111">
        <f t="shared" si="34"/>
        <v>0</v>
      </c>
      <c r="X42" s="454">
        <f t="shared" si="35"/>
        <v>0</v>
      </c>
      <c r="Y42" s="85">
        <f t="shared" si="42"/>
        <v>0</v>
      </c>
      <c r="Z42" s="10"/>
    </row>
    <row r="43" spans="1:26" ht="12.75" customHeight="1" x14ac:dyDescent="0.2">
      <c r="A43" s="106" t="s">
        <v>28</v>
      </c>
      <c r="B43" s="335">
        <v>80503.63</v>
      </c>
      <c r="C43" s="336">
        <v>80533.63</v>
      </c>
      <c r="D43" s="337" t="s">
        <v>30</v>
      </c>
      <c r="E43" s="337" t="s">
        <v>97</v>
      </c>
      <c r="F43" s="337" t="s">
        <v>97</v>
      </c>
      <c r="G43" s="103" t="str">
        <f t="shared" si="26"/>
        <v>-</v>
      </c>
      <c r="H43" s="77">
        <f t="shared" si="43"/>
        <v>0</v>
      </c>
      <c r="I43" s="27">
        <f t="shared" si="40"/>
        <v>0</v>
      </c>
      <c r="J43" s="78">
        <f t="shared" si="41"/>
        <v>0</v>
      </c>
      <c r="K43" s="83">
        <f t="shared" si="27"/>
        <v>30</v>
      </c>
      <c r="L43" s="342" t="s">
        <v>97</v>
      </c>
      <c r="M43" s="124">
        <f t="shared" si="15"/>
        <v>0</v>
      </c>
      <c r="N43" s="344">
        <v>951</v>
      </c>
      <c r="O43" s="123">
        <f t="shared" si="2"/>
        <v>951</v>
      </c>
      <c r="P43" s="480">
        <f t="shared" si="28"/>
        <v>0</v>
      </c>
      <c r="Q43" s="210">
        <f t="shared" si="29"/>
        <v>0</v>
      </c>
      <c r="R43" s="85">
        <f t="shared" si="30"/>
        <v>0</v>
      </c>
      <c r="S43" s="135">
        <f t="shared" si="31"/>
        <v>0</v>
      </c>
      <c r="T43" s="85">
        <f t="shared" si="32"/>
        <v>0</v>
      </c>
      <c r="U43" s="83">
        <f t="shared" si="33"/>
        <v>17.611111111111111</v>
      </c>
      <c r="V43" s="381">
        <v>31</v>
      </c>
      <c r="W43" s="111">
        <f t="shared" si="34"/>
        <v>0</v>
      </c>
      <c r="X43" s="454">
        <f t="shared" si="35"/>
        <v>0</v>
      </c>
      <c r="Y43" s="85">
        <f t="shared" si="42"/>
        <v>0</v>
      </c>
      <c r="Z43" s="10"/>
    </row>
    <row r="44" spans="1:26" ht="12.75" customHeight="1" x14ac:dyDescent="0.2">
      <c r="B44" s="335">
        <v>80533.63</v>
      </c>
      <c r="C44" s="336">
        <v>80810.559999999998</v>
      </c>
      <c r="D44" s="337" t="s">
        <v>30</v>
      </c>
      <c r="E44" s="337" t="s">
        <v>102</v>
      </c>
      <c r="F44" s="337" t="s">
        <v>102</v>
      </c>
      <c r="G44" s="103" t="str">
        <f t="shared" si="26"/>
        <v>F/C - F/C</v>
      </c>
      <c r="H44" s="77">
        <f t="shared" si="43"/>
        <v>4</v>
      </c>
      <c r="I44" s="27">
        <f t="shared" si="40"/>
        <v>15.384999999999613</v>
      </c>
      <c r="J44" s="78">
        <f t="shared" si="41"/>
        <v>0</v>
      </c>
      <c r="K44" s="83">
        <f t="shared" si="27"/>
        <v>276.92999999999302</v>
      </c>
      <c r="L44" s="342">
        <v>30</v>
      </c>
      <c r="M44" s="124">
        <f t="shared" si="15"/>
        <v>8308</v>
      </c>
      <c r="N44" s="344">
        <v>0</v>
      </c>
      <c r="O44" s="123">
        <f t="shared" si="2"/>
        <v>8308</v>
      </c>
      <c r="P44" s="480">
        <f t="shared" si="28"/>
        <v>1046.1911111111081</v>
      </c>
      <c r="Q44" s="210">
        <f t="shared" si="29"/>
        <v>0.52309555555555398</v>
      </c>
      <c r="R44" s="85">
        <f t="shared" si="30"/>
        <v>0</v>
      </c>
      <c r="S44" s="135">
        <f t="shared" si="31"/>
        <v>0</v>
      </c>
      <c r="T44" s="85">
        <f t="shared" si="32"/>
        <v>0</v>
      </c>
      <c r="U44" s="83">
        <f t="shared" si="33"/>
        <v>169.23685185185147</v>
      </c>
      <c r="V44" s="381">
        <v>0</v>
      </c>
      <c r="W44" s="111">
        <f t="shared" si="34"/>
        <v>923.11111111111109</v>
      </c>
      <c r="X44" s="454">
        <f t="shared" si="35"/>
        <v>0</v>
      </c>
      <c r="Y44" s="85">
        <f t="shared" si="42"/>
        <v>553.85999999998603</v>
      </c>
      <c r="Z44" s="10"/>
    </row>
    <row r="45" spans="1:26" ht="12.75" customHeight="1" x14ac:dyDescent="0.2">
      <c r="B45" s="335">
        <v>80810.559999999998</v>
      </c>
      <c r="C45" s="336">
        <v>80813.539999999994</v>
      </c>
      <c r="D45" s="337" t="s">
        <v>30</v>
      </c>
      <c r="E45" s="337" t="s">
        <v>101</v>
      </c>
      <c r="F45" s="337" t="s">
        <v>102</v>
      </c>
      <c r="G45" s="103" t="str">
        <f t="shared" si="26"/>
        <v>E/S - F/C</v>
      </c>
      <c r="H45" s="77">
        <f t="shared" si="43"/>
        <v>3.5</v>
      </c>
      <c r="I45" s="27">
        <f t="shared" si="40"/>
        <v>0.16555555555532919</v>
      </c>
      <c r="J45" s="78">
        <f t="shared" si="41"/>
        <v>0</v>
      </c>
      <c r="K45" s="83">
        <f t="shared" si="27"/>
        <v>2.9799999999959255</v>
      </c>
      <c r="L45" s="342">
        <v>28</v>
      </c>
      <c r="M45" s="124">
        <f t="shared" si="15"/>
        <v>84</v>
      </c>
      <c r="N45" s="344">
        <v>0</v>
      </c>
      <c r="O45" s="123">
        <f t="shared" ref="O45:O46" si="44">SUM(M45:N45)</f>
        <v>84</v>
      </c>
      <c r="P45" s="480">
        <f t="shared" si="28"/>
        <v>10.492222222220638</v>
      </c>
      <c r="Q45" s="210">
        <f t="shared" si="29"/>
        <v>5.2461111111103192E-3</v>
      </c>
      <c r="R45" s="85">
        <f t="shared" si="30"/>
        <v>0</v>
      </c>
      <c r="S45" s="135">
        <f t="shared" si="31"/>
        <v>0</v>
      </c>
      <c r="T45" s="85">
        <f t="shared" si="32"/>
        <v>0</v>
      </c>
      <c r="U45" s="83">
        <f t="shared" si="33"/>
        <v>1.7211111111108848</v>
      </c>
      <c r="V45" s="381">
        <v>0</v>
      </c>
      <c r="W45" s="111">
        <f t="shared" si="34"/>
        <v>9.3333333333333339</v>
      </c>
      <c r="X45" s="454">
        <f t="shared" si="35"/>
        <v>0.11037037037021946</v>
      </c>
      <c r="Y45" s="85">
        <f t="shared" si="42"/>
        <v>5.9599999999918509</v>
      </c>
      <c r="Z45" s="10"/>
    </row>
    <row r="46" spans="1:26" ht="12.75" customHeight="1" x14ac:dyDescent="0.2">
      <c r="B46" s="335">
        <v>80813.539999999994</v>
      </c>
      <c r="C46" s="336">
        <v>82090.16</v>
      </c>
      <c r="D46" s="337" t="s">
        <v>30</v>
      </c>
      <c r="E46" s="337" t="s">
        <v>101</v>
      </c>
      <c r="F46" s="337" t="s">
        <v>101</v>
      </c>
      <c r="G46" s="103" t="str">
        <f t="shared" si="26"/>
        <v>E/S - E/S</v>
      </c>
      <c r="H46" s="77">
        <f t="shared" si="43"/>
        <v>3</v>
      </c>
      <c r="I46" s="27">
        <f t="shared" si="40"/>
        <v>70.923333333333886</v>
      </c>
      <c r="J46" s="78">
        <f t="shared" si="41"/>
        <v>0</v>
      </c>
      <c r="K46" s="83">
        <f t="shared" si="27"/>
        <v>1276.6200000000099</v>
      </c>
      <c r="L46" s="342">
        <v>26</v>
      </c>
      <c r="M46" s="124">
        <f t="shared" si="15"/>
        <v>33193</v>
      </c>
      <c r="N46" s="344">
        <v>0</v>
      </c>
      <c r="O46" s="123">
        <f t="shared" si="44"/>
        <v>33193</v>
      </c>
      <c r="P46" s="480">
        <f t="shared" si="28"/>
        <v>4113.651111111114</v>
      </c>
      <c r="Q46" s="210">
        <f t="shared" si="29"/>
        <v>2.056825555555557</v>
      </c>
      <c r="R46" s="85">
        <f t="shared" si="30"/>
        <v>0</v>
      </c>
      <c r="S46" s="135">
        <f t="shared" si="31"/>
        <v>0</v>
      </c>
      <c r="T46" s="85">
        <f t="shared" si="32"/>
        <v>0</v>
      </c>
      <c r="U46" s="83">
        <f t="shared" si="33"/>
        <v>685.60851851851908</v>
      </c>
      <c r="V46" s="381">
        <v>0</v>
      </c>
      <c r="W46" s="111">
        <f t="shared" si="34"/>
        <v>3688.1111111111113</v>
      </c>
      <c r="X46" s="454">
        <f t="shared" si="35"/>
        <v>47.282222222222586</v>
      </c>
      <c r="Y46" s="85">
        <f t="shared" si="42"/>
        <v>2553.2400000000198</v>
      </c>
      <c r="Z46" s="10"/>
    </row>
    <row r="47" spans="1:26" ht="12.75" customHeight="1" x14ac:dyDescent="0.2">
      <c r="B47" s="335">
        <v>82090.16</v>
      </c>
      <c r="C47" s="336">
        <v>82138.67</v>
      </c>
      <c r="D47" s="337" t="s">
        <v>30</v>
      </c>
      <c r="E47" s="337" t="s">
        <v>101</v>
      </c>
      <c r="F47" s="337" t="s">
        <v>102</v>
      </c>
      <c r="G47" s="103" t="str">
        <f t="shared" si="26"/>
        <v>E/S - F/C</v>
      </c>
      <c r="H47" s="77">
        <f t="shared" si="43"/>
        <v>3.5</v>
      </c>
      <c r="I47" s="27">
        <f t="shared" si="40"/>
        <v>2.694999999999709</v>
      </c>
      <c r="J47" s="78">
        <f t="shared" si="41"/>
        <v>0</v>
      </c>
      <c r="K47" s="83">
        <f t="shared" si="27"/>
        <v>48.509999999994761</v>
      </c>
      <c r="L47" s="342">
        <v>26</v>
      </c>
      <c r="M47" s="124">
        <f t="shared" si="15"/>
        <v>1262</v>
      </c>
      <c r="N47" s="344">
        <v>0</v>
      </c>
      <c r="O47" s="123">
        <f t="shared" si="2"/>
        <v>1262</v>
      </c>
      <c r="P47" s="480">
        <f t="shared" si="28"/>
        <v>159.08722222222019</v>
      </c>
      <c r="Q47" s="210">
        <f t="shared" si="29"/>
        <v>7.9543611111110094E-2</v>
      </c>
      <c r="R47" s="85">
        <f t="shared" si="30"/>
        <v>0</v>
      </c>
      <c r="S47" s="135">
        <f t="shared" si="31"/>
        <v>0</v>
      </c>
      <c r="T47" s="85">
        <f t="shared" si="32"/>
        <v>0</v>
      </c>
      <c r="U47" s="83">
        <f t="shared" si="33"/>
        <v>26.065370370370079</v>
      </c>
      <c r="V47" s="381">
        <v>0</v>
      </c>
      <c r="W47" s="111">
        <f t="shared" si="34"/>
        <v>140.22222222222223</v>
      </c>
      <c r="X47" s="454">
        <f t="shared" si="35"/>
        <v>1.7966666666664726</v>
      </c>
      <c r="Y47" s="85">
        <f t="shared" si="42"/>
        <v>97.019999999989523</v>
      </c>
      <c r="Z47" s="10"/>
    </row>
    <row r="48" spans="1:26" ht="12.75" customHeight="1" x14ac:dyDescent="0.2">
      <c r="B48" s="335">
        <v>82138.67</v>
      </c>
      <c r="C48" s="336">
        <v>82188.67</v>
      </c>
      <c r="D48" s="337" t="s">
        <v>30</v>
      </c>
      <c r="E48" s="337" t="s">
        <v>101</v>
      </c>
      <c r="F48" s="337" t="s">
        <v>102</v>
      </c>
      <c r="G48" s="103" t="str">
        <f t="shared" si="26"/>
        <v>E/S - F/C</v>
      </c>
      <c r="H48" s="77">
        <f t="shared" si="43"/>
        <v>3.5</v>
      </c>
      <c r="I48" s="27">
        <f t="shared" si="40"/>
        <v>2.7777777777777777</v>
      </c>
      <c r="J48" s="78">
        <f t="shared" si="41"/>
        <v>0</v>
      </c>
      <c r="K48" s="83">
        <f t="shared" si="27"/>
        <v>50</v>
      </c>
      <c r="L48" s="342">
        <v>27</v>
      </c>
      <c r="M48" s="124">
        <f t="shared" si="15"/>
        <v>1350</v>
      </c>
      <c r="N48" s="344">
        <v>0</v>
      </c>
      <c r="O48" s="123">
        <f t="shared" si="2"/>
        <v>1350</v>
      </c>
      <c r="P48" s="480">
        <f t="shared" si="28"/>
        <v>169.44444444444446</v>
      </c>
      <c r="Q48" s="210">
        <f t="shared" si="29"/>
        <v>8.4722222222222227E-2</v>
      </c>
      <c r="R48" s="85">
        <f t="shared" si="30"/>
        <v>0</v>
      </c>
      <c r="S48" s="135">
        <f t="shared" si="31"/>
        <v>0</v>
      </c>
      <c r="T48" s="85">
        <f t="shared" si="32"/>
        <v>0</v>
      </c>
      <c r="U48" s="83">
        <f t="shared" si="33"/>
        <v>27.777777777777779</v>
      </c>
      <c r="V48" s="381">
        <v>0</v>
      </c>
      <c r="W48" s="111">
        <f t="shared" si="34"/>
        <v>150</v>
      </c>
      <c r="X48" s="454">
        <f t="shared" si="35"/>
        <v>1.8518518518518519</v>
      </c>
      <c r="Y48" s="85">
        <f t="shared" si="42"/>
        <v>100</v>
      </c>
      <c r="Z48" s="10"/>
    </row>
    <row r="49" spans="1:26" ht="12.75" customHeight="1" thickBot="1" x14ac:dyDescent="0.25">
      <c r="B49" s="107"/>
      <c r="C49" s="82"/>
      <c r="D49" s="32"/>
      <c r="E49" s="32"/>
      <c r="F49" s="32"/>
      <c r="G49" s="32"/>
      <c r="H49" s="80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9"/>
      <c r="Z49" s="174"/>
    </row>
    <row r="50" spans="1:26" ht="12.75" customHeight="1" x14ac:dyDescent="0.2">
      <c r="B50" s="661" t="s">
        <v>200</v>
      </c>
      <c r="C50" s="662"/>
      <c r="D50" s="100"/>
      <c r="E50" s="100"/>
      <c r="F50" s="100"/>
      <c r="G50" s="100"/>
      <c r="H50" s="112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35"/>
      <c r="Z50" s="175"/>
    </row>
    <row r="51" spans="1:26" ht="12.75" customHeight="1" x14ac:dyDescent="0.2">
      <c r="B51" s="335">
        <v>79735.179999999993</v>
      </c>
      <c r="C51" s="336">
        <v>79968.09</v>
      </c>
      <c r="D51" s="337" t="s">
        <v>30</v>
      </c>
      <c r="E51" s="337" t="s">
        <v>101</v>
      </c>
      <c r="F51" s="337" t="s">
        <v>102</v>
      </c>
      <c r="G51" s="103" t="str">
        <f t="shared" ref="G51:G63" si="45">IF(AND($E51=$AA$2,$F51=$AA$2),$AC$2,IF(OR(AND($E51=$AA$2,$F51=$AA$3),AND($E51=$AA$3,$F51=$AA$2)),$AC$3,IF(OR(AND($E51=$AA$2,$F51=$AA$4),AND($E51=$AA$4,$F51=$AA$2)),$AC$4,IF(OR(AND($E51=$AA$3,$F51=$AA$4),AND($E51=$AA$4,$F51=$AA$3)),$AC$5,IF(AND($E51=$AA$3,$F51=$AA$3),$AC$6,IF(AND($E51=$AA$4,$F51=$AA$4),$AC$7,"-"))))))</f>
        <v>E/S - F/C</v>
      </c>
      <c r="H51" s="77">
        <f t="shared" ref="H51:H53" si="46">IF(AND($E51=$AA$2,$F51=$AA$2),2*$AC$12,IF(OR(AND($E51=$AA$2, $F51=$AA$3),AND($E51=$AA$3,$F51=$AA$2)),$AC$12+$AC$13,IF(OR(AND($E51=$AA$2,$F51=$AA$4),AND($E51=$AA$4,$F51=$AA$2)),$AC$12,IF(OR(AND($E51=$AA$3,$F51=$AA$4),AND($E51=$AA$4,$F51=$AA$3)),$AC$13,IF(AND($E51=$AA$3,$F51=$AA$3),2*$AC$13,0)))))</f>
        <v>3.5</v>
      </c>
      <c r="I51" s="27">
        <f t="shared" ref="I51:I53" si="47">IF(AND($E51=$AA$2,$F51=$AA$2),2*$AF$12*$K51/27,IF(OR(AND($E51=$AA$2,$F51=$AA$3),AND($E51=$AA$3,$F51=$AA$2)),($AF$12+$AF$13)*$K51/27,IF(OR(AND($E51=$AA$2,$F51=$AA$4),AND($E51=$AA$4,$F51=$AA$2)),$AF$12*$K51/27,IF(OR(AND($E51=$AA$3,$F51=$AA$4),AND($E51=$AA$4,$F51=$AA$3)),$AF$13*$K51/27,IF(AND($E51=$AA$3,$F51=$AA$3),2*$AF$13*$K51/27,0)))))</f>
        <v>12.939444444444639</v>
      </c>
      <c r="J51" s="78">
        <f t="shared" ref="J51:J53" si="48">IF(OR(AND($E51=$AA$2,$F51=$AA$4),AND($E51=$AA$4,$F51=$AA$2)),$AI$14,IF(OR(AND($E51=$AA$3,$F51=$AA$4),AND($E51=$AA$4,$F51=$AA$3)),$AI$14,IF(AND($E51=$AA$4,$F51=$AA$4),2*$AI$14,0)))</f>
        <v>0</v>
      </c>
      <c r="K51" s="83">
        <f t="shared" ref="K51:K63" si="49">C51-B51</f>
        <v>232.91000000000349</v>
      </c>
      <c r="L51" s="342">
        <v>28</v>
      </c>
      <c r="M51" s="124">
        <f t="shared" si="15"/>
        <v>6522</v>
      </c>
      <c r="N51" s="344">
        <v>0</v>
      </c>
      <c r="O51" s="123">
        <f t="shared" si="2"/>
        <v>6522</v>
      </c>
      <c r="P51" s="480">
        <f t="shared" ref="P51:P63" si="50">IF(OR($A51="APP SLAB",O51=0),0,($O51+$H51*$K51)/9)</f>
        <v>815.24277777777911</v>
      </c>
      <c r="Q51" s="210">
        <f t="shared" ref="Q51:Q63" si="51">IF(AND(P51=0,S51=0),0,IF(S51=0,P51/2000,S51/2000))</f>
        <v>0.40762138888888955</v>
      </c>
      <c r="R51" s="85">
        <f t="shared" ref="R51:R63" si="52">IF(A51="APP SLAB",0,S51)</f>
        <v>0</v>
      </c>
      <c r="S51" s="135">
        <f t="shared" ref="S51:S63" si="53">IF(OR(A51="APP SLAB",P51&lt;&gt;0),0,(O51+H51*K51)/9)</f>
        <v>0</v>
      </c>
      <c r="T51" s="85">
        <f t="shared" ref="T51:T63" si="54">IF(A51="APP SLAB",0,$S$1*S51*110*0.06*0.75/2000)</f>
        <v>0</v>
      </c>
      <c r="U51" s="83">
        <f t="shared" ref="U51:U63" si="55">IF(O51=0,0,(O51*$U$1/12)/27+I51)</f>
        <v>133.7172222222224</v>
      </c>
      <c r="V51" s="381">
        <v>0</v>
      </c>
      <c r="W51" s="111">
        <f t="shared" ref="W51:W63" si="56">IF($A51="APP SLAB",0,(O51+K51*J51)/9)</f>
        <v>724.66666666666663</v>
      </c>
      <c r="X51" s="454">
        <f t="shared" ref="X51:X63" si="57">IF(AND($E51=$F51="Uncurbed"),(2*$K51*2*$X$1/12)/27,IF(OR($E51="Uncurbed",$F51="Uncurbed"),($K51*2*$X$1/12)/27,IF(OR(AND($E51="Med. Barr.",$F51="Curbed"),AND($E51="Curbed",$F51="Med. Barr."),$E51=$F51,$E51="Unique",$F51="Unique",$E51="-",$F51="-"),0,"?")))</f>
        <v>8.6262962962964256</v>
      </c>
      <c r="Y51" s="85">
        <f>IF($A51="APP SLAB",0,($K51*2))</f>
        <v>465.82000000000698</v>
      </c>
      <c r="Z51" s="10"/>
    </row>
    <row r="52" spans="1:26" ht="12.75" customHeight="1" x14ac:dyDescent="0.2">
      <c r="B52" s="335">
        <v>79968.09</v>
      </c>
      <c r="C52" s="336">
        <v>80213.09</v>
      </c>
      <c r="D52" s="337" t="s">
        <v>30</v>
      </c>
      <c r="E52" s="337" t="s">
        <v>101</v>
      </c>
      <c r="F52" s="337" t="s">
        <v>101</v>
      </c>
      <c r="G52" s="103" t="str">
        <f t="shared" si="45"/>
        <v>E/S - E/S</v>
      </c>
      <c r="H52" s="77">
        <f t="shared" si="46"/>
        <v>3</v>
      </c>
      <c r="I52" s="27">
        <f t="shared" si="47"/>
        <v>13.611111111111111</v>
      </c>
      <c r="J52" s="78">
        <f t="shared" si="48"/>
        <v>0</v>
      </c>
      <c r="K52" s="83">
        <f t="shared" si="49"/>
        <v>245</v>
      </c>
      <c r="L52" s="342">
        <v>26</v>
      </c>
      <c r="M52" s="124">
        <f t="shared" si="15"/>
        <v>6370</v>
      </c>
      <c r="N52" s="344">
        <v>0</v>
      </c>
      <c r="O52" s="123">
        <f t="shared" si="2"/>
        <v>6370</v>
      </c>
      <c r="P52" s="480">
        <f t="shared" si="50"/>
        <v>789.44444444444446</v>
      </c>
      <c r="Q52" s="210">
        <f t="shared" si="51"/>
        <v>0.39472222222222225</v>
      </c>
      <c r="R52" s="85">
        <f t="shared" si="52"/>
        <v>0</v>
      </c>
      <c r="S52" s="135">
        <f t="shared" si="53"/>
        <v>0</v>
      </c>
      <c r="T52" s="85">
        <f t="shared" si="54"/>
        <v>0</v>
      </c>
      <c r="U52" s="83">
        <f t="shared" si="55"/>
        <v>131.57407407407408</v>
      </c>
      <c r="V52" s="381">
        <v>0</v>
      </c>
      <c r="W52" s="111">
        <f t="shared" si="56"/>
        <v>707.77777777777783</v>
      </c>
      <c r="X52" s="454">
        <f t="shared" si="57"/>
        <v>9.0740740740740744</v>
      </c>
      <c r="Y52" s="85">
        <f>IF($A52="APP SLAB",0,($K52*2))</f>
        <v>490</v>
      </c>
      <c r="Z52" s="10"/>
    </row>
    <row r="53" spans="1:26" ht="12.75" customHeight="1" x14ac:dyDescent="0.2">
      <c r="B53" s="335">
        <v>80213.09</v>
      </c>
      <c r="C53" s="336">
        <v>80254.429999999993</v>
      </c>
      <c r="D53" s="337" t="s">
        <v>30</v>
      </c>
      <c r="E53" s="337" t="s">
        <v>102</v>
      </c>
      <c r="F53" s="337" t="s">
        <v>101</v>
      </c>
      <c r="G53" s="103" t="str">
        <f t="shared" si="45"/>
        <v>E/S - F/C</v>
      </c>
      <c r="H53" s="77">
        <f t="shared" si="46"/>
        <v>3.5</v>
      </c>
      <c r="I53" s="27">
        <f t="shared" si="47"/>
        <v>2.2966666666664728</v>
      </c>
      <c r="J53" s="78">
        <f t="shared" si="48"/>
        <v>0</v>
      </c>
      <c r="K53" s="83">
        <f t="shared" si="49"/>
        <v>41.339999999996508</v>
      </c>
      <c r="L53" s="342">
        <v>28</v>
      </c>
      <c r="M53" s="124">
        <f t="shared" si="15"/>
        <v>1158</v>
      </c>
      <c r="N53" s="344">
        <v>0</v>
      </c>
      <c r="O53" s="123">
        <f t="shared" si="2"/>
        <v>1158</v>
      </c>
      <c r="P53" s="480">
        <f t="shared" si="50"/>
        <v>144.74333333333198</v>
      </c>
      <c r="Q53" s="210">
        <f t="shared" si="51"/>
        <v>7.2371666666665987E-2</v>
      </c>
      <c r="R53" s="85">
        <f t="shared" si="52"/>
        <v>0</v>
      </c>
      <c r="S53" s="135">
        <f t="shared" si="53"/>
        <v>0</v>
      </c>
      <c r="T53" s="85">
        <f t="shared" si="54"/>
        <v>0</v>
      </c>
      <c r="U53" s="83">
        <f t="shared" si="55"/>
        <v>23.741111111110914</v>
      </c>
      <c r="V53" s="381">
        <v>0</v>
      </c>
      <c r="W53" s="111">
        <f t="shared" si="56"/>
        <v>128.66666666666666</v>
      </c>
      <c r="X53" s="454">
        <f t="shared" si="57"/>
        <v>1.5311111111109819</v>
      </c>
      <c r="Y53" s="85">
        <f>IF($A53="APP SLAB",0,($K53*2))</f>
        <v>82.679999999993015</v>
      </c>
      <c r="Z53" s="10"/>
    </row>
    <row r="54" spans="1:26" ht="12.75" customHeight="1" x14ac:dyDescent="0.2">
      <c r="B54" s="335">
        <v>80254.429999999993</v>
      </c>
      <c r="C54" s="336">
        <v>80563.850000000006</v>
      </c>
      <c r="D54" s="337" t="s">
        <v>15</v>
      </c>
      <c r="E54" s="337" t="s">
        <v>102</v>
      </c>
      <c r="F54" s="337" t="s">
        <v>108</v>
      </c>
      <c r="G54" s="103" t="str">
        <f t="shared" si="45"/>
        <v>-</v>
      </c>
      <c r="H54" s="349">
        <v>1.5</v>
      </c>
      <c r="I54" s="338">
        <v>5.73</v>
      </c>
      <c r="J54" s="358">
        <v>0</v>
      </c>
      <c r="K54" s="83">
        <f t="shared" si="49"/>
        <v>309.42000000001281</v>
      </c>
      <c r="L54" s="342">
        <v>22</v>
      </c>
      <c r="M54" s="124">
        <f t="shared" si="15"/>
        <v>6808</v>
      </c>
      <c r="N54" s="344">
        <v>0</v>
      </c>
      <c r="O54" s="123">
        <f t="shared" si="2"/>
        <v>6808</v>
      </c>
      <c r="P54" s="480">
        <f t="shared" si="50"/>
        <v>808.01444444444655</v>
      </c>
      <c r="Q54" s="210">
        <f t="shared" si="51"/>
        <v>0.40400722222222329</v>
      </c>
      <c r="R54" s="85">
        <f t="shared" si="52"/>
        <v>0</v>
      </c>
      <c r="S54" s="135">
        <f t="shared" si="53"/>
        <v>0</v>
      </c>
      <c r="T54" s="85">
        <f t="shared" si="54"/>
        <v>0</v>
      </c>
      <c r="U54" s="83">
        <f t="shared" si="55"/>
        <v>131.80407407407407</v>
      </c>
      <c r="V54" s="381">
        <v>0</v>
      </c>
      <c r="W54" s="111">
        <f t="shared" si="56"/>
        <v>756.44444444444446</v>
      </c>
      <c r="X54" s="454">
        <f t="shared" si="57"/>
        <v>0</v>
      </c>
      <c r="Y54" s="85">
        <f>IF($A54="APP SLAB",0,($K54))</f>
        <v>309.42000000001281</v>
      </c>
      <c r="Z54" s="10"/>
    </row>
    <row r="55" spans="1:26" ht="12.75" customHeight="1" x14ac:dyDescent="0.2">
      <c r="B55" s="335">
        <v>80254.429999999993</v>
      </c>
      <c r="C55" s="336">
        <v>80525.570000000007</v>
      </c>
      <c r="D55" s="337" t="s">
        <v>16</v>
      </c>
      <c r="E55" s="337" t="s">
        <v>108</v>
      </c>
      <c r="F55" s="337" t="s">
        <v>102</v>
      </c>
      <c r="G55" s="103" t="str">
        <f t="shared" si="45"/>
        <v>-</v>
      </c>
      <c r="H55" s="349">
        <v>1.5</v>
      </c>
      <c r="I55" s="338">
        <v>5.0199999999999996</v>
      </c>
      <c r="J55" s="358">
        <v>0</v>
      </c>
      <c r="K55" s="83">
        <f t="shared" si="49"/>
        <v>271.14000000001397</v>
      </c>
      <c r="L55" s="342" t="s">
        <v>97</v>
      </c>
      <c r="M55" s="124">
        <f t="shared" si="15"/>
        <v>0</v>
      </c>
      <c r="N55" s="344">
        <v>9983</v>
      </c>
      <c r="O55" s="123">
        <f t="shared" si="2"/>
        <v>9983</v>
      </c>
      <c r="P55" s="480">
        <f t="shared" si="50"/>
        <v>1154.4122222222245</v>
      </c>
      <c r="Q55" s="210">
        <f t="shared" si="51"/>
        <v>0.5772061111111122</v>
      </c>
      <c r="R55" s="85">
        <f t="shared" si="52"/>
        <v>0</v>
      </c>
      <c r="S55" s="135">
        <f t="shared" si="53"/>
        <v>0</v>
      </c>
      <c r="T55" s="85">
        <f t="shared" si="54"/>
        <v>0</v>
      </c>
      <c r="U55" s="83">
        <f t="shared" si="55"/>
        <v>189.89037037037039</v>
      </c>
      <c r="V55" s="381">
        <v>0</v>
      </c>
      <c r="W55" s="111">
        <f t="shared" si="56"/>
        <v>1109.2222222222222</v>
      </c>
      <c r="X55" s="454">
        <f t="shared" si="57"/>
        <v>0</v>
      </c>
      <c r="Y55" s="85">
        <f>IF($A55="APP SLAB",0,($K55))</f>
        <v>271.14000000001397</v>
      </c>
      <c r="Z55" s="10"/>
    </row>
    <row r="56" spans="1:26" ht="12.75" customHeight="1" x14ac:dyDescent="0.2">
      <c r="B56" s="335">
        <v>80525.570000000007</v>
      </c>
      <c r="C56" s="336">
        <v>80563.850000000006</v>
      </c>
      <c r="D56" s="337" t="s">
        <v>16</v>
      </c>
      <c r="E56" s="337" t="s">
        <v>108</v>
      </c>
      <c r="F56" s="337" t="s">
        <v>97</v>
      </c>
      <c r="G56" s="103" t="str">
        <f t="shared" si="45"/>
        <v>-</v>
      </c>
      <c r="H56" s="349">
        <v>0</v>
      </c>
      <c r="I56" s="338">
        <v>0</v>
      </c>
      <c r="J56" s="358">
        <v>0</v>
      </c>
      <c r="K56" s="83">
        <f t="shared" si="49"/>
        <v>38.279999999998836</v>
      </c>
      <c r="L56" s="342" t="s">
        <v>97</v>
      </c>
      <c r="M56" s="124">
        <f t="shared" si="15"/>
        <v>0</v>
      </c>
      <c r="N56" s="344">
        <v>682</v>
      </c>
      <c r="O56" s="123">
        <f t="shared" si="2"/>
        <v>682</v>
      </c>
      <c r="P56" s="480">
        <f t="shared" si="50"/>
        <v>75.777777777777771</v>
      </c>
      <c r="Q56" s="210">
        <f t="shared" si="51"/>
        <v>3.7888888888888889E-2</v>
      </c>
      <c r="R56" s="85">
        <f t="shared" si="52"/>
        <v>0</v>
      </c>
      <c r="S56" s="135">
        <f t="shared" si="53"/>
        <v>0</v>
      </c>
      <c r="T56" s="85">
        <f t="shared" si="54"/>
        <v>0</v>
      </c>
      <c r="U56" s="83">
        <f t="shared" si="55"/>
        <v>12.62962962962963</v>
      </c>
      <c r="V56" s="381">
        <v>0</v>
      </c>
      <c r="W56" s="111">
        <f t="shared" si="56"/>
        <v>75.777777777777771</v>
      </c>
      <c r="X56" s="454">
        <f t="shared" si="57"/>
        <v>0</v>
      </c>
      <c r="Y56" s="85">
        <f>IF($A56="APP SLAB",0,($K56))</f>
        <v>38.279999999998836</v>
      </c>
      <c r="Z56" s="10"/>
    </row>
    <row r="57" spans="1:26" ht="12.75" customHeight="1" x14ac:dyDescent="0.2">
      <c r="A57" s="106" t="s">
        <v>28</v>
      </c>
      <c r="B57" s="335">
        <v>80563.850000000006</v>
      </c>
      <c r="C57" s="336">
        <v>80593.850000000006</v>
      </c>
      <c r="D57" s="337" t="s">
        <v>30</v>
      </c>
      <c r="E57" s="337" t="s">
        <v>97</v>
      </c>
      <c r="F57" s="337" t="s">
        <v>97</v>
      </c>
      <c r="G57" s="103" t="str">
        <f t="shared" si="45"/>
        <v>-</v>
      </c>
      <c r="H57" s="77">
        <f t="shared" ref="H57:H58" si="58">IF(AND($E57=$AA$2,$F57=$AA$2),2*$AC$12,IF(OR(AND($E57=$AA$2, $F57=$AA$3),AND($E57=$AA$3,$F57=$AA$2)),$AC$12+$AC$13,IF(OR(AND($E57=$AA$2,$F57=$AA$4),AND($E57=$AA$4,$F57=$AA$2)),$AC$12,IF(OR(AND($E57=$AA$3,$F57=$AA$4),AND($E57=$AA$4,$F57=$AA$3)),$AC$13,IF(AND($E57=$AA$3,$F57=$AA$3),2*$AC$13,0)))))</f>
        <v>0</v>
      </c>
      <c r="I57" s="27">
        <f t="shared" ref="I57:I58" si="59">IF(AND($E57=$AA$2,$F57=$AA$2),2*$AF$12*$K57/27,IF(OR(AND($E57=$AA$2,$F57=$AA$3),AND($E57=$AA$3,$F57=$AA$2)),($AF$12+$AF$13)*$K57/27,IF(OR(AND($E57=$AA$2,$F57=$AA$4),AND($E57=$AA$4,$F57=$AA$2)),$AF$12*$K57/27,IF(OR(AND($E57=$AA$3,$F57=$AA$4),AND($E57=$AA$4,$F57=$AA$3)),$AF$13*$K57/27,IF(AND($E57=$AA$3,$F57=$AA$3),2*$AF$13*$K57/27,0)))))</f>
        <v>0</v>
      </c>
      <c r="J57" s="78">
        <f t="shared" ref="J57:J58" si="60">IF(OR(AND($E57=$AA$2,$F57=$AA$4),AND($E57=$AA$4,$F57=$AA$2)),$AI$14,IF(OR(AND($E57=$AA$3,$F57=$AA$4),AND($E57=$AA$4,$F57=$AA$3)),$AI$14,IF(AND($E57=$AA$4,$F57=$AA$4),2*$AI$14,0)))</f>
        <v>0</v>
      </c>
      <c r="K57" s="83">
        <f t="shared" si="49"/>
        <v>30</v>
      </c>
      <c r="L57" s="342" t="s">
        <v>97</v>
      </c>
      <c r="M57" s="124">
        <f t="shared" si="15"/>
        <v>0</v>
      </c>
      <c r="N57" s="344">
        <v>1890</v>
      </c>
      <c r="O57" s="123">
        <f t="shared" si="2"/>
        <v>1890</v>
      </c>
      <c r="P57" s="480">
        <f t="shared" si="50"/>
        <v>0</v>
      </c>
      <c r="Q57" s="210">
        <f t="shared" si="51"/>
        <v>0</v>
      </c>
      <c r="R57" s="85">
        <f t="shared" si="52"/>
        <v>0</v>
      </c>
      <c r="S57" s="135">
        <f t="shared" si="53"/>
        <v>0</v>
      </c>
      <c r="T57" s="85">
        <f t="shared" si="54"/>
        <v>0</v>
      </c>
      <c r="U57" s="83">
        <f t="shared" si="55"/>
        <v>35</v>
      </c>
      <c r="V57" s="381">
        <v>84.4</v>
      </c>
      <c r="W57" s="111">
        <f t="shared" si="56"/>
        <v>0</v>
      </c>
      <c r="X57" s="454">
        <f t="shared" si="57"/>
        <v>0</v>
      </c>
      <c r="Y57" s="85">
        <f>IF($A57="APP SLAB",0,($K57*2))</f>
        <v>0</v>
      </c>
      <c r="Z57" s="10"/>
    </row>
    <row r="58" spans="1:26" ht="12.75" customHeight="1" x14ac:dyDescent="0.2">
      <c r="A58" s="106" t="s">
        <v>28</v>
      </c>
      <c r="B58" s="335">
        <v>80693.98</v>
      </c>
      <c r="C58" s="336">
        <v>80723.98</v>
      </c>
      <c r="D58" s="337" t="s">
        <v>30</v>
      </c>
      <c r="E58" s="337" t="s">
        <v>97</v>
      </c>
      <c r="F58" s="337" t="s">
        <v>97</v>
      </c>
      <c r="G58" s="103" t="str">
        <f t="shared" si="45"/>
        <v>-</v>
      </c>
      <c r="H58" s="77">
        <f t="shared" si="58"/>
        <v>0</v>
      </c>
      <c r="I58" s="27">
        <f t="shared" si="59"/>
        <v>0</v>
      </c>
      <c r="J58" s="78">
        <f t="shared" si="60"/>
        <v>0</v>
      </c>
      <c r="K58" s="83">
        <f t="shared" si="49"/>
        <v>30</v>
      </c>
      <c r="L58" s="342" t="s">
        <v>97</v>
      </c>
      <c r="M58" s="124">
        <f t="shared" si="15"/>
        <v>0</v>
      </c>
      <c r="N58" s="344">
        <v>1803</v>
      </c>
      <c r="O58" s="123">
        <f t="shared" si="2"/>
        <v>1803</v>
      </c>
      <c r="P58" s="480">
        <f t="shared" si="50"/>
        <v>0</v>
      </c>
      <c r="Q58" s="210">
        <f t="shared" si="51"/>
        <v>0</v>
      </c>
      <c r="R58" s="85">
        <f t="shared" si="52"/>
        <v>0</v>
      </c>
      <c r="S58" s="135">
        <f t="shared" si="53"/>
        <v>0</v>
      </c>
      <c r="T58" s="85">
        <f t="shared" si="54"/>
        <v>0</v>
      </c>
      <c r="U58" s="83">
        <f t="shared" si="55"/>
        <v>33.388888888888886</v>
      </c>
      <c r="V58" s="381">
        <v>70.2</v>
      </c>
      <c r="W58" s="111">
        <f t="shared" si="56"/>
        <v>0</v>
      </c>
      <c r="X58" s="454">
        <f t="shared" si="57"/>
        <v>0</v>
      </c>
      <c r="Y58" s="85">
        <f>IF($A58="APP SLAB",0,($K58*2))</f>
        <v>0</v>
      </c>
      <c r="Z58" s="10"/>
    </row>
    <row r="59" spans="1:26" ht="12.75" customHeight="1" x14ac:dyDescent="0.2">
      <c r="B59" s="335">
        <v>80723.98</v>
      </c>
      <c r="C59" s="336">
        <v>80741.149999999994</v>
      </c>
      <c r="D59" s="337" t="s">
        <v>15</v>
      </c>
      <c r="E59" s="337" t="s">
        <v>97</v>
      </c>
      <c r="F59" s="337" t="s">
        <v>108</v>
      </c>
      <c r="G59" s="103" t="str">
        <f t="shared" si="45"/>
        <v>-</v>
      </c>
      <c r="H59" s="349">
        <v>0</v>
      </c>
      <c r="I59" s="338">
        <v>0</v>
      </c>
      <c r="J59" s="358">
        <v>0</v>
      </c>
      <c r="K59" s="83">
        <f t="shared" si="49"/>
        <v>17.169999999998254</v>
      </c>
      <c r="L59" s="342" t="s">
        <v>97</v>
      </c>
      <c r="M59" s="124">
        <f t="shared" si="15"/>
        <v>0</v>
      </c>
      <c r="N59" s="344">
        <v>189</v>
      </c>
      <c r="O59" s="123">
        <f t="shared" si="2"/>
        <v>189</v>
      </c>
      <c r="P59" s="480">
        <f t="shared" si="50"/>
        <v>21</v>
      </c>
      <c r="Q59" s="210">
        <f t="shared" si="51"/>
        <v>1.0500000000000001E-2</v>
      </c>
      <c r="R59" s="85">
        <f t="shared" si="52"/>
        <v>0</v>
      </c>
      <c r="S59" s="135">
        <f t="shared" si="53"/>
        <v>0</v>
      </c>
      <c r="T59" s="85">
        <f t="shared" si="54"/>
        <v>0</v>
      </c>
      <c r="U59" s="83">
        <f t="shared" si="55"/>
        <v>3.5</v>
      </c>
      <c r="V59" s="381">
        <v>0</v>
      </c>
      <c r="W59" s="111">
        <f t="shared" si="56"/>
        <v>21</v>
      </c>
      <c r="X59" s="454">
        <f t="shared" si="57"/>
        <v>0</v>
      </c>
      <c r="Y59" s="85">
        <v>0</v>
      </c>
      <c r="Z59" s="10"/>
    </row>
    <row r="60" spans="1:26" ht="12.75" customHeight="1" x14ac:dyDescent="0.2">
      <c r="B60" s="335">
        <v>80697.58</v>
      </c>
      <c r="C60" s="336">
        <v>81419.11</v>
      </c>
      <c r="D60" s="337" t="s">
        <v>30</v>
      </c>
      <c r="E60" s="337" t="s">
        <v>108</v>
      </c>
      <c r="F60" s="337" t="s">
        <v>102</v>
      </c>
      <c r="G60" s="103" t="str">
        <f t="shared" si="45"/>
        <v>-</v>
      </c>
      <c r="H60" s="349">
        <v>1.5</v>
      </c>
      <c r="I60" s="338">
        <v>13.36</v>
      </c>
      <c r="J60" s="358">
        <v>0</v>
      </c>
      <c r="K60" s="83">
        <f t="shared" si="49"/>
        <v>721.52999999999884</v>
      </c>
      <c r="L60" s="342" t="s">
        <v>97</v>
      </c>
      <c r="M60" s="124">
        <f t="shared" si="15"/>
        <v>0</v>
      </c>
      <c r="N60" s="344">
        <v>18404</v>
      </c>
      <c r="O60" s="123">
        <f t="shared" si="2"/>
        <v>18404</v>
      </c>
      <c r="P60" s="480">
        <f t="shared" si="50"/>
        <v>2165.1438888888888</v>
      </c>
      <c r="Q60" s="210">
        <f t="shared" si="51"/>
        <v>1.0825719444444444</v>
      </c>
      <c r="R60" s="85">
        <f t="shared" si="52"/>
        <v>0</v>
      </c>
      <c r="S60" s="135">
        <f t="shared" si="53"/>
        <v>0</v>
      </c>
      <c r="T60" s="85">
        <f t="shared" si="54"/>
        <v>0</v>
      </c>
      <c r="U60" s="83">
        <f t="shared" si="55"/>
        <v>354.17481481481485</v>
      </c>
      <c r="V60" s="381">
        <v>0</v>
      </c>
      <c r="W60" s="111">
        <f t="shared" si="56"/>
        <v>2044.8888888888889</v>
      </c>
      <c r="X60" s="454">
        <f t="shared" si="57"/>
        <v>0</v>
      </c>
      <c r="Y60" s="85">
        <f>IF($A60="APP SLAB",0,($K60))</f>
        <v>721.52999999999884</v>
      </c>
      <c r="Z60" s="10"/>
    </row>
    <row r="61" spans="1:26" ht="12.75" customHeight="1" x14ac:dyDescent="0.2">
      <c r="B61" s="335">
        <v>80741.149999999994</v>
      </c>
      <c r="C61" s="336">
        <v>81059.83</v>
      </c>
      <c r="D61" s="337" t="s">
        <v>15</v>
      </c>
      <c r="E61" s="337" t="s">
        <v>102</v>
      </c>
      <c r="F61" s="337" t="s">
        <v>108</v>
      </c>
      <c r="G61" s="103" t="str">
        <f t="shared" si="45"/>
        <v>-</v>
      </c>
      <c r="H61" s="349">
        <v>1.5</v>
      </c>
      <c r="I61" s="338">
        <v>5.9</v>
      </c>
      <c r="J61" s="358">
        <v>0</v>
      </c>
      <c r="K61" s="83">
        <f t="shared" si="49"/>
        <v>318.68000000000757</v>
      </c>
      <c r="L61" s="342">
        <v>22</v>
      </c>
      <c r="M61" s="124">
        <f t="shared" si="15"/>
        <v>7011</v>
      </c>
      <c r="N61" s="344">
        <v>0</v>
      </c>
      <c r="O61" s="123">
        <f t="shared" si="2"/>
        <v>7011</v>
      </c>
      <c r="P61" s="480">
        <f t="shared" si="50"/>
        <v>832.11333333333459</v>
      </c>
      <c r="Q61" s="210">
        <f t="shared" si="51"/>
        <v>0.4160566666666673</v>
      </c>
      <c r="R61" s="85">
        <f t="shared" si="52"/>
        <v>0</v>
      </c>
      <c r="S61" s="135">
        <f t="shared" si="53"/>
        <v>0</v>
      </c>
      <c r="T61" s="85">
        <f t="shared" si="54"/>
        <v>0</v>
      </c>
      <c r="U61" s="83">
        <f t="shared" si="55"/>
        <v>135.73333333333335</v>
      </c>
      <c r="V61" s="381">
        <v>0</v>
      </c>
      <c r="W61" s="111">
        <f t="shared" si="56"/>
        <v>779</v>
      </c>
      <c r="X61" s="454">
        <f t="shared" si="57"/>
        <v>0</v>
      </c>
      <c r="Y61" s="85">
        <f>IF($A61="APP SLAB",0,($K61))</f>
        <v>318.68000000000757</v>
      </c>
      <c r="Z61" s="10"/>
    </row>
    <row r="62" spans="1:26" ht="12.75" customHeight="1" x14ac:dyDescent="0.2">
      <c r="B62" s="335">
        <v>81059.83</v>
      </c>
      <c r="C62" s="336">
        <v>81338.28</v>
      </c>
      <c r="D62" s="337" t="s">
        <v>15</v>
      </c>
      <c r="E62" s="337" t="s">
        <v>101</v>
      </c>
      <c r="F62" s="337" t="s">
        <v>108</v>
      </c>
      <c r="G62" s="103" t="str">
        <f t="shared" si="45"/>
        <v>-</v>
      </c>
      <c r="H62" s="349">
        <v>1.5</v>
      </c>
      <c r="I62" s="338">
        <v>7.73</v>
      </c>
      <c r="J62" s="358">
        <v>0</v>
      </c>
      <c r="K62" s="83">
        <f t="shared" si="49"/>
        <v>278.44999999999709</v>
      </c>
      <c r="L62" s="342">
        <v>20</v>
      </c>
      <c r="M62" s="124">
        <f t="shared" si="15"/>
        <v>5569</v>
      </c>
      <c r="N62" s="344">
        <v>0</v>
      </c>
      <c r="O62" s="123">
        <f t="shared" si="2"/>
        <v>5569</v>
      </c>
      <c r="P62" s="480">
        <f t="shared" si="50"/>
        <v>665.18611111111068</v>
      </c>
      <c r="Q62" s="210">
        <f t="shared" si="51"/>
        <v>0.33259305555555535</v>
      </c>
      <c r="R62" s="85">
        <f t="shared" si="52"/>
        <v>0</v>
      </c>
      <c r="S62" s="135">
        <f t="shared" si="53"/>
        <v>0</v>
      </c>
      <c r="T62" s="85">
        <f t="shared" si="54"/>
        <v>0</v>
      </c>
      <c r="U62" s="83">
        <f t="shared" si="55"/>
        <v>110.85962962962964</v>
      </c>
      <c r="V62" s="381">
        <v>0</v>
      </c>
      <c r="W62" s="111">
        <f t="shared" si="56"/>
        <v>618.77777777777783</v>
      </c>
      <c r="X62" s="454">
        <f t="shared" si="57"/>
        <v>10.312962962962855</v>
      </c>
      <c r="Y62" s="85">
        <f>IF($A62="APP SLAB",0,($K62))</f>
        <v>278.44999999999709</v>
      </c>
      <c r="Z62" s="10"/>
    </row>
    <row r="63" spans="1:26" ht="12.75" customHeight="1" x14ac:dyDescent="0.2">
      <c r="A63" s="106" t="s">
        <v>28</v>
      </c>
      <c r="B63" s="335">
        <v>81383.960000000006</v>
      </c>
      <c r="C63" s="336">
        <v>81412.460000000006</v>
      </c>
      <c r="D63" s="337" t="s">
        <v>30</v>
      </c>
      <c r="E63" s="337" t="s">
        <v>97</v>
      </c>
      <c r="F63" s="337" t="s">
        <v>97</v>
      </c>
      <c r="G63" s="103" t="str">
        <f t="shared" si="45"/>
        <v>-</v>
      </c>
      <c r="H63" s="77">
        <f t="shared" ref="H63" si="61">IF(AND($E63=$AA$2,$F63=$AA$2),2*$AC$12,IF(OR(AND($E63=$AA$2, $F63=$AA$3),AND($E63=$AA$3,$F63=$AA$2)),$AC$12+$AC$13,IF(OR(AND($E63=$AA$2,$F63=$AA$4),AND($E63=$AA$4,$F63=$AA$2)),$AC$12,IF(OR(AND($E63=$AA$3,$F63=$AA$4),AND($E63=$AA$4,$F63=$AA$3)),$AC$13,IF(AND($E63=$AA$3,$F63=$AA$3),2*$AC$13,0)))))</f>
        <v>0</v>
      </c>
      <c r="I63" s="27">
        <f t="shared" ref="I63" si="62">IF(AND($E63=$AA$2,$F63=$AA$2),2*$AF$12*$K63/27,IF(OR(AND($E63=$AA$2,$F63=$AA$3),AND($E63=$AA$3,$F63=$AA$2)),($AF$12+$AF$13)*$K63/27,IF(OR(AND($E63=$AA$2,$F63=$AA$4),AND($E63=$AA$4,$F63=$AA$2)),$AF$12*$K63/27,IF(OR(AND($E63=$AA$3,$F63=$AA$4),AND($E63=$AA$4,$F63=$AA$3)),$AF$13*$K63/27,IF(AND($E63=$AA$3,$F63=$AA$3),2*$AF$13*$K63/27,0)))))</f>
        <v>0</v>
      </c>
      <c r="J63" s="78">
        <f t="shared" ref="J63" si="63">IF(OR(AND($E63=$AA$2,$F63=$AA$4),AND($E63=$AA$4,$F63=$AA$2)),$AI$14,IF(OR(AND($E63=$AA$3,$F63=$AA$4),AND($E63=$AA$4,$F63=$AA$3)),$AI$14,IF(AND($E63=$AA$4,$F63=$AA$4),2*$AI$14,0)))</f>
        <v>0</v>
      </c>
      <c r="K63" s="83">
        <f t="shared" si="49"/>
        <v>28.5</v>
      </c>
      <c r="L63" s="342" t="s">
        <v>97</v>
      </c>
      <c r="M63" s="124">
        <f t="shared" si="15"/>
        <v>0</v>
      </c>
      <c r="N63" s="344">
        <v>1038</v>
      </c>
      <c r="O63" s="123">
        <f t="shared" si="2"/>
        <v>1038</v>
      </c>
      <c r="P63" s="480">
        <f t="shared" si="50"/>
        <v>0</v>
      </c>
      <c r="Q63" s="210">
        <f t="shared" si="51"/>
        <v>0</v>
      </c>
      <c r="R63" s="85">
        <f t="shared" si="52"/>
        <v>0</v>
      </c>
      <c r="S63" s="135">
        <f t="shared" si="53"/>
        <v>0</v>
      </c>
      <c r="T63" s="85">
        <f t="shared" si="54"/>
        <v>0</v>
      </c>
      <c r="U63" s="83">
        <f t="shared" si="55"/>
        <v>19.222222222222221</v>
      </c>
      <c r="V63" s="381">
        <v>0</v>
      </c>
      <c r="W63" s="111">
        <f t="shared" si="56"/>
        <v>0</v>
      </c>
      <c r="X63" s="454">
        <f t="shared" si="57"/>
        <v>0</v>
      </c>
      <c r="Y63" s="85">
        <f>IF($A63="APP SLAB",0,($K63*2))</f>
        <v>0</v>
      </c>
      <c r="Z63" s="10"/>
    </row>
    <row r="64" spans="1:26" ht="12.75" customHeight="1" thickBot="1" x14ac:dyDescent="0.25">
      <c r="B64" s="107"/>
      <c r="C64" s="8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174"/>
    </row>
    <row r="65" spans="1:26" ht="12.75" customHeight="1" x14ac:dyDescent="0.2">
      <c r="A65" s="94"/>
      <c r="B65" s="725" t="s">
        <v>263</v>
      </c>
      <c r="C65" s="726"/>
      <c r="D65" s="602" t="s">
        <v>191</v>
      </c>
      <c r="E65" s="603"/>
      <c r="F65" s="603"/>
      <c r="G65" s="603"/>
      <c r="H65" s="603"/>
      <c r="I65" s="603"/>
      <c r="J65" s="603"/>
      <c r="K65" s="603"/>
      <c r="L65" s="603"/>
      <c r="M65" s="603"/>
      <c r="N65" s="603"/>
      <c r="O65" s="604"/>
      <c r="P65" s="610">
        <f>ROUNDUP(SUM(P18:P63),0)</f>
        <v>21344</v>
      </c>
      <c r="Q65" s="610">
        <f>ROUNDUP(SUM(Q18:Q63),0)</f>
        <v>19</v>
      </c>
      <c r="R65" s="610">
        <f>ROUNDUP(SUM(R18:R63),0)</f>
        <v>16103</v>
      </c>
      <c r="S65" s="610">
        <f t="shared" ref="S65:Y65" si="64">ROUNDUP(SUM(S18:S63),0)</f>
        <v>16103</v>
      </c>
      <c r="T65" s="610">
        <f t="shared" si="64"/>
        <v>479</v>
      </c>
      <c r="U65" s="610">
        <f t="shared" si="64"/>
        <v>6327</v>
      </c>
      <c r="V65" s="610">
        <f t="shared" si="64"/>
        <v>313</v>
      </c>
      <c r="W65" s="610">
        <f t="shared" si="64"/>
        <v>33988</v>
      </c>
      <c r="X65" s="610">
        <f t="shared" ref="X65" si="65">ROUNDUP(SUM(X18:X63),0)</f>
        <v>342</v>
      </c>
      <c r="Y65" s="610">
        <f t="shared" si="64"/>
        <v>18461</v>
      </c>
      <c r="Z65" s="144"/>
    </row>
    <row r="66" spans="1:26" ht="12.75" customHeight="1" thickBot="1" x14ac:dyDescent="0.25">
      <c r="A66" s="94"/>
      <c r="B66" s="727"/>
      <c r="C66" s="728"/>
      <c r="D66" s="605"/>
      <c r="E66" s="606"/>
      <c r="F66" s="606"/>
      <c r="G66" s="606"/>
      <c r="H66" s="606"/>
      <c r="I66" s="606"/>
      <c r="J66" s="606"/>
      <c r="K66" s="606"/>
      <c r="L66" s="606"/>
      <c r="M66" s="606"/>
      <c r="N66" s="606"/>
      <c r="O66" s="607"/>
      <c r="P66" s="611"/>
      <c r="Q66" s="611"/>
      <c r="R66" s="611"/>
      <c r="S66" s="611"/>
      <c r="T66" s="611"/>
      <c r="U66" s="611"/>
      <c r="V66" s="611"/>
      <c r="W66" s="611"/>
      <c r="X66" s="611"/>
      <c r="Y66" s="611"/>
      <c r="Z66" s="44"/>
    </row>
    <row r="67" spans="1:26" ht="12.75" customHeight="1" x14ac:dyDescent="0.2"/>
    <row r="68" spans="1:26" ht="12.75" customHeight="1" x14ac:dyDescent="0.2">
      <c r="A68" s="94"/>
      <c r="C68" s="96"/>
    </row>
    <row r="69" spans="1:26" ht="12.75" customHeight="1" x14ac:dyDescent="0.2">
      <c r="A69" s="94"/>
      <c r="C69" s="96"/>
    </row>
    <row r="70" spans="1:26" ht="12.75" customHeight="1" x14ac:dyDescent="0.2">
      <c r="C70" s="96"/>
    </row>
    <row r="71" spans="1:26" ht="12.75" customHeight="1" x14ac:dyDescent="0.25">
      <c r="C71" s="96"/>
      <c r="O71" s="204">
        <f>SUM(O18:O63)</f>
        <v>316842</v>
      </c>
      <c r="P71" s="499"/>
      <c r="Q71" s="179" t="s">
        <v>172</v>
      </c>
      <c r="T71" s="87"/>
      <c r="Y71" s="90"/>
      <c r="Z71" s="81"/>
    </row>
    <row r="72" spans="1:26" ht="12.75" customHeight="1" x14ac:dyDescent="0.2">
      <c r="C72" s="96"/>
    </row>
    <row r="73" spans="1:26" ht="12.75" customHeight="1" x14ac:dyDescent="0.2">
      <c r="C73" s="96"/>
    </row>
    <row r="74" spans="1:26" ht="12.75" customHeight="1" x14ac:dyDescent="0.2">
      <c r="C74" s="96"/>
    </row>
    <row r="75" spans="1:26" ht="12.75" customHeight="1" x14ac:dyDescent="0.2">
      <c r="C75" s="96"/>
    </row>
    <row r="76" spans="1:26" ht="12.75" customHeight="1" x14ac:dyDescent="0.2"/>
    <row r="77" spans="1:26" ht="12.75" customHeight="1" x14ac:dyDescent="0.2"/>
    <row r="78" spans="1:26" ht="12.75" customHeight="1" x14ac:dyDescent="0.2"/>
    <row r="79" spans="1:26" ht="12.75" customHeight="1" x14ac:dyDescent="0.2"/>
    <row r="80" spans="1:26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spans="28:53" ht="12.75" customHeight="1" x14ac:dyDescent="0.2"/>
    <row r="98" spans="28:53" ht="12.75" customHeight="1" x14ac:dyDescent="0.2"/>
    <row r="99" spans="28:53" ht="12.75" customHeight="1" x14ac:dyDescent="0.2"/>
    <row r="100" spans="28:53" ht="12.75" customHeight="1" x14ac:dyDescent="0.2"/>
    <row r="101" spans="28:53" ht="12.75" customHeight="1" x14ac:dyDescent="0.2"/>
    <row r="102" spans="28:53" ht="12.75" customHeight="1" x14ac:dyDescent="0.2"/>
    <row r="103" spans="28:53" ht="12.75" customHeight="1" x14ac:dyDescent="0.2"/>
    <row r="104" spans="28:53" ht="12.75" customHeight="1" x14ac:dyDescent="0.2"/>
    <row r="105" spans="28:53" ht="12.75" customHeight="1" x14ac:dyDescent="0.2"/>
    <row r="106" spans="28:53" ht="12.75" customHeight="1" x14ac:dyDescent="0.2"/>
    <row r="107" spans="28:53" ht="12.75" customHeight="1" x14ac:dyDescent="0.2"/>
    <row r="108" spans="28:53" ht="12.75" customHeight="1" x14ac:dyDescent="0.2"/>
    <row r="109" spans="28:53" ht="12.75" customHeight="1" x14ac:dyDescent="0.2"/>
    <row r="110" spans="28:53" ht="12.75" customHeight="1" x14ac:dyDescent="0.2"/>
    <row r="111" spans="28:53" ht="12.75" customHeight="1" x14ac:dyDescent="0.2"/>
    <row r="112" spans="28:53" ht="12.75" customHeight="1" x14ac:dyDescent="0.2"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4"/>
      <c r="AO112" s="94"/>
      <c r="AP112" s="94"/>
      <c r="AQ112" s="94"/>
      <c r="AR112" s="94"/>
      <c r="AS112" s="94"/>
      <c r="AT112" s="94"/>
      <c r="AU112" s="94"/>
      <c r="AV112" s="94"/>
      <c r="AW112" s="94"/>
      <c r="AX112" s="94"/>
      <c r="AY112" s="94"/>
      <c r="AZ112" s="94"/>
      <c r="BA112" s="94"/>
    </row>
    <row r="113" spans="28:53" ht="12.75" customHeight="1" x14ac:dyDescent="0.2">
      <c r="AB113" s="94"/>
      <c r="AC113" s="94"/>
      <c r="AD113" s="94"/>
      <c r="AE113" s="94"/>
      <c r="AF113" s="94"/>
      <c r="AG113" s="94"/>
      <c r="AH113" s="94"/>
      <c r="AI113" s="94"/>
      <c r="AJ113" s="94"/>
      <c r="AK113" s="94"/>
      <c r="AL113" s="94"/>
      <c r="AM113" s="94"/>
      <c r="AN113" s="94"/>
      <c r="AO113" s="94"/>
      <c r="AP113" s="94"/>
      <c r="AQ113" s="94"/>
      <c r="AR113" s="94"/>
      <c r="AS113" s="94"/>
      <c r="AT113" s="94"/>
      <c r="AU113" s="94"/>
      <c r="AV113" s="94"/>
      <c r="AW113" s="94"/>
      <c r="AX113" s="94"/>
      <c r="AY113" s="94"/>
      <c r="AZ113" s="94"/>
      <c r="BA113" s="94"/>
    </row>
    <row r="114" spans="28:53" ht="12.75" customHeight="1" x14ac:dyDescent="0.2"/>
    <row r="115" spans="28:53" ht="12.75" customHeight="1" x14ac:dyDescent="0.2"/>
    <row r="116" spans="28:53" ht="12.75" customHeight="1" x14ac:dyDescent="0.2"/>
    <row r="117" spans="28:53" ht="12.75" customHeight="1" x14ac:dyDescent="0.2"/>
    <row r="118" spans="28:53" ht="12.75" customHeight="1" x14ac:dyDescent="0.2"/>
    <row r="119" spans="28:53" ht="12.75" customHeight="1" x14ac:dyDescent="0.2"/>
    <row r="120" spans="28:53" ht="12.75" customHeight="1" x14ac:dyDescent="0.2"/>
    <row r="121" spans="28:53" ht="12.75" customHeight="1" x14ac:dyDescent="0.2"/>
    <row r="122" spans="28:53" ht="12.75" customHeight="1" x14ac:dyDescent="0.2"/>
    <row r="123" spans="28:53" ht="12.75" customHeight="1" x14ac:dyDescent="0.2"/>
    <row r="124" spans="28:53" ht="12.75" customHeight="1" x14ac:dyDescent="0.2"/>
    <row r="125" spans="28:53" ht="12.75" customHeight="1" x14ac:dyDescent="0.2"/>
    <row r="126" spans="28:53" ht="12.75" customHeight="1" x14ac:dyDescent="0.2"/>
    <row r="127" spans="28:53" ht="12.75" customHeight="1" x14ac:dyDescent="0.2"/>
    <row r="128" spans="28:53" ht="12.75" customHeight="1" x14ac:dyDescent="0.2"/>
    <row r="129" spans="1:53" ht="12.75" customHeight="1" x14ac:dyDescent="0.2"/>
    <row r="130" spans="1:53" ht="12.75" customHeight="1" x14ac:dyDescent="0.2"/>
    <row r="131" spans="1:53" ht="12.75" customHeight="1" x14ac:dyDescent="0.2"/>
    <row r="132" spans="1:53" ht="12.75" customHeight="1" x14ac:dyDescent="0.2"/>
    <row r="133" spans="1:53" ht="12.75" customHeight="1" x14ac:dyDescent="0.2"/>
    <row r="134" spans="1:53" ht="12.75" customHeight="1" x14ac:dyDescent="0.2"/>
    <row r="135" spans="1:53" s="94" customFormat="1" ht="12.75" customHeight="1" x14ac:dyDescent="0.2">
      <c r="A135" s="81"/>
      <c r="B135" s="95"/>
      <c r="C135" s="95"/>
      <c r="D135" s="81"/>
      <c r="E135" s="81"/>
      <c r="F135" s="81"/>
      <c r="G135" s="81"/>
      <c r="H135" s="81"/>
      <c r="I135" s="81"/>
      <c r="J135" s="81"/>
      <c r="K135" s="87"/>
      <c r="L135" s="87"/>
      <c r="R135" s="88"/>
      <c r="S135" s="88"/>
      <c r="T135" s="88"/>
      <c r="U135" s="87"/>
      <c r="V135" s="87"/>
      <c r="W135" s="87"/>
      <c r="X135" s="87"/>
      <c r="Y135" s="87"/>
      <c r="Z135" s="90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  <c r="AS135" s="81"/>
      <c r="AT135" s="81"/>
      <c r="AU135" s="81"/>
      <c r="AV135" s="81"/>
      <c r="AW135" s="81"/>
      <c r="AX135" s="81"/>
      <c r="AY135" s="81"/>
      <c r="AZ135" s="81"/>
      <c r="BA135" s="81"/>
    </row>
    <row r="136" spans="1:53" s="94" customFormat="1" ht="12.75" customHeight="1" x14ac:dyDescent="0.2">
      <c r="A136" s="81"/>
      <c r="B136" s="95"/>
      <c r="C136" s="95"/>
      <c r="D136" s="81"/>
      <c r="E136" s="81"/>
      <c r="F136" s="81"/>
      <c r="G136" s="81"/>
      <c r="H136" s="81"/>
      <c r="I136" s="81"/>
      <c r="J136" s="81"/>
      <c r="K136" s="87"/>
      <c r="L136" s="87"/>
      <c r="R136" s="88"/>
      <c r="S136" s="88"/>
      <c r="T136" s="88"/>
      <c r="U136" s="87"/>
      <c r="V136" s="87"/>
      <c r="W136" s="87"/>
      <c r="X136" s="87"/>
      <c r="Y136" s="87"/>
      <c r="Z136" s="90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  <c r="AS136" s="81"/>
      <c r="AT136" s="81"/>
      <c r="AU136" s="81"/>
      <c r="AV136" s="81"/>
      <c r="AW136" s="81"/>
      <c r="AX136" s="81"/>
      <c r="AY136" s="81"/>
      <c r="AZ136" s="81"/>
      <c r="BA136" s="81"/>
    </row>
  </sheetData>
  <mergeCells count="64">
    <mergeCell ref="AC16:AE16"/>
    <mergeCell ref="AF16:AH16"/>
    <mergeCell ref="AI16:AK16"/>
    <mergeCell ref="AF13:AH13"/>
    <mergeCell ref="AI13:AK13"/>
    <mergeCell ref="AC14:AE14"/>
    <mergeCell ref="AF14:AH14"/>
    <mergeCell ref="AI14:AK14"/>
    <mergeCell ref="AC15:AE15"/>
    <mergeCell ref="AF15:AH15"/>
    <mergeCell ref="AI15:AK15"/>
    <mergeCell ref="AC13:AE13"/>
    <mergeCell ref="AA9:AK9"/>
    <mergeCell ref="AA10:AA11"/>
    <mergeCell ref="AB10:AB11"/>
    <mergeCell ref="AC10:AE10"/>
    <mergeCell ref="AF10:AH10"/>
    <mergeCell ref="AI10:AK10"/>
    <mergeCell ref="AC11:AE11"/>
    <mergeCell ref="U65:U66"/>
    <mergeCell ref="V65:V66"/>
    <mergeCell ref="W65:W66"/>
    <mergeCell ref="Y65:Y66"/>
    <mergeCell ref="B65:C66"/>
    <mergeCell ref="D65:O66"/>
    <mergeCell ref="Q65:Q66"/>
    <mergeCell ref="R65:R66"/>
    <mergeCell ref="S65:S66"/>
    <mergeCell ref="T65:T66"/>
    <mergeCell ref="X65:X66"/>
    <mergeCell ref="P65:P66"/>
    <mergeCell ref="B50:C50"/>
    <mergeCell ref="B30:C30"/>
    <mergeCell ref="B17:C17"/>
    <mergeCell ref="B25:C25"/>
    <mergeCell ref="AI11:AK11"/>
    <mergeCell ref="AI12:AK12"/>
    <mergeCell ref="Q6:Q15"/>
    <mergeCell ref="R6:R15"/>
    <mergeCell ref="S6:S15"/>
    <mergeCell ref="T6:T15"/>
    <mergeCell ref="U6:U15"/>
    <mergeCell ref="V6:V15"/>
    <mergeCell ref="W6:W15"/>
    <mergeCell ref="AF11:AH11"/>
    <mergeCell ref="AC12:AE12"/>
    <mergeCell ref="AF12:AH12"/>
    <mergeCell ref="M5:M15"/>
    <mergeCell ref="N5:N15"/>
    <mergeCell ref="O5:O15"/>
    <mergeCell ref="R5:T5"/>
    <mergeCell ref="Y6:Y15"/>
    <mergeCell ref="X6:X15"/>
    <mergeCell ref="P6:P15"/>
    <mergeCell ref="I5:I15"/>
    <mergeCell ref="J5:J15"/>
    <mergeCell ref="K5:K15"/>
    <mergeCell ref="L5:L15"/>
    <mergeCell ref="B5:C15"/>
    <mergeCell ref="D5:D16"/>
    <mergeCell ref="E5:E16"/>
    <mergeCell ref="F5:F16"/>
    <mergeCell ref="G5:G16"/>
    <mergeCell ref="H5:H15"/>
  </mergeCells>
  <dataValidations count="1">
    <dataValidation type="list" allowBlank="1" showInputMessage="1" showErrorMessage="1" sqref="E18:F63">
      <formula1>$AA$2:$AA$6</formula1>
    </dataValidation>
  </dataValidations>
  <printOptions horizontalCentered="1" verticalCentered="1"/>
  <pageMargins left="0.73" right="0.75" top="0.66" bottom="0.4" header="0.65" footer="0.25"/>
  <pageSetup paperSize="17" scale="68" orientation="landscape" r:id="rId1"/>
  <headerFooter scaleWithDoc="0" alignWithMargins="0">
    <oddHeader>&amp;LHAN-75-14.39</oddHeader>
    <oddFooter>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view="pageBreakPreview" zoomScaleNormal="100" zoomScaleSheetLayoutView="100" workbookViewId="0">
      <pane ySplit="16" topLeftCell="A17" activePane="bottomLeft" state="frozen"/>
      <selection pane="bottomLeft" activeCell="I6" sqref="I6:I15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6" width="9.28515625" style="87" customWidth="1"/>
    <col min="7" max="9" width="10.7109375" style="94" customWidth="1"/>
    <col min="10" max="10" width="9.28515625" style="88" customWidth="1"/>
    <col min="11" max="11" width="9.28515625" style="87" customWidth="1"/>
    <col min="12" max="12" width="9.28515625" style="88" customWidth="1"/>
    <col min="13" max="16384" width="9.140625" style="81"/>
  </cols>
  <sheetData>
    <row r="1" spans="2:13" s="90" customFormat="1" ht="13.5" thickBot="1" x14ac:dyDescent="0.25">
      <c r="B1" s="97"/>
      <c r="C1" s="97"/>
      <c r="E1" s="88"/>
      <c r="F1" s="88"/>
      <c r="G1" s="105"/>
      <c r="H1" s="105"/>
      <c r="I1" s="88">
        <v>0.5</v>
      </c>
      <c r="J1" s="88">
        <v>0.33300000000000002</v>
      </c>
      <c r="K1" s="88">
        <v>0.25</v>
      </c>
      <c r="L1" s="88">
        <v>0.25</v>
      </c>
    </row>
    <row r="2" spans="2:13" s="90" customFormat="1" x14ac:dyDescent="0.2">
      <c r="H2" s="146"/>
      <c r="I2" s="145" t="s">
        <v>35</v>
      </c>
      <c r="J2" s="168" t="s">
        <v>230</v>
      </c>
      <c r="K2" s="168"/>
      <c r="L2" s="170" t="s">
        <v>34</v>
      </c>
      <c r="M2" s="211">
        <v>41920</v>
      </c>
    </row>
    <row r="3" spans="2:13" s="90" customFormat="1" ht="13.5" thickBot="1" x14ac:dyDescent="0.25">
      <c r="H3" s="45"/>
      <c r="I3" s="46" t="s">
        <v>36</v>
      </c>
      <c r="J3" s="169" t="s">
        <v>266</v>
      </c>
      <c r="K3" s="216"/>
      <c r="L3" s="217" t="s">
        <v>34</v>
      </c>
      <c r="M3" s="459">
        <v>41926</v>
      </c>
    </row>
    <row r="4" spans="2:13" s="90" customFormat="1" ht="13.5" thickBot="1" x14ac:dyDescent="0.25">
      <c r="B4" s="97"/>
      <c r="C4" s="97"/>
      <c r="E4" s="88"/>
      <c r="F4" s="88"/>
      <c r="G4" s="105"/>
      <c r="H4" s="105"/>
      <c r="I4" s="88"/>
      <c r="J4" s="88"/>
      <c r="K4" s="88"/>
      <c r="L4" s="88"/>
    </row>
    <row r="5" spans="2:13" s="91" customFormat="1" ht="12.75" customHeight="1" x14ac:dyDescent="0.2">
      <c r="B5" s="657" t="s">
        <v>1</v>
      </c>
      <c r="C5" s="658"/>
      <c r="D5" s="653" t="s">
        <v>0</v>
      </c>
      <c r="E5" s="663" t="s">
        <v>4</v>
      </c>
      <c r="F5" s="663" t="s">
        <v>21</v>
      </c>
      <c r="G5" s="717" t="s">
        <v>17</v>
      </c>
      <c r="H5" s="717" t="s">
        <v>14</v>
      </c>
      <c r="I5" s="642">
        <v>203</v>
      </c>
      <c r="J5" s="644"/>
      <c r="K5" s="51">
        <v>301</v>
      </c>
      <c r="L5" s="49">
        <v>304</v>
      </c>
      <c r="M5" s="129" t="s">
        <v>152</v>
      </c>
    </row>
    <row r="6" spans="2:13" ht="12.75" customHeight="1" x14ac:dyDescent="0.2">
      <c r="B6" s="659"/>
      <c r="C6" s="660"/>
      <c r="D6" s="654"/>
      <c r="E6" s="664"/>
      <c r="F6" s="664"/>
      <c r="G6" s="718"/>
      <c r="H6" s="718"/>
      <c r="I6" s="675" t="s">
        <v>238</v>
      </c>
      <c r="J6" s="675" t="s">
        <v>239</v>
      </c>
      <c r="K6" s="675" t="s">
        <v>148</v>
      </c>
      <c r="L6" s="675" t="s">
        <v>33</v>
      </c>
      <c r="M6" s="675" t="s">
        <v>153</v>
      </c>
    </row>
    <row r="7" spans="2:13" ht="12.75" customHeight="1" x14ac:dyDescent="0.2">
      <c r="B7" s="659"/>
      <c r="C7" s="660"/>
      <c r="D7" s="654"/>
      <c r="E7" s="664"/>
      <c r="F7" s="664"/>
      <c r="G7" s="718"/>
      <c r="H7" s="718"/>
      <c r="I7" s="676"/>
      <c r="J7" s="676"/>
      <c r="K7" s="676"/>
      <c r="L7" s="676"/>
      <c r="M7" s="676"/>
    </row>
    <row r="8" spans="2:13" ht="12.75" customHeight="1" x14ac:dyDescent="0.2">
      <c r="B8" s="659"/>
      <c r="C8" s="660"/>
      <c r="D8" s="654"/>
      <c r="E8" s="664"/>
      <c r="F8" s="664"/>
      <c r="G8" s="718"/>
      <c r="H8" s="718"/>
      <c r="I8" s="676"/>
      <c r="J8" s="676"/>
      <c r="K8" s="676"/>
      <c r="L8" s="676"/>
      <c r="M8" s="676"/>
    </row>
    <row r="9" spans="2:13" ht="12.75" customHeight="1" x14ac:dyDescent="0.2">
      <c r="B9" s="659"/>
      <c r="C9" s="660"/>
      <c r="D9" s="654"/>
      <c r="E9" s="664"/>
      <c r="F9" s="664"/>
      <c r="G9" s="718"/>
      <c r="H9" s="718"/>
      <c r="I9" s="676"/>
      <c r="J9" s="676"/>
      <c r="K9" s="676"/>
      <c r="L9" s="676"/>
      <c r="M9" s="676"/>
    </row>
    <row r="10" spans="2:13" ht="12.75" customHeight="1" x14ac:dyDescent="0.2">
      <c r="B10" s="659"/>
      <c r="C10" s="660"/>
      <c r="D10" s="654"/>
      <c r="E10" s="664"/>
      <c r="F10" s="664"/>
      <c r="G10" s="718"/>
      <c r="H10" s="718"/>
      <c r="I10" s="676"/>
      <c r="J10" s="676"/>
      <c r="K10" s="676"/>
      <c r="L10" s="676"/>
      <c r="M10" s="676"/>
    </row>
    <row r="11" spans="2:13" ht="12.75" customHeight="1" x14ac:dyDescent="0.2">
      <c r="B11" s="659"/>
      <c r="C11" s="660"/>
      <c r="D11" s="654"/>
      <c r="E11" s="664"/>
      <c r="F11" s="664"/>
      <c r="G11" s="718"/>
      <c r="H11" s="718"/>
      <c r="I11" s="676"/>
      <c r="J11" s="676"/>
      <c r="K11" s="676"/>
      <c r="L11" s="676"/>
      <c r="M11" s="676"/>
    </row>
    <row r="12" spans="2:13" ht="12.75" customHeight="1" x14ac:dyDescent="0.2">
      <c r="B12" s="659"/>
      <c r="C12" s="660"/>
      <c r="D12" s="654"/>
      <c r="E12" s="664"/>
      <c r="F12" s="664"/>
      <c r="G12" s="718"/>
      <c r="H12" s="718"/>
      <c r="I12" s="676"/>
      <c r="J12" s="676"/>
      <c r="K12" s="676"/>
      <c r="L12" s="676"/>
      <c r="M12" s="676"/>
    </row>
    <row r="13" spans="2:13" ht="12.75" customHeight="1" x14ac:dyDescent="0.2">
      <c r="B13" s="659"/>
      <c r="C13" s="660"/>
      <c r="D13" s="654"/>
      <c r="E13" s="664"/>
      <c r="F13" s="664"/>
      <c r="G13" s="718"/>
      <c r="H13" s="718"/>
      <c r="I13" s="676"/>
      <c r="J13" s="676"/>
      <c r="K13" s="676"/>
      <c r="L13" s="676"/>
      <c r="M13" s="676"/>
    </row>
    <row r="14" spans="2:13" ht="12.75" customHeight="1" x14ac:dyDescent="0.2">
      <c r="B14" s="659"/>
      <c r="C14" s="660"/>
      <c r="D14" s="654"/>
      <c r="E14" s="664"/>
      <c r="F14" s="664"/>
      <c r="G14" s="718"/>
      <c r="H14" s="718"/>
      <c r="I14" s="676"/>
      <c r="J14" s="676"/>
      <c r="K14" s="676"/>
      <c r="L14" s="676"/>
      <c r="M14" s="676"/>
    </row>
    <row r="15" spans="2:13" ht="12.75" customHeight="1" x14ac:dyDescent="0.2">
      <c r="B15" s="659"/>
      <c r="C15" s="660"/>
      <c r="D15" s="654"/>
      <c r="E15" s="665"/>
      <c r="F15" s="665"/>
      <c r="G15" s="719"/>
      <c r="H15" s="719"/>
      <c r="I15" s="676"/>
      <c r="J15" s="676"/>
      <c r="K15" s="676"/>
      <c r="L15" s="676"/>
      <c r="M15" s="676"/>
    </row>
    <row r="16" spans="2:13" ht="12.75" customHeight="1" thickBot="1" x14ac:dyDescent="0.25">
      <c r="B16" s="98" t="s">
        <v>2</v>
      </c>
      <c r="C16" s="99" t="s">
        <v>3</v>
      </c>
      <c r="D16" s="711"/>
      <c r="E16" s="5" t="s">
        <v>5</v>
      </c>
      <c r="F16" s="5" t="s">
        <v>5</v>
      </c>
      <c r="G16" s="73" t="s">
        <v>6</v>
      </c>
      <c r="H16" s="73" t="s">
        <v>6</v>
      </c>
      <c r="I16" s="84" t="s">
        <v>150</v>
      </c>
      <c r="J16" s="84" t="s">
        <v>150</v>
      </c>
      <c r="K16" s="5" t="s">
        <v>12</v>
      </c>
      <c r="L16" s="5" t="s">
        <v>12</v>
      </c>
      <c r="M16" s="84" t="s">
        <v>154</v>
      </c>
    </row>
    <row r="17" spans="1:13" ht="12.75" customHeight="1" x14ac:dyDescent="0.2">
      <c r="B17" s="257"/>
      <c r="C17" s="197"/>
      <c r="D17" s="191"/>
      <c r="E17" s="514"/>
      <c r="F17" s="514"/>
      <c r="G17" s="165"/>
      <c r="H17" s="136"/>
      <c r="I17" s="136"/>
      <c r="J17" s="136"/>
      <c r="K17" s="469"/>
      <c r="L17" s="469"/>
      <c r="M17" s="469"/>
    </row>
    <row r="18" spans="1:13" ht="12.75" customHeight="1" x14ac:dyDescent="0.2">
      <c r="B18" s="798" t="s">
        <v>151</v>
      </c>
      <c r="C18" s="799"/>
      <c r="D18" s="516"/>
      <c r="E18" s="479"/>
      <c r="F18" s="479"/>
      <c r="G18" s="123"/>
      <c r="H18" s="123"/>
      <c r="I18" s="123"/>
      <c r="J18" s="123"/>
      <c r="K18" s="479"/>
      <c r="L18" s="479"/>
      <c r="M18" s="479"/>
    </row>
    <row r="19" spans="1:13" ht="12.75" customHeight="1" x14ac:dyDescent="0.2">
      <c r="B19" s="335">
        <v>74700</v>
      </c>
      <c r="C19" s="336">
        <v>75390</v>
      </c>
      <c r="D19" s="340" t="s">
        <v>15</v>
      </c>
      <c r="E19" s="479">
        <f>C19-B19</f>
        <v>690</v>
      </c>
      <c r="F19" s="343">
        <v>4</v>
      </c>
      <c r="G19" s="123">
        <f>IF(F19="-",0,ROUNDUP($E19*F19,0))</f>
        <v>2760</v>
      </c>
      <c r="H19" s="345">
        <f>SUM(G19:G19)</f>
        <v>2760</v>
      </c>
      <c r="I19" s="347">
        <v>0</v>
      </c>
      <c r="J19" s="480">
        <f>IF($A19="APP SLAB",0,($H19*$J$1)/27)</f>
        <v>34.04</v>
      </c>
      <c r="K19" s="347">
        <v>0</v>
      </c>
      <c r="L19" s="347">
        <v>0</v>
      </c>
      <c r="M19" s="480">
        <f>IF(A19="APP SLAB",0,H19/9)</f>
        <v>306.66666666666669</v>
      </c>
    </row>
    <row r="20" spans="1:13" ht="12.75" customHeight="1" x14ac:dyDescent="0.2">
      <c r="B20" s="335">
        <v>75550</v>
      </c>
      <c r="C20" s="336">
        <v>76200</v>
      </c>
      <c r="D20" s="340" t="s">
        <v>15</v>
      </c>
      <c r="E20" s="479">
        <f>C20-B20</f>
        <v>650</v>
      </c>
      <c r="F20" s="343">
        <v>4</v>
      </c>
      <c r="G20" s="123">
        <f>IF(F20="-",0,ROUNDUP($E20*F20,0))</f>
        <v>2600</v>
      </c>
      <c r="H20" s="345">
        <f>SUM(G20:G20)</f>
        <v>2600</v>
      </c>
      <c r="I20" s="347">
        <v>0</v>
      </c>
      <c r="J20" s="480">
        <f>IF($A20="APP SLAB",0,($H20*$J$1)/27)</f>
        <v>32.06666666666667</v>
      </c>
      <c r="K20" s="347">
        <v>0</v>
      </c>
      <c r="L20" s="347">
        <v>0</v>
      </c>
      <c r="M20" s="480">
        <f>IF(A20="APP SLAB",0,H20/9)</f>
        <v>288.88888888888891</v>
      </c>
    </row>
    <row r="21" spans="1:13" ht="12.75" customHeight="1" x14ac:dyDescent="0.2">
      <c r="B21" s="335"/>
      <c r="C21" s="336"/>
      <c r="D21" s="340"/>
      <c r="E21" s="479"/>
      <c r="F21" s="479"/>
      <c r="G21" s="123"/>
      <c r="H21" s="123"/>
      <c r="I21" s="123"/>
      <c r="J21" s="123"/>
      <c r="K21" s="479"/>
      <c r="L21" s="479"/>
      <c r="M21" s="479"/>
    </row>
    <row r="22" spans="1:13" ht="12.75" customHeight="1" x14ac:dyDescent="0.2">
      <c r="B22" s="107"/>
      <c r="C22" s="82"/>
      <c r="D22" s="103"/>
      <c r="E22" s="83"/>
      <c r="F22" s="83"/>
      <c r="G22" s="123"/>
      <c r="H22" s="123"/>
      <c r="I22" s="85"/>
      <c r="J22" s="85"/>
      <c r="K22" s="85"/>
      <c r="L22" s="85"/>
      <c r="M22" s="85"/>
    </row>
    <row r="23" spans="1:13" ht="12.75" customHeight="1" x14ac:dyDescent="0.2">
      <c r="B23" s="335"/>
      <c r="C23" s="336"/>
      <c r="D23" s="337"/>
      <c r="E23" s="83"/>
      <c r="F23" s="342"/>
      <c r="G23" s="124"/>
      <c r="H23" s="345"/>
      <c r="I23" s="85"/>
      <c r="J23" s="347"/>
      <c r="K23" s="85"/>
      <c r="L23" s="85"/>
      <c r="M23" s="347"/>
    </row>
    <row r="24" spans="1:13" ht="12.75" customHeight="1" x14ac:dyDescent="0.2">
      <c r="B24" s="335"/>
      <c r="C24" s="336"/>
      <c r="D24" s="337"/>
      <c r="E24" s="83"/>
      <c r="F24" s="342"/>
      <c r="G24" s="124"/>
      <c r="H24" s="345"/>
      <c r="I24" s="85"/>
      <c r="J24" s="347"/>
      <c r="K24" s="85"/>
      <c r="L24" s="85"/>
      <c r="M24" s="347"/>
    </row>
    <row r="25" spans="1:13" ht="12.75" customHeight="1" thickBot="1" x14ac:dyDescent="0.25">
      <c r="B25" s="107"/>
      <c r="C25" s="82"/>
      <c r="D25" s="103"/>
      <c r="E25" s="83"/>
      <c r="F25" s="83"/>
      <c r="G25" s="123"/>
      <c r="H25" s="123"/>
      <c r="I25" s="85"/>
      <c r="J25" s="85"/>
      <c r="K25" s="85"/>
      <c r="L25" s="85"/>
      <c r="M25" s="85"/>
    </row>
    <row r="26" spans="1:13" ht="12.75" customHeight="1" x14ac:dyDescent="0.2">
      <c r="B26" s="725" t="s">
        <v>264</v>
      </c>
      <c r="C26" s="673"/>
      <c r="D26" s="602"/>
      <c r="E26" s="603"/>
      <c r="F26" s="603"/>
      <c r="G26" s="603"/>
      <c r="H26" s="604"/>
      <c r="I26" s="610">
        <f>ROUNDUP(SUM(I23:I24),0)</f>
        <v>0</v>
      </c>
      <c r="J26" s="796">
        <v>0</v>
      </c>
      <c r="K26" s="610">
        <f>ROUNDUP(SUM(K23:K24),0)</f>
        <v>0</v>
      </c>
      <c r="L26" s="610">
        <f>ROUNDUP(SUM(L23:L24),0)</f>
        <v>0</v>
      </c>
      <c r="M26" s="796">
        <v>0</v>
      </c>
    </row>
    <row r="27" spans="1:13" ht="12.75" customHeight="1" thickBot="1" x14ac:dyDescent="0.25">
      <c r="B27" s="782"/>
      <c r="C27" s="783"/>
      <c r="D27" s="605"/>
      <c r="E27" s="606"/>
      <c r="F27" s="606"/>
      <c r="G27" s="606"/>
      <c r="H27" s="607"/>
      <c r="I27" s="611"/>
      <c r="J27" s="797"/>
      <c r="K27" s="611"/>
      <c r="L27" s="611"/>
      <c r="M27" s="797"/>
    </row>
    <row r="28" spans="1:13" ht="12.75" customHeight="1" x14ac:dyDescent="0.2">
      <c r="B28" s="782"/>
      <c r="C28" s="783"/>
      <c r="D28" s="602" t="s">
        <v>277</v>
      </c>
      <c r="E28" s="603"/>
      <c r="F28" s="603"/>
      <c r="G28" s="603"/>
      <c r="H28" s="604"/>
      <c r="I28" s="796">
        <v>0</v>
      </c>
      <c r="J28" s="610">
        <f>ROUNDUP(SUM(J19:J20),0)</f>
        <v>67</v>
      </c>
      <c r="K28" s="796">
        <v>0</v>
      </c>
      <c r="L28" s="796">
        <v>0</v>
      </c>
      <c r="M28" s="610">
        <f>ROUNDUP(SUM(M19:M20),0)</f>
        <v>596</v>
      </c>
    </row>
    <row r="29" spans="1:13" ht="12.75" customHeight="1" thickBot="1" x14ac:dyDescent="0.25">
      <c r="B29" s="727"/>
      <c r="C29" s="674"/>
      <c r="D29" s="605"/>
      <c r="E29" s="606"/>
      <c r="F29" s="606"/>
      <c r="G29" s="606"/>
      <c r="H29" s="607"/>
      <c r="I29" s="797"/>
      <c r="J29" s="611"/>
      <c r="K29" s="797"/>
      <c r="L29" s="797"/>
      <c r="M29" s="611"/>
    </row>
    <row r="30" spans="1:13" x14ac:dyDescent="0.2">
      <c r="A30" s="94"/>
    </row>
    <row r="31" spans="1:13" x14ac:dyDescent="0.2">
      <c r="A31" s="94"/>
    </row>
    <row r="32" spans="1:13" x14ac:dyDescent="0.2">
      <c r="C32" s="96"/>
    </row>
    <row r="33" spans="3:3" x14ac:dyDescent="0.2">
      <c r="C33" s="96"/>
    </row>
    <row r="34" spans="3:3" x14ac:dyDescent="0.2">
      <c r="C34" s="96"/>
    </row>
    <row r="35" spans="3:3" x14ac:dyDescent="0.2">
      <c r="C35" s="96"/>
    </row>
    <row r="36" spans="3:3" x14ac:dyDescent="0.2">
      <c r="C36" s="96"/>
    </row>
    <row r="37" spans="3:3" x14ac:dyDescent="0.2">
      <c r="C37" s="96"/>
    </row>
    <row r="38" spans="3:3" x14ac:dyDescent="0.2">
      <c r="C38" s="96"/>
    </row>
    <row r="39" spans="3:3" x14ac:dyDescent="0.2">
      <c r="C39" s="96"/>
    </row>
  </sheetData>
  <customSheetViews>
    <customSheetView guid="{221143F3-72E3-4C4A-9811-2F859DD19779}" fitToPage="1">
      <pane ySplit="13" topLeftCell="A14" activePane="bottomLeft" state="frozen"/>
      <selection pane="bottomLeft" activeCell="D21" sqref="D21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26">
    <mergeCell ref="B5:C15"/>
    <mergeCell ref="D5:D16"/>
    <mergeCell ref="I5:J5"/>
    <mergeCell ref="B18:C18"/>
    <mergeCell ref="B26:C29"/>
    <mergeCell ref="D28:H29"/>
    <mergeCell ref="I26:I27"/>
    <mergeCell ref="J26:J27"/>
    <mergeCell ref="I6:I15"/>
    <mergeCell ref="G5:G15"/>
    <mergeCell ref="H5:H15"/>
    <mergeCell ref="E5:E15"/>
    <mergeCell ref="F5:F15"/>
    <mergeCell ref="D26:H27"/>
    <mergeCell ref="I28:I29"/>
    <mergeCell ref="J6:J15"/>
    <mergeCell ref="L6:L15"/>
    <mergeCell ref="M6:M15"/>
    <mergeCell ref="K6:K15"/>
    <mergeCell ref="K28:K29"/>
    <mergeCell ref="J28:J29"/>
    <mergeCell ref="L26:L27"/>
    <mergeCell ref="M26:M27"/>
    <mergeCell ref="L28:L29"/>
    <mergeCell ref="M28:M29"/>
    <mergeCell ref="K26:K27"/>
  </mergeCells>
  <printOptions horizontalCentered="1" verticalCentered="1"/>
  <pageMargins left="0.73" right="0.75" top="0.66" bottom="0.4" header="0.65" footer="0.25"/>
  <pageSetup scale="94" orientation="landscape" r:id="rId2"/>
  <headerFooter scaleWithDoc="0" alignWithMargins="0">
    <oddHeader>&amp;LHAN-75-14.39</oddHeader>
    <oddFooter>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4"/>
  <sheetViews>
    <sheetView workbookViewId="0">
      <selection activeCell="P18" sqref="P18"/>
    </sheetView>
  </sheetViews>
  <sheetFormatPr defaultRowHeight="12.75" x14ac:dyDescent="0.2"/>
  <cols>
    <col min="5" max="5" width="11.42578125" bestFit="1" customWidth="1"/>
  </cols>
  <sheetData>
    <row r="1" spans="3:5" x14ac:dyDescent="0.2">
      <c r="E1" s="186" t="s">
        <v>178</v>
      </c>
    </row>
    <row r="2" spans="3:5" ht="15" x14ac:dyDescent="0.25">
      <c r="C2" s="187" t="s">
        <v>173</v>
      </c>
      <c r="D2" s="184">
        <f>'IR75 FLEXIBLE'!T185</f>
        <v>2391987</v>
      </c>
      <c r="E2" s="188">
        <f>D2/$D$4</f>
        <v>0.51533940751308827</v>
      </c>
    </row>
    <row r="3" spans="3:5" ht="15" x14ac:dyDescent="0.25">
      <c r="C3" s="187" t="s">
        <v>176</v>
      </c>
      <c r="D3" s="184">
        <f>'IR75 FLEXIBLE'!U185+'US68 FLEXIBLE'!Q86+'US68 RAMPS FLEXIBLE'!Q72+'LIMA,GRAY,LOGAN,BIKE PATH'!L74+'LIMA RAMPS'!O70+'SR12,US224 RAMPS'!O74+'HARRISON,SERVICE RD'!P52</f>
        <v>2249588.9500000002</v>
      </c>
      <c r="E3" s="188">
        <f>D3/$D$4</f>
        <v>0.48466059248691173</v>
      </c>
    </row>
    <row r="4" spans="3:5" ht="15" x14ac:dyDescent="0.25">
      <c r="C4" s="187" t="s">
        <v>177</v>
      </c>
      <c r="D4" s="185">
        <f>D2+D3</f>
        <v>4641575.95</v>
      </c>
    </row>
  </sheetData>
  <customSheetViews>
    <customSheetView guid="{221143F3-72E3-4C4A-9811-2F859DD19779}">
      <selection activeCell="E10" sqref="E10"/>
      <pageMargins left="0.7" right="0.7" top="0.75" bottom="0.75" header="0.3" footer="0.3"/>
    </customSheetView>
  </customSheetView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86"/>
  <sheetViews>
    <sheetView view="pageBreakPreview" zoomScale="90" zoomScaleNormal="90" zoomScaleSheetLayoutView="90" workbookViewId="0">
      <pane xSplit="12" ySplit="18" topLeftCell="R163" activePane="bottomRight" state="frozen"/>
      <selection pane="topRight" activeCell="M1" sqref="M1"/>
      <selection pane="bottomLeft" activeCell="A18" sqref="A18"/>
      <selection pane="bottomRight" activeCell="AR17" sqref="AR17"/>
    </sheetView>
  </sheetViews>
  <sheetFormatPr defaultRowHeight="12.75" x14ac:dyDescent="0.2"/>
  <cols>
    <col min="1" max="1" width="10.42578125" style="1" bestFit="1" customWidth="1"/>
    <col min="2" max="3" width="17.7109375" style="21" customWidth="1"/>
    <col min="4" max="4" width="8.5703125" style="1" customWidth="1"/>
    <col min="5" max="7" width="9.7109375" style="1" hidden="1" customWidth="1"/>
    <col min="8" max="12" width="8.5703125" style="1" hidden="1" customWidth="1"/>
    <col min="13" max="13" width="9.28515625" style="8" customWidth="1"/>
    <col min="14" max="14" width="5.5703125" style="8" bestFit="1" customWidth="1"/>
    <col min="15" max="15" width="5.5703125" style="87" bestFit="1" customWidth="1"/>
    <col min="16" max="16" width="7.5703125" style="20" bestFit="1" customWidth="1"/>
    <col min="17" max="17" width="6.5703125" style="94" bestFit="1" customWidth="1"/>
    <col min="18" max="18" width="7.5703125" style="20" bestFit="1" customWidth="1"/>
    <col min="19" max="19" width="8.5703125" style="94" customWidth="1"/>
    <col min="20" max="20" width="9.140625" style="20" bestFit="1" customWidth="1"/>
    <col min="21" max="21" width="9.140625" style="94" bestFit="1" customWidth="1"/>
    <col min="22" max="22" width="9.7109375" style="94" customWidth="1"/>
    <col min="23" max="23" width="9.7109375" style="11" customWidth="1"/>
    <col min="24" max="24" width="10.7109375" style="88" customWidth="1"/>
    <col min="25" max="25" width="9.7109375" style="11" customWidth="1"/>
    <col min="26" max="26" width="10.7109375" style="88" customWidth="1"/>
    <col min="27" max="27" width="9.7109375" style="11" customWidth="1"/>
    <col min="28" max="28" width="10.7109375" style="88" customWidth="1"/>
    <col min="29" max="29" width="9.7109375" style="13" customWidth="1"/>
    <col min="30" max="30" width="9.7109375" style="8" customWidth="1"/>
    <col min="31" max="31" width="10.7109375" style="87" customWidth="1"/>
    <col min="32" max="32" width="9.7109375" style="8" customWidth="1"/>
    <col min="33" max="33" width="8.140625" style="87" customWidth="1"/>
    <col min="34" max="34" width="8.140625" style="8" bestFit="1" customWidth="1"/>
    <col min="35" max="35" width="8.140625" style="87" bestFit="1" customWidth="1"/>
    <col min="36" max="36" width="8.140625" style="8" bestFit="1" customWidth="1"/>
    <col min="37" max="37" width="8.140625" style="87" bestFit="1" customWidth="1"/>
    <col min="38" max="38" width="6.5703125" style="8" bestFit="1" customWidth="1"/>
    <col min="39" max="39" width="8.140625" style="87" customWidth="1"/>
    <col min="40" max="40" width="9.7109375" style="15" customWidth="1"/>
    <col min="41" max="43" width="6.5703125" style="1" bestFit="1" customWidth="1"/>
    <col min="44" max="44" width="9.5703125" style="81" customWidth="1"/>
    <col min="45" max="46" width="9.7109375" style="1" customWidth="1"/>
    <col min="47" max="47" width="11.85546875" style="1" bestFit="1" customWidth="1"/>
    <col min="48" max="55" width="9.7109375" style="1" customWidth="1"/>
    <col min="56" max="16384" width="9.140625" style="1"/>
  </cols>
  <sheetData>
    <row r="1" spans="1:60" s="15" customFormat="1" ht="13.5" thickBot="1" x14ac:dyDescent="0.25">
      <c r="B1" s="23"/>
      <c r="C1" s="23"/>
      <c r="M1" s="11"/>
      <c r="N1" s="11"/>
      <c r="O1" s="88"/>
      <c r="P1" s="43"/>
      <c r="Q1" s="105"/>
      <c r="R1" s="43"/>
      <c r="S1" s="105"/>
      <c r="T1" s="43"/>
      <c r="U1" s="105"/>
      <c r="V1" s="105"/>
      <c r="W1" s="105"/>
      <c r="X1" s="105"/>
      <c r="Y1" s="11"/>
      <c r="Z1" s="88"/>
      <c r="AA1" s="11"/>
      <c r="AB1" s="88"/>
      <c r="AC1" s="609">
        <v>12</v>
      </c>
      <c r="AD1" s="609"/>
      <c r="AE1" s="11"/>
      <c r="AF1" s="88"/>
      <c r="AG1" s="10"/>
      <c r="AH1" s="609">
        <v>11.5</v>
      </c>
      <c r="AI1" s="609"/>
      <c r="AJ1" s="609">
        <v>6</v>
      </c>
      <c r="AK1" s="609"/>
      <c r="AL1" s="608">
        <v>5.5E-2</v>
      </c>
      <c r="AM1" s="608"/>
      <c r="AN1" s="609">
        <v>1.5</v>
      </c>
      <c r="AO1" s="609"/>
      <c r="AP1" s="609">
        <v>1.75</v>
      </c>
      <c r="AQ1" s="609"/>
      <c r="AR1" s="10">
        <v>6</v>
      </c>
    </row>
    <row r="2" spans="1:60" s="90" customFormat="1" x14ac:dyDescent="0.2">
      <c r="A2" s="120"/>
      <c r="B2" s="700" t="s">
        <v>247</v>
      </c>
      <c r="C2" s="700"/>
      <c r="D2" s="52"/>
      <c r="E2" s="52"/>
      <c r="F2" s="52"/>
      <c r="G2" s="5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M2" s="146"/>
      <c r="AN2" s="212" t="s">
        <v>35</v>
      </c>
      <c r="AO2" s="168" t="s">
        <v>144</v>
      </c>
      <c r="AP2" s="168"/>
      <c r="AQ2" s="170"/>
      <c r="AR2" s="170" t="s">
        <v>34</v>
      </c>
      <c r="AS2" s="211">
        <v>41920</v>
      </c>
      <c r="AU2" s="224" t="s">
        <v>101</v>
      </c>
      <c r="AV2" s="15"/>
      <c r="AW2" s="224" t="s">
        <v>103</v>
      </c>
      <c r="AX2" s="219" t="s">
        <v>202</v>
      </c>
    </row>
    <row r="3" spans="1:60" s="90" customFormat="1" x14ac:dyDescent="0.2">
      <c r="A3" s="120"/>
      <c r="B3" s="702" t="s">
        <v>248</v>
      </c>
      <c r="C3" s="702"/>
      <c r="D3" s="52"/>
      <c r="E3" s="52"/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M3" s="517"/>
      <c r="AN3" s="524" t="s">
        <v>36</v>
      </c>
      <c r="AO3" s="519" t="s">
        <v>266</v>
      </c>
      <c r="AP3" s="519"/>
      <c r="AQ3" s="520"/>
      <c r="AR3" s="520" t="s">
        <v>34</v>
      </c>
      <c r="AS3" s="521">
        <v>41926</v>
      </c>
      <c r="AU3" s="225" t="s">
        <v>102</v>
      </c>
      <c r="AW3" s="225" t="s">
        <v>104</v>
      </c>
      <c r="AX3" s="106" t="s">
        <v>203</v>
      </c>
    </row>
    <row r="4" spans="1:60" s="90" customFormat="1" ht="13.5" thickBot="1" x14ac:dyDescent="0.25">
      <c r="A4" s="120"/>
      <c r="B4" s="700" t="s">
        <v>249</v>
      </c>
      <c r="C4" s="700"/>
      <c r="D4" s="52"/>
      <c r="E4" s="52"/>
      <c r="F4" s="52"/>
      <c r="G4" s="52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M4" s="522"/>
      <c r="AN4" s="525" t="s">
        <v>280</v>
      </c>
      <c r="AO4" s="216" t="s">
        <v>266</v>
      </c>
      <c r="AP4" s="216"/>
      <c r="AQ4" s="217"/>
      <c r="AR4" s="217" t="s">
        <v>34</v>
      </c>
      <c r="AS4" s="459">
        <v>42598</v>
      </c>
      <c r="AU4" s="225"/>
      <c r="AW4" s="225"/>
      <c r="AX4" s="106"/>
    </row>
    <row r="5" spans="1:60" s="90" customFormat="1" ht="13.5" thickBot="1" x14ac:dyDescent="0.25">
      <c r="A5" s="120"/>
      <c r="B5" s="703"/>
      <c r="C5" s="703"/>
      <c r="D5" s="52"/>
      <c r="E5" s="52"/>
      <c r="F5" s="5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U5" s="225" t="s">
        <v>107</v>
      </c>
      <c r="AW5" s="225" t="s">
        <v>109</v>
      </c>
      <c r="AX5" s="106" t="s">
        <v>204</v>
      </c>
    </row>
    <row r="6" spans="1:60" s="16" customFormat="1" ht="12.75" customHeight="1" x14ac:dyDescent="0.2">
      <c r="B6" s="657" t="s">
        <v>1</v>
      </c>
      <c r="C6" s="658"/>
      <c r="D6" s="653" t="s">
        <v>0</v>
      </c>
      <c r="E6" s="667" t="s">
        <v>99</v>
      </c>
      <c r="F6" s="667" t="s">
        <v>100</v>
      </c>
      <c r="G6" s="667" t="s">
        <v>106</v>
      </c>
      <c r="H6" s="638" t="s">
        <v>190</v>
      </c>
      <c r="I6" s="666" t="s">
        <v>31</v>
      </c>
      <c r="J6" s="638" t="s">
        <v>46</v>
      </c>
      <c r="K6" s="638" t="s">
        <v>179</v>
      </c>
      <c r="L6" s="638" t="s">
        <v>180</v>
      </c>
      <c r="M6" s="663" t="s">
        <v>4</v>
      </c>
      <c r="N6" s="655" t="s">
        <v>171</v>
      </c>
      <c r="O6" s="656"/>
      <c r="P6" s="630" t="s">
        <v>17</v>
      </c>
      <c r="Q6" s="631"/>
      <c r="R6" s="630" t="s">
        <v>20</v>
      </c>
      <c r="S6" s="631"/>
      <c r="T6" s="632" t="s">
        <v>14</v>
      </c>
      <c r="U6" s="633"/>
      <c r="V6" s="62">
        <v>202</v>
      </c>
      <c r="W6" s="642">
        <v>204</v>
      </c>
      <c r="X6" s="643"/>
      <c r="Y6" s="643"/>
      <c r="Z6" s="644"/>
      <c r="AA6" s="542">
        <v>206</v>
      </c>
      <c r="AB6" s="543"/>
      <c r="AC6" s="543"/>
      <c r="AD6" s="543"/>
      <c r="AE6" s="543"/>
      <c r="AF6" s="544"/>
      <c r="AG6" s="230">
        <v>252</v>
      </c>
      <c r="AH6" s="542">
        <v>302</v>
      </c>
      <c r="AI6" s="544"/>
      <c r="AJ6" s="626">
        <v>304</v>
      </c>
      <c r="AK6" s="627"/>
      <c r="AL6" s="542">
        <v>407</v>
      </c>
      <c r="AM6" s="544"/>
      <c r="AN6" s="542">
        <v>442</v>
      </c>
      <c r="AO6" s="543"/>
      <c r="AP6" s="543"/>
      <c r="AQ6" s="544"/>
      <c r="AR6" s="49">
        <v>617</v>
      </c>
      <c r="AS6" s="49">
        <v>618</v>
      </c>
      <c r="AT6" s="141"/>
      <c r="AU6" s="225" t="s">
        <v>108</v>
      </c>
      <c r="AV6" s="90"/>
      <c r="AW6" s="225" t="s">
        <v>110</v>
      </c>
      <c r="AX6" s="106" t="s">
        <v>205</v>
      </c>
    </row>
    <row r="7" spans="1:60" ht="12.75" customHeight="1" thickBot="1" x14ac:dyDescent="0.25">
      <c r="B7" s="659"/>
      <c r="C7" s="660"/>
      <c r="D7" s="654"/>
      <c r="E7" s="668"/>
      <c r="F7" s="668"/>
      <c r="G7" s="668"/>
      <c r="H7" s="639"/>
      <c r="I7" s="639"/>
      <c r="J7" s="639"/>
      <c r="K7" s="639"/>
      <c r="L7" s="639"/>
      <c r="M7" s="664"/>
      <c r="N7" s="547"/>
      <c r="O7" s="548"/>
      <c r="P7" s="566"/>
      <c r="Q7" s="567"/>
      <c r="R7" s="566"/>
      <c r="S7" s="567"/>
      <c r="T7" s="634"/>
      <c r="U7" s="635"/>
      <c r="V7" s="640" t="s">
        <v>40</v>
      </c>
      <c r="W7" s="545" t="s">
        <v>160</v>
      </c>
      <c r="X7" s="546"/>
      <c r="Y7" s="553" t="s">
        <v>7</v>
      </c>
      <c r="Z7" s="554"/>
      <c r="AA7" s="553" t="s">
        <v>18</v>
      </c>
      <c r="AB7" s="554"/>
      <c r="AC7" s="545" t="s">
        <v>19</v>
      </c>
      <c r="AD7" s="546"/>
      <c r="AE7" s="553" t="s">
        <v>23</v>
      </c>
      <c r="AF7" s="554"/>
      <c r="AG7" s="553" t="s">
        <v>24</v>
      </c>
      <c r="AH7" s="545" t="s">
        <v>186</v>
      </c>
      <c r="AI7" s="546"/>
      <c r="AJ7" s="553" t="s">
        <v>9</v>
      </c>
      <c r="AK7" s="554"/>
      <c r="AL7" s="545" t="s">
        <v>278</v>
      </c>
      <c r="AM7" s="546"/>
      <c r="AN7" s="545" t="s">
        <v>188</v>
      </c>
      <c r="AO7" s="554"/>
      <c r="AP7" s="545" t="s">
        <v>193</v>
      </c>
      <c r="AQ7" s="554"/>
      <c r="AR7" s="675" t="s">
        <v>282</v>
      </c>
      <c r="AS7" s="675" t="s">
        <v>157</v>
      </c>
      <c r="AT7" s="166"/>
      <c r="AU7" s="226" t="s">
        <v>97</v>
      </c>
      <c r="AV7" s="16"/>
      <c r="AW7" s="225" t="s">
        <v>105</v>
      </c>
      <c r="AX7" s="220" t="s">
        <v>206</v>
      </c>
    </row>
    <row r="8" spans="1:60" ht="12.75" customHeight="1" thickBot="1" x14ac:dyDescent="0.25">
      <c r="B8" s="659"/>
      <c r="C8" s="660"/>
      <c r="D8" s="654"/>
      <c r="E8" s="668"/>
      <c r="F8" s="668"/>
      <c r="G8" s="668"/>
      <c r="H8" s="639"/>
      <c r="I8" s="639"/>
      <c r="J8" s="639"/>
      <c r="K8" s="639"/>
      <c r="L8" s="639"/>
      <c r="M8" s="664"/>
      <c r="N8" s="547"/>
      <c r="O8" s="548"/>
      <c r="P8" s="566"/>
      <c r="Q8" s="567"/>
      <c r="R8" s="566"/>
      <c r="S8" s="567"/>
      <c r="T8" s="634"/>
      <c r="U8" s="635"/>
      <c r="V8" s="641"/>
      <c r="W8" s="547"/>
      <c r="X8" s="548"/>
      <c r="Y8" s="555"/>
      <c r="Z8" s="556"/>
      <c r="AA8" s="555"/>
      <c r="AB8" s="556"/>
      <c r="AC8" s="547"/>
      <c r="AD8" s="548"/>
      <c r="AE8" s="555"/>
      <c r="AF8" s="556"/>
      <c r="AG8" s="555"/>
      <c r="AH8" s="547"/>
      <c r="AI8" s="548"/>
      <c r="AJ8" s="555"/>
      <c r="AK8" s="556"/>
      <c r="AL8" s="547"/>
      <c r="AM8" s="548"/>
      <c r="AN8" s="555"/>
      <c r="AO8" s="556"/>
      <c r="AP8" s="555"/>
      <c r="AQ8" s="556"/>
      <c r="AR8" s="676"/>
      <c r="AS8" s="676"/>
      <c r="AT8" s="142"/>
      <c r="AW8" s="226" t="s">
        <v>112</v>
      </c>
      <c r="AX8" s="220" t="s">
        <v>207</v>
      </c>
    </row>
    <row r="9" spans="1:60" ht="12.75" customHeight="1" thickBot="1" x14ac:dyDescent="0.25">
      <c r="B9" s="659"/>
      <c r="C9" s="660"/>
      <c r="D9" s="654"/>
      <c r="E9" s="668"/>
      <c r="F9" s="668"/>
      <c r="G9" s="668"/>
      <c r="H9" s="639"/>
      <c r="I9" s="639"/>
      <c r="J9" s="639"/>
      <c r="K9" s="639"/>
      <c r="L9" s="639"/>
      <c r="M9" s="664"/>
      <c r="N9" s="547"/>
      <c r="O9" s="548"/>
      <c r="P9" s="566"/>
      <c r="Q9" s="567"/>
      <c r="R9" s="566"/>
      <c r="S9" s="567"/>
      <c r="T9" s="634"/>
      <c r="U9" s="635"/>
      <c r="V9" s="641"/>
      <c r="W9" s="547"/>
      <c r="X9" s="548"/>
      <c r="Y9" s="555"/>
      <c r="Z9" s="556"/>
      <c r="AA9" s="555"/>
      <c r="AB9" s="556"/>
      <c r="AC9" s="547"/>
      <c r="AD9" s="548"/>
      <c r="AE9" s="555"/>
      <c r="AF9" s="556"/>
      <c r="AG9" s="555"/>
      <c r="AH9" s="547"/>
      <c r="AI9" s="548"/>
      <c r="AJ9" s="555"/>
      <c r="AK9" s="556"/>
      <c r="AL9" s="547"/>
      <c r="AM9" s="548"/>
      <c r="AN9" s="555"/>
      <c r="AO9" s="556"/>
      <c r="AP9" s="555"/>
      <c r="AQ9" s="556"/>
      <c r="AR9" s="676"/>
      <c r="AS9" s="676"/>
      <c r="AT9" s="142"/>
    </row>
    <row r="10" spans="1:60" ht="12.75" customHeight="1" thickBot="1" x14ac:dyDescent="0.25">
      <c r="B10" s="659"/>
      <c r="C10" s="660"/>
      <c r="D10" s="654"/>
      <c r="E10" s="668"/>
      <c r="F10" s="668"/>
      <c r="G10" s="668"/>
      <c r="H10" s="639"/>
      <c r="I10" s="639"/>
      <c r="J10" s="639"/>
      <c r="K10" s="639"/>
      <c r="L10" s="639"/>
      <c r="M10" s="664"/>
      <c r="N10" s="547"/>
      <c r="O10" s="548"/>
      <c r="P10" s="566"/>
      <c r="Q10" s="567"/>
      <c r="R10" s="566"/>
      <c r="S10" s="567"/>
      <c r="T10" s="634"/>
      <c r="U10" s="635"/>
      <c r="V10" s="641"/>
      <c r="W10" s="547"/>
      <c r="X10" s="548"/>
      <c r="Y10" s="555"/>
      <c r="Z10" s="556"/>
      <c r="AA10" s="555"/>
      <c r="AB10" s="556"/>
      <c r="AC10" s="547"/>
      <c r="AD10" s="548"/>
      <c r="AE10" s="555"/>
      <c r="AF10" s="556"/>
      <c r="AG10" s="555"/>
      <c r="AH10" s="547"/>
      <c r="AI10" s="548"/>
      <c r="AJ10" s="555"/>
      <c r="AK10" s="556"/>
      <c r="AL10" s="547"/>
      <c r="AM10" s="548"/>
      <c r="AN10" s="555"/>
      <c r="AO10" s="556"/>
      <c r="AP10" s="555"/>
      <c r="AQ10" s="556"/>
      <c r="AR10" s="676"/>
      <c r="AS10" s="676"/>
      <c r="AT10" s="142"/>
      <c r="AU10" s="697" t="s">
        <v>201</v>
      </c>
      <c r="AV10" s="698"/>
      <c r="AW10" s="698"/>
      <c r="AX10" s="698"/>
      <c r="AY10" s="698"/>
      <c r="AZ10" s="698"/>
      <c r="BA10" s="698"/>
      <c r="BB10" s="698"/>
      <c r="BC10" s="698"/>
      <c r="BD10" s="698"/>
      <c r="BE10" s="698"/>
      <c r="BF10" s="698"/>
      <c r="BG10" s="698"/>
      <c r="BH10" s="699"/>
    </row>
    <row r="11" spans="1:60" ht="12.75" customHeight="1" x14ac:dyDescent="0.2">
      <c r="B11" s="659"/>
      <c r="C11" s="660"/>
      <c r="D11" s="654"/>
      <c r="E11" s="668"/>
      <c r="F11" s="668"/>
      <c r="G11" s="668"/>
      <c r="H11" s="639"/>
      <c r="I11" s="639"/>
      <c r="J11" s="639"/>
      <c r="K11" s="639"/>
      <c r="L11" s="639"/>
      <c r="M11" s="664"/>
      <c r="N11" s="547"/>
      <c r="O11" s="548"/>
      <c r="P11" s="566"/>
      <c r="Q11" s="567"/>
      <c r="R11" s="566"/>
      <c r="S11" s="567"/>
      <c r="T11" s="634"/>
      <c r="U11" s="635"/>
      <c r="V11" s="641"/>
      <c r="W11" s="547"/>
      <c r="X11" s="548"/>
      <c r="Y11" s="555"/>
      <c r="Z11" s="556"/>
      <c r="AA11" s="555"/>
      <c r="AB11" s="556"/>
      <c r="AC11" s="547"/>
      <c r="AD11" s="548"/>
      <c r="AE11" s="555"/>
      <c r="AF11" s="556"/>
      <c r="AG11" s="555"/>
      <c r="AH11" s="547"/>
      <c r="AI11" s="548"/>
      <c r="AJ11" s="555"/>
      <c r="AK11" s="556"/>
      <c r="AL11" s="547"/>
      <c r="AM11" s="548"/>
      <c r="AN11" s="555"/>
      <c r="AO11" s="556"/>
      <c r="AP11" s="555"/>
      <c r="AQ11" s="556"/>
      <c r="AR11" s="676"/>
      <c r="AS11" s="676"/>
      <c r="AT11" s="142"/>
      <c r="AU11" s="671" t="s">
        <v>208</v>
      </c>
      <c r="AV11" s="673" t="s">
        <v>214</v>
      </c>
      <c r="AW11" s="704" t="s">
        <v>189</v>
      </c>
      <c r="AX11" s="681"/>
      <c r="AY11" s="705"/>
      <c r="AZ11" s="680" t="s">
        <v>44</v>
      </c>
      <c r="BA11" s="681"/>
      <c r="BB11" s="705"/>
      <c r="BC11" s="680" t="s">
        <v>45</v>
      </c>
      <c r="BD11" s="681"/>
      <c r="BE11" s="705"/>
      <c r="BF11" s="680" t="s">
        <v>48</v>
      </c>
      <c r="BG11" s="681"/>
      <c r="BH11" s="682"/>
    </row>
    <row r="12" spans="1:60" ht="12.75" customHeight="1" thickBot="1" x14ac:dyDescent="0.25">
      <c r="B12" s="659"/>
      <c r="C12" s="660"/>
      <c r="D12" s="654"/>
      <c r="E12" s="668"/>
      <c r="F12" s="668"/>
      <c r="G12" s="668"/>
      <c r="H12" s="639"/>
      <c r="I12" s="639"/>
      <c r="J12" s="639"/>
      <c r="K12" s="639"/>
      <c r="L12" s="639"/>
      <c r="M12" s="664"/>
      <c r="N12" s="547"/>
      <c r="O12" s="548"/>
      <c r="P12" s="566"/>
      <c r="Q12" s="567"/>
      <c r="R12" s="566"/>
      <c r="S12" s="567"/>
      <c r="T12" s="634"/>
      <c r="U12" s="635"/>
      <c r="V12" s="641"/>
      <c r="W12" s="547"/>
      <c r="X12" s="548"/>
      <c r="Y12" s="555"/>
      <c r="Z12" s="556"/>
      <c r="AA12" s="555"/>
      <c r="AB12" s="556"/>
      <c r="AC12" s="547"/>
      <c r="AD12" s="548"/>
      <c r="AE12" s="555"/>
      <c r="AF12" s="556"/>
      <c r="AG12" s="555"/>
      <c r="AH12" s="547"/>
      <c r="AI12" s="548"/>
      <c r="AJ12" s="555"/>
      <c r="AK12" s="556"/>
      <c r="AL12" s="547"/>
      <c r="AM12" s="548"/>
      <c r="AN12" s="555"/>
      <c r="AO12" s="556"/>
      <c r="AP12" s="555"/>
      <c r="AQ12" s="556"/>
      <c r="AR12" s="676"/>
      <c r="AS12" s="676"/>
      <c r="AT12" s="142"/>
      <c r="AU12" s="672"/>
      <c r="AV12" s="674"/>
      <c r="AW12" s="683" t="s">
        <v>209</v>
      </c>
      <c r="AX12" s="684"/>
      <c r="AY12" s="685"/>
      <c r="AZ12" s="686" t="s">
        <v>210</v>
      </c>
      <c r="BA12" s="684"/>
      <c r="BB12" s="685"/>
      <c r="BC12" s="686" t="s">
        <v>210</v>
      </c>
      <c r="BD12" s="684"/>
      <c r="BE12" s="685"/>
      <c r="BF12" s="686" t="s">
        <v>210</v>
      </c>
      <c r="BG12" s="684"/>
      <c r="BH12" s="687"/>
    </row>
    <row r="13" spans="1:60" ht="12.75" customHeight="1" x14ac:dyDescent="0.2">
      <c r="B13" s="659"/>
      <c r="C13" s="660"/>
      <c r="D13" s="654"/>
      <c r="E13" s="668"/>
      <c r="F13" s="668"/>
      <c r="G13" s="668"/>
      <c r="H13" s="639"/>
      <c r="I13" s="639"/>
      <c r="J13" s="639"/>
      <c r="K13" s="639"/>
      <c r="L13" s="639"/>
      <c r="M13" s="664"/>
      <c r="N13" s="547"/>
      <c r="O13" s="548"/>
      <c r="P13" s="566"/>
      <c r="Q13" s="567"/>
      <c r="R13" s="566"/>
      <c r="S13" s="567"/>
      <c r="T13" s="634"/>
      <c r="U13" s="635"/>
      <c r="V13" s="641"/>
      <c r="W13" s="547"/>
      <c r="X13" s="548"/>
      <c r="Y13" s="555"/>
      <c r="Z13" s="556"/>
      <c r="AA13" s="555"/>
      <c r="AB13" s="556"/>
      <c r="AC13" s="547"/>
      <c r="AD13" s="548"/>
      <c r="AE13" s="555"/>
      <c r="AF13" s="556"/>
      <c r="AG13" s="555"/>
      <c r="AH13" s="547"/>
      <c r="AI13" s="548"/>
      <c r="AJ13" s="555"/>
      <c r="AK13" s="556"/>
      <c r="AL13" s="547"/>
      <c r="AM13" s="548"/>
      <c r="AN13" s="555"/>
      <c r="AO13" s="556"/>
      <c r="AP13" s="555"/>
      <c r="AQ13" s="556"/>
      <c r="AR13" s="676"/>
      <c r="AS13" s="676"/>
      <c r="AT13" s="142"/>
      <c r="AU13" s="222" t="s">
        <v>101</v>
      </c>
      <c r="AV13" s="104" t="s">
        <v>211</v>
      </c>
      <c r="AW13" s="695">
        <v>1.5</v>
      </c>
      <c r="AX13" s="617"/>
      <c r="AY13" s="618"/>
      <c r="AZ13" s="616">
        <v>0.56999999999999995</v>
      </c>
      <c r="BA13" s="617"/>
      <c r="BB13" s="618"/>
      <c r="BC13" s="616">
        <v>0.67</v>
      </c>
      <c r="BD13" s="617"/>
      <c r="BE13" s="618"/>
      <c r="BF13" s="616" t="s">
        <v>97</v>
      </c>
      <c r="BG13" s="617"/>
      <c r="BH13" s="694"/>
    </row>
    <row r="14" spans="1:60" ht="12.75" customHeight="1" x14ac:dyDescent="0.2">
      <c r="B14" s="659"/>
      <c r="C14" s="660"/>
      <c r="D14" s="654"/>
      <c r="E14" s="668"/>
      <c r="F14" s="668"/>
      <c r="G14" s="668"/>
      <c r="H14" s="639"/>
      <c r="I14" s="639"/>
      <c r="J14" s="639"/>
      <c r="K14" s="639"/>
      <c r="L14" s="639"/>
      <c r="M14" s="664"/>
      <c r="N14" s="547"/>
      <c r="O14" s="548"/>
      <c r="P14" s="566"/>
      <c r="Q14" s="567"/>
      <c r="R14" s="566"/>
      <c r="S14" s="567"/>
      <c r="T14" s="634"/>
      <c r="U14" s="635"/>
      <c r="V14" s="641"/>
      <c r="W14" s="547"/>
      <c r="X14" s="548"/>
      <c r="Y14" s="555"/>
      <c r="Z14" s="556"/>
      <c r="AA14" s="555"/>
      <c r="AB14" s="556"/>
      <c r="AC14" s="547"/>
      <c r="AD14" s="548"/>
      <c r="AE14" s="555"/>
      <c r="AF14" s="556"/>
      <c r="AG14" s="555"/>
      <c r="AH14" s="547"/>
      <c r="AI14" s="548"/>
      <c r="AJ14" s="555"/>
      <c r="AK14" s="556"/>
      <c r="AL14" s="547"/>
      <c r="AM14" s="548"/>
      <c r="AN14" s="555"/>
      <c r="AO14" s="556"/>
      <c r="AP14" s="555"/>
      <c r="AQ14" s="556"/>
      <c r="AR14" s="676"/>
      <c r="AS14" s="676"/>
      <c r="AT14" s="142"/>
      <c r="AU14" s="221" t="s">
        <v>102</v>
      </c>
      <c r="AV14" s="103" t="s">
        <v>212</v>
      </c>
      <c r="AW14" s="688">
        <v>2</v>
      </c>
      <c r="AX14" s="689"/>
      <c r="AY14" s="690"/>
      <c r="AZ14" s="691"/>
      <c r="BA14" s="692"/>
      <c r="BB14" s="693"/>
      <c r="BC14" s="691">
        <v>0.98</v>
      </c>
      <c r="BD14" s="692"/>
      <c r="BE14" s="693"/>
      <c r="BF14" s="616" t="s">
        <v>97</v>
      </c>
      <c r="BG14" s="617"/>
      <c r="BH14" s="694"/>
    </row>
    <row r="15" spans="1:60" ht="12.75" customHeight="1" x14ac:dyDescent="0.2">
      <c r="B15" s="659"/>
      <c r="C15" s="660"/>
      <c r="D15" s="654"/>
      <c r="E15" s="668"/>
      <c r="F15" s="668"/>
      <c r="G15" s="668"/>
      <c r="H15" s="639"/>
      <c r="I15" s="639"/>
      <c r="J15" s="639"/>
      <c r="K15" s="639"/>
      <c r="L15" s="639"/>
      <c r="M15" s="664"/>
      <c r="N15" s="547"/>
      <c r="O15" s="548"/>
      <c r="P15" s="566"/>
      <c r="Q15" s="567"/>
      <c r="R15" s="566"/>
      <c r="S15" s="567"/>
      <c r="T15" s="634"/>
      <c r="U15" s="635"/>
      <c r="V15" s="641"/>
      <c r="W15" s="547"/>
      <c r="X15" s="548"/>
      <c r="Y15" s="555"/>
      <c r="Z15" s="556"/>
      <c r="AA15" s="555"/>
      <c r="AB15" s="556"/>
      <c r="AC15" s="547"/>
      <c r="AD15" s="548"/>
      <c r="AE15" s="555"/>
      <c r="AF15" s="556"/>
      <c r="AG15" s="555"/>
      <c r="AH15" s="547"/>
      <c r="AI15" s="548"/>
      <c r="AJ15" s="555"/>
      <c r="AK15" s="556"/>
      <c r="AL15" s="547"/>
      <c r="AM15" s="548"/>
      <c r="AN15" s="555"/>
      <c r="AO15" s="556"/>
      <c r="AP15" s="555"/>
      <c r="AQ15" s="556"/>
      <c r="AR15" s="676"/>
      <c r="AS15" s="676"/>
      <c r="AT15" s="142"/>
      <c r="AU15" s="221" t="s">
        <v>107</v>
      </c>
      <c r="AV15" s="103" t="s">
        <v>213</v>
      </c>
      <c r="AW15" s="688" t="s">
        <v>97</v>
      </c>
      <c r="AX15" s="689"/>
      <c r="AY15" s="690"/>
      <c r="AZ15" s="691" t="s">
        <v>97</v>
      </c>
      <c r="BA15" s="692"/>
      <c r="BB15" s="693"/>
      <c r="BC15" s="691" t="s">
        <v>97</v>
      </c>
      <c r="BD15" s="692"/>
      <c r="BE15" s="693"/>
      <c r="BF15" s="616">
        <v>-0.18</v>
      </c>
      <c r="BG15" s="617"/>
      <c r="BH15" s="694"/>
    </row>
    <row r="16" spans="1:60" ht="12.75" customHeight="1" x14ac:dyDescent="0.2">
      <c r="B16" s="659"/>
      <c r="C16" s="660"/>
      <c r="D16" s="654"/>
      <c r="E16" s="668"/>
      <c r="F16" s="668"/>
      <c r="G16" s="668"/>
      <c r="H16" s="639"/>
      <c r="I16" s="639"/>
      <c r="J16" s="639"/>
      <c r="K16" s="639"/>
      <c r="L16" s="639"/>
      <c r="M16" s="665"/>
      <c r="N16" s="549"/>
      <c r="O16" s="550"/>
      <c r="P16" s="568"/>
      <c r="Q16" s="569"/>
      <c r="R16" s="568"/>
      <c r="S16" s="569"/>
      <c r="T16" s="636"/>
      <c r="U16" s="637"/>
      <c r="V16" s="641"/>
      <c r="W16" s="549"/>
      <c r="X16" s="550"/>
      <c r="Y16" s="557"/>
      <c r="Z16" s="558"/>
      <c r="AA16" s="557"/>
      <c r="AB16" s="558"/>
      <c r="AC16" s="549"/>
      <c r="AD16" s="550"/>
      <c r="AE16" s="557"/>
      <c r="AF16" s="558"/>
      <c r="AG16" s="557"/>
      <c r="AH16" s="549"/>
      <c r="AI16" s="550"/>
      <c r="AJ16" s="557"/>
      <c r="AK16" s="558"/>
      <c r="AL16" s="549"/>
      <c r="AM16" s="550"/>
      <c r="AN16" s="557"/>
      <c r="AO16" s="558"/>
      <c r="AP16" s="557"/>
      <c r="AQ16" s="558"/>
      <c r="AR16" s="676"/>
      <c r="AS16" s="676"/>
      <c r="AT16" s="142"/>
      <c r="AU16" s="221" t="s">
        <v>215</v>
      </c>
      <c r="AV16" s="103" t="s">
        <v>211</v>
      </c>
      <c r="AW16" s="695">
        <v>4.33</v>
      </c>
      <c r="AX16" s="617"/>
      <c r="AY16" s="618"/>
      <c r="AZ16" s="616">
        <v>3.29</v>
      </c>
      <c r="BA16" s="617"/>
      <c r="BB16" s="618"/>
      <c r="BC16" s="616">
        <v>2.09</v>
      </c>
      <c r="BD16" s="617"/>
      <c r="BE16" s="618"/>
      <c r="BF16" s="616">
        <v>0.42</v>
      </c>
      <c r="BG16" s="617"/>
      <c r="BH16" s="694"/>
    </row>
    <row r="17" spans="1:60" ht="12.75" customHeight="1" thickBot="1" x14ac:dyDescent="0.25">
      <c r="B17" s="649" t="s">
        <v>2</v>
      </c>
      <c r="C17" s="651" t="s">
        <v>3</v>
      </c>
      <c r="D17" s="654"/>
      <c r="E17" s="668"/>
      <c r="F17" s="668"/>
      <c r="G17" s="668"/>
      <c r="H17" s="669" t="s">
        <v>5</v>
      </c>
      <c r="I17" s="669" t="s">
        <v>12</v>
      </c>
      <c r="J17" s="669" t="s">
        <v>12</v>
      </c>
      <c r="K17" s="706" t="s">
        <v>12</v>
      </c>
      <c r="L17" s="706" t="s">
        <v>12</v>
      </c>
      <c r="M17" s="669" t="s">
        <v>5</v>
      </c>
      <c r="N17" s="624" t="s">
        <v>5</v>
      </c>
      <c r="O17" s="625"/>
      <c r="P17" s="628" t="s">
        <v>6</v>
      </c>
      <c r="Q17" s="629"/>
      <c r="R17" s="628" t="s">
        <v>6</v>
      </c>
      <c r="S17" s="629"/>
      <c r="T17" s="628" t="s">
        <v>6</v>
      </c>
      <c r="U17" s="629"/>
      <c r="V17" s="136" t="s">
        <v>10</v>
      </c>
      <c r="W17" s="645" t="s">
        <v>10</v>
      </c>
      <c r="X17" s="646"/>
      <c r="Y17" s="624" t="s">
        <v>11</v>
      </c>
      <c r="Z17" s="625"/>
      <c r="AA17" s="624" t="s">
        <v>10</v>
      </c>
      <c r="AB17" s="625"/>
      <c r="AC17" s="624" t="s">
        <v>10</v>
      </c>
      <c r="AD17" s="625"/>
      <c r="AE17" s="624" t="s">
        <v>22</v>
      </c>
      <c r="AF17" s="625"/>
      <c r="AG17" s="228" t="s">
        <v>5</v>
      </c>
      <c r="AH17" s="624" t="s">
        <v>12</v>
      </c>
      <c r="AI17" s="625"/>
      <c r="AJ17" s="624" t="s">
        <v>12</v>
      </c>
      <c r="AK17" s="625"/>
      <c r="AL17" s="624" t="s">
        <v>13</v>
      </c>
      <c r="AM17" s="625"/>
      <c r="AN17" s="624" t="s">
        <v>12</v>
      </c>
      <c r="AO17" s="625"/>
      <c r="AP17" s="624" t="s">
        <v>12</v>
      </c>
      <c r="AQ17" s="625"/>
      <c r="AR17" s="458" t="s">
        <v>12</v>
      </c>
      <c r="AS17" s="228" t="s">
        <v>5</v>
      </c>
      <c r="AT17" s="143"/>
      <c r="AU17" s="223" t="s">
        <v>216</v>
      </c>
      <c r="AV17" s="158" t="s">
        <v>211</v>
      </c>
      <c r="AW17" s="677">
        <v>3.67</v>
      </c>
      <c r="AX17" s="678"/>
      <c r="AY17" s="679"/>
      <c r="AZ17" s="696">
        <v>2.65</v>
      </c>
      <c r="BA17" s="678"/>
      <c r="BB17" s="679"/>
      <c r="BC17" s="696">
        <v>1.75</v>
      </c>
      <c r="BD17" s="678"/>
      <c r="BE17" s="679"/>
      <c r="BF17" s="696">
        <v>0.32</v>
      </c>
      <c r="BG17" s="678"/>
      <c r="BH17" s="701"/>
    </row>
    <row r="18" spans="1:60" s="81" customFormat="1" ht="12.75" customHeight="1" thickBot="1" x14ac:dyDescent="0.25">
      <c r="B18" s="650"/>
      <c r="C18" s="652"/>
      <c r="D18" s="654"/>
      <c r="E18" s="668"/>
      <c r="F18" s="668"/>
      <c r="G18" s="668"/>
      <c r="H18" s="670"/>
      <c r="I18" s="670"/>
      <c r="J18" s="670"/>
      <c r="K18" s="707"/>
      <c r="L18" s="707"/>
      <c r="M18" s="670"/>
      <c r="N18" s="442" t="s">
        <v>245</v>
      </c>
      <c r="O18" s="443" t="s">
        <v>246</v>
      </c>
      <c r="P18" s="442" t="s">
        <v>245</v>
      </c>
      <c r="Q18" s="443" t="s">
        <v>246</v>
      </c>
      <c r="R18" s="442" t="s">
        <v>245</v>
      </c>
      <c r="S18" s="443" t="s">
        <v>246</v>
      </c>
      <c r="T18" s="442" t="s">
        <v>245</v>
      </c>
      <c r="U18" s="443" t="s">
        <v>246</v>
      </c>
      <c r="V18" s="444" t="s">
        <v>245</v>
      </c>
      <c r="W18" s="442" t="s">
        <v>245</v>
      </c>
      <c r="X18" s="443" t="s">
        <v>246</v>
      </c>
      <c r="Y18" s="442" t="s">
        <v>245</v>
      </c>
      <c r="Z18" s="443" t="s">
        <v>246</v>
      </c>
      <c r="AA18" s="442" t="s">
        <v>245</v>
      </c>
      <c r="AB18" s="443" t="s">
        <v>246</v>
      </c>
      <c r="AC18" s="442" t="s">
        <v>245</v>
      </c>
      <c r="AD18" s="443" t="s">
        <v>246</v>
      </c>
      <c r="AE18" s="442" t="s">
        <v>245</v>
      </c>
      <c r="AF18" s="443" t="s">
        <v>246</v>
      </c>
      <c r="AG18" s="444" t="s">
        <v>245</v>
      </c>
      <c r="AH18" s="442" t="s">
        <v>245</v>
      </c>
      <c r="AI18" s="443" t="s">
        <v>246</v>
      </c>
      <c r="AJ18" s="442" t="s">
        <v>245</v>
      </c>
      <c r="AK18" s="443" t="s">
        <v>246</v>
      </c>
      <c r="AL18" s="442" t="s">
        <v>245</v>
      </c>
      <c r="AM18" s="443" t="s">
        <v>246</v>
      </c>
      <c r="AN18" s="442" t="s">
        <v>245</v>
      </c>
      <c r="AO18" s="443" t="s">
        <v>246</v>
      </c>
      <c r="AP18" s="442" t="s">
        <v>245</v>
      </c>
      <c r="AQ18" s="443" t="s">
        <v>246</v>
      </c>
      <c r="AR18" s="444" t="s">
        <v>245</v>
      </c>
      <c r="AS18" s="444" t="s">
        <v>245</v>
      </c>
      <c r="AT18" s="167"/>
      <c r="AU18" s="116"/>
    </row>
    <row r="19" spans="1:60" ht="12.75" customHeight="1" x14ac:dyDescent="0.2">
      <c r="B19" s="661" t="s">
        <v>38</v>
      </c>
      <c r="C19" s="662"/>
      <c r="D19" s="100"/>
      <c r="E19" s="100"/>
      <c r="F19" s="100"/>
      <c r="G19" s="100"/>
      <c r="H19" s="100"/>
      <c r="I19" s="100"/>
      <c r="J19" s="100"/>
      <c r="K19" s="100"/>
      <c r="L19" s="100"/>
      <c r="M19" s="101"/>
      <c r="N19" s="382"/>
      <c r="O19" s="383"/>
      <c r="P19" s="264"/>
      <c r="Q19" s="265"/>
      <c r="R19" s="264"/>
      <c r="S19" s="265"/>
      <c r="T19" s="264"/>
      <c r="U19" s="265"/>
      <c r="V19" s="118"/>
      <c r="W19" s="264"/>
      <c r="X19" s="265"/>
      <c r="Y19" s="382"/>
      <c r="Z19" s="383"/>
      <c r="AA19" s="382"/>
      <c r="AB19" s="383"/>
      <c r="AC19" s="382"/>
      <c r="AD19" s="383"/>
      <c r="AE19" s="417"/>
      <c r="AF19" s="418"/>
      <c r="AG19" s="49"/>
      <c r="AH19" s="382"/>
      <c r="AI19" s="383"/>
      <c r="AJ19" s="382"/>
      <c r="AK19" s="383"/>
      <c r="AL19" s="382"/>
      <c r="AM19" s="383"/>
      <c r="AN19" s="382"/>
      <c r="AO19" s="383"/>
      <c r="AP19" s="382"/>
      <c r="AQ19" s="383"/>
      <c r="AR19" s="460"/>
      <c r="AS19" s="209"/>
      <c r="AT19" s="93"/>
    </row>
    <row r="20" spans="1:60" ht="12.75" customHeight="1" x14ac:dyDescent="0.2">
      <c r="B20" s="335">
        <v>74426.75</v>
      </c>
      <c r="C20" s="336">
        <v>76200</v>
      </c>
      <c r="D20" s="337" t="s">
        <v>16</v>
      </c>
      <c r="E20" s="337" t="s">
        <v>101</v>
      </c>
      <c r="F20" s="337" t="s">
        <v>101</v>
      </c>
      <c r="G20" s="47" t="str">
        <f t="shared" ref="G20:G51" si="0">IF(AND($E20=$AU$2,$F20=$AU$2),$AW$2,IF(OR(AND($E20=$AU$2,$F20=$AU$3),AND($E20=$AU$3,$F20=$AU$2)),$AW$3,IF(OR(AND($E20=$AU$2,$F20=$AU$5),AND($E20=$AU$5,$F20=$AU$2)),$AW$5,IF(OR(AND($E20=$AU$3,$F20=$AU$5),AND($E20=$AU$5,$F20=$AU$3)),$AW$6,IF(AND($E20=$AU$3,$F20=$AU$3),$AW$7,IF(AND($E20=$AU$5,$F20=$AU$5),$AW$8,"-"))))))</f>
        <v>E/S - E/S</v>
      </c>
      <c r="H20" s="26">
        <f t="shared" ref="H20:H28" si="1">IF(AND($E20=$AU$2,$F20=$AU$2),2*$AW$13,IF(OR(AND($E20=$AU$2, $F20=$AU$3),AND($E20=$AU$3,$F20=$AU$2)),$AW$13+$AW$14,IF(OR(AND($E20=$AU$2,$F20=$AU$5),AND($E20=$AU$5,$F20=$AU$2)),$AW$13,IF(OR(AND($E20=$AU$3,$F20=$AU$5),AND($E20=$AU$5,$F20=$AU$3)),$AW$14,IF(AND($E20=$AU$3,$F20=$AU$3),2*$AW$14,0)))))</f>
        <v>3</v>
      </c>
      <c r="I20" s="27">
        <f t="shared" ref="I20:I28" si="2">IF(AND($E20=$AU$2,$F20=$AU$2),2*$AZ$13*$M20/27,IF(OR(AND($E20=$AU$2,$F20=$AU$3),AND($E20=$AU$3,$F20=$AU$2)),$AZ$13*$M20/27,IF(OR(AND($E20=$AU$2,$F20=$AU$5),AND($E20=$AU$5,$F20=$AU$2)),$AZ$13*$M20/27,0)))</f>
        <v>74.870555555555555</v>
      </c>
      <c r="J20" s="27">
        <f t="shared" ref="J20:J28" si="3">IF(AND($E20=$AU$2,$F20=$AU$2),2*$BC$13*$M20/27,IF(OR(AND($E20=$AU$2,$F20=$AU$3),AND($E20=$AU$3,$F20=$AU$2)),($BC$13+$BC$14)*$M20/27,IF(OR(AND($E20=$AU$2,$F20=$AU$5),AND($E20=$AU$5,$F20=$AU$2)),$BC$13*$M20/27,IF(OR(AND($E20=$AU$3,$F20=$AU$5),AND($E20=$AU$5,$F20=$AU$3)),$BC$14*$M20/27,IF(AND($E20=$AU$3,$F20=$AU$3),2*$BC$14*$M20/27,0)))))</f>
        <v>88.005740740740748</v>
      </c>
      <c r="K20" s="27">
        <f t="shared" ref="K20:K28" si="4">IF(AND($E20=$AU$5,$F20=$AU$5),2*$BF$15*$M20/27,IF(OR($E20=$AU$5,$F20=$AU$5),$BF$15*$M20/27,0))</f>
        <v>0</v>
      </c>
      <c r="L20" s="338">
        <v>0</v>
      </c>
      <c r="M20" s="83">
        <f t="shared" ref="M20:M71" si="5">C20-B20</f>
        <v>1773.25</v>
      </c>
      <c r="N20" s="384">
        <v>40</v>
      </c>
      <c r="O20" s="385">
        <v>0</v>
      </c>
      <c r="P20" s="222">
        <f>IF(N20="-",0,ROUNDUP($M20*N20,0))</f>
        <v>70930</v>
      </c>
      <c r="Q20" s="274">
        <f t="shared" ref="Q20:Q71" si="6">IF($O20="-",0,ROUNDUP($M20*O20,0))</f>
        <v>0</v>
      </c>
      <c r="R20" s="394">
        <v>0</v>
      </c>
      <c r="S20" s="395">
        <v>0</v>
      </c>
      <c r="T20" s="221">
        <f t="shared" ref="T20:T71" si="7">P20+R20</f>
        <v>70930</v>
      </c>
      <c r="U20" s="269">
        <f t="shared" ref="U20:U71" si="8">Q20+S20</f>
        <v>0</v>
      </c>
      <c r="V20" s="345">
        <v>0</v>
      </c>
      <c r="W20" s="398">
        <f>IF(OR($A20="APP SLAB",T20=0),0,(T20+$H20*$M20)/9)</f>
        <v>8472.1944444444453</v>
      </c>
      <c r="X20" s="399">
        <f>IF($A20="APP SLAB",0,U20/9)</f>
        <v>0</v>
      </c>
      <c r="Y20" s="410">
        <f t="shared" ref="Y20:Z71" si="9">IF(AND(W20=0,AA20=0),0,IF(AA20=0,W20/2000,AA20/2000))</f>
        <v>4.2360972222222228</v>
      </c>
      <c r="Z20" s="411">
        <f t="shared" si="9"/>
        <v>0</v>
      </c>
      <c r="AA20" s="398">
        <f t="shared" ref="AA20:AB35" si="10">IF(OR($A20="APP SLAB",W20&lt;&gt;0),0,AC20)</f>
        <v>0</v>
      </c>
      <c r="AB20" s="399">
        <f t="shared" si="10"/>
        <v>0</v>
      </c>
      <c r="AC20" s="398">
        <f t="shared" ref="AC20:AC51" si="11">IF(OR($A20="APP SLAB",W20&lt;&gt;0),0,(T20+$H20*$M20)/9)</f>
        <v>0</v>
      </c>
      <c r="AD20" s="399">
        <f t="shared" ref="AD20:AD51" si="12">IF(OR($A20="APP SLAB",X20&lt;&gt;0),0,U20/9)</f>
        <v>0</v>
      </c>
      <c r="AE20" s="398">
        <f t="shared" ref="AE20:AE51" si="13">IF(OR($A20="APP SLAB",W20&lt;&gt;0),0,$AC$1*AC20*110*0.06*0.75/2000)</f>
        <v>0</v>
      </c>
      <c r="AF20" s="399">
        <f t="shared" ref="AF20:AF51" si="14">IF(OR($A20="APP SLAB",X20&lt;&gt;0),0,$AC$1*AD20*110*0.06*0.75/2000)</f>
        <v>0</v>
      </c>
      <c r="AG20" s="348">
        <v>0</v>
      </c>
      <c r="AH20" s="421">
        <f>IF($A20="APP SLAB",0,(T20*$AH$1/12)/27+I20)</f>
        <v>2592.4477160493825</v>
      </c>
      <c r="AI20" s="422">
        <f t="shared" ref="AI20:AI51" si="15">IF($A20="APP SLAB",0,(U20*$AH$1/12)/27)</f>
        <v>0</v>
      </c>
      <c r="AJ20" s="420">
        <f t="shared" ref="AJ20:AJ51" si="16">(T20*$AJ$1/12)/27+J20</f>
        <v>1401.5242592592592</v>
      </c>
      <c r="AK20" s="425">
        <f t="shared" ref="AK20:AK51" si="17">(U20*$AJ$1/12)/27</f>
        <v>0</v>
      </c>
      <c r="AL20" s="398">
        <f t="shared" ref="AL20:AL51" si="18">IF(A20="APP SLAB",0,(T20/9)*$AL$1)</f>
        <v>433.46111111111111</v>
      </c>
      <c r="AM20" s="399">
        <f t="shared" ref="AM20:AM51" si="19">IF($A20="APP SLAB",0,(U20/9)*$AL$1)</f>
        <v>0</v>
      </c>
      <c r="AN20" s="420">
        <f t="shared" ref="AN20:AN51" si="20">IF(A20="APP SLAB",0,(T20*($AN$1/12))/27+K20)</f>
        <v>328.37962962962962</v>
      </c>
      <c r="AO20" s="425">
        <f t="shared" ref="AO20:AO51" si="21">IF($A20="APP SLAB",0,(U20*($AN$1/12))/27)</f>
        <v>0</v>
      </c>
      <c r="AP20" s="420">
        <f>IF($A20="APP SLAB",0,(T20*$AP$1/12)/27+L20)</f>
        <v>383.10956790123458</v>
      </c>
      <c r="AQ20" s="425">
        <f t="shared" ref="AQ20:AQ51" si="22">IF($A20="APP SLAB",0,(U20*$AP$1/12)/27)</f>
        <v>0</v>
      </c>
      <c r="AR20" s="454">
        <f>IF(AND($E20=$F20="Uncurbed"),(2*$M20*2*$AR$1/12)/27,IF(OR($E20="Uncurbed",$F20="Uncurbed"),($M20*2*$AR$1/12)/27,IF(OR(AND($E20="Med. Barr.",$F20="Curbed"),AND($E20="Curbed",$F20="Med. Barr."),$E20=$F20,$E20="Unique",$F20="Unique",$E20="-",$F20="-"),0,"?")))</f>
        <v>65.675925925925924</v>
      </c>
      <c r="AS20" s="6">
        <f t="shared" ref="AS20:AS51" si="23">IF(A20="APP SLAB",0,(M20*2))</f>
        <v>3546.5</v>
      </c>
      <c r="AT20" s="10"/>
    </row>
    <row r="21" spans="1:60" ht="12.75" customHeight="1" x14ac:dyDescent="0.2">
      <c r="B21" s="335">
        <v>76200</v>
      </c>
      <c r="C21" s="336">
        <v>76300</v>
      </c>
      <c r="D21" s="337" t="s">
        <v>16</v>
      </c>
      <c r="E21" s="337" t="s">
        <v>101</v>
      </c>
      <c r="F21" s="337" t="s">
        <v>101</v>
      </c>
      <c r="G21" s="47" t="str">
        <f t="shared" si="0"/>
        <v>E/S - E/S</v>
      </c>
      <c r="H21" s="26">
        <f t="shared" si="1"/>
        <v>3</v>
      </c>
      <c r="I21" s="27">
        <f t="shared" si="2"/>
        <v>4.2222222222222214</v>
      </c>
      <c r="J21" s="27">
        <f t="shared" si="3"/>
        <v>4.9629629629629628</v>
      </c>
      <c r="K21" s="27">
        <f t="shared" si="4"/>
        <v>0</v>
      </c>
      <c r="L21" s="338">
        <v>0</v>
      </c>
      <c r="M21" s="83">
        <f t="shared" si="5"/>
        <v>100</v>
      </c>
      <c r="N21" s="384">
        <v>40</v>
      </c>
      <c r="O21" s="385">
        <v>6</v>
      </c>
      <c r="P21" s="222">
        <f>IF(N21="-",0,ROUNDUP($M21*N21,0))</f>
        <v>4000</v>
      </c>
      <c r="Q21" s="274">
        <f t="shared" si="6"/>
        <v>600</v>
      </c>
      <c r="R21" s="394">
        <v>0</v>
      </c>
      <c r="S21" s="395">
        <v>0</v>
      </c>
      <c r="T21" s="221">
        <f t="shared" si="7"/>
        <v>4000</v>
      </c>
      <c r="U21" s="269">
        <f t="shared" si="8"/>
        <v>600</v>
      </c>
      <c r="V21" s="345">
        <v>0</v>
      </c>
      <c r="W21" s="398">
        <f>IF(OR($A21="APP SLAB",T21=0),0,(T21+$H21*$M21)/9)</f>
        <v>477.77777777777777</v>
      </c>
      <c r="X21" s="399">
        <f>IF($A21="APP SLAB",0,U21/9)</f>
        <v>66.666666666666671</v>
      </c>
      <c r="Y21" s="410">
        <f t="shared" si="9"/>
        <v>0.23888888888888887</v>
      </c>
      <c r="Z21" s="411">
        <f t="shared" si="9"/>
        <v>3.3333333333333333E-2</v>
      </c>
      <c r="AA21" s="398">
        <f t="shared" si="10"/>
        <v>0</v>
      </c>
      <c r="AB21" s="399">
        <f t="shared" si="10"/>
        <v>0</v>
      </c>
      <c r="AC21" s="398">
        <f t="shared" si="11"/>
        <v>0</v>
      </c>
      <c r="AD21" s="399">
        <f t="shared" si="12"/>
        <v>0</v>
      </c>
      <c r="AE21" s="398">
        <f t="shared" si="13"/>
        <v>0</v>
      </c>
      <c r="AF21" s="399">
        <f t="shared" si="14"/>
        <v>0</v>
      </c>
      <c r="AG21" s="348">
        <v>0</v>
      </c>
      <c r="AH21" s="421">
        <f t="shared" ref="AH21:AH52" si="24">IF(A21="APP SLAB",0,(T21*$AH$1/12)/27+I21)</f>
        <v>146.19753086419755</v>
      </c>
      <c r="AI21" s="422">
        <f t="shared" si="15"/>
        <v>21.296296296296298</v>
      </c>
      <c r="AJ21" s="420">
        <f t="shared" si="16"/>
        <v>79.037037037037038</v>
      </c>
      <c r="AK21" s="425">
        <f t="shared" si="17"/>
        <v>11.111111111111111</v>
      </c>
      <c r="AL21" s="398">
        <f t="shared" si="18"/>
        <v>24.444444444444446</v>
      </c>
      <c r="AM21" s="399">
        <f t="shared" si="19"/>
        <v>3.666666666666667</v>
      </c>
      <c r="AN21" s="420">
        <f t="shared" si="20"/>
        <v>18.518518518518519</v>
      </c>
      <c r="AO21" s="425">
        <f t="shared" si="21"/>
        <v>2.7777777777777777</v>
      </c>
      <c r="AP21" s="420">
        <f t="shared" ref="AP21:AP52" si="25">IF(A21="APP SLAB",0,(T21*$AP$1/12)/27+L21)</f>
        <v>21.60493827160494</v>
      </c>
      <c r="AQ21" s="425">
        <f t="shared" si="22"/>
        <v>3.2407407407407409</v>
      </c>
      <c r="AR21" s="454">
        <f t="shared" ref="AR21:AR71" si="26">IF(AND($E21=$F21="Uncurbed"),(2*$M21*2*$AR$1/12)/27,IF(OR($E21="Uncurbed",$F21="Uncurbed"),($M21*2*$AR$1/12)/27,IF(OR(AND($E21="Med. Barr.",$F21="Curbed"),AND($E21="Curbed",$F21="Med. Barr."),$E21=$F21,$E21="Unique",$F21="Unique",$E21="-",$F21="-"),0,"?")))</f>
        <v>3.7037037037037037</v>
      </c>
      <c r="AS21" s="85">
        <f t="shared" si="23"/>
        <v>200</v>
      </c>
      <c r="AT21" s="10"/>
    </row>
    <row r="22" spans="1:60" ht="12.75" customHeight="1" x14ac:dyDescent="0.2">
      <c r="A22" s="48" t="s">
        <v>50</v>
      </c>
      <c r="B22" s="335">
        <v>76300</v>
      </c>
      <c r="C22" s="336">
        <v>76983.05</v>
      </c>
      <c r="D22" s="337" t="s">
        <v>16</v>
      </c>
      <c r="E22" s="337" t="s">
        <v>107</v>
      </c>
      <c r="F22" s="337" t="s">
        <v>101</v>
      </c>
      <c r="G22" s="47" t="str">
        <f t="shared" si="0"/>
        <v>E/S - C/B</v>
      </c>
      <c r="H22" s="26">
        <f t="shared" si="1"/>
        <v>1.5</v>
      </c>
      <c r="I22" s="27">
        <f t="shared" si="2"/>
        <v>14.419944444444504</v>
      </c>
      <c r="J22" s="27">
        <f t="shared" si="3"/>
        <v>16.949759259259331</v>
      </c>
      <c r="K22" s="27">
        <f t="shared" si="4"/>
        <v>-4.5536666666666861</v>
      </c>
      <c r="L22" s="79">
        <v>0</v>
      </c>
      <c r="M22" s="83">
        <f>C22-B22</f>
        <v>683.05000000000291</v>
      </c>
      <c r="N22" s="384">
        <v>44.25</v>
      </c>
      <c r="O22" s="385">
        <v>20</v>
      </c>
      <c r="P22" s="222">
        <f>IF(N22="-",0,ROUNDUP($M22*N22,0))</f>
        <v>30225</v>
      </c>
      <c r="Q22" s="274">
        <f t="shared" si="6"/>
        <v>13662</v>
      </c>
      <c r="R22" s="394">
        <v>0</v>
      </c>
      <c r="S22" s="395">
        <v>0</v>
      </c>
      <c r="T22" s="221">
        <f t="shared" si="7"/>
        <v>30225</v>
      </c>
      <c r="U22" s="269">
        <f t="shared" si="8"/>
        <v>13662</v>
      </c>
      <c r="V22" s="345">
        <v>0</v>
      </c>
      <c r="W22" s="398">
        <f>IF(OR($A22="APP SLAB",T22=0),0,(T22+$H22*$M22)/9)</f>
        <v>3472.1750000000006</v>
      </c>
      <c r="X22" s="399">
        <f>IF($A22="APP SLAB",0,U22/9)</f>
        <v>1518</v>
      </c>
      <c r="Y22" s="410">
        <f t="shared" si="9"/>
        <v>1.7360875000000002</v>
      </c>
      <c r="Z22" s="411">
        <f t="shared" si="9"/>
        <v>0.75900000000000001</v>
      </c>
      <c r="AA22" s="398">
        <f t="shared" si="10"/>
        <v>0</v>
      </c>
      <c r="AB22" s="399">
        <f t="shared" si="10"/>
        <v>0</v>
      </c>
      <c r="AC22" s="398">
        <f t="shared" si="11"/>
        <v>0</v>
      </c>
      <c r="AD22" s="399">
        <f t="shared" si="12"/>
        <v>0</v>
      </c>
      <c r="AE22" s="398">
        <f t="shared" si="13"/>
        <v>0</v>
      </c>
      <c r="AF22" s="399">
        <f t="shared" si="14"/>
        <v>0</v>
      </c>
      <c r="AG22" s="348">
        <v>0</v>
      </c>
      <c r="AH22" s="421">
        <f t="shared" si="24"/>
        <v>1087.2208703703704</v>
      </c>
      <c r="AI22" s="422">
        <f t="shared" si="15"/>
        <v>484.91666666666669</v>
      </c>
      <c r="AJ22" s="420">
        <f t="shared" si="16"/>
        <v>576.67198148148145</v>
      </c>
      <c r="AK22" s="425">
        <f t="shared" si="17"/>
        <v>253</v>
      </c>
      <c r="AL22" s="398">
        <f t="shared" si="18"/>
        <v>184.70833333333334</v>
      </c>
      <c r="AM22" s="399">
        <f t="shared" si="19"/>
        <v>83.49</v>
      </c>
      <c r="AN22" s="420">
        <f t="shared" si="20"/>
        <v>135.37688888888886</v>
      </c>
      <c r="AO22" s="425">
        <f t="shared" si="21"/>
        <v>63.25</v>
      </c>
      <c r="AP22" s="420">
        <f t="shared" si="25"/>
        <v>163.25231481481481</v>
      </c>
      <c r="AQ22" s="425">
        <f t="shared" si="22"/>
        <v>73.791666666666671</v>
      </c>
      <c r="AR22" s="454">
        <f t="shared" si="26"/>
        <v>25.298148148148258</v>
      </c>
      <c r="AS22" s="85">
        <f t="shared" si="23"/>
        <v>1366.1000000000058</v>
      </c>
      <c r="AT22" s="10"/>
    </row>
    <row r="23" spans="1:60" ht="12.75" customHeight="1" x14ac:dyDescent="0.2">
      <c r="A23" s="48" t="s">
        <v>51</v>
      </c>
      <c r="B23" s="335">
        <v>76996</v>
      </c>
      <c r="C23" s="336">
        <v>77200</v>
      </c>
      <c r="D23" s="337" t="s">
        <v>16</v>
      </c>
      <c r="E23" s="337" t="s">
        <v>107</v>
      </c>
      <c r="F23" s="337" t="s">
        <v>101</v>
      </c>
      <c r="G23" s="47" t="str">
        <f t="shared" si="0"/>
        <v>E/S - C/B</v>
      </c>
      <c r="H23" s="26">
        <f t="shared" si="1"/>
        <v>1.5</v>
      </c>
      <c r="I23" s="27">
        <f t="shared" si="2"/>
        <v>4.3066666666666658</v>
      </c>
      <c r="J23" s="27">
        <f t="shared" si="3"/>
        <v>5.0622222222222222</v>
      </c>
      <c r="K23" s="27">
        <f t="shared" si="4"/>
        <v>-1.3599999999999999</v>
      </c>
      <c r="L23" s="79">
        <v>0</v>
      </c>
      <c r="M23" s="83">
        <f>C23-B23</f>
        <v>204</v>
      </c>
      <c r="N23" s="384">
        <v>41.42</v>
      </c>
      <c r="O23" s="385">
        <v>20</v>
      </c>
      <c r="P23" s="222">
        <f t="shared" ref="P23:P71" si="27">IF(N23="-",0,ROUNDUP($M23*N23,0))</f>
        <v>8450</v>
      </c>
      <c r="Q23" s="274">
        <f t="shared" si="6"/>
        <v>4080</v>
      </c>
      <c r="R23" s="394">
        <v>0</v>
      </c>
      <c r="S23" s="395">
        <v>0</v>
      </c>
      <c r="T23" s="221">
        <f t="shared" si="7"/>
        <v>8450</v>
      </c>
      <c r="U23" s="269">
        <f t="shared" si="8"/>
        <v>4080</v>
      </c>
      <c r="V23" s="345">
        <v>0</v>
      </c>
      <c r="W23" s="400">
        <v>0</v>
      </c>
      <c r="X23" s="401">
        <v>0</v>
      </c>
      <c r="Y23" s="410">
        <f t="shared" si="9"/>
        <v>0.48644444444444446</v>
      </c>
      <c r="Z23" s="411">
        <f t="shared" si="9"/>
        <v>0.22666666666666666</v>
      </c>
      <c r="AA23" s="398">
        <f t="shared" si="10"/>
        <v>972.88888888888891</v>
      </c>
      <c r="AB23" s="399">
        <f t="shared" si="10"/>
        <v>453.33333333333331</v>
      </c>
      <c r="AC23" s="398">
        <f t="shared" si="11"/>
        <v>972.88888888888891</v>
      </c>
      <c r="AD23" s="399">
        <f t="shared" si="12"/>
        <v>453.33333333333331</v>
      </c>
      <c r="AE23" s="398">
        <f t="shared" si="13"/>
        <v>28.894800000000004</v>
      </c>
      <c r="AF23" s="399">
        <f t="shared" si="14"/>
        <v>13.464</v>
      </c>
      <c r="AG23" s="348">
        <v>0</v>
      </c>
      <c r="AH23" s="421">
        <f t="shared" si="24"/>
        <v>304.22950617283954</v>
      </c>
      <c r="AI23" s="422">
        <f t="shared" si="15"/>
        <v>144.81481481481481</v>
      </c>
      <c r="AJ23" s="420">
        <f t="shared" si="16"/>
        <v>161.54370370370373</v>
      </c>
      <c r="AK23" s="425">
        <f t="shared" si="17"/>
        <v>75.555555555555557</v>
      </c>
      <c r="AL23" s="398">
        <f t="shared" si="18"/>
        <v>51.638888888888893</v>
      </c>
      <c r="AM23" s="399">
        <f t="shared" si="19"/>
        <v>24.933333333333334</v>
      </c>
      <c r="AN23" s="420">
        <f t="shared" si="20"/>
        <v>37.760370370370374</v>
      </c>
      <c r="AO23" s="425">
        <f t="shared" si="21"/>
        <v>18.888888888888889</v>
      </c>
      <c r="AP23" s="420">
        <f t="shared" si="25"/>
        <v>45.640432098765437</v>
      </c>
      <c r="AQ23" s="425">
        <f t="shared" si="22"/>
        <v>22.037037037037038</v>
      </c>
      <c r="AR23" s="454">
        <f t="shared" si="26"/>
        <v>7.5555555555555554</v>
      </c>
      <c r="AS23" s="85">
        <f t="shared" si="23"/>
        <v>408</v>
      </c>
      <c r="AT23" s="10"/>
    </row>
    <row r="24" spans="1:60" s="81" customFormat="1" ht="12.75" customHeight="1" x14ac:dyDescent="0.2">
      <c r="A24" s="106"/>
      <c r="B24" s="335">
        <v>77200</v>
      </c>
      <c r="C24" s="336">
        <v>77433.960000000006</v>
      </c>
      <c r="D24" s="337" t="s">
        <v>16</v>
      </c>
      <c r="E24" s="337" t="s">
        <v>107</v>
      </c>
      <c r="F24" s="337" t="s">
        <v>101</v>
      </c>
      <c r="G24" s="103" t="str">
        <f t="shared" si="0"/>
        <v>E/S - C/B</v>
      </c>
      <c r="H24" s="26">
        <f t="shared" si="1"/>
        <v>1.5</v>
      </c>
      <c r="I24" s="27">
        <f t="shared" si="2"/>
        <v>4.9391555555556907</v>
      </c>
      <c r="J24" s="27">
        <f t="shared" si="3"/>
        <v>5.8056740740742336</v>
      </c>
      <c r="K24" s="27">
        <f t="shared" si="4"/>
        <v>-1.559733333333376</v>
      </c>
      <c r="L24" s="79">
        <v>0</v>
      </c>
      <c r="M24" s="83">
        <f t="shared" si="5"/>
        <v>233.9600000000064</v>
      </c>
      <c r="N24" s="384">
        <v>41.42</v>
      </c>
      <c r="O24" s="385">
        <v>20</v>
      </c>
      <c r="P24" s="222">
        <f t="shared" si="27"/>
        <v>9691</v>
      </c>
      <c r="Q24" s="274">
        <f t="shared" si="6"/>
        <v>4680</v>
      </c>
      <c r="R24" s="394">
        <v>0</v>
      </c>
      <c r="S24" s="395">
        <v>0</v>
      </c>
      <c r="T24" s="221">
        <f t="shared" si="7"/>
        <v>9691</v>
      </c>
      <c r="U24" s="269">
        <f t="shared" si="8"/>
        <v>4680</v>
      </c>
      <c r="V24" s="345">
        <v>0</v>
      </c>
      <c r="W24" s="400">
        <v>0</v>
      </c>
      <c r="X24" s="401">
        <v>0</v>
      </c>
      <c r="Y24" s="410">
        <f t="shared" si="9"/>
        <v>0.55788555555555608</v>
      </c>
      <c r="Z24" s="411">
        <f t="shared" si="9"/>
        <v>0.26</v>
      </c>
      <c r="AA24" s="398">
        <f>IF(OR($A24="APP SLAB",W24&lt;&gt;0),0,AC24)</f>
        <v>1115.7711111111121</v>
      </c>
      <c r="AB24" s="399">
        <f t="shared" si="10"/>
        <v>520</v>
      </c>
      <c r="AC24" s="398">
        <f t="shared" si="11"/>
        <v>1115.7711111111121</v>
      </c>
      <c r="AD24" s="399">
        <f t="shared" si="12"/>
        <v>520</v>
      </c>
      <c r="AE24" s="398">
        <f t="shared" si="13"/>
        <v>33.138402000000028</v>
      </c>
      <c r="AF24" s="399">
        <f t="shared" si="14"/>
        <v>15.444000000000001</v>
      </c>
      <c r="AG24" s="348">
        <v>0</v>
      </c>
      <c r="AH24" s="421">
        <f t="shared" si="24"/>
        <v>348.90983456790144</v>
      </c>
      <c r="AI24" s="422">
        <f t="shared" si="15"/>
        <v>166.11111111111111</v>
      </c>
      <c r="AJ24" s="420">
        <f t="shared" si="16"/>
        <v>185.26863703703719</v>
      </c>
      <c r="AK24" s="425">
        <f t="shared" si="17"/>
        <v>86.666666666666671</v>
      </c>
      <c r="AL24" s="398">
        <f t="shared" si="18"/>
        <v>59.222777777777779</v>
      </c>
      <c r="AM24" s="399">
        <f t="shared" si="19"/>
        <v>28.6</v>
      </c>
      <c r="AN24" s="420">
        <f t="shared" si="20"/>
        <v>43.306007407407364</v>
      </c>
      <c r="AO24" s="425">
        <f t="shared" si="21"/>
        <v>21.666666666666668</v>
      </c>
      <c r="AP24" s="420">
        <f t="shared" si="25"/>
        <v>52.34336419753086</v>
      </c>
      <c r="AQ24" s="425">
        <f t="shared" si="22"/>
        <v>25.277777777777779</v>
      </c>
      <c r="AR24" s="454">
        <f t="shared" si="26"/>
        <v>8.6651851851854218</v>
      </c>
      <c r="AS24" s="85">
        <f t="shared" si="23"/>
        <v>467.92000000001281</v>
      </c>
      <c r="AT24" s="10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</row>
    <row r="25" spans="1:60" ht="12.75" customHeight="1" x14ac:dyDescent="0.2">
      <c r="B25" s="335">
        <v>77433.960000000006</v>
      </c>
      <c r="C25" s="336">
        <v>77533.960000000006</v>
      </c>
      <c r="D25" s="337" t="s">
        <v>16</v>
      </c>
      <c r="E25" s="337" t="s">
        <v>107</v>
      </c>
      <c r="F25" s="337" t="s">
        <v>101</v>
      </c>
      <c r="G25" s="47" t="str">
        <f t="shared" si="0"/>
        <v>E/S - C/B</v>
      </c>
      <c r="H25" s="26">
        <f t="shared" si="1"/>
        <v>1.5</v>
      </c>
      <c r="I25" s="27">
        <f t="shared" si="2"/>
        <v>2.1111111111111107</v>
      </c>
      <c r="J25" s="27">
        <f t="shared" si="3"/>
        <v>2.4814814814814814</v>
      </c>
      <c r="K25" s="27">
        <f t="shared" si="4"/>
        <v>-0.66666666666666663</v>
      </c>
      <c r="L25" s="79">
        <v>0</v>
      </c>
      <c r="M25" s="83">
        <f t="shared" si="5"/>
        <v>100</v>
      </c>
      <c r="N25" s="384">
        <v>45.42</v>
      </c>
      <c r="O25" s="385">
        <v>20</v>
      </c>
      <c r="P25" s="222">
        <f t="shared" si="27"/>
        <v>4542</v>
      </c>
      <c r="Q25" s="274">
        <f t="shared" si="6"/>
        <v>2000</v>
      </c>
      <c r="R25" s="394">
        <v>0</v>
      </c>
      <c r="S25" s="395">
        <v>0</v>
      </c>
      <c r="T25" s="221">
        <f t="shared" si="7"/>
        <v>4542</v>
      </c>
      <c r="U25" s="269">
        <f t="shared" si="8"/>
        <v>2000</v>
      </c>
      <c r="V25" s="345">
        <v>0</v>
      </c>
      <c r="W25" s="400">
        <v>0</v>
      </c>
      <c r="X25" s="401">
        <v>0</v>
      </c>
      <c r="Y25" s="410">
        <f t="shared" si="9"/>
        <v>0.26066666666666671</v>
      </c>
      <c r="Z25" s="411">
        <f t="shared" si="9"/>
        <v>0.11111111111111112</v>
      </c>
      <c r="AA25" s="398">
        <f>IF(OR($A25="APP SLAB",W25&lt;&gt;0),0,AC25)</f>
        <v>521.33333333333337</v>
      </c>
      <c r="AB25" s="399">
        <f t="shared" si="10"/>
        <v>222.22222222222223</v>
      </c>
      <c r="AC25" s="398">
        <f t="shared" si="11"/>
        <v>521.33333333333337</v>
      </c>
      <c r="AD25" s="399">
        <f t="shared" si="12"/>
        <v>222.22222222222223</v>
      </c>
      <c r="AE25" s="398">
        <f t="shared" si="13"/>
        <v>15.483599999999999</v>
      </c>
      <c r="AF25" s="399">
        <f t="shared" si="14"/>
        <v>6.6</v>
      </c>
      <c r="AG25" s="348">
        <v>0</v>
      </c>
      <c r="AH25" s="421">
        <f t="shared" si="24"/>
        <v>163.32407407407408</v>
      </c>
      <c r="AI25" s="422">
        <f t="shared" si="15"/>
        <v>70.987654320987659</v>
      </c>
      <c r="AJ25" s="420">
        <f t="shared" si="16"/>
        <v>86.592592592592595</v>
      </c>
      <c r="AK25" s="425">
        <f t="shared" si="17"/>
        <v>37.037037037037038</v>
      </c>
      <c r="AL25" s="398">
        <f t="shared" si="18"/>
        <v>27.756666666666668</v>
      </c>
      <c r="AM25" s="399">
        <f t="shared" si="19"/>
        <v>12.222222222222223</v>
      </c>
      <c r="AN25" s="420">
        <f t="shared" si="20"/>
        <v>20.361111111111111</v>
      </c>
      <c r="AO25" s="425">
        <f t="shared" si="21"/>
        <v>9.2592592592592595</v>
      </c>
      <c r="AP25" s="420">
        <f t="shared" si="25"/>
        <v>24.532407407407408</v>
      </c>
      <c r="AQ25" s="425">
        <f t="shared" si="22"/>
        <v>10.80246913580247</v>
      </c>
      <c r="AR25" s="454">
        <f t="shared" si="26"/>
        <v>3.7037037037037037</v>
      </c>
      <c r="AS25" s="85">
        <f t="shared" si="23"/>
        <v>200</v>
      </c>
      <c r="AT25" s="172"/>
    </row>
    <row r="26" spans="1:60" ht="12.75" customHeight="1" x14ac:dyDescent="0.2">
      <c r="B26" s="335">
        <v>77533.960000000006</v>
      </c>
      <c r="C26" s="336">
        <v>77983.44</v>
      </c>
      <c r="D26" s="337" t="s">
        <v>16</v>
      </c>
      <c r="E26" s="337" t="s">
        <v>107</v>
      </c>
      <c r="F26" s="337" t="s">
        <v>101</v>
      </c>
      <c r="G26" s="47" t="str">
        <f t="shared" si="0"/>
        <v>E/S - C/B</v>
      </c>
      <c r="H26" s="26">
        <f t="shared" si="1"/>
        <v>1.5</v>
      </c>
      <c r="I26" s="27">
        <f t="shared" si="2"/>
        <v>9.4890222222221361</v>
      </c>
      <c r="J26" s="27">
        <f t="shared" si="3"/>
        <v>11.153762962962864</v>
      </c>
      <c r="K26" s="27">
        <f t="shared" si="4"/>
        <v>-2.9965333333333062</v>
      </c>
      <c r="L26" s="79">
        <v>0</v>
      </c>
      <c r="M26" s="83">
        <f t="shared" si="5"/>
        <v>449.47999999999593</v>
      </c>
      <c r="N26" s="384">
        <v>49.42</v>
      </c>
      <c r="O26" s="385">
        <v>20</v>
      </c>
      <c r="P26" s="222">
        <f t="shared" si="27"/>
        <v>22214</v>
      </c>
      <c r="Q26" s="274">
        <f t="shared" si="6"/>
        <v>8990</v>
      </c>
      <c r="R26" s="394">
        <v>0</v>
      </c>
      <c r="S26" s="395">
        <v>0</v>
      </c>
      <c r="T26" s="221">
        <f t="shared" si="7"/>
        <v>22214</v>
      </c>
      <c r="U26" s="269">
        <f t="shared" si="8"/>
        <v>8990</v>
      </c>
      <c r="V26" s="345">
        <v>0</v>
      </c>
      <c r="W26" s="400">
        <v>0</v>
      </c>
      <c r="X26" s="401">
        <v>0</v>
      </c>
      <c r="Y26" s="410">
        <f t="shared" si="9"/>
        <v>1.2715677777777774</v>
      </c>
      <c r="Z26" s="411">
        <f t="shared" si="9"/>
        <v>0.49944444444444447</v>
      </c>
      <c r="AA26" s="398">
        <f t="shared" ref="AA26:AB71" si="28">IF(OR($A26="APP SLAB",W26&lt;&gt;0),0,AC26)</f>
        <v>2543.1355555555547</v>
      </c>
      <c r="AB26" s="399">
        <f t="shared" si="10"/>
        <v>998.88888888888891</v>
      </c>
      <c r="AC26" s="398">
        <f t="shared" si="11"/>
        <v>2543.1355555555547</v>
      </c>
      <c r="AD26" s="399">
        <f t="shared" si="12"/>
        <v>998.88888888888891</v>
      </c>
      <c r="AE26" s="398">
        <f t="shared" si="13"/>
        <v>75.531125999999972</v>
      </c>
      <c r="AF26" s="399">
        <f t="shared" si="14"/>
        <v>29.667000000000002</v>
      </c>
      <c r="AG26" s="348">
        <v>0</v>
      </c>
      <c r="AH26" s="421">
        <f t="shared" si="24"/>
        <v>797.94889876543209</v>
      </c>
      <c r="AI26" s="422">
        <f t="shared" si="15"/>
        <v>319.08950617283949</v>
      </c>
      <c r="AJ26" s="420">
        <f t="shared" si="16"/>
        <v>422.52413333333322</v>
      </c>
      <c r="AK26" s="425">
        <f t="shared" si="17"/>
        <v>166.4814814814815</v>
      </c>
      <c r="AL26" s="398">
        <f t="shared" si="18"/>
        <v>135.75222222222223</v>
      </c>
      <c r="AM26" s="399">
        <f t="shared" si="19"/>
        <v>54.93888888888889</v>
      </c>
      <c r="AN26" s="420">
        <f t="shared" si="20"/>
        <v>99.846059259259292</v>
      </c>
      <c r="AO26" s="425">
        <f t="shared" si="21"/>
        <v>41.620370370370374</v>
      </c>
      <c r="AP26" s="420">
        <f t="shared" si="25"/>
        <v>119.98302469135803</v>
      </c>
      <c r="AQ26" s="425">
        <f t="shared" si="22"/>
        <v>48.557098765432102</v>
      </c>
      <c r="AR26" s="454">
        <f t="shared" si="26"/>
        <v>16.647407407407258</v>
      </c>
      <c r="AS26" s="85">
        <f t="shared" si="23"/>
        <v>898.95999999999185</v>
      </c>
      <c r="AT26" s="172"/>
    </row>
    <row r="27" spans="1:60" ht="12.75" customHeight="1" x14ac:dyDescent="0.2">
      <c r="B27" s="335">
        <v>77983.44</v>
      </c>
      <c r="C27" s="336">
        <v>78812.36</v>
      </c>
      <c r="D27" s="337" t="s">
        <v>16</v>
      </c>
      <c r="E27" s="337" t="s">
        <v>107</v>
      </c>
      <c r="F27" s="337" t="s">
        <v>101</v>
      </c>
      <c r="G27" s="47" t="str">
        <f t="shared" si="0"/>
        <v>E/S - C/B</v>
      </c>
      <c r="H27" s="26">
        <f t="shared" si="1"/>
        <v>1.5</v>
      </c>
      <c r="I27" s="27">
        <f t="shared" si="2"/>
        <v>17.499422222222183</v>
      </c>
      <c r="J27" s="27">
        <f t="shared" si="3"/>
        <v>20.569496296296254</v>
      </c>
      <c r="K27" s="27">
        <f t="shared" si="4"/>
        <v>-5.5261333333333216</v>
      </c>
      <c r="L27" s="79">
        <v>0</v>
      </c>
      <c r="M27" s="83">
        <f t="shared" si="5"/>
        <v>828.91999999999825</v>
      </c>
      <c r="N27" s="384" t="s">
        <v>97</v>
      </c>
      <c r="O27" s="385" t="s">
        <v>97</v>
      </c>
      <c r="P27" s="222">
        <f t="shared" si="27"/>
        <v>0</v>
      </c>
      <c r="Q27" s="274">
        <f t="shared" si="6"/>
        <v>0</v>
      </c>
      <c r="R27" s="394">
        <v>52797</v>
      </c>
      <c r="S27" s="395">
        <v>16578</v>
      </c>
      <c r="T27" s="221">
        <f t="shared" si="7"/>
        <v>52797</v>
      </c>
      <c r="U27" s="269">
        <f t="shared" si="8"/>
        <v>16578</v>
      </c>
      <c r="V27" s="345">
        <v>0</v>
      </c>
      <c r="W27" s="400">
        <v>0</v>
      </c>
      <c r="X27" s="401">
        <v>0</v>
      </c>
      <c r="Y27" s="410">
        <f t="shared" si="9"/>
        <v>3.0022433333333334</v>
      </c>
      <c r="Z27" s="411">
        <f t="shared" si="9"/>
        <v>0.92100000000000004</v>
      </c>
      <c r="AA27" s="398">
        <f t="shared" si="28"/>
        <v>6004.4866666666667</v>
      </c>
      <c r="AB27" s="399">
        <f t="shared" si="10"/>
        <v>1842</v>
      </c>
      <c r="AC27" s="398">
        <f t="shared" si="11"/>
        <v>6004.4866666666667</v>
      </c>
      <c r="AD27" s="399">
        <f t="shared" si="12"/>
        <v>1842</v>
      </c>
      <c r="AE27" s="398">
        <f t="shared" si="13"/>
        <v>178.33325399999995</v>
      </c>
      <c r="AF27" s="399">
        <f t="shared" si="14"/>
        <v>54.707399999999993</v>
      </c>
      <c r="AG27" s="348">
        <v>0</v>
      </c>
      <c r="AH27" s="421">
        <f t="shared" si="24"/>
        <v>1891.4670148148148</v>
      </c>
      <c r="AI27" s="422">
        <f t="shared" si="15"/>
        <v>588.41666666666663</v>
      </c>
      <c r="AJ27" s="420">
        <f t="shared" si="16"/>
        <v>998.29171851851845</v>
      </c>
      <c r="AK27" s="425">
        <f t="shared" si="17"/>
        <v>307</v>
      </c>
      <c r="AL27" s="398">
        <f t="shared" si="18"/>
        <v>322.64833333333331</v>
      </c>
      <c r="AM27" s="399">
        <f t="shared" si="19"/>
        <v>101.31</v>
      </c>
      <c r="AN27" s="420">
        <f t="shared" si="20"/>
        <v>238.90442222222222</v>
      </c>
      <c r="AO27" s="425">
        <f t="shared" si="21"/>
        <v>76.75</v>
      </c>
      <c r="AP27" s="420">
        <f t="shared" si="25"/>
        <v>285.16898148148147</v>
      </c>
      <c r="AQ27" s="425">
        <f t="shared" si="22"/>
        <v>89.541666666666671</v>
      </c>
      <c r="AR27" s="454">
        <f t="shared" si="26"/>
        <v>30.700740740740677</v>
      </c>
      <c r="AS27" s="85">
        <f t="shared" si="23"/>
        <v>1657.8399999999965</v>
      </c>
      <c r="AT27" s="172"/>
    </row>
    <row r="28" spans="1:60" ht="12.75" customHeight="1" x14ac:dyDescent="0.2">
      <c r="B28" s="335">
        <v>78812.36</v>
      </c>
      <c r="C28" s="336">
        <v>79940.89</v>
      </c>
      <c r="D28" s="337" t="s">
        <v>16</v>
      </c>
      <c r="E28" s="337" t="s">
        <v>107</v>
      </c>
      <c r="F28" s="337" t="s">
        <v>107</v>
      </c>
      <c r="G28" s="47" t="str">
        <f t="shared" si="0"/>
        <v>C/B - C/B</v>
      </c>
      <c r="H28" s="26">
        <f t="shared" si="1"/>
        <v>0</v>
      </c>
      <c r="I28" s="27">
        <f t="shared" si="2"/>
        <v>0</v>
      </c>
      <c r="J28" s="27">
        <f t="shared" si="3"/>
        <v>0</v>
      </c>
      <c r="K28" s="27">
        <f t="shared" si="4"/>
        <v>-15.04706666666665</v>
      </c>
      <c r="L28" s="79">
        <v>0</v>
      </c>
      <c r="M28" s="83">
        <f t="shared" si="5"/>
        <v>1128.5299999999988</v>
      </c>
      <c r="N28" s="384">
        <v>42.6</v>
      </c>
      <c r="O28" s="385">
        <v>20</v>
      </c>
      <c r="P28" s="222">
        <f t="shared" si="27"/>
        <v>48076</v>
      </c>
      <c r="Q28" s="274">
        <f t="shared" si="6"/>
        <v>22571</v>
      </c>
      <c r="R28" s="394">
        <v>0</v>
      </c>
      <c r="S28" s="395">
        <v>0</v>
      </c>
      <c r="T28" s="221">
        <f t="shared" si="7"/>
        <v>48076</v>
      </c>
      <c r="U28" s="269">
        <f t="shared" si="8"/>
        <v>22571</v>
      </c>
      <c r="V28" s="345">
        <v>0</v>
      </c>
      <c r="W28" s="400">
        <v>0</v>
      </c>
      <c r="X28" s="401">
        <v>0</v>
      </c>
      <c r="Y28" s="410">
        <f t="shared" si="9"/>
        <v>2.6708888888888889</v>
      </c>
      <c r="Z28" s="411">
        <f t="shared" si="9"/>
        <v>1.2539444444444443</v>
      </c>
      <c r="AA28" s="398">
        <f t="shared" si="28"/>
        <v>5341.7777777777774</v>
      </c>
      <c r="AB28" s="399">
        <f t="shared" si="10"/>
        <v>2507.8888888888887</v>
      </c>
      <c r="AC28" s="398">
        <f t="shared" si="11"/>
        <v>5341.7777777777774</v>
      </c>
      <c r="AD28" s="399">
        <f t="shared" si="12"/>
        <v>2507.8888888888887</v>
      </c>
      <c r="AE28" s="398">
        <f t="shared" si="13"/>
        <v>158.65079999999998</v>
      </c>
      <c r="AF28" s="399">
        <f t="shared" si="14"/>
        <v>74.48429999999999</v>
      </c>
      <c r="AG28" s="348">
        <v>0</v>
      </c>
      <c r="AH28" s="421">
        <f t="shared" si="24"/>
        <v>1706.4012345679014</v>
      </c>
      <c r="AI28" s="422">
        <f t="shared" si="15"/>
        <v>801.13117283950623</v>
      </c>
      <c r="AJ28" s="420">
        <f t="shared" si="16"/>
        <v>890.2962962962963</v>
      </c>
      <c r="AK28" s="425">
        <f t="shared" si="17"/>
        <v>417.98148148148147</v>
      </c>
      <c r="AL28" s="398">
        <f t="shared" si="18"/>
        <v>293.79777777777775</v>
      </c>
      <c r="AM28" s="399">
        <f t="shared" si="19"/>
        <v>137.93388888888887</v>
      </c>
      <c r="AN28" s="420">
        <f t="shared" si="20"/>
        <v>207.52700740740744</v>
      </c>
      <c r="AO28" s="425">
        <f t="shared" si="21"/>
        <v>104.49537037037037</v>
      </c>
      <c r="AP28" s="420">
        <f t="shared" si="25"/>
        <v>259.66975308641975</v>
      </c>
      <c r="AQ28" s="425">
        <f t="shared" si="22"/>
        <v>121.91126543209876</v>
      </c>
      <c r="AR28" s="454">
        <f t="shared" si="26"/>
        <v>0</v>
      </c>
      <c r="AS28" s="85">
        <f t="shared" si="23"/>
        <v>2257.0599999999977</v>
      </c>
      <c r="AT28" s="172"/>
    </row>
    <row r="29" spans="1:60" ht="12.75" customHeight="1" x14ac:dyDescent="0.2">
      <c r="B29" s="335">
        <v>79940.89</v>
      </c>
      <c r="C29" s="336">
        <v>80220.25</v>
      </c>
      <c r="D29" s="337" t="s">
        <v>16</v>
      </c>
      <c r="E29" s="337" t="s">
        <v>107</v>
      </c>
      <c r="F29" s="337" t="s">
        <v>108</v>
      </c>
      <c r="G29" s="47" t="str">
        <f t="shared" si="0"/>
        <v>-</v>
      </c>
      <c r="H29" s="339">
        <v>4.33</v>
      </c>
      <c r="I29" s="338">
        <v>34.04</v>
      </c>
      <c r="J29" s="338">
        <v>21.62</v>
      </c>
      <c r="K29" s="338">
        <v>-1.86</v>
      </c>
      <c r="L29" s="338">
        <v>4.3499999999999996</v>
      </c>
      <c r="M29" s="83">
        <f t="shared" si="5"/>
        <v>279.36000000000058</v>
      </c>
      <c r="N29" s="384">
        <v>41.42</v>
      </c>
      <c r="O29" s="385">
        <v>20</v>
      </c>
      <c r="P29" s="222">
        <f t="shared" si="27"/>
        <v>11572</v>
      </c>
      <c r="Q29" s="274">
        <f t="shared" si="6"/>
        <v>5588</v>
      </c>
      <c r="R29" s="394">
        <v>0</v>
      </c>
      <c r="S29" s="395">
        <v>0</v>
      </c>
      <c r="T29" s="221">
        <f t="shared" si="7"/>
        <v>11572</v>
      </c>
      <c r="U29" s="269">
        <f t="shared" si="8"/>
        <v>5588</v>
      </c>
      <c r="V29" s="345">
        <v>0</v>
      </c>
      <c r="W29" s="398">
        <f>IF(OR($A29="APP SLAB",T29=0),0,(T29+$H29*$M29)/9)</f>
        <v>1420.180977777778</v>
      </c>
      <c r="X29" s="399">
        <f>IF($A29="APP SLAB",0,U29/9)</f>
        <v>620.88888888888891</v>
      </c>
      <c r="Y29" s="410">
        <f t="shared" si="9"/>
        <v>0.71009048888888904</v>
      </c>
      <c r="Z29" s="411">
        <f t="shared" si="9"/>
        <v>0.31044444444444447</v>
      </c>
      <c r="AA29" s="398">
        <f t="shared" si="28"/>
        <v>0</v>
      </c>
      <c r="AB29" s="399">
        <f t="shared" si="10"/>
        <v>0</v>
      </c>
      <c r="AC29" s="398">
        <f t="shared" si="11"/>
        <v>0</v>
      </c>
      <c r="AD29" s="399">
        <f t="shared" si="12"/>
        <v>0</v>
      </c>
      <c r="AE29" s="398">
        <f t="shared" si="13"/>
        <v>0</v>
      </c>
      <c r="AF29" s="399">
        <f t="shared" si="14"/>
        <v>0</v>
      </c>
      <c r="AG29" s="348">
        <v>0</v>
      </c>
      <c r="AH29" s="421">
        <f t="shared" si="24"/>
        <v>444.7745679012346</v>
      </c>
      <c r="AI29" s="422">
        <f t="shared" si="15"/>
        <v>198.33950617283952</v>
      </c>
      <c r="AJ29" s="420">
        <f t="shared" si="16"/>
        <v>235.91629629629631</v>
      </c>
      <c r="AK29" s="425">
        <f t="shared" si="17"/>
        <v>103.48148148148148</v>
      </c>
      <c r="AL29" s="398">
        <f t="shared" si="18"/>
        <v>70.717777777777783</v>
      </c>
      <c r="AM29" s="399">
        <f t="shared" si="19"/>
        <v>34.148888888888891</v>
      </c>
      <c r="AN29" s="420">
        <f t="shared" si="20"/>
        <v>51.714074074074077</v>
      </c>
      <c r="AO29" s="425">
        <f t="shared" si="21"/>
        <v>25.87037037037037</v>
      </c>
      <c r="AP29" s="420">
        <f t="shared" si="25"/>
        <v>66.853086419753083</v>
      </c>
      <c r="AQ29" s="425">
        <f t="shared" si="22"/>
        <v>30.182098765432098</v>
      </c>
      <c r="AR29" s="454">
        <f t="shared" si="26"/>
        <v>0</v>
      </c>
      <c r="AS29" s="85">
        <f t="shared" si="23"/>
        <v>558.72000000000116</v>
      </c>
      <c r="AT29" s="172"/>
    </row>
    <row r="30" spans="1:60" ht="12.75" customHeight="1" x14ac:dyDescent="0.2">
      <c r="B30" s="335">
        <v>80220.25</v>
      </c>
      <c r="C30" s="336">
        <v>80268.77</v>
      </c>
      <c r="D30" s="337" t="s">
        <v>16</v>
      </c>
      <c r="E30" s="337" t="s">
        <v>107</v>
      </c>
      <c r="F30" s="337" t="s">
        <v>102</v>
      </c>
      <c r="G30" s="47" t="str">
        <f t="shared" si="0"/>
        <v>F/C - C/B</v>
      </c>
      <c r="H30" s="26">
        <f>IF(AND($E30=$AU$2,$F30=$AU$2),2*$AW$13,IF(OR(AND($E30=$AU$2, $F30=$AU$3),AND($E30=$AU$3,$F30=$AU$2)),$AW$13+$AW$14,IF(OR(AND($E30=$AU$2,$F30=$AU$5),AND($E30=$AU$5,$F30=$AU$2)),$AW$13,IF(OR(AND($E30=$AU$3,$F30=$AU$5),AND($E30=$AU$5,$F30=$AU$3)),$AW$14,IF(AND($E30=$AU$3,$F30=$AU$3),2*$AW$14,0)))))</f>
        <v>2</v>
      </c>
      <c r="I30" s="27">
        <f>IF(AND($E30=$AU$2,$F30=$AU$2),2*$AZ$13*$M30/27,IF(OR(AND($E30=$AU$2,$F30=$AU$3),AND($E30=$AU$3,$F30=$AU$2)),$AZ$13*$M30/27,IF(OR(AND($E30=$AU$2,$F30=$AU$5),AND($E30=$AU$5,$F30=$AU$2)),$AZ$13*$M30/27,0)))</f>
        <v>0</v>
      </c>
      <c r="J30" s="27">
        <f>IF(AND($E30=$AU$2,$F30=$AU$2),2*$BC$13*$M30/27,IF(OR(AND($E30=$AU$2,$F30=$AU$3),AND($E30=$AU$3,$F30=$AU$2)),($BC$13+$BC$14)*$M30/27,IF(OR(AND($E30=$AU$2,$F30=$AU$5),AND($E30=$AU$5,$F30=$AU$2)),$BC$13*$M30/27,IF(OR(AND($E30=$AU$3,$F30=$AU$5),AND($E30=$AU$5,$F30=$AU$3)),$BC$14*$M30/27,IF(AND($E30=$AU$3,$F30=$AU$3),2*$BC$14*$M30/27,0)))))</f>
        <v>1.761096296296444</v>
      </c>
      <c r="K30" s="27">
        <f>IF(AND($E30=$AU$5,$F30=$AU$5),2*$BF$15*$M30/27,IF(OR($E30=$AU$5,$F30=$AU$5),$BF$15*$M30/27,0))</f>
        <v>-0.32346666666669383</v>
      </c>
      <c r="L30" s="338">
        <v>0</v>
      </c>
      <c r="M30" s="83">
        <f t="shared" si="5"/>
        <v>48.520000000004075</v>
      </c>
      <c r="N30" s="384">
        <v>42.42</v>
      </c>
      <c r="O30" s="385">
        <v>20</v>
      </c>
      <c r="P30" s="222">
        <f t="shared" si="27"/>
        <v>2059</v>
      </c>
      <c r="Q30" s="274">
        <f t="shared" si="6"/>
        <v>971</v>
      </c>
      <c r="R30" s="394">
        <v>0</v>
      </c>
      <c r="S30" s="395">
        <v>0</v>
      </c>
      <c r="T30" s="221">
        <f t="shared" si="7"/>
        <v>2059</v>
      </c>
      <c r="U30" s="269">
        <f t="shared" si="8"/>
        <v>971</v>
      </c>
      <c r="V30" s="345">
        <v>0</v>
      </c>
      <c r="W30" s="398">
        <f t="shared" ref="W30:W40" si="29">IF(OR($A30="APP SLAB",T30=0),0,(T30+$H30*$M30)/9)</f>
        <v>239.56000000000091</v>
      </c>
      <c r="X30" s="399">
        <f t="shared" ref="X30:X40" si="30">IF($A30="APP SLAB",0,U30/9)</f>
        <v>107.88888888888889</v>
      </c>
      <c r="Y30" s="410">
        <f t="shared" si="9"/>
        <v>0.11978000000000046</v>
      </c>
      <c r="Z30" s="411">
        <f t="shared" si="9"/>
        <v>5.3944444444444441E-2</v>
      </c>
      <c r="AA30" s="398">
        <f t="shared" si="28"/>
        <v>0</v>
      </c>
      <c r="AB30" s="399">
        <f t="shared" si="10"/>
        <v>0</v>
      </c>
      <c r="AC30" s="398">
        <f t="shared" si="11"/>
        <v>0</v>
      </c>
      <c r="AD30" s="399">
        <f t="shared" si="12"/>
        <v>0</v>
      </c>
      <c r="AE30" s="398">
        <f t="shared" si="13"/>
        <v>0</v>
      </c>
      <c r="AF30" s="399">
        <f t="shared" si="14"/>
        <v>0</v>
      </c>
      <c r="AG30" s="348">
        <v>0</v>
      </c>
      <c r="AH30" s="421">
        <f t="shared" si="24"/>
        <v>73.081790123456784</v>
      </c>
      <c r="AI30" s="422">
        <f t="shared" si="15"/>
        <v>34.464506172839506</v>
      </c>
      <c r="AJ30" s="420">
        <f t="shared" si="16"/>
        <v>39.89072592592607</v>
      </c>
      <c r="AK30" s="425">
        <f t="shared" si="17"/>
        <v>17.981481481481481</v>
      </c>
      <c r="AL30" s="398">
        <f t="shared" si="18"/>
        <v>12.582777777777778</v>
      </c>
      <c r="AM30" s="399">
        <f t="shared" si="19"/>
        <v>5.9338888888888883</v>
      </c>
      <c r="AN30" s="420">
        <f t="shared" si="20"/>
        <v>9.2089407407407133</v>
      </c>
      <c r="AO30" s="425">
        <f t="shared" si="21"/>
        <v>4.4953703703703702</v>
      </c>
      <c r="AP30" s="420">
        <f t="shared" si="25"/>
        <v>11.121141975308641</v>
      </c>
      <c r="AQ30" s="425">
        <f t="shared" si="22"/>
        <v>5.244598765432098</v>
      </c>
      <c r="AR30" s="454">
        <f t="shared" si="26"/>
        <v>0</v>
      </c>
      <c r="AS30" s="85">
        <f t="shared" si="23"/>
        <v>97.040000000008149</v>
      </c>
      <c r="AT30" s="172"/>
    </row>
    <row r="31" spans="1:60" ht="12.75" customHeight="1" x14ac:dyDescent="0.2">
      <c r="B31" s="335">
        <v>80268.77</v>
      </c>
      <c r="C31" s="336">
        <v>80591.100000000006</v>
      </c>
      <c r="D31" s="337" t="s">
        <v>16</v>
      </c>
      <c r="E31" s="337" t="s">
        <v>107</v>
      </c>
      <c r="F31" s="337" t="s">
        <v>102</v>
      </c>
      <c r="G31" s="47" t="str">
        <f t="shared" si="0"/>
        <v>F/C - C/B</v>
      </c>
      <c r="H31" s="26">
        <f>IF(AND($E31=$AU$2,$F31=$AU$2),2*$AW$13,IF(OR(AND($E31=$AU$2, $F31=$AU$3),AND($E31=$AU$3,$F31=$AU$2)),$AW$13+$AW$14,IF(OR(AND($E31=$AU$2,$F31=$AU$5),AND($E31=$AU$5,$F31=$AU$2)),$AW$13,IF(OR(AND($E31=$AU$3,$F31=$AU$5),AND($E31=$AU$5,$F31=$AU$3)),$AW$14,IF(AND($E31=$AU$3,$F31=$AU$3),2*$AW$14,0)))))</f>
        <v>2</v>
      </c>
      <c r="I31" s="27">
        <f>IF(AND($E31=$AU$2,$F31=$AU$2),2*$AZ$13*$M31/27,IF(OR(AND($E31=$AU$2,$F31=$AU$3),AND($E31=$AU$3,$F31=$AU$2)),$AZ$13*$M31/27,IF(OR(AND($E31=$AU$2,$F31=$AU$5),AND($E31=$AU$5,$F31=$AU$2)),$AZ$13*$M31/27,0)))</f>
        <v>0</v>
      </c>
      <c r="J31" s="27">
        <f>IF(AND($E31=$AU$2,$F31=$AU$2),2*$BC$13*$M31/27,IF(OR(AND($E31=$AU$2,$F31=$AU$3),AND($E31=$AU$3,$F31=$AU$2)),($BC$13+$BC$14)*$M31/27,IF(OR(AND($E31=$AU$2,$F31=$AU$5),AND($E31=$AU$5,$F31=$AU$2)),$BC$13*$M31/27,IF(OR(AND($E31=$AU$3,$F31=$AU$5),AND($E31=$AU$5,$F31=$AU$3)),$BC$14*$M31/27,IF(AND($E31=$AU$3,$F31=$AU$3),2*$BC$14*$M31/27,0)))))</f>
        <v>11.699385185185248</v>
      </c>
      <c r="K31" s="27">
        <f>IF(AND($E31=$AU$5,$F31=$AU$5),2*$BF$15*$M31/27,IF(OR($E31=$AU$5,$F31=$AU$5),$BF$15*$M31/27,0))</f>
        <v>-2.1488666666666782</v>
      </c>
      <c r="L31" s="338">
        <v>0</v>
      </c>
      <c r="M31" s="83">
        <f t="shared" si="5"/>
        <v>322.33000000000175</v>
      </c>
      <c r="N31" s="384">
        <v>43.42</v>
      </c>
      <c r="O31" s="385">
        <v>20</v>
      </c>
      <c r="P31" s="222">
        <f t="shared" si="27"/>
        <v>13996</v>
      </c>
      <c r="Q31" s="274">
        <f t="shared" si="6"/>
        <v>6447</v>
      </c>
      <c r="R31" s="394">
        <v>0</v>
      </c>
      <c r="S31" s="395">
        <v>0</v>
      </c>
      <c r="T31" s="221">
        <f t="shared" si="7"/>
        <v>13996</v>
      </c>
      <c r="U31" s="269">
        <f t="shared" si="8"/>
        <v>6447</v>
      </c>
      <c r="V31" s="345">
        <v>0</v>
      </c>
      <c r="W31" s="398">
        <f t="shared" si="29"/>
        <v>1626.7400000000005</v>
      </c>
      <c r="X31" s="399">
        <f t="shared" si="30"/>
        <v>716.33333333333337</v>
      </c>
      <c r="Y31" s="410">
        <f t="shared" si="9"/>
        <v>0.81337000000000026</v>
      </c>
      <c r="Z31" s="411">
        <f t="shared" si="9"/>
        <v>0.35816666666666669</v>
      </c>
      <c r="AA31" s="398">
        <f t="shared" si="28"/>
        <v>0</v>
      </c>
      <c r="AB31" s="399">
        <f t="shared" si="10"/>
        <v>0</v>
      </c>
      <c r="AC31" s="398">
        <f t="shared" si="11"/>
        <v>0</v>
      </c>
      <c r="AD31" s="399">
        <f t="shared" si="12"/>
        <v>0</v>
      </c>
      <c r="AE31" s="398">
        <f t="shared" si="13"/>
        <v>0</v>
      </c>
      <c r="AF31" s="399">
        <f t="shared" si="14"/>
        <v>0</v>
      </c>
      <c r="AG31" s="348">
        <v>0</v>
      </c>
      <c r="AH31" s="421">
        <f t="shared" si="24"/>
        <v>496.77160493827165</v>
      </c>
      <c r="AI31" s="422">
        <f t="shared" si="15"/>
        <v>228.8287037037037</v>
      </c>
      <c r="AJ31" s="420">
        <f t="shared" si="16"/>
        <v>270.8845703703704</v>
      </c>
      <c r="AK31" s="425">
        <f t="shared" si="17"/>
        <v>119.38888888888889</v>
      </c>
      <c r="AL31" s="398">
        <f t="shared" si="18"/>
        <v>85.531111111111116</v>
      </c>
      <c r="AM31" s="399">
        <f t="shared" si="19"/>
        <v>39.398333333333333</v>
      </c>
      <c r="AN31" s="420">
        <f t="shared" si="20"/>
        <v>62.647429629629613</v>
      </c>
      <c r="AO31" s="425">
        <f t="shared" si="21"/>
        <v>29.847222222222221</v>
      </c>
      <c r="AP31" s="420">
        <f t="shared" si="25"/>
        <v>75.59567901234567</v>
      </c>
      <c r="AQ31" s="425">
        <f t="shared" si="22"/>
        <v>34.82175925925926</v>
      </c>
      <c r="AR31" s="454">
        <f t="shared" si="26"/>
        <v>0</v>
      </c>
      <c r="AS31" s="85">
        <f t="shared" si="23"/>
        <v>644.66000000000349</v>
      </c>
      <c r="AT31" s="172"/>
    </row>
    <row r="32" spans="1:60" ht="12.75" customHeight="1" x14ac:dyDescent="0.2">
      <c r="B32" s="335">
        <v>80591.67</v>
      </c>
      <c r="C32" s="336">
        <v>80616.89</v>
      </c>
      <c r="D32" s="337" t="s">
        <v>16</v>
      </c>
      <c r="E32" s="337" t="s">
        <v>97</v>
      </c>
      <c r="F32" s="337" t="s">
        <v>102</v>
      </c>
      <c r="G32" s="47" t="str">
        <f t="shared" si="0"/>
        <v>-</v>
      </c>
      <c r="H32" s="339">
        <v>2</v>
      </c>
      <c r="I32" s="338">
        <v>0</v>
      </c>
      <c r="J32" s="338">
        <v>0.92</v>
      </c>
      <c r="K32" s="338">
        <v>0</v>
      </c>
      <c r="L32" s="338">
        <v>0</v>
      </c>
      <c r="M32" s="83">
        <f t="shared" si="5"/>
        <v>25.220000000001164</v>
      </c>
      <c r="N32" s="384" t="s">
        <v>97</v>
      </c>
      <c r="O32" s="385" t="s">
        <v>97</v>
      </c>
      <c r="P32" s="222">
        <f t="shared" si="27"/>
        <v>0</v>
      </c>
      <c r="Q32" s="274">
        <f t="shared" si="6"/>
        <v>0</v>
      </c>
      <c r="R32" s="394">
        <v>592</v>
      </c>
      <c r="S32" s="395">
        <v>252</v>
      </c>
      <c r="T32" s="221">
        <f t="shared" si="7"/>
        <v>592</v>
      </c>
      <c r="U32" s="269">
        <f t="shared" si="8"/>
        <v>252</v>
      </c>
      <c r="V32" s="345">
        <v>0</v>
      </c>
      <c r="W32" s="398">
        <f t="shared" si="29"/>
        <v>71.382222222222481</v>
      </c>
      <c r="X32" s="399">
        <f t="shared" si="30"/>
        <v>28</v>
      </c>
      <c r="Y32" s="410">
        <f t="shared" si="9"/>
        <v>3.5691111111111243E-2</v>
      </c>
      <c r="Z32" s="411">
        <f t="shared" si="9"/>
        <v>1.4E-2</v>
      </c>
      <c r="AA32" s="398">
        <f t="shared" si="28"/>
        <v>0</v>
      </c>
      <c r="AB32" s="399">
        <f t="shared" si="10"/>
        <v>0</v>
      </c>
      <c r="AC32" s="398">
        <f t="shared" si="11"/>
        <v>0</v>
      </c>
      <c r="AD32" s="399">
        <f t="shared" si="12"/>
        <v>0</v>
      </c>
      <c r="AE32" s="398">
        <f t="shared" si="13"/>
        <v>0</v>
      </c>
      <c r="AF32" s="399">
        <f t="shared" si="14"/>
        <v>0</v>
      </c>
      <c r="AG32" s="348">
        <v>0</v>
      </c>
      <c r="AH32" s="421">
        <f t="shared" si="24"/>
        <v>21.012345679012348</v>
      </c>
      <c r="AI32" s="422">
        <f t="shared" si="15"/>
        <v>8.9444444444444446</v>
      </c>
      <c r="AJ32" s="420">
        <f t="shared" si="16"/>
        <v>11.882962962962964</v>
      </c>
      <c r="AK32" s="425">
        <f t="shared" si="17"/>
        <v>4.666666666666667</v>
      </c>
      <c r="AL32" s="398">
        <f t="shared" si="18"/>
        <v>3.6177777777777775</v>
      </c>
      <c r="AM32" s="399">
        <f t="shared" si="19"/>
        <v>1.54</v>
      </c>
      <c r="AN32" s="420">
        <f t="shared" si="20"/>
        <v>2.7407407407407409</v>
      </c>
      <c r="AO32" s="425">
        <f t="shared" si="21"/>
        <v>1.1666666666666667</v>
      </c>
      <c r="AP32" s="420">
        <f t="shared" si="25"/>
        <v>3.1975308641975309</v>
      </c>
      <c r="AQ32" s="425">
        <f t="shared" si="22"/>
        <v>1.3611111111111112</v>
      </c>
      <c r="AR32" s="454">
        <f t="shared" si="26"/>
        <v>0</v>
      </c>
      <c r="AS32" s="85">
        <f t="shared" si="23"/>
        <v>50.440000000002328</v>
      </c>
      <c r="AT32" s="172"/>
    </row>
    <row r="33" spans="1:58" ht="12.75" customHeight="1" x14ac:dyDescent="0.2">
      <c r="A33" s="1" t="s">
        <v>28</v>
      </c>
      <c r="B33" s="335">
        <v>80591.100000000006</v>
      </c>
      <c r="C33" s="336">
        <v>80621.100000000006</v>
      </c>
      <c r="D33" s="337" t="s">
        <v>16</v>
      </c>
      <c r="E33" s="337" t="s">
        <v>97</v>
      </c>
      <c r="F33" s="337" t="s">
        <v>97</v>
      </c>
      <c r="G33" s="47" t="str">
        <f t="shared" si="0"/>
        <v>-</v>
      </c>
      <c r="H33" s="26">
        <f>IF(AND($E33=$AU$2,$F33=$AU$2),2*$AW$13,IF(OR(AND($E33=$AU$2, $F33=$AU$3),AND($E33=$AU$3,$F33=$AU$2)),$AW$13+$AW$14,IF(OR(AND($E33=$AU$2,$F33=$AU$5),AND($E33=$AU$5,$F33=$AU$2)),$AW$13,IF(OR(AND($E33=$AU$3,$F33=$AU$5),AND($E33=$AU$5,$F33=$AU$3)),$AW$14,IF(AND($E33=$AU$3,$F33=$AU$3),2*$AW$14,0)))))</f>
        <v>0</v>
      </c>
      <c r="I33" s="27">
        <f>IF(AND($E33=$AU$2,$F33=$AU$2),2*$AZ$13*$M33/27,IF(OR(AND($E33=$AU$2,$F33=$AU$3),AND($E33=$AU$3,$F33=$AU$2)),$AZ$13*$M33/27,IF(OR(AND($E33=$AU$2,$F33=$AU$5),AND($E33=$AU$5,$F33=$AU$2)),$AZ$13*$M33/27,0)))</f>
        <v>0</v>
      </c>
      <c r="J33" s="27">
        <f>IF(AND($E33=$AU$2,$F33=$AU$2),2*$BC$13*$M33/27,IF(OR(AND($E33=$AU$2,$F33=$AU$3),AND($E33=$AU$3,$F33=$AU$2)),($BC$13+$BC$14)*$M33/27,IF(OR(AND($E33=$AU$2,$F33=$AU$5),AND($E33=$AU$5,$F33=$AU$2)),$BC$13*$M33/27,IF(OR(AND($E33=$AU$3,$F33=$AU$5),AND($E33=$AU$5,$F33=$AU$3)),$BC$14*$M33/27,IF(AND($E33=$AU$3,$F33=$AU$3),2*$BC$14*$M33/27,0)))))</f>
        <v>0</v>
      </c>
      <c r="K33" s="27">
        <f>IF(AND($E33=$AU$5,$F33=$AU$5),2*$BF$15*$M33/27,IF(OR($E33=$AU$5,$F33=$AU$5),$BF$15*$M33/27,0))</f>
        <v>0</v>
      </c>
      <c r="L33" s="338">
        <v>0</v>
      </c>
      <c r="M33" s="83">
        <f t="shared" si="5"/>
        <v>30</v>
      </c>
      <c r="N33" s="384" t="s">
        <v>97</v>
      </c>
      <c r="O33" s="385" t="s">
        <v>97</v>
      </c>
      <c r="P33" s="222">
        <f t="shared" si="27"/>
        <v>0</v>
      </c>
      <c r="Q33" s="274">
        <f t="shared" si="6"/>
        <v>0</v>
      </c>
      <c r="R33" s="394">
        <v>1378</v>
      </c>
      <c r="S33" s="395">
        <v>600</v>
      </c>
      <c r="T33" s="221">
        <f t="shared" si="7"/>
        <v>1378</v>
      </c>
      <c r="U33" s="269">
        <f t="shared" si="8"/>
        <v>600</v>
      </c>
      <c r="V33" s="345">
        <v>0</v>
      </c>
      <c r="W33" s="398">
        <f t="shared" si="29"/>
        <v>0</v>
      </c>
      <c r="X33" s="399">
        <f t="shared" si="30"/>
        <v>0</v>
      </c>
      <c r="Y33" s="410">
        <f t="shared" si="9"/>
        <v>0</v>
      </c>
      <c r="Z33" s="411">
        <f t="shared" si="9"/>
        <v>0</v>
      </c>
      <c r="AA33" s="398">
        <f t="shared" si="28"/>
        <v>0</v>
      </c>
      <c r="AB33" s="399">
        <f t="shared" si="10"/>
        <v>0</v>
      </c>
      <c r="AC33" s="398">
        <f t="shared" si="11"/>
        <v>0</v>
      </c>
      <c r="AD33" s="399">
        <f t="shared" si="12"/>
        <v>0</v>
      </c>
      <c r="AE33" s="398">
        <f t="shared" si="13"/>
        <v>0</v>
      </c>
      <c r="AF33" s="399">
        <f t="shared" si="14"/>
        <v>0</v>
      </c>
      <c r="AG33" s="348">
        <v>0</v>
      </c>
      <c r="AH33" s="421">
        <f t="shared" si="24"/>
        <v>0</v>
      </c>
      <c r="AI33" s="422">
        <f t="shared" si="15"/>
        <v>0</v>
      </c>
      <c r="AJ33" s="420">
        <f t="shared" si="16"/>
        <v>25.518518518518519</v>
      </c>
      <c r="AK33" s="425">
        <f t="shared" si="17"/>
        <v>11.111111111111111</v>
      </c>
      <c r="AL33" s="398">
        <f t="shared" si="18"/>
        <v>0</v>
      </c>
      <c r="AM33" s="399">
        <f t="shared" si="19"/>
        <v>0</v>
      </c>
      <c r="AN33" s="420">
        <f t="shared" si="20"/>
        <v>0</v>
      </c>
      <c r="AO33" s="425">
        <f t="shared" si="21"/>
        <v>0</v>
      </c>
      <c r="AP33" s="420">
        <f t="shared" si="25"/>
        <v>0</v>
      </c>
      <c r="AQ33" s="425">
        <f t="shared" si="22"/>
        <v>0</v>
      </c>
      <c r="AR33" s="454">
        <f t="shared" si="26"/>
        <v>0</v>
      </c>
      <c r="AS33" s="85">
        <f t="shared" si="23"/>
        <v>0</v>
      </c>
      <c r="AT33" s="172"/>
    </row>
    <row r="34" spans="1:58" ht="12.75" customHeight="1" x14ac:dyDescent="0.2">
      <c r="A34" s="1" t="s">
        <v>28</v>
      </c>
      <c r="B34" s="335">
        <v>80726.02</v>
      </c>
      <c r="C34" s="336">
        <v>80756.02</v>
      </c>
      <c r="D34" s="337" t="s">
        <v>16</v>
      </c>
      <c r="E34" s="337" t="s">
        <v>97</v>
      </c>
      <c r="F34" s="337" t="s">
        <v>97</v>
      </c>
      <c r="G34" s="47" t="str">
        <f t="shared" si="0"/>
        <v>-</v>
      </c>
      <c r="H34" s="26">
        <f>IF(AND($E34=$AU$2,$F34=$AU$2),2*$AW$13,IF(OR(AND($E34=$AU$2, $F34=$AU$3),AND($E34=$AU$3,$F34=$AU$2)),$AW$13+$AW$14,IF(OR(AND($E34=$AU$2,$F34=$AU$5),AND($E34=$AU$5,$F34=$AU$2)),$AW$13,IF(OR(AND($E34=$AU$3,$F34=$AU$5),AND($E34=$AU$5,$F34=$AU$3)),$AW$14,IF(AND($E34=$AU$3,$F34=$AU$3),2*$AW$14,0)))))</f>
        <v>0</v>
      </c>
      <c r="I34" s="27">
        <f>IF(AND($E34=$AU$2,$F34=$AU$2),2*$AZ$13*$M34/27,IF(OR(AND($E34=$AU$2,$F34=$AU$3),AND($E34=$AU$3,$F34=$AU$2)),$AZ$13*$M34/27,IF(OR(AND($E34=$AU$2,$F34=$AU$5),AND($E34=$AU$5,$F34=$AU$2)),$AZ$13*$M34/27,0)))</f>
        <v>0</v>
      </c>
      <c r="J34" s="27">
        <f>IF(AND($E34=$AU$2,$F34=$AU$2),2*$BC$13*$M34/27,IF(OR(AND($E34=$AU$2,$F34=$AU$3),AND($E34=$AU$3,$F34=$AU$2)),($BC$13+$BC$14)*$M34/27,IF(OR(AND($E34=$AU$2,$F34=$AU$5),AND($E34=$AU$5,$F34=$AU$2)),$BC$13*$M34/27,IF(OR(AND($E34=$AU$3,$F34=$AU$5),AND($E34=$AU$5,$F34=$AU$3)),$BC$14*$M34/27,IF(AND($E34=$AU$3,$F34=$AU$3),2*$BC$14*$M34/27,0)))))</f>
        <v>0</v>
      </c>
      <c r="K34" s="27">
        <f>IF(AND($E34=$AU$5,$F34=$AU$5),2*$BF$15*$M34/27,IF(OR($E34=$AU$5,$F34=$AU$5),$BF$15*$M34/27,0))</f>
        <v>0</v>
      </c>
      <c r="L34" s="338">
        <v>0</v>
      </c>
      <c r="M34" s="83">
        <f t="shared" si="5"/>
        <v>30</v>
      </c>
      <c r="N34" s="384" t="s">
        <v>97</v>
      </c>
      <c r="O34" s="385" t="s">
        <v>97</v>
      </c>
      <c r="P34" s="222">
        <f t="shared" si="27"/>
        <v>0</v>
      </c>
      <c r="Q34" s="274">
        <f t="shared" si="6"/>
        <v>0</v>
      </c>
      <c r="R34" s="394">
        <v>1384</v>
      </c>
      <c r="S34" s="395">
        <v>600</v>
      </c>
      <c r="T34" s="221">
        <f t="shared" si="7"/>
        <v>1384</v>
      </c>
      <c r="U34" s="269">
        <f t="shared" si="8"/>
        <v>600</v>
      </c>
      <c r="V34" s="345">
        <v>0</v>
      </c>
      <c r="W34" s="398">
        <f t="shared" si="29"/>
        <v>0</v>
      </c>
      <c r="X34" s="399">
        <f t="shared" si="30"/>
        <v>0</v>
      </c>
      <c r="Y34" s="410">
        <f t="shared" si="9"/>
        <v>0</v>
      </c>
      <c r="Z34" s="411">
        <f t="shared" si="9"/>
        <v>0</v>
      </c>
      <c r="AA34" s="398">
        <f t="shared" si="28"/>
        <v>0</v>
      </c>
      <c r="AB34" s="399">
        <f t="shared" si="10"/>
        <v>0</v>
      </c>
      <c r="AC34" s="398">
        <f t="shared" si="11"/>
        <v>0</v>
      </c>
      <c r="AD34" s="399">
        <f t="shared" si="12"/>
        <v>0</v>
      </c>
      <c r="AE34" s="398">
        <f t="shared" si="13"/>
        <v>0</v>
      </c>
      <c r="AF34" s="399">
        <f t="shared" si="14"/>
        <v>0</v>
      </c>
      <c r="AG34" s="348">
        <v>0</v>
      </c>
      <c r="AH34" s="421">
        <f t="shared" si="24"/>
        <v>0</v>
      </c>
      <c r="AI34" s="422">
        <f t="shared" si="15"/>
        <v>0</v>
      </c>
      <c r="AJ34" s="420">
        <f t="shared" si="16"/>
        <v>25.62962962962963</v>
      </c>
      <c r="AK34" s="425">
        <f t="shared" si="17"/>
        <v>11.111111111111111</v>
      </c>
      <c r="AL34" s="398">
        <f t="shared" si="18"/>
        <v>0</v>
      </c>
      <c r="AM34" s="399">
        <f t="shared" si="19"/>
        <v>0</v>
      </c>
      <c r="AN34" s="420">
        <f t="shared" si="20"/>
        <v>0</v>
      </c>
      <c r="AO34" s="425">
        <f t="shared" si="21"/>
        <v>0</v>
      </c>
      <c r="AP34" s="420">
        <f t="shared" si="25"/>
        <v>0</v>
      </c>
      <c r="AQ34" s="425">
        <f t="shared" si="22"/>
        <v>0</v>
      </c>
      <c r="AR34" s="454">
        <f t="shared" si="26"/>
        <v>0</v>
      </c>
      <c r="AS34" s="85">
        <f t="shared" si="23"/>
        <v>0</v>
      </c>
      <c r="AT34" s="172"/>
    </row>
    <row r="35" spans="1:58" ht="12.75" customHeight="1" x14ac:dyDescent="0.2">
      <c r="B35" s="335">
        <v>80756.02</v>
      </c>
      <c r="C35" s="336">
        <v>80776.289999999994</v>
      </c>
      <c r="D35" s="337" t="s">
        <v>16</v>
      </c>
      <c r="E35" s="337" t="s">
        <v>107</v>
      </c>
      <c r="F35" s="337" t="s">
        <v>97</v>
      </c>
      <c r="G35" s="47" t="str">
        <f t="shared" si="0"/>
        <v>-</v>
      </c>
      <c r="H35" s="339">
        <v>0</v>
      </c>
      <c r="I35" s="338">
        <v>0</v>
      </c>
      <c r="J35" s="338">
        <v>0</v>
      </c>
      <c r="K35" s="338">
        <v>-0.14000000000000001</v>
      </c>
      <c r="L35" s="338">
        <v>0</v>
      </c>
      <c r="M35" s="83">
        <f t="shared" si="5"/>
        <v>20.269999999989523</v>
      </c>
      <c r="N35" s="384" t="s">
        <v>97</v>
      </c>
      <c r="O35" s="385" t="s">
        <v>97</v>
      </c>
      <c r="P35" s="222">
        <f t="shared" si="27"/>
        <v>0</v>
      </c>
      <c r="Q35" s="274">
        <f t="shared" si="6"/>
        <v>0</v>
      </c>
      <c r="R35" s="394">
        <v>440</v>
      </c>
      <c r="S35" s="395">
        <v>203</v>
      </c>
      <c r="T35" s="221">
        <f t="shared" si="7"/>
        <v>440</v>
      </c>
      <c r="U35" s="269">
        <f t="shared" si="8"/>
        <v>203</v>
      </c>
      <c r="V35" s="345">
        <v>0</v>
      </c>
      <c r="W35" s="398">
        <f t="shared" si="29"/>
        <v>48.888888888888886</v>
      </c>
      <c r="X35" s="399">
        <f t="shared" si="30"/>
        <v>22.555555555555557</v>
      </c>
      <c r="Y35" s="410">
        <f t="shared" si="9"/>
        <v>2.4444444444444442E-2</v>
      </c>
      <c r="Z35" s="411">
        <f t="shared" si="9"/>
        <v>1.1277777777777779E-2</v>
      </c>
      <c r="AA35" s="398">
        <f t="shared" si="28"/>
        <v>0</v>
      </c>
      <c r="AB35" s="399">
        <f t="shared" si="10"/>
        <v>0</v>
      </c>
      <c r="AC35" s="398">
        <f t="shared" si="11"/>
        <v>0</v>
      </c>
      <c r="AD35" s="399">
        <f t="shared" si="12"/>
        <v>0</v>
      </c>
      <c r="AE35" s="398">
        <f t="shared" si="13"/>
        <v>0</v>
      </c>
      <c r="AF35" s="399">
        <f t="shared" si="14"/>
        <v>0</v>
      </c>
      <c r="AG35" s="348">
        <v>0</v>
      </c>
      <c r="AH35" s="421">
        <f t="shared" si="24"/>
        <v>15.617283950617285</v>
      </c>
      <c r="AI35" s="422">
        <f t="shared" si="15"/>
        <v>7.2052469135802468</v>
      </c>
      <c r="AJ35" s="420">
        <f t="shared" si="16"/>
        <v>8.1481481481481488</v>
      </c>
      <c r="AK35" s="425">
        <f t="shared" si="17"/>
        <v>3.7592592592592591</v>
      </c>
      <c r="AL35" s="398">
        <f t="shared" si="18"/>
        <v>2.6888888888888887</v>
      </c>
      <c r="AM35" s="399">
        <f t="shared" si="19"/>
        <v>1.2405555555555556</v>
      </c>
      <c r="AN35" s="420">
        <f t="shared" si="20"/>
        <v>1.8970370370370371</v>
      </c>
      <c r="AO35" s="425">
        <f t="shared" si="21"/>
        <v>0.93981481481481477</v>
      </c>
      <c r="AP35" s="420">
        <f t="shared" si="25"/>
        <v>2.3765432098765435</v>
      </c>
      <c r="AQ35" s="425">
        <f t="shared" si="22"/>
        <v>1.0964506172839508</v>
      </c>
      <c r="AR35" s="454">
        <f t="shared" si="26"/>
        <v>0</v>
      </c>
      <c r="AS35" s="85">
        <f t="shared" si="23"/>
        <v>40.539999999979045</v>
      </c>
      <c r="AT35" s="172"/>
    </row>
    <row r="36" spans="1:58" ht="12.75" customHeight="1" x14ac:dyDescent="0.2">
      <c r="B36" s="335">
        <v>80776.289999999994</v>
      </c>
      <c r="C36" s="336">
        <v>80969.399999999994</v>
      </c>
      <c r="D36" s="337" t="s">
        <v>16</v>
      </c>
      <c r="E36" s="337" t="s">
        <v>107</v>
      </c>
      <c r="F36" s="337" t="s">
        <v>102</v>
      </c>
      <c r="G36" s="47" t="str">
        <f t="shared" si="0"/>
        <v>F/C - C/B</v>
      </c>
      <c r="H36" s="26">
        <f>IF(AND($E36=$AU$2,$F36=$AU$2),2*$AW$13,IF(OR(AND($E36=$AU$2, $F36=$AU$3),AND($E36=$AU$3,$F36=$AU$2)),$AW$13+$AW$14,IF(OR(AND($E36=$AU$2,$F36=$AU$5),AND($E36=$AU$5,$F36=$AU$2)),$AW$13,IF(OR(AND($E36=$AU$3,$F36=$AU$5),AND($E36=$AU$5,$F36=$AU$3)),$AW$14,IF(AND($E36=$AU$3,$F36=$AU$3),2*$AW$14,0)))))</f>
        <v>2</v>
      </c>
      <c r="I36" s="27">
        <f>IF(AND($E36=$AU$2,$F36=$AU$2),2*$AZ$13*$M36/27,IF(OR(AND($E36=$AU$2,$F36=$AU$3),AND($E36=$AU$3,$F36=$AU$2)),$AZ$13*$M36/27,IF(OR(AND($E36=$AU$2,$F36=$AU$5),AND($E36=$AU$5,$F36=$AU$2)),$AZ$13*$M36/27,0)))</f>
        <v>0</v>
      </c>
      <c r="J36" s="27">
        <f>IF(AND($E36=$AU$2,$F36=$AU$2),2*$BC$13*$M36/27,IF(OR(AND($E36=$AU$2,$F36=$AU$3),AND($E36=$AU$3,$F36=$AU$2)),($BC$13+$BC$14)*$M36/27,IF(OR(AND($E36=$AU$2,$F36=$AU$5),AND($E36=$AU$5,$F36=$AU$2)),$BC$13*$M36/27,IF(OR(AND($E36=$AU$3,$F36=$AU$5),AND($E36=$AU$5,$F36=$AU$3)),$BC$14*$M36/27,IF(AND($E36=$AU$3,$F36=$AU$3),2*$BC$14*$M36/27,0)))))</f>
        <v>7.0091777777777997</v>
      </c>
      <c r="K36" s="27">
        <f>IF(AND($E36=$AU$5,$F36=$AU$5),2*$BF$15*$M36/27,IF(OR($E36=$AU$5,$F36=$AU$5),$BF$15*$M36/27,0))</f>
        <v>-1.2874000000000039</v>
      </c>
      <c r="L36" s="338">
        <v>0</v>
      </c>
      <c r="M36" s="83">
        <f t="shared" si="5"/>
        <v>193.11000000000058</v>
      </c>
      <c r="N36" s="384">
        <v>43.42</v>
      </c>
      <c r="O36" s="385">
        <v>20</v>
      </c>
      <c r="P36" s="222">
        <f t="shared" si="27"/>
        <v>8385</v>
      </c>
      <c r="Q36" s="274">
        <f t="shared" si="6"/>
        <v>3863</v>
      </c>
      <c r="R36" s="394">
        <v>0</v>
      </c>
      <c r="S36" s="395">
        <v>0</v>
      </c>
      <c r="T36" s="221">
        <f t="shared" si="7"/>
        <v>8385</v>
      </c>
      <c r="U36" s="269">
        <f t="shared" si="8"/>
        <v>3863</v>
      </c>
      <c r="V36" s="345">
        <v>0</v>
      </c>
      <c r="W36" s="398">
        <f t="shared" si="29"/>
        <v>974.58000000000015</v>
      </c>
      <c r="X36" s="399">
        <f t="shared" si="30"/>
        <v>429.22222222222223</v>
      </c>
      <c r="Y36" s="410">
        <f t="shared" si="9"/>
        <v>0.48729000000000006</v>
      </c>
      <c r="Z36" s="411">
        <f t="shared" si="9"/>
        <v>0.21461111111111111</v>
      </c>
      <c r="AA36" s="398">
        <f t="shared" si="28"/>
        <v>0</v>
      </c>
      <c r="AB36" s="399">
        <f t="shared" si="28"/>
        <v>0</v>
      </c>
      <c r="AC36" s="398">
        <f t="shared" si="11"/>
        <v>0</v>
      </c>
      <c r="AD36" s="399">
        <f t="shared" si="12"/>
        <v>0</v>
      </c>
      <c r="AE36" s="398">
        <f t="shared" si="13"/>
        <v>0</v>
      </c>
      <c r="AF36" s="399">
        <f t="shared" si="14"/>
        <v>0</v>
      </c>
      <c r="AG36" s="348">
        <v>0</v>
      </c>
      <c r="AH36" s="421">
        <f t="shared" si="24"/>
        <v>297.61574074074076</v>
      </c>
      <c r="AI36" s="422">
        <f t="shared" si="15"/>
        <v>137.11265432098764</v>
      </c>
      <c r="AJ36" s="420">
        <f t="shared" si="16"/>
        <v>162.28695555555558</v>
      </c>
      <c r="AK36" s="425">
        <f t="shared" si="17"/>
        <v>71.537037037037038</v>
      </c>
      <c r="AL36" s="398">
        <f t="shared" si="18"/>
        <v>51.241666666666667</v>
      </c>
      <c r="AM36" s="399">
        <f t="shared" si="19"/>
        <v>23.607222222222223</v>
      </c>
      <c r="AN36" s="420">
        <f t="shared" si="20"/>
        <v>37.532044444444438</v>
      </c>
      <c r="AO36" s="425">
        <f t="shared" si="21"/>
        <v>17.88425925925926</v>
      </c>
      <c r="AP36" s="420">
        <f t="shared" si="25"/>
        <v>45.289351851851855</v>
      </c>
      <c r="AQ36" s="425">
        <f t="shared" si="22"/>
        <v>20.864969135802468</v>
      </c>
      <c r="AR36" s="454">
        <f t="shared" si="26"/>
        <v>0</v>
      </c>
      <c r="AS36" s="85">
        <f t="shared" si="23"/>
        <v>386.22000000000116</v>
      </c>
      <c r="AT36" s="172"/>
    </row>
    <row r="37" spans="1:58" ht="12.75" customHeight="1" x14ac:dyDescent="0.2">
      <c r="B37" s="335">
        <v>80969.399999999994</v>
      </c>
      <c r="C37" s="336">
        <v>81317.06</v>
      </c>
      <c r="D37" s="337" t="s">
        <v>16</v>
      </c>
      <c r="E37" s="337" t="s">
        <v>107</v>
      </c>
      <c r="F37" s="337" t="s">
        <v>101</v>
      </c>
      <c r="G37" s="47" t="str">
        <f t="shared" si="0"/>
        <v>E/S - C/B</v>
      </c>
      <c r="H37" s="26">
        <f>IF(AND($E37=$AU$2,$F37=$AU$2),2*$AW$13,IF(OR(AND($E37=$AU$2, $F37=$AU$3),AND($E37=$AU$3,$F37=$AU$2)),$AW$13+$AW$14,IF(OR(AND($E37=$AU$2,$F37=$AU$5),AND($E37=$AU$5,$F37=$AU$2)),$AW$13,IF(OR(AND($E37=$AU$3,$F37=$AU$5),AND($E37=$AU$5,$F37=$AU$3)),$AW$14,IF(AND($E37=$AU$3,$F37=$AU$3),2*$AW$14,0)))))</f>
        <v>1.5</v>
      </c>
      <c r="I37" s="27">
        <f>IF(AND($E37=$AU$2,$F37=$AU$2),2*$AZ$13*$M37/27,IF(OR(AND($E37=$AU$2,$F37=$AU$3),AND($E37=$AU$3,$F37=$AU$2)),$AZ$13*$M37/27,IF(OR(AND($E37=$AU$2,$F37=$AU$5),AND($E37=$AU$5,$F37=$AU$2)),$AZ$13*$M37/27,0)))</f>
        <v>7.3394888888889618</v>
      </c>
      <c r="J37" s="27">
        <f>IF(AND($E37=$AU$2,$F37=$AU$2),2*$BC$13*$M37/27,IF(OR(AND($E37=$AU$2,$F37=$AU$3),AND($E37=$AU$3,$F37=$AU$2)),($BC$13+$BC$14)*$M37/27,IF(OR(AND($E37=$AU$2,$F37=$AU$5),AND($E37=$AU$5,$F37=$AU$2)),$BC$13*$M37/27,IF(OR(AND($E37=$AU$3,$F37=$AU$5),AND($E37=$AU$5,$F37=$AU$3)),$BC$14*$M37/27,IF(AND($E37=$AU$3,$F37=$AU$3),2*$BC$14*$M37/27,0)))))</f>
        <v>8.6271185185186052</v>
      </c>
      <c r="K37" s="27">
        <f>IF(AND($E37=$AU$5,$F37=$AU$5),2*$BF$15*$M37/27,IF(OR($E37=$AU$5,$F37=$AU$5),$BF$15*$M37/27,0))</f>
        <v>-2.3177333333333565</v>
      </c>
      <c r="L37" s="338">
        <v>0</v>
      </c>
      <c r="M37" s="83">
        <f t="shared" si="5"/>
        <v>347.66000000000349</v>
      </c>
      <c r="N37" s="384">
        <v>41.42</v>
      </c>
      <c r="O37" s="385">
        <v>20</v>
      </c>
      <c r="P37" s="222">
        <f t="shared" si="27"/>
        <v>14401</v>
      </c>
      <c r="Q37" s="274">
        <f t="shared" si="6"/>
        <v>6954</v>
      </c>
      <c r="R37" s="394">
        <v>0</v>
      </c>
      <c r="S37" s="395">
        <v>0</v>
      </c>
      <c r="T37" s="221">
        <f t="shared" si="7"/>
        <v>14401</v>
      </c>
      <c r="U37" s="269">
        <f t="shared" si="8"/>
        <v>6954</v>
      </c>
      <c r="V37" s="345">
        <v>0</v>
      </c>
      <c r="W37" s="398">
        <f t="shared" si="29"/>
        <v>1658.0544444444449</v>
      </c>
      <c r="X37" s="399">
        <f t="shared" si="30"/>
        <v>772.66666666666663</v>
      </c>
      <c r="Y37" s="410">
        <f t="shared" si="9"/>
        <v>0.82902722222222247</v>
      </c>
      <c r="Z37" s="411">
        <f t="shared" si="9"/>
        <v>0.38633333333333331</v>
      </c>
      <c r="AA37" s="398">
        <f t="shared" si="28"/>
        <v>0</v>
      </c>
      <c r="AB37" s="399">
        <f t="shared" si="28"/>
        <v>0</v>
      </c>
      <c r="AC37" s="398">
        <f t="shared" si="11"/>
        <v>0</v>
      </c>
      <c r="AD37" s="399">
        <f t="shared" si="12"/>
        <v>0</v>
      </c>
      <c r="AE37" s="398">
        <f t="shared" si="13"/>
        <v>0</v>
      </c>
      <c r="AF37" s="399">
        <f t="shared" si="14"/>
        <v>0</v>
      </c>
      <c r="AG37" s="348">
        <v>0</v>
      </c>
      <c r="AH37" s="421">
        <f t="shared" si="24"/>
        <v>518.48609382716063</v>
      </c>
      <c r="AI37" s="422">
        <f t="shared" si="15"/>
        <v>246.82407407407408</v>
      </c>
      <c r="AJ37" s="420">
        <f t="shared" si="16"/>
        <v>275.31230370370378</v>
      </c>
      <c r="AK37" s="425">
        <f t="shared" si="17"/>
        <v>128.77777777777777</v>
      </c>
      <c r="AL37" s="398">
        <f t="shared" si="18"/>
        <v>88.00611111111111</v>
      </c>
      <c r="AM37" s="399">
        <f t="shared" si="19"/>
        <v>42.496666666666663</v>
      </c>
      <c r="AN37" s="420">
        <f t="shared" si="20"/>
        <v>64.35356296296294</v>
      </c>
      <c r="AO37" s="425">
        <f t="shared" si="21"/>
        <v>32.194444444444443</v>
      </c>
      <c r="AP37" s="420">
        <f t="shared" si="25"/>
        <v>77.783179012345684</v>
      </c>
      <c r="AQ37" s="425">
        <f t="shared" si="22"/>
        <v>37.560185185185183</v>
      </c>
      <c r="AR37" s="454">
        <f t="shared" si="26"/>
        <v>12.876296296296426</v>
      </c>
      <c r="AS37" s="85">
        <f t="shared" si="23"/>
        <v>695.32000000000698</v>
      </c>
      <c r="AT37" s="172"/>
    </row>
    <row r="38" spans="1:58" ht="12.75" customHeight="1" x14ac:dyDescent="0.2">
      <c r="B38" s="335">
        <v>81317.06</v>
      </c>
      <c r="C38" s="336">
        <v>81343.72</v>
      </c>
      <c r="D38" s="337" t="s">
        <v>16</v>
      </c>
      <c r="E38" s="337" t="s">
        <v>97</v>
      </c>
      <c r="F38" s="337" t="s">
        <v>101</v>
      </c>
      <c r="G38" s="47" t="str">
        <f t="shared" si="0"/>
        <v>-</v>
      </c>
      <c r="H38" s="339">
        <v>1.5</v>
      </c>
      <c r="I38" s="338">
        <v>0.42</v>
      </c>
      <c r="J38" s="338">
        <v>0.5</v>
      </c>
      <c r="K38" s="338">
        <v>0</v>
      </c>
      <c r="L38" s="338">
        <v>0</v>
      </c>
      <c r="M38" s="83">
        <f t="shared" si="5"/>
        <v>26.660000000003492</v>
      </c>
      <c r="N38" s="384" t="s">
        <v>97</v>
      </c>
      <c r="O38" s="385" t="s">
        <v>97</v>
      </c>
      <c r="P38" s="222">
        <f t="shared" si="27"/>
        <v>0</v>
      </c>
      <c r="Q38" s="274">
        <f t="shared" si="6"/>
        <v>0</v>
      </c>
      <c r="R38" s="394">
        <v>1971</v>
      </c>
      <c r="S38" s="395">
        <v>267</v>
      </c>
      <c r="T38" s="221">
        <f t="shared" si="7"/>
        <v>1971</v>
      </c>
      <c r="U38" s="269">
        <f t="shared" si="8"/>
        <v>267</v>
      </c>
      <c r="V38" s="345">
        <v>0</v>
      </c>
      <c r="W38" s="398">
        <f t="shared" si="29"/>
        <v>223.44333333333392</v>
      </c>
      <c r="X38" s="399">
        <f t="shared" si="30"/>
        <v>29.666666666666668</v>
      </c>
      <c r="Y38" s="410">
        <f t="shared" si="9"/>
        <v>0.11172166666666697</v>
      </c>
      <c r="Z38" s="411">
        <f t="shared" si="9"/>
        <v>1.4833333333333334E-2</v>
      </c>
      <c r="AA38" s="398">
        <f t="shared" si="28"/>
        <v>0</v>
      </c>
      <c r="AB38" s="399">
        <f t="shared" si="28"/>
        <v>0</v>
      </c>
      <c r="AC38" s="398">
        <f t="shared" si="11"/>
        <v>0</v>
      </c>
      <c r="AD38" s="399">
        <f t="shared" si="12"/>
        <v>0</v>
      </c>
      <c r="AE38" s="398">
        <f t="shared" si="13"/>
        <v>0</v>
      </c>
      <c r="AF38" s="399">
        <f t="shared" si="14"/>
        <v>0</v>
      </c>
      <c r="AG38" s="348">
        <v>0</v>
      </c>
      <c r="AH38" s="421">
        <f t="shared" si="24"/>
        <v>70.37833333333333</v>
      </c>
      <c r="AI38" s="422">
        <f t="shared" si="15"/>
        <v>9.4768518518518512</v>
      </c>
      <c r="AJ38" s="420">
        <f t="shared" si="16"/>
        <v>37</v>
      </c>
      <c r="AK38" s="425">
        <f t="shared" si="17"/>
        <v>4.9444444444444446</v>
      </c>
      <c r="AL38" s="398">
        <f t="shared" si="18"/>
        <v>12.045</v>
      </c>
      <c r="AM38" s="399">
        <f t="shared" si="19"/>
        <v>1.6316666666666668</v>
      </c>
      <c r="AN38" s="420">
        <f t="shared" si="20"/>
        <v>9.125</v>
      </c>
      <c r="AO38" s="425">
        <f t="shared" si="21"/>
        <v>1.2361111111111112</v>
      </c>
      <c r="AP38" s="420">
        <f t="shared" si="25"/>
        <v>10.645833333333334</v>
      </c>
      <c r="AQ38" s="425">
        <f t="shared" si="22"/>
        <v>1.4421296296296295</v>
      </c>
      <c r="AR38" s="454">
        <f t="shared" si="26"/>
        <v>0.98740740740753674</v>
      </c>
      <c r="AS38" s="85">
        <f t="shared" si="23"/>
        <v>53.320000000006985</v>
      </c>
      <c r="AT38" s="172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</row>
    <row r="39" spans="1:58" ht="12.75" customHeight="1" x14ac:dyDescent="0.2">
      <c r="A39" s="1" t="s">
        <v>28</v>
      </c>
      <c r="B39" s="335">
        <v>81316.66</v>
      </c>
      <c r="C39" s="336">
        <v>81346.66</v>
      </c>
      <c r="D39" s="337" t="s">
        <v>16</v>
      </c>
      <c r="E39" s="337" t="s">
        <v>97</v>
      </c>
      <c r="F39" s="337" t="s">
        <v>97</v>
      </c>
      <c r="G39" s="47" t="str">
        <f t="shared" si="0"/>
        <v>-</v>
      </c>
      <c r="H39" s="26">
        <v>4</v>
      </c>
      <c r="I39" s="27">
        <f>IF(AND($E39=$AU$2,$F39=$AU$2),2*$AZ$13*$M39/27,IF(OR(AND($E39=$AU$2,$F39=$AU$3),AND($E39=$AU$3,$F39=$AU$2)),$AZ$13*$M39/27,IF(OR(AND($E39=$AU$2,$F39=$AU$5),AND($E39=$AU$5,$F39=$AU$2)),$AZ$13*$M39/27,0)))</f>
        <v>0</v>
      </c>
      <c r="J39" s="27">
        <f>IF(AND($E39=$AU$2,$F39=$AU$2),2*$BC$13*$M39/27,IF(OR(AND($E39=$AU$2,$F39=$AU$3),AND($E39=$AU$3,$F39=$AU$2)),($BC$13+$BC$14)*$M39/27,IF(OR(AND($E39=$AU$2,$F39=$AU$5),AND($E39=$AU$5,$F39=$AU$2)),$BC$13*$M39/27,IF(OR(AND($E39=$AU$3,$F39=$AU$5),AND($E39=$AU$5,$F39=$AU$3)),$BC$14*$M39/27,IF(AND($E39=$AU$3,$F39=$AU$3),2*$BC$14*$M39/27,0)))))</f>
        <v>0</v>
      </c>
      <c r="K39" s="27">
        <f>IF(AND($E39=$AU$5,$F39=$AU$5),2*$BF$15*$M39/27,IF(OR($E39=$AU$5,$F39=$AU$5),$BF$15*$M39/27,0))</f>
        <v>0</v>
      </c>
      <c r="L39" s="338">
        <v>0</v>
      </c>
      <c r="M39" s="83">
        <f t="shared" si="5"/>
        <v>30</v>
      </c>
      <c r="N39" s="384" t="s">
        <v>97</v>
      </c>
      <c r="O39" s="385" t="s">
        <v>97</v>
      </c>
      <c r="P39" s="222">
        <f t="shared" si="27"/>
        <v>0</v>
      </c>
      <c r="Q39" s="274">
        <f t="shared" si="6"/>
        <v>0</v>
      </c>
      <c r="R39" s="394">
        <v>1217</v>
      </c>
      <c r="S39" s="395">
        <v>600</v>
      </c>
      <c r="T39" s="221">
        <f t="shared" si="7"/>
        <v>1217</v>
      </c>
      <c r="U39" s="269">
        <f t="shared" si="8"/>
        <v>600</v>
      </c>
      <c r="V39" s="345">
        <v>0</v>
      </c>
      <c r="W39" s="398">
        <f>IF(OR(T39=0),0,(T39+$H39*$M39)/9)</f>
        <v>148.55555555555554</v>
      </c>
      <c r="X39" s="399">
        <f>IF($A39="",0,U39/9)</f>
        <v>66.666666666666671</v>
      </c>
      <c r="Y39" s="410">
        <f t="shared" si="9"/>
        <v>7.4277777777777776E-2</v>
      </c>
      <c r="Z39" s="411">
        <f t="shared" si="9"/>
        <v>3.3333333333333333E-2</v>
      </c>
      <c r="AA39" s="398">
        <f>IF(OR(W39&lt;&gt;0),0,AC39)</f>
        <v>0</v>
      </c>
      <c r="AB39" s="399">
        <f>IF(OR(X39&lt;&gt;0),0,AD39)</f>
        <v>0</v>
      </c>
      <c r="AC39" s="398">
        <f>IF(OR(W39&lt;&gt;0),0,(T39+$H39*$M39)/9)</f>
        <v>0</v>
      </c>
      <c r="AD39" s="399">
        <f>IF(OR(X39&lt;&gt;0),0,U39/9)</f>
        <v>0</v>
      </c>
      <c r="AE39" s="398">
        <f>IF(OR(W39&lt;&gt;0),0,$AC$1*AC39*110*0.06*0.75/2000)</f>
        <v>0</v>
      </c>
      <c r="AF39" s="399">
        <f>IF(OR(X39&lt;&gt;0),0,$AC$1*AD39*110*0.06*0.75/2000)</f>
        <v>0</v>
      </c>
      <c r="AG39" s="348">
        <v>0</v>
      </c>
      <c r="AH39" s="421">
        <f t="shared" si="24"/>
        <v>0</v>
      </c>
      <c r="AI39" s="422">
        <f t="shared" si="15"/>
        <v>0</v>
      </c>
      <c r="AJ39" s="420">
        <f t="shared" si="16"/>
        <v>22.537037037037038</v>
      </c>
      <c r="AK39" s="425">
        <f t="shared" si="17"/>
        <v>11.111111111111111</v>
      </c>
      <c r="AL39" s="398">
        <f t="shared" si="18"/>
        <v>0</v>
      </c>
      <c r="AM39" s="399">
        <f t="shared" si="19"/>
        <v>0</v>
      </c>
      <c r="AN39" s="420">
        <f t="shared" si="20"/>
        <v>0</v>
      </c>
      <c r="AO39" s="425">
        <f t="shared" si="21"/>
        <v>0</v>
      </c>
      <c r="AP39" s="420">
        <f t="shared" si="25"/>
        <v>0</v>
      </c>
      <c r="AQ39" s="425">
        <f t="shared" si="22"/>
        <v>0</v>
      </c>
      <c r="AR39" s="454">
        <f t="shared" si="26"/>
        <v>0</v>
      </c>
      <c r="AS39" s="85">
        <f t="shared" si="23"/>
        <v>0</v>
      </c>
      <c r="AT39" s="172"/>
    </row>
    <row r="40" spans="1:58" ht="12.75" customHeight="1" x14ac:dyDescent="0.2">
      <c r="A40" s="1" t="s">
        <v>28</v>
      </c>
      <c r="B40" s="335">
        <v>81611.210000000006</v>
      </c>
      <c r="C40" s="336">
        <v>81641.210000000006</v>
      </c>
      <c r="D40" s="337" t="s">
        <v>16</v>
      </c>
      <c r="E40" s="337" t="s">
        <v>97</v>
      </c>
      <c r="F40" s="337" t="s">
        <v>97</v>
      </c>
      <c r="G40" s="47" t="str">
        <f t="shared" si="0"/>
        <v>-</v>
      </c>
      <c r="H40" s="26">
        <v>4</v>
      </c>
      <c r="I40" s="27">
        <f>IF(AND($E40=$AU$2,$F40=$AU$2),2*$AZ$13*$M40/27,IF(OR(AND($E40=$AU$2,$F40=$AU$3),AND($E40=$AU$3,$F40=$AU$2)),$AZ$13*$M40/27,IF(OR(AND($E40=$AU$2,$F40=$AU$5),AND($E40=$AU$5,$F40=$AU$2)),$AZ$13*$M40/27,0)))</f>
        <v>0</v>
      </c>
      <c r="J40" s="27">
        <f>IF(AND($E40=$AU$2,$F40=$AU$2),2*$BC$13*$M40/27,IF(OR(AND($E40=$AU$2,$F40=$AU$3),AND($E40=$AU$3,$F40=$AU$2)),($BC$13+$BC$14)*$M40/27,IF(OR(AND($E40=$AU$2,$F40=$AU$5),AND($E40=$AU$5,$F40=$AU$2)),$BC$13*$M40/27,IF(OR(AND($E40=$AU$3,$F40=$AU$5),AND($E40=$AU$5,$F40=$AU$3)),$BC$14*$M40/27,IF(AND($E40=$AU$3,$F40=$AU$3),2*$BC$14*$M40/27,0)))))</f>
        <v>0</v>
      </c>
      <c r="K40" s="27">
        <f>IF(AND($E40=$AU$5,$F40=$AU$5),2*$BF$15*$M40/27,IF(OR($E40=$AU$5,$F40=$AU$5),$BF$15*$M40/27,0))</f>
        <v>0</v>
      </c>
      <c r="L40" s="338">
        <v>0</v>
      </c>
      <c r="M40" s="83">
        <f t="shared" si="5"/>
        <v>30</v>
      </c>
      <c r="N40" s="384" t="s">
        <v>97</v>
      </c>
      <c r="O40" s="385" t="s">
        <v>97</v>
      </c>
      <c r="P40" s="222">
        <f t="shared" si="27"/>
        <v>0</v>
      </c>
      <c r="Q40" s="274">
        <f t="shared" si="6"/>
        <v>0</v>
      </c>
      <c r="R40" s="394">
        <v>1965</v>
      </c>
      <c r="S40" s="395">
        <v>600</v>
      </c>
      <c r="T40" s="221">
        <f t="shared" si="7"/>
        <v>1965</v>
      </c>
      <c r="U40" s="269">
        <f t="shared" si="8"/>
        <v>600</v>
      </c>
      <c r="V40" s="345">
        <v>0</v>
      </c>
      <c r="W40" s="398">
        <f t="shared" si="29"/>
        <v>0</v>
      </c>
      <c r="X40" s="399">
        <f t="shared" si="30"/>
        <v>0</v>
      </c>
      <c r="Y40" s="410">
        <f t="shared" si="9"/>
        <v>0.11583333333333333</v>
      </c>
      <c r="Z40" s="411">
        <f t="shared" si="9"/>
        <v>3.3333333333333333E-2</v>
      </c>
      <c r="AA40" s="398">
        <f>IF(OR(W40&lt;&gt;0),0,AC40)</f>
        <v>231.66666666666666</v>
      </c>
      <c r="AB40" s="399">
        <f>IF(OR(X40&lt;&gt;0),0,AD40)</f>
        <v>66.666666666666671</v>
      </c>
      <c r="AC40" s="398">
        <f>IF(OR(W40&lt;&gt;0),0,(T40+$H40*$M40)/9)</f>
        <v>231.66666666666666</v>
      </c>
      <c r="AD40" s="399">
        <f>IF(OR(X40&lt;&gt;0),0,U40/9)</f>
        <v>66.666666666666671</v>
      </c>
      <c r="AE40" s="398">
        <f>IF(OR(W40&lt;&gt;0),0,$AC$1*AC40*110*0.06*0.75/2000)</f>
        <v>6.8804999999999996</v>
      </c>
      <c r="AF40" s="399">
        <f>IF(OR(X40&lt;&gt;0),0,$AC$1*AD40*110*0.06*0.75/2000)</f>
        <v>1.98</v>
      </c>
      <c r="AG40" s="348">
        <v>0</v>
      </c>
      <c r="AH40" s="421">
        <f t="shared" si="24"/>
        <v>0</v>
      </c>
      <c r="AI40" s="422">
        <f t="shared" si="15"/>
        <v>0</v>
      </c>
      <c r="AJ40" s="420">
        <f t="shared" si="16"/>
        <v>36.388888888888886</v>
      </c>
      <c r="AK40" s="425">
        <f t="shared" si="17"/>
        <v>11.111111111111111</v>
      </c>
      <c r="AL40" s="398">
        <f t="shared" si="18"/>
        <v>0</v>
      </c>
      <c r="AM40" s="399">
        <f t="shared" si="19"/>
        <v>0</v>
      </c>
      <c r="AN40" s="420">
        <f t="shared" si="20"/>
        <v>0</v>
      </c>
      <c r="AO40" s="425">
        <f t="shared" si="21"/>
        <v>0</v>
      </c>
      <c r="AP40" s="420">
        <f t="shared" si="25"/>
        <v>0</v>
      </c>
      <c r="AQ40" s="425">
        <f t="shared" si="22"/>
        <v>0</v>
      </c>
      <c r="AR40" s="454">
        <f t="shared" si="26"/>
        <v>0</v>
      </c>
      <c r="AS40" s="85">
        <f t="shared" si="23"/>
        <v>0</v>
      </c>
      <c r="AT40" s="172"/>
    </row>
    <row r="41" spans="1:58" ht="12.75" customHeight="1" x14ac:dyDescent="0.2">
      <c r="B41" s="335">
        <v>81641.509999999995</v>
      </c>
      <c r="C41" s="336">
        <v>81715.81</v>
      </c>
      <c r="D41" s="337" t="s">
        <v>16</v>
      </c>
      <c r="E41" s="337" t="s">
        <v>107</v>
      </c>
      <c r="F41" s="337" t="s">
        <v>97</v>
      </c>
      <c r="G41" s="47" t="str">
        <f t="shared" si="0"/>
        <v>-</v>
      </c>
      <c r="H41" s="339">
        <v>0</v>
      </c>
      <c r="I41" s="338">
        <v>0</v>
      </c>
      <c r="J41" s="338">
        <v>0</v>
      </c>
      <c r="K41" s="338">
        <v>-0.5</v>
      </c>
      <c r="L41" s="338">
        <v>0</v>
      </c>
      <c r="M41" s="83">
        <f t="shared" si="5"/>
        <v>74.30000000000291</v>
      </c>
      <c r="N41" s="384" t="s">
        <v>97</v>
      </c>
      <c r="O41" s="385" t="s">
        <v>97</v>
      </c>
      <c r="P41" s="222">
        <f t="shared" si="27"/>
        <v>0</v>
      </c>
      <c r="Q41" s="274">
        <f t="shared" si="6"/>
        <v>0</v>
      </c>
      <c r="R41" s="394">
        <v>2326</v>
      </c>
      <c r="S41" s="395">
        <v>743</v>
      </c>
      <c r="T41" s="221">
        <f t="shared" si="7"/>
        <v>2326</v>
      </c>
      <c r="U41" s="269">
        <f t="shared" si="8"/>
        <v>743</v>
      </c>
      <c r="V41" s="345">
        <v>0</v>
      </c>
      <c r="W41" s="400">
        <v>0</v>
      </c>
      <c r="X41" s="401">
        <v>0</v>
      </c>
      <c r="Y41" s="410">
        <f t="shared" si="9"/>
        <v>0.12922222222222224</v>
      </c>
      <c r="Z41" s="411">
        <f t="shared" si="9"/>
        <v>4.1277777777777781E-2</v>
      </c>
      <c r="AA41" s="398">
        <f t="shared" si="28"/>
        <v>258.44444444444446</v>
      </c>
      <c r="AB41" s="399">
        <f t="shared" si="28"/>
        <v>82.555555555555557</v>
      </c>
      <c r="AC41" s="398">
        <f t="shared" si="11"/>
        <v>258.44444444444446</v>
      </c>
      <c r="AD41" s="399">
        <f t="shared" si="12"/>
        <v>82.555555555555557</v>
      </c>
      <c r="AE41" s="398">
        <f t="shared" si="13"/>
        <v>7.6757999999999988</v>
      </c>
      <c r="AF41" s="399">
        <f t="shared" si="14"/>
        <v>2.4519000000000002</v>
      </c>
      <c r="AG41" s="348">
        <v>0</v>
      </c>
      <c r="AH41" s="421">
        <f t="shared" si="24"/>
        <v>82.558641975308646</v>
      </c>
      <c r="AI41" s="422">
        <f t="shared" si="15"/>
        <v>26.371913580246911</v>
      </c>
      <c r="AJ41" s="420">
        <f t="shared" si="16"/>
        <v>43.074074074074076</v>
      </c>
      <c r="AK41" s="425">
        <f t="shared" si="17"/>
        <v>13.75925925925926</v>
      </c>
      <c r="AL41" s="398">
        <f t="shared" si="18"/>
        <v>14.214444444444446</v>
      </c>
      <c r="AM41" s="399">
        <f t="shared" si="19"/>
        <v>4.5405555555555557</v>
      </c>
      <c r="AN41" s="420">
        <f t="shared" si="20"/>
        <v>10.268518518518519</v>
      </c>
      <c r="AO41" s="425">
        <f t="shared" si="21"/>
        <v>3.4398148148148149</v>
      </c>
      <c r="AP41" s="420">
        <f t="shared" si="25"/>
        <v>12.56327160493827</v>
      </c>
      <c r="AQ41" s="425">
        <f t="shared" si="22"/>
        <v>4.0131172839506171</v>
      </c>
      <c r="AR41" s="454">
        <f t="shared" si="26"/>
        <v>0</v>
      </c>
      <c r="AS41" s="85">
        <f t="shared" si="23"/>
        <v>148.60000000000582</v>
      </c>
      <c r="AT41" s="172"/>
    </row>
    <row r="42" spans="1:58" ht="12.75" customHeight="1" x14ac:dyDescent="0.2">
      <c r="B42" s="335">
        <v>81715.81</v>
      </c>
      <c r="C42" s="336">
        <v>82520</v>
      </c>
      <c r="D42" s="337" t="s">
        <v>16</v>
      </c>
      <c r="E42" s="337" t="s">
        <v>107</v>
      </c>
      <c r="F42" s="337" t="s">
        <v>102</v>
      </c>
      <c r="G42" s="47" t="str">
        <f t="shared" si="0"/>
        <v>F/C - C/B</v>
      </c>
      <c r="H42" s="26">
        <f t="shared" ref="H42:H53" si="31">IF(AND($E42=$AU$2,$F42=$AU$2),2*$AW$13,IF(OR(AND($E42=$AU$2, $F42=$AU$3),AND($E42=$AU$3,$F42=$AU$2)),$AW$13+$AW$14,IF(OR(AND($E42=$AU$2,$F42=$AU$5),AND($E42=$AU$5,$F42=$AU$2)),$AW$13,IF(OR(AND($E42=$AU$3,$F42=$AU$5),AND($E42=$AU$5,$F42=$AU$3)),$AW$14,IF(AND($E42=$AU$3,$F42=$AU$3),2*$AW$14,0)))))</f>
        <v>2</v>
      </c>
      <c r="I42" s="27">
        <f t="shared" ref="I42:I53" si="32">IF(AND($E42=$AU$2,$F42=$AU$2),2*$AZ$13*$M42/27,IF(OR(AND($E42=$AU$2,$F42=$AU$3),AND($E42=$AU$3,$F42=$AU$2)),$AZ$13*$M42/27,IF(OR(AND($E42=$AU$2,$F42=$AU$5),AND($E42=$AU$5,$F42=$AU$2)),$AZ$13*$M42/27,0)))</f>
        <v>0</v>
      </c>
      <c r="J42" s="27">
        <f t="shared" ref="J42:J53" si="33">IF(AND($E42=$AU$2,$F42=$AU$2),2*$BC$13*$M42/27,IF(OR(AND($E42=$AU$2,$F42=$AU$3),AND($E42=$AU$3,$F42=$AU$2)),($BC$13+$BC$14)*$M42/27,IF(OR(AND($E42=$AU$2,$F42=$AU$5),AND($E42=$AU$5,$F42=$AU$2)),$BC$13*$M42/27,IF(OR(AND($E42=$AU$3,$F42=$AU$5),AND($E42=$AU$5,$F42=$AU$3)),$BC$14*$M42/27,IF(AND($E42=$AU$3,$F42=$AU$3),2*$BC$14*$M42/27,0)))))</f>
        <v>29.189118518518601</v>
      </c>
      <c r="K42" s="27">
        <f t="shared" ref="K42:K53" si="34">IF(AND($E42=$AU$5,$F42=$AU$5),2*$BF$15*$M42/27,IF(OR($E42=$AU$5,$F42=$AU$5),$BF$15*$M42/27,0))</f>
        <v>-5.3612666666666824</v>
      </c>
      <c r="L42" s="338">
        <v>0</v>
      </c>
      <c r="M42" s="83">
        <f t="shared" si="5"/>
        <v>804.19000000000233</v>
      </c>
      <c r="N42" s="384">
        <v>53.94</v>
      </c>
      <c r="O42" s="385">
        <v>20</v>
      </c>
      <c r="P42" s="222">
        <f t="shared" si="27"/>
        <v>43379</v>
      </c>
      <c r="Q42" s="274">
        <f t="shared" si="6"/>
        <v>16084</v>
      </c>
      <c r="R42" s="394">
        <v>0</v>
      </c>
      <c r="S42" s="395">
        <v>0</v>
      </c>
      <c r="T42" s="221">
        <f t="shared" si="7"/>
        <v>43379</v>
      </c>
      <c r="U42" s="269">
        <f t="shared" si="8"/>
        <v>16084</v>
      </c>
      <c r="V42" s="345">
        <v>0</v>
      </c>
      <c r="W42" s="400">
        <v>0</v>
      </c>
      <c r="X42" s="401">
        <v>0</v>
      </c>
      <c r="Y42" s="410">
        <f t="shared" si="9"/>
        <v>2.4992988888888892</v>
      </c>
      <c r="Z42" s="411">
        <f t="shared" si="9"/>
        <v>0.89355555555555555</v>
      </c>
      <c r="AA42" s="398">
        <f t="shared" si="28"/>
        <v>4998.597777777778</v>
      </c>
      <c r="AB42" s="399">
        <f t="shared" si="28"/>
        <v>1787.1111111111111</v>
      </c>
      <c r="AC42" s="398">
        <f t="shared" si="11"/>
        <v>4998.597777777778</v>
      </c>
      <c r="AD42" s="399">
        <f t="shared" si="12"/>
        <v>1787.1111111111111</v>
      </c>
      <c r="AE42" s="398">
        <f t="shared" si="13"/>
        <v>148.45835399999999</v>
      </c>
      <c r="AF42" s="399">
        <f t="shared" si="14"/>
        <v>53.077199999999998</v>
      </c>
      <c r="AG42" s="348">
        <v>0</v>
      </c>
      <c r="AH42" s="421">
        <f t="shared" si="24"/>
        <v>1539.6867283950617</v>
      </c>
      <c r="AI42" s="422">
        <f t="shared" si="15"/>
        <v>570.88271604938279</v>
      </c>
      <c r="AJ42" s="420">
        <f t="shared" si="16"/>
        <v>832.50393333333341</v>
      </c>
      <c r="AK42" s="425">
        <f t="shared" si="17"/>
        <v>297.85185185185185</v>
      </c>
      <c r="AL42" s="398">
        <f t="shared" si="18"/>
        <v>265.0938888888889</v>
      </c>
      <c r="AM42" s="399">
        <f t="shared" si="19"/>
        <v>98.291111111111107</v>
      </c>
      <c r="AN42" s="420">
        <f t="shared" si="20"/>
        <v>195.467437037037</v>
      </c>
      <c r="AO42" s="425">
        <f t="shared" si="21"/>
        <v>74.462962962962962</v>
      </c>
      <c r="AP42" s="420">
        <f t="shared" si="25"/>
        <v>234.30015432098767</v>
      </c>
      <c r="AQ42" s="425">
        <f t="shared" si="22"/>
        <v>86.873456790123456</v>
      </c>
      <c r="AR42" s="454">
        <f t="shared" si="26"/>
        <v>0</v>
      </c>
      <c r="AS42" s="85">
        <f t="shared" si="23"/>
        <v>1608.3800000000047</v>
      </c>
      <c r="AT42" s="172"/>
    </row>
    <row r="43" spans="1:58" ht="12.75" customHeight="1" x14ac:dyDescent="0.2">
      <c r="B43" s="335">
        <v>82520</v>
      </c>
      <c r="C43" s="336">
        <v>82603.009999999995</v>
      </c>
      <c r="D43" s="337" t="s">
        <v>16</v>
      </c>
      <c r="E43" s="337" t="s">
        <v>107</v>
      </c>
      <c r="F43" s="337" t="s">
        <v>101</v>
      </c>
      <c r="G43" s="47" t="str">
        <f t="shared" si="0"/>
        <v>E/S - C/B</v>
      </c>
      <c r="H43" s="26">
        <f t="shared" si="31"/>
        <v>1.5</v>
      </c>
      <c r="I43" s="27">
        <f t="shared" si="32"/>
        <v>1.7524333333332225</v>
      </c>
      <c r="J43" s="27">
        <f t="shared" si="33"/>
        <v>2.0598777777776478</v>
      </c>
      <c r="K43" s="27">
        <f t="shared" si="34"/>
        <v>-0.55339999999996503</v>
      </c>
      <c r="L43" s="338">
        <v>0</v>
      </c>
      <c r="M43" s="83">
        <f t="shared" si="5"/>
        <v>83.009999999994761</v>
      </c>
      <c r="N43" s="384">
        <v>42.25</v>
      </c>
      <c r="O43" s="385">
        <v>20</v>
      </c>
      <c r="P43" s="222">
        <f t="shared" si="27"/>
        <v>3508</v>
      </c>
      <c r="Q43" s="274">
        <f t="shared" si="6"/>
        <v>1661</v>
      </c>
      <c r="R43" s="394">
        <v>0</v>
      </c>
      <c r="S43" s="395">
        <v>0</v>
      </c>
      <c r="T43" s="221">
        <f t="shared" si="7"/>
        <v>3508</v>
      </c>
      <c r="U43" s="269">
        <f t="shared" si="8"/>
        <v>1661</v>
      </c>
      <c r="V43" s="345">
        <v>0</v>
      </c>
      <c r="W43" s="400">
        <v>0</v>
      </c>
      <c r="X43" s="401">
        <v>0</v>
      </c>
      <c r="Y43" s="410">
        <f t="shared" si="9"/>
        <v>0.20180638888888844</v>
      </c>
      <c r="Z43" s="411">
        <f t="shared" si="9"/>
        <v>9.2277777777777778E-2</v>
      </c>
      <c r="AA43" s="398">
        <f t="shared" si="28"/>
        <v>403.6127777777769</v>
      </c>
      <c r="AB43" s="399">
        <f t="shared" si="28"/>
        <v>184.55555555555554</v>
      </c>
      <c r="AC43" s="398">
        <f t="shared" si="11"/>
        <v>403.6127777777769</v>
      </c>
      <c r="AD43" s="399">
        <f t="shared" si="12"/>
        <v>184.55555555555554</v>
      </c>
      <c r="AE43" s="398">
        <f t="shared" si="13"/>
        <v>11.987299499999976</v>
      </c>
      <c r="AF43" s="399">
        <f t="shared" si="14"/>
        <v>5.4812999999999992</v>
      </c>
      <c r="AG43" s="348">
        <v>0</v>
      </c>
      <c r="AH43" s="421">
        <f t="shared" si="24"/>
        <v>126.26477901234558</v>
      </c>
      <c r="AI43" s="422">
        <f t="shared" si="15"/>
        <v>58.955246913580247</v>
      </c>
      <c r="AJ43" s="420">
        <f t="shared" si="16"/>
        <v>67.022840740740605</v>
      </c>
      <c r="AK43" s="425">
        <f t="shared" si="17"/>
        <v>30.75925925925926</v>
      </c>
      <c r="AL43" s="398">
        <f t="shared" si="18"/>
        <v>21.437777777777779</v>
      </c>
      <c r="AM43" s="399">
        <f t="shared" si="19"/>
        <v>10.150555555555554</v>
      </c>
      <c r="AN43" s="420">
        <f t="shared" si="20"/>
        <v>15.687340740740776</v>
      </c>
      <c r="AO43" s="425">
        <f t="shared" si="21"/>
        <v>7.6898148148148149</v>
      </c>
      <c r="AP43" s="420">
        <f t="shared" si="25"/>
        <v>18.947530864197532</v>
      </c>
      <c r="AQ43" s="425">
        <f t="shared" si="22"/>
        <v>8.971450617283951</v>
      </c>
      <c r="AR43" s="454">
        <f t="shared" si="26"/>
        <v>3.0744444444442505</v>
      </c>
      <c r="AS43" s="85">
        <f t="shared" si="23"/>
        <v>166.01999999998952</v>
      </c>
      <c r="AT43" s="172"/>
    </row>
    <row r="44" spans="1:58" ht="12.75" customHeight="1" x14ac:dyDescent="0.2">
      <c r="B44" s="335">
        <v>82603.009999999995</v>
      </c>
      <c r="C44" s="336">
        <v>84518.63</v>
      </c>
      <c r="D44" s="337" t="s">
        <v>16</v>
      </c>
      <c r="E44" s="337" t="s">
        <v>107</v>
      </c>
      <c r="F44" s="337" t="s">
        <v>101</v>
      </c>
      <c r="G44" s="47" t="str">
        <f t="shared" si="0"/>
        <v>E/S - C/B</v>
      </c>
      <c r="H44" s="26">
        <f t="shared" si="31"/>
        <v>1.5</v>
      </c>
      <c r="I44" s="27">
        <f t="shared" si="32"/>
        <v>40.440866666666871</v>
      </c>
      <c r="J44" s="27">
        <f t="shared" si="33"/>
        <v>47.535755555555802</v>
      </c>
      <c r="K44" s="27">
        <f t="shared" si="34"/>
        <v>-12.770800000000065</v>
      </c>
      <c r="L44" s="338">
        <v>0</v>
      </c>
      <c r="M44" s="83">
        <f t="shared" si="5"/>
        <v>1915.6200000000099</v>
      </c>
      <c r="N44" s="384">
        <v>41.42</v>
      </c>
      <c r="O44" s="385">
        <v>20</v>
      </c>
      <c r="P44" s="222">
        <f t="shared" si="27"/>
        <v>79345</v>
      </c>
      <c r="Q44" s="274">
        <f t="shared" si="6"/>
        <v>38313</v>
      </c>
      <c r="R44" s="394">
        <v>0</v>
      </c>
      <c r="S44" s="395">
        <v>0</v>
      </c>
      <c r="T44" s="221">
        <f t="shared" si="7"/>
        <v>79345</v>
      </c>
      <c r="U44" s="269">
        <f t="shared" si="8"/>
        <v>38313</v>
      </c>
      <c r="V44" s="345">
        <v>0</v>
      </c>
      <c r="W44" s="400">
        <v>0</v>
      </c>
      <c r="X44" s="401">
        <v>0</v>
      </c>
      <c r="Y44" s="410">
        <f t="shared" si="9"/>
        <v>4.5676905555555569</v>
      </c>
      <c r="Z44" s="411">
        <f t="shared" si="9"/>
        <v>2.1284999999999998</v>
      </c>
      <c r="AA44" s="398">
        <f t="shared" si="28"/>
        <v>9135.3811111111136</v>
      </c>
      <c r="AB44" s="399">
        <f t="shared" si="28"/>
        <v>4257</v>
      </c>
      <c r="AC44" s="398">
        <f t="shared" si="11"/>
        <v>9135.3811111111136</v>
      </c>
      <c r="AD44" s="399">
        <f t="shared" si="12"/>
        <v>4257</v>
      </c>
      <c r="AE44" s="398">
        <f t="shared" si="13"/>
        <v>271.32081900000003</v>
      </c>
      <c r="AF44" s="399">
        <f t="shared" si="14"/>
        <v>126.43289999999999</v>
      </c>
      <c r="AG44" s="348">
        <v>0</v>
      </c>
      <c r="AH44" s="421">
        <f t="shared" si="24"/>
        <v>2856.6985827160493</v>
      </c>
      <c r="AI44" s="422">
        <f t="shared" si="15"/>
        <v>1359.875</v>
      </c>
      <c r="AJ44" s="420">
        <f t="shared" si="16"/>
        <v>1516.8876074074078</v>
      </c>
      <c r="AK44" s="425">
        <f t="shared" si="17"/>
        <v>709.5</v>
      </c>
      <c r="AL44" s="398">
        <f t="shared" si="18"/>
        <v>484.88611111111112</v>
      </c>
      <c r="AM44" s="399">
        <f t="shared" si="19"/>
        <v>234.13499999999999</v>
      </c>
      <c r="AN44" s="420">
        <f t="shared" si="20"/>
        <v>354.56716296296293</v>
      </c>
      <c r="AO44" s="425">
        <f t="shared" si="21"/>
        <v>177.375</v>
      </c>
      <c r="AP44" s="420">
        <f t="shared" si="25"/>
        <v>428.5609567901235</v>
      </c>
      <c r="AQ44" s="425">
        <f t="shared" si="22"/>
        <v>206.9375</v>
      </c>
      <c r="AR44" s="454">
        <f t="shared" si="26"/>
        <v>70.948888888889257</v>
      </c>
      <c r="AS44" s="85">
        <f t="shared" si="23"/>
        <v>3831.2400000000198</v>
      </c>
      <c r="AT44" s="172"/>
    </row>
    <row r="45" spans="1:58" ht="12.75" customHeight="1" x14ac:dyDescent="0.2">
      <c r="B45" s="335">
        <v>84518.63</v>
      </c>
      <c r="C45" s="336">
        <v>84618.63</v>
      </c>
      <c r="D45" s="337" t="s">
        <v>16</v>
      </c>
      <c r="E45" s="337" t="s">
        <v>107</v>
      </c>
      <c r="F45" s="337" t="s">
        <v>101</v>
      </c>
      <c r="G45" s="47" t="str">
        <f t="shared" si="0"/>
        <v>E/S - C/B</v>
      </c>
      <c r="H45" s="26">
        <f t="shared" si="31"/>
        <v>1.5</v>
      </c>
      <c r="I45" s="27">
        <f t="shared" si="32"/>
        <v>2.1111111111111107</v>
      </c>
      <c r="J45" s="27">
        <f t="shared" si="33"/>
        <v>2.4814814814814814</v>
      </c>
      <c r="K45" s="27">
        <f t="shared" si="34"/>
        <v>-0.66666666666666663</v>
      </c>
      <c r="L45" s="338">
        <v>0</v>
      </c>
      <c r="M45" s="83">
        <f t="shared" si="5"/>
        <v>100</v>
      </c>
      <c r="N45" s="384">
        <v>45.42</v>
      </c>
      <c r="O45" s="385">
        <v>20</v>
      </c>
      <c r="P45" s="222">
        <f t="shared" si="27"/>
        <v>4542</v>
      </c>
      <c r="Q45" s="274">
        <f t="shared" si="6"/>
        <v>2000</v>
      </c>
      <c r="R45" s="394">
        <v>0</v>
      </c>
      <c r="S45" s="395">
        <v>0</v>
      </c>
      <c r="T45" s="221">
        <f t="shared" si="7"/>
        <v>4542</v>
      </c>
      <c r="U45" s="269">
        <f t="shared" si="8"/>
        <v>2000</v>
      </c>
      <c r="V45" s="345">
        <v>0</v>
      </c>
      <c r="W45" s="400">
        <v>0</v>
      </c>
      <c r="X45" s="401">
        <v>0</v>
      </c>
      <c r="Y45" s="410">
        <f t="shared" si="9"/>
        <v>0.26066666666666671</v>
      </c>
      <c r="Z45" s="411">
        <f t="shared" si="9"/>
        <v>0.11111111111111112</v>
      </c>
      <c r="AA45" s="398">
        <f t="shared" si="28"/>
        <v>521.33333333333337</v>
      </c>
      <c r="AB45" s="399">
        <f t="shared" si="28"/>
        <v>222.22222222222223</v>
      </c>
      <c r="AC45" s="398">
        <f t="shared" si="11"/>
        <v>521.33333333333337</v>
      </c>
      <c r="AD45" s="399">
        <f t="shared" si="12"/>
        <v>222.22222222222223</v>
      </c>
      <c r="AE45" s="398">
        <f t="shared" si="13"/>
        <v>15.483599999999999</v>
      </c>
      <c r="AF45" s="399">
        <f t="shared" si="14"/>
        <v>6.6</v>
      </c>
      <c r="AG45" s="348">
        <v>0</v>
      </c>
      <c r="AH45" s="421">
        <f t="shared" si="24"/>
        <v>163.32407407407408</v>
      </c>
      <c r="AI45" s="422">
        <f t="shared" si="15"/>
        <v>70.987654320987659</v>
      </c>
      <c r="AJ45" s="420">
        <f t="shared" si="16"/>
        <v>86.592592592592595</v>
      </c>
      <c r="AK45" s="425">
        <f t="shared" si="17"/>
        <v>37.037037037037038</v>
      </c>
      <c r="AL45" s="398">
        <f t="shared" si="18"/>
        <v>27.756666666666668</v>
      </c>
      <c r="AM45" s="399">
        <f t="shared" si="19"/>
        <v>12.222222222222223</v>
      </c>
      <c r="AN45" s="420">
        <f t="shared" si="20"/>
        <v>20.361111111111111</v>
      </c>
      <c r="AO45" s="425">
        <f t="shared" si="21"/>
        <v>9.2592592592592595</v>
      </c>
      <c r="AP45" s="420">
        <f t="shared" si="25"/>
        <v>24.532407407407408</v>
      </c>
      <c r="AQ45" s="425">
        <f t="shared" si="22"/>
        <v>10.80246913580247</v>
      </c>
      <c r="AR45" s="454">
        <f t="shared" si="26"/>
        <v>3.7037037037037037</v>
      </c>
      <c r="AS45" s="85">
        <f t="shared" si="23"/>
        <v>200</v>
      </c>
      <c r="AT45" s="172"/>
    </row>
    <row r="46" spans="1:58" ht="12.75" customHeight="1" x14ac:dyDescent="0.2">
      <c r="B46" s="335">
        <v>84618.63</v>
      </c>
      <c r="C46" s="336">
        <v>84964.31</v>
      </c>
      <c r="D46" s="337" t="s">
        <v>16</v>
      </c>
      <c r="E46" s="337" t="s">
        <v>107</v>
      </c>
      <c r="F46" s="337" t="s">
        <v>101</v>
      </c>
      <c r="G46" s="47" t="str">
        <f t="shared" si="0"/>
        <v>E/S - C/B</v>
      </c>
      <c r="H46" s="26">
        <f t="shared" si="31"/>
        <v>1.5</v>
      </c>
      <c r="I46" s="27">
        <f t="shared" si="32"/>
        <v>7.2976888888887403</v>
      </c>
      <c r="J46" s="27">
        <f t="shared" si="33"/>
        <v>8.5779851851850122</v>
      </c>
      <c r="K46" s="27">
        <f t="shared" si="34"/>
        <v>-2.3045333333332869</v>
      </c>
      <c r="L46" s="338">
        <v>0</v>
      </c>
      <c r="M46" s="83">
        <f t="shared" si="5"/>
        <v>345.67999999999302</v>
      </c>
      <c r="N46" s="384">
        <v>49.42</v>
      </c>
      <c r="O46" s="385">
        <v>20</v>
      </c>
      <c r="P46" s="222">
        <f t="shared" si="27"/>
        <v>17084</v>
      </c>
      <c r="Q46" s="274">
        <f t="shared" si="6"/>
        <v>6914</v>
      </c>
      <c r="R46" s="394">
        <v>0</v>
      </c>
      <c r="S46" s="395">
        <v>0</v>
      </c>
      <c r="T46" s="221">
        <f t="shared" si="7"/>
        <v>17084</v>
      </c>
      <c r="U46" s="269">
        <f t="shared" si="8"/>
        <v>6914</v>
      </c>
      <c r="V46" s="345">
        <v>0</v>
      </c>
      <c r="W46" s="400">
        <v>0</v>
      </c>
      <c r="X46" s="401">
        <v>0</v>
      </c>
      <c r="Y46" s="410">
        <f t="shared" si="9"/>
        <v>0.97791777777777722</v>
      </c>
      <c r="Z46" s="411">
        <f t="shared" si="9"/>
        <v>0.38411111111111107</v>
      </c>
      <c r="AA46" s="398">
        <f t="shared" si="28"/>
        <v>1955.8355555555545</v>
      </c>
      <c r="AB46" s="399">
        <f t="shared" si="28"/>
        <v>768.22222222222217</v>
      </c>
      <c r="AC46" s="398">
        <f t="shared" si="11"/>
        <v>1955.8355555555545</v>
      </c>
      <c r="AD46" s="399">
        <f t="shared" si="12"/>
        <v>768.22222222222217</v>
      </c>
      <c r="AE46" s="398">
        <f t="shared" si="13"/>
        <v>58.088315999999963</v>
      </c>
      <c r="AF46" s="399">
        <f t="shared" si="14"/>
        <v>22.816199999999998</v>
      </c>
      <c r="AG46" s="348">
        <v>0</v>
      </c>
      <c r="AH46" s="421">
        <f t="shared" si="24"/>
        <v>613.67423209876529</v>
      </c>
      <c r="AI46" s="422">
        <f t="shared" si="15"/>
        <v>245.40432098765433</v>
      </c>
      <c r="AJ46" s="420">
        <f t="shared" si="16"/>
        <v>324.94835555555539</v>
      </c>
      <c r="AK46" s="425">
        <f t="shared" si="17"/>
        <v>128.03703703703704</v>
      </c>
      <c r="AL46" s="398">
        <f t="shared" si="18"/>
        <v>104.40222222222222</v>
      </c>
      <c r="AM46" s="399">
        <f t="shared" si="19"/>
        <v>42.252222222222223</v>
      </c>
      <c r="AN46" s="420">
        <f t="shared" si="20"/>
        <v>76.788059259259313</v>
      </c>
      <c r="AO46" s="425">
        <f t="shared" si="21"/>
        <v>32.00925925925926</v>
      </c>
      <c r="AP46" s="420">
        <f t="shared" si="25"/>
        <v>92.274691358024683</v>
      </c>
      <c r="AQ46" s="425">
        <f t="shared" si="22"/>
        <v>37.344135802469133</v>
      </c>
      <c r="AR46" s="454">
        <f t="shared" si="26"/>
        <v>12.802962962962704</v>
      </c>
      <c r="AS46" s="85">
        <f t="shared" si="23"/>
        <v>691.35999999998603</v>
      </c>
      <c r="AT46" s="172"/>
    </row>
    <row r="47" spans="1:58" ht="12.75" customHeight="1" x14ac:dyDescent="0.2">
      <c r="B47" s="335">
        <v>84964.31</v>
      </c>
      <c r="C47" s="336">
        <v>85418.63</v>
      </c>
      <c r="D47" s="337" t="s">
        <v>16</v>
      </c>
      <c r="E47" s="337" t="s">
        <v>107</v>
      </c>
      <c r="F47" s="337" t="s">
        <v>101</v>
      </c>
      <c r="G47" s="47" t="str">
        <f t="shared" si="0"/>
        <v>E/S - C/B</v>
      </c>
      <c r="H47" s="26">
        <f t="shared" si="31"/>
        <v>1.5</v>
      </c>
      <c r="I47" s="27">
        <f t="shared" si="32"/>
        <v>9.5912000000001481</v>
      </c>
      <c r="J47" s="27">
        <f t="shared" si="33"/>
        <v>11.273866666666841</v>
      </c>
      <c r="K47" s="27">
        <f t="shared" si="34"/>
        <v>-3.0288000000000466</v>
      </c>
      <c r="L47" s="338">
        <v>0</v>
      </c>
      <c r="M47" s="83">
        <f t="shared" si="5"/>
        <v>454.32000000000698</v>
      </c>
      <c r="N47" s="384" t="s">
        <v>97</v>
      </c>
      <c r="O47" s="385" t="s">
        <v>97</v>
      </c>
      <c r="P47" s="222">
        <f t="shared" si="27"/>
        <v>0</v>
      </c>
      <c r="Q47" s="274">
        <f t="shared" si="6"/>
        <v>0</v>
      </c>
      <c r="R47" s="394">
        <v>26526</v>
      </c>
      <c r="S47" s="395">
        <v>9086</v>
      </c>
      <c r="T47" s="221">
        <f t="shared" si="7"/>
        <v>26526</v>
      </c>
      <c r="U47" s="269">
        <f t="shared" si="8"/>
        <v>9086</v>
      </c>
      <c r="V47" s="345">
        <v>0</v>
      </c>
      <c r="W47" s="400">
        <v>0</v>
      </c>
      <c r="X47" s="401">
        <v>0</v>
      </c>
      <c r="Y47" s="410">
        <f t="shared" si="9"/>
        <v>1.5115266666666674</v>
      </c>
      <c r="Z47" s="411">
        <f t="shared" si="9"/>
        <v>0.50477777777777777</v>
      </c>
      <c r="AA47" s="398">
        <f t="shared" si="28"/>
        <v>3023.0533333333346</v>
      </c>
      <c r="AB47" s="399">
        <f t="shared" si="28"/>
        <v>1009.5555555555555</v>
      </c>
      <c r="AC47" s="398">
        <f t="shared" si="11"/>
        <v>3023.0533333333346</v>
      </c>
      <c r="AD47" s="399">
        <f t="shared" si="12"/>
        <v>1009.5555555555555</v>
      </c>
      <c r="AE47" s="398">
        <f t="shared" si="13"/>
        <v>89.784684000000041</v>
      </c>
      <c r="AF47" s="399">
        <f t="shared" si="14"/>
        <v>29.983799999999995</v>
      </c>
      <c r="AG47" s="348">
        <v>0</v>
      </c>
      <c r="AH47" s="421">
        <f t="shared" si="24"/>
        <v>951.10045925925942</v>
      </c>
      <c r="AI47" s="422">
        <f t="shared" si="15"/>
        <v>322.49691358024688</v>
      </c>
      <c r="AJ47" s="420">
        <f t="shared" si="16"/>
        <v>502.49608888888906</v>
      </c>
      <c r="AK47" s="425">
        <f t="shared" si="17"/>
        <v>168.25925925925927</v>
      </c>
      <c r="AL47" s="398">
        <f t="shared" si="18"/>
        <v>162.10333333333335</v>
      </c>
      <c r="AM47" s="399">
        <f t="shared" si="19"/>
        <v>55.525555555555556</v>
      </c>
      <c r="AN47" s="420">
        <f t="shared" si="20"/>
        <v>119.77675555555551</v>
      </c>
      <c r="AO47" s="425">
        <f t="shared" si="21"/>
        <v>42.064814814814817</v>
      </c>
      <c r="AP47" s="420">
        <f t="shared" si="25"/>
        <v>143.27314814814815</v>
      </c>
      <c r="AQ47" s="425">
        <f t="shared" si="22"/>
        <v>49.075617283950621</v>
      </c>
      <c r="AR47" s="454">
        <f t="shared" si="26"/>
        <v>16.826666666666924</v>
      </c>
      <c r="AS47" s="85">
        <f t="shared" si="23"/>
        <v>908.64000000001397</v>
      </c>
      <c r="AT47" s="172"/>
    </row>
    <row r="48" spans="1:58" ht="12.75" customHeight="1" x14ac:dyDescent="0.2">
      <c r="B48" s="335">
        <v>85418.63</v>
      </c>
      <c r="C48" s="336">
        <v>86936.18</v>
      </c>
      <c r="D48" s="337" t="s">
        <v>16</v>
      </c>
      <c r="E48" s="337" t="s">
        <v>107</v>
      </c>
      <c r="F48" s="337" t="s">
        <v>101</v>
      </c>
      <c r="G48" s="47" t="str">
        <f t="shared" si="0"/>
        <v>E/S - C/B</v>
      </c>
      <c r="H48" s="26">
        <f t="shared" si="31"/>
        <v>1.5</v>
      </c>
      <c r="I48" s="27">
        <f t="shared" si="32"/>
        <v>32.037166666666423</v>
      </c>
      <c r="J48" s="27">
        <f t="shared" si="33"/>
        <v>37.657722222221935</v>
      </c>
      <c r="K48" s="27">
        <f t="shared" si="34"/>
        <v>-10.116999999999921</v>
      </c>
      <c r="L48" s="338">
        <v>0</v>
      </c>
      <c r="M48" s="83">
        <f t="shared" si="5"/>
        <v>1517.5499999999884</v>
      </c>
      <c r="N48" s="384">
        <v>41.42</v>
      </c>
      <c r="O48" s="385">
        <v>20</v>
      </c>
      <c r="P48" s="222">
        <f t="shared" si="27"/>
        <v>62857</v>
      </c>
      <c r="Q48" s="274">
        <f t="shared" si="6"/>
        <v>30351</v>
      </c>
      <c r="R48" s="394">
        <v>0</v>
      </c>
      <c r="S48" s="395">
        <v>0</v>
      </c>
      <c r="T48" s="221">
        <f t="shared" si="7"/>
        <v>62857</v>
      </c>
      <c r="U48" s="269">
        <f t="shared" si="8"/>
        <v>30351</v>
      </c>
      <c r="V48" s="345">
        <v>0</v>
      </c>
      <c r="W48" s="400">
        <v>0</v>
      </c>
      <c r="X48" s="401">
        <v>0</v>
      </c>
      <c r="Y48" s="410">
        <f t="shared" si="9"/>
        <v>3.6185180555555543</v>
      </c>
      <c r="Z48" s="411">
        <f t="shared" si="9"/>
        <v>1.6861666666666668</v>
      </c>
      <c r="AA48" s="398">
        <f t="shared" si="28"/>
        <v>7237.0361111111088</v>
      </c>
      <c r="AB48" s="399">
        <f t="shared" si="28"/>
        <v>3372.3333333333335</v>
      </c>
      <c r="AC48" s="398">
        <f t="shared" si="11"/>
        <v>7237.0361111111088</v>
      </c>
      <c r="AD48" s="399">
        <f t="shared" si="12"/>
        <v>3372.3333333333335</v>
      </c>
      <c r="AE48" s="398">
        <f t="shared" si="13"/>
        <v>214.93997249999993</v>
      </c>
      <c r="AF48" s="399">
        <f t="shared" si="14"/>
        <v>100.15829999999998</v>
      </c>
      <c r="AG48" s="348">
        <v>0</v>
      </c>
      <c r="AH48" s="421">
        <f t="shared" si="24"/>
        <v>2263.0726604938272</v>
      </c>
      <c r="AI48" s="422">
        <f t="shared" si="15"/>
        <v>1077.273148148148</v>
      </c>
      <c r="AJ48" s="420">
        <f t="shared" si="16"/>
        <v>1201.6762407407405</v>
      </c>
      <c r="AK48" s="425">
        <f t="shared" si="17"/>
        <v>562.05555555555554</v>
      </c>
      <c r="AL48" s="398">
        <f t="shared" si="18"/>
        <v>384.12611111111113</v>
      </c>
      <c r="AM48" s="399">
        <f t="shared" si="19"/>
        <v>185.47833333333335</v>
      </c>
      <c r="AN48" s="420">
        <f t="shared" si="20"/>
        <v>280.88762962962971</v>
      </c>
      <c r="AO48" s="425">
        <f t="shared" si="21"/>
        <v>140.51388888888889</v>
      </c>
      <c r="AP48" s="420">
        <f t="shared" si="25"/>
        <v>339.5054012345679</v>
      </c>
      <c r="AQ48" s="425">
        <f t="shared" si="22"/>
        <v>163.93287037037038</v>
      </c>
      <c r="AR48" s="454">
        <f t="shared" si="26"/>
        <v>56.205555555555122</v>
      </c>
      <c r="AS48" s="85">
        <f t="shared" si="23"/>
        <v>3035.0999999999767</v>
      </c>
      <c r="AT48" s="10"/>
    </row>
    <row r="49" spans="1:61" ht="12.75" customHeight="1" x14ac:dyDescent="0.2">
      <c r="B49" s="335">
        <v>86936.18</v>
      </c>
      <c r="C49" s="336">
        <v>87289.96</v>
      </c>
      <c r="D49" s="337" t="s">
        <v>16</v>
      </c>
      <c r="E49" s="337" t="s">
        <v>107</v>
      </c>
      <c r="F49" s="337" t="s">
        <v>101</v>
      </c>
      <c r="G49" s="47" t="str">
        <f t="shared" si="0"/>
        <v>E/S - C/B</v>
      </c>
      <c r="H49" s="26">
        <f t="shared" si="31"/>
        <v>1.5</v>
      </c>
      <c r="I49" s="27">
        <f t="shared" si="32"/>
        <v>7.4686888888891705</v>
      </c>
      <c r="J49" s="27">
        <f t="shared" si="33"/>
        <v>8.7789851851855172</v>
      </c>
      <c r="K49" s="27">
        <f t="shared" si="34"/>
        <v>-2.3585333333334226</v>
      </c>
      <c r="L49" s="338">
        <v>0</v>
      </c>
      <c r="M49" s="83">
        <f t="shared" si="5"/>
        <v>353.78000000001339</v>
      </c>
      <c r="N49" s="384" t="s">
        <v>97</v>
      </c>
      <c r="O49" s="385" t="s">
        <v>97</v>
      </c>
      <c r="P49" s="222">
        <f t="shared" si="27"/>
        <v>0</v>
      </c>
      <c r="Q49" s="274">
        <f t="shared" si="6"/>
        <v>0</v>
      </c>
      <c r="R49" s="394">
        <v>22833</v>
      </c>
      <c r="S49" s="395">
        <v>7076</v>
      </c>
      <c r="T49" s="221">
        <f t="shared" si="7"/>
        <v>22833</v>
      </c>
      <c r="U49" s="269">
        <f t="shared" si="8"/>
        <v>7076</v>
      </c>
      <c r="V49" s="345">
        <v>0</v>
      </c>
      <c r="W49" s="400">
        <v>0</v>
      </c>
      <c r="X49" s="401">
        <v>0</v>
      </c>
      <c r="Y49" s="410">
        <f t="shared" si="9"/>
        <v>1.2979816666666677</v>
      </c>
      <c r="Z49" s="411">
        <f t="shared" si="9"/>
        <v>0.39311111111111108</v>
      </c>
      <c r="AA49" s="398">
        <f t="shared" si="28"/>
        <v>2595.9633333333354</v>
      </c>
      <c r="AB49" s="399">
        <f t="shared" si="28"/>
        <v>786.22222222222217</v>
      </c>
      <c r="AC49" s="398">
        <f t="shared" si="11"/>
        <v>2595.9633333333354</v>
      </c>
      <c r="AD49" s="399">
        <f t="shared" si="12"/>
        <v>786.22222222222217</v>
      </c>
      <c r="AE49" s="398">
        <f t="shared" si="13"/>
        <v>77.100111000000069</v>
      </c>
      <c r="AF49" s="399">
        <f t="shared" si="14"/>
        <v>23.3508</v>
      </c>
      <c r="AG49" s="348">
        <v>0</v>
      </c>
      <c r="AH49" s="421">
        <f t="shared" si="24"/>
        <v>817.89924444444466</v>
      </c>
      <c r="AI49" s="422">
        <f t="shared" si="15"/>
        <v>251.15432098765433</v>
      </c>
      <c r="AJ49" s="420">
        <f t="shared" si="16"/>
        <v>431.6123185185188</v>
      </c>
      <c r="AK49" s="425">
        <f t="shared" si="17"/>
        <v>131.03703703703704</v>
      </c>
      <c r="AL49" s="398">
        <f t="shared" si="18"/>
        <v>139.535</v>
      </c>
      <c r="AM49" s="399">
        <f t="shared" si="19"/>
        <v>43.242222222222217</v>
      </c>
      <c r="AN49" s="420">
        <f t="shared" si="20"/>
        <v>103.3497999999999</v>
      </c>
      <c r="AO49" s="425">
        <f t="shared" si="21"/>
        <v>32.75925925925926</v>
      </c>
      <c r="AP49" s="420">
        <f t="shared" si="25"/>
        <v>123.32638888888889</v>
      </c>
      <c r="AQ49" s="425">
        <f t="shared" si="22"/>
        <v>38.21913580246914</v>
      </c>
      <c r="AR49" s="454">
        <f t="shared" si="26"/>
        <v>13.102962962963458</v>
      </c>
      <c r="AS49" s="85">
        <f t="shared" si="23"/>
        <v>707.56000000002678</v>
      </c>
      <c r="AT49" s="10"/>
    </row>
    <row r="50" spans="1:61" ht="12.75" customHeight="1" x14ac:dyDescent="0.2">
      <c r="B50" s="335">
        <v>87289.96</v>
      </c>
      <c r="C50" s="336">
        <v>87819.96</v>
      </c>
      <c r="D50" s="337" t="s">
        <v>16</v>
      </c>
      <c r="E50" s="337" t="s">
        <v>107</v>
      </c>
      <c r="F50" s="337" t="s">
        <v>102</v>
      </c>
      <c r="G50" s="47" t="str">
        <f t="shared" si="0"/>
        <v>F/C - C/B</v>
      </c>
      <c r="H50" s="26">
        <f t="shared" si="31"/>
        <v>2</v>
      </c>
      <c r="I50" s="27">
        <f t="shared" si="32"/>
        <v>0</v>
      </c>
      <c r="J50" s="27">
        <f t="shared" si="33"/>
        <v>19.237037037037037</v>
      </c>
      <c r="K50" s="27">
        <f t="shared" si="34"/>
        <v>-3.5333333333333332</v>
      </c>
      <c r="L50" s="338">
        <v>0</v>
      </c>
      <c r="M50" s="83">
        <f t="shared" si="5"/>
        <v>530</v>
      </c>
      <c r="N50" s="384">
        <v>57.48</v>
      </c>
      <c r="O50" s="385">
        <v>20</v>
      </c>
      <c r="P50" s="222">
        <f t="shared" si="27"/>
        <v>30465</v>
      </c>
      <c r="Q50" s="274">
        <f t="shared" si="6"/>
        <v>10600</v>
      </c>
      <c r="R50" s="394">
        <v>0</v>
      </c>
      <c r="S50" s="395">
        <v>0</v>
      </c>
      <c r="T50" s="221">
        <f t="shared" si="7"/>
        <v>30465</v>
      </c>
      <c r="U50" s="269">
        <f t="shared" si="8"/>
        <v>10600</v>
      </c>
      <c r="V50" s="345">
        <v>0</v>
      </c>
      <c r="W50" s="400">
        <v>0</v>
      </c>
      <c r="X50" s="401">
        <v>0</v>
      </c>
      <c r="Y50" s="410">
        <f t="shared" si="9"/>
        <v>1.7513888888888889</v>
      </c>
      <c r="Z50" s="411">
        <f t="shared" si="9"/>
        <v>0.58888888888888891</v>
      </c>
      <c r="AA50" s="398">
        <f t="shared" si="28"/>
        <v>3502.7777777777778</v>
      </c>
      <c r="AB50" s="399">
        <f t="shared" si="28"/>
        <v>1177.7777777777778</v>
      </c>
      <c r="AC50" s="398">
        <f t="shared" si="11"/>
        <v>3502.7777777777778</v>
      </c>
      <c r="AD50" s="399">
        <f t="shared" si="12"/>
        <v>1177.7777777777778</v>
      </c>
      <c r="AE50" s="398">
        <f t="shared" si="13"/>
        <v>104.0325</v>
      </c>
      <c r="AF50" s="399">
        <f t="shared" si="14"/>
        <v>34.979999999999997</v>
      </c>
      <c r="AG50" s="348">
        <v>0</v>
      </c>
      <c r="AH50" s="421">
        <f t="shared" si="24"/>
        <v>1081.3194444444443</v>
      </c>
      <c r="AI50" s="422">
        <f t="shared" si="15"/>
        <v>376.23456790123458</v>
      </c>
      <c r="AJ50" s="420">
        <f t="shared" si="16"/>
        <v>583.40370370370363</v>
      </c>
      <c r="AK50" s="425">
        <f t="shared" si="17"/>
        <v>196.2962962962963</v>
      </c>
      <c r="AL50" s="398">
        <f t="shared" si="18"/>
        <v>186.17500000000001</v>
      </c>
      <c r="AM50" s="399">
        <f t="shared" si="19"/>
        <v>64.777777777777786</v>
      </c>
      <c r="AN50" s="420">
        <f t="shared" si="20"/>
        <v>137.50833333333333</v>
      </c>
      <c r="AO50" s="425">
        <f t="shared" si="21"/>
        <v>49.074074074074076</v>
      </c>
      <c r="AP50" s="420">
        <f t="shared" si="25"/>
        <v>164.54861111111111</v>
      </c>
      <c r="AQ50" s="425">
        <f t="shared" si="22"/>
        <v>57.253086419753082</v>
      </c>
      <c r="AR50" s="454">
        <f t="shared" si="26"/>
        <v>0</v>
      </c>
      <c r="AS50" s="85">
        <f t="shared" si="23"/>
        <v>1060</v>
      </c>
      <c r="AT50" s="10"/>
    </row>
    <row r="51" spans="1:61" ht="12.75" customHeight="1" x14ac:dyDescent="0.2">
      <c r="B51" s="335">
        <v>87819.96</v>
      </c>
      <c r="C51" s="336">
        <v>88258.19</v>
      </c>
      <c r="D51" s="337" t="s">
        <v>16</v>
      </c>
      <c r="E51" s="337" t="s">
        <v>107</v>
      </c>
      <c r="F51" s="337" t="s">
        <v>101</v>
      </c>
      <c r="G51" s="47" t="str">
        <f t="shared" si="0"/>
        <v>E/S - C/B</v>
      </c>
      <c r="H51" s="26">
        <f t="shared" si="31"/>
        <v>1.5</v>
      </c>
      <c r="I51" s="27">
        <f t="shared" si="32"/>
        <v>9.2515222222221354</v>
      </c>
      <c r="J51" s="27">
        <f t="shared" si="33"/>
        <v>10.874596296296195</v>
      </c>
      <c r="K51" s="27">
        <f t="shared" si="34"/>
        <v>-2.921533333333306</v>
      </c>
      <c r="L51" s="338">
        <v>0</v>
      </c>
      <c r="M51" s="83">
        <f t="shared" si="5"/>
        <v>438.22999999999593</v>
      </c>
      <c r="N51" s="384">
        <v>45.8</v>
      </c>
      <c r="O51" s="385">
        <v>20</v>
      </c>
      <c r="P51" s="222">
        <f t="shared" si="27"/>
        <v>20071</v>
      </c>
      <c r="Q51" s="274">
        <f t="shared" si="6"/>
        <v>8765</v>
      </c>
      <c r="R51" s="394">
        <v>0</v>
      </c>
      <c r="S51" s="395">
        <v>0</v>
      </c>
      <c r="T51" s="221">
        <f t="shared" si="7"/>
        <v>20071</v>
      </c>
      <c r="U51" s="269">
        <f t="shared" si="8"/>
        <v>8765</v>
      </c>
      <c r="V51" s="345">
        <v>0</v>
      </c>
      <c r="W51" s="400">
        <v>0</v>
      </c>
      <c r="X51" s="401">
        <v>0</v>
      </c>
      <c r="Y51" s="410">
        <f t="shared" si="9"/>
        <v>1.1515747222222219</v>
      </c>
      <c r="Z51" s="411">
        <f t="shared" si="9"/>
        <v>0.48694444444444446</v>
      </c>
      <c r="AA51" s="398">
        <f t="shared" si="28"/>
        <v>2303.1494444444438</v>
      </c>
      <c r="AB51" s="399">
        <f t="shared" si="28"/>
        <v>973.88888888888891</v>
      </c>
      <c r="AC51" s="398">
        <f t="shared" si="11"/>
        <v>2303.1494444444438</v>
      </c>
      <c r="AD51" s="399">
        <f t="shared" si="12"/>
        <v>973.88888888888891</v>
      </c>
      <c r="AE51" s="398">
        <f t="shared" si="13"/>
        <v>68.403538499999982</v>
      </c>
      <c r="AF51" s="399">
        <f t="shared" si="14"/>
        <v>28.924499999999998</v>
      </c>
      <c r="AG51" s="348">
        <v>0</v>
      </c>
      <c r="AH51" s="421">
        <f t="shared" si="24"/>
        <v>721.64812716049369</v>
      </c>
      <c r="AI51" s="422">
        <f t="shared" si="15"/>
        <v>311.10339506172835</v>
      </c>
      <c r="AJ51" s="420">
        <f t="shared" si="16"/>
        <v>382.55978148148137</v>
      </c>
      <c r="AK51" s="425">
        <f t="shared" si="17"/>
        <v>162.31481481481481</v>
      </c>
      <c r="AL51" s="398">
        <f t="shared" si="18"/>
        <v>122.65611111111112</v>
      </c>
      <c r="AM51" s="399">
        <f t="shared" si="19"/>
        <v>53.56388888888889</v>
      </c>
      <c r="AN51" s="420">
        <f t="shared" si="20"/>
        <v>89.99976296296299</v>
      </c>
      <c r="AO51" s="425">
        <f t="shared" si="21"/>
        <v>40.578703703703702</v>
      </c>
      <c r="AP51" s="420">
        <f t="shared" si="25"/>
        <v>108.40817901234568</v>
      </c>
      <c r="AQ51" s="425">
        <f t="shared" si="22"/>
        <v>47.341820987654323</v>
      </c>
      <c r="AR51" s="454">
        <f t="shared" si="26"/>
        <v>16.23074074074059</v>
      </c>
      <c r="AS51" s="85">
        <f t="shared" si="23"/>
        <v>876.45999999999185</v>
      </c>
      <c r="AT51" s="10"/>
    </row>
    <row r="52" spans="1:61" ht="12.75" customHeight="1" x14ac:dyDescent="0.2">
      <c r="B52" s="335">
        <v>88258.19</v>
      </c>
      <c r="C52" s="336">
        <v>89287.96</v>
      </c>
      <c r="D52" s="337" t="s">
        <v>16</v>
      </c>
      <c r="E52" s="337" t="s">
        <v>107</v>
      </c>
      <c r="F52" s="337" t="s">
        <v>101</v>
      </c>
      <c r="G52" s="47" t="str">
        <f t="shared" ref="G52:G71" si="35">IF(AND($E52=$AU$2,$F52=$AU$2),$AW$2,IF(OR(AND($E52=$AU$2,$F52=$AU$3),AND($E52=$AU$3,$F52=$AU$2)),$AW$3,IF(OR(AND($E52=$AU$2,$F52=$AU$5),AND($E52=$AU$5,$F52=$AU$2)),$AW$5,IF(OR(AND($E52=$AU$3,$F52=$AU$5),AND($E52=$AU$5,$F52=$AU$3)),$AW$6,IF(AND($E52=$AU$3,$F52=$AU$3),$AW$7,IF(AND($E52=$AU$5,$F52=$AU$5),$AW$8,"-"))))))</f>
        <v>E/S - C/B</v>
      </c>
      <c r="H52" s="26">
        <f t="shared" si="31"/>
        <v>1.5</v>
      </c>
      <c r="I52" s="27">
        <f t="shared" si="32"/>
        <v>21.739588888888971</v>
      </c>
      <c r="J52" s="27">
        <f t="shared" si="33"/>
        <v>25.553551851851953</v>
      </c>
      <c r="K52" s="27">
        <f t="shared" si="34"/>
        <v>-6.8651333333333602</v>
      </c>
      <c r="L52" s="338">
        <v>0</v>
      </c>
      <c r="M52" s="83">
        <f t="shared" si="5"/>
        <v>1029.7700000000041</v>
      </c>
      <c r="N52" s="384">
        <v>41.42</v>
      </c>
      <c r="O52" s="385">
        <v>20</v>
      </c>
      <c r="P52" s="222">
        <f t="shared" si="27"/>
        <v>42654</v>
      </c>
      <c r="Q52" s="274">
        <f t="shared" si="6"/>
        <v>20596</v>
      </c>
      <c r="R52" s="394">
        <v>0</v>
      </c>
      <c r="S52" s="395">
        <v>0</v>
      </c>
      <c r="T52" s="221">
        <f t="shared" si="7"/>
        <v>42654</v>
      </c>
      <c r="U52" s="269">
        <f t="shared" si="8"/>
        <v>20596</v>
      </c>
      <c r="V52" s="345">
        <v>0</v>
      </c>
      <c r="W52" s="400">
        <v>0</v>
      </c>
      <c r="X52" s="401">
        <v>0</v>
      </c>
      <c r="Y52" s="410">
        <f t="shared" si="9"/>
        <v>2.4554808333333336</v>
      </c>
      <c r="Z52" s="411">
        <f t="shared" si="9"/>
        <v>1.1442222222222223</v>
      </c>
      <c r="AA52" s="398">
        <f t="shared" si="28"/>
        <v>4910.961666666667</v>
      </c>
      <c r="AB52" s="399">
        <f t="shared" si="28"/>
        <v>2288.4444444444443</v>
      </c>
      <c r="AC52" s="398">
        <f t="shared" ref="AC52:AC71" si="36">IF(OR($A52="APP SLAB",W52&lt;&gt;0),0,(T52+$H52*$M52)/9)</f>
        <v>4910.961666666667</v>
      </c>
      <c r="AD52" s="399">
        <f t="shared" ref="AD52:AD71" si="37">IF(OR($A52="APP SLAB",X52&lt;&gt;0),0,U52/9)</f>
        <v>2288.4444444444443</v>
      </c>
      <c r="AE52" s="398">
        <f t="shared" ref="AE52:AE71" si="38">IF(OR($A52="APP SLAB",W52&lt;&gt;0),0,$AC$1*AC52*110*0.06*0.75/2000)</f>
        <v>145.85556150000002</v>
      </c>
      <c r="AF52" s="399">
        <f t="shared" ref="AF52:AF71" si="39">IF(OR($A52="APP SLAB",X52&lt;&gt;0),0,$AC$1*AD52*110*0.06*0.75/2000)</f>
        <v>67.966799999999992</v>
      </c>
      <c r="AG52" s="348">
        <v>0</v>
      </c>
      <c r="AH52" s="421">
        <f t="shared" si="24"/>
        <v>1535.6932925925926</v>
      </c>
      <c r="AI52" s="422">
        <f t="shared" ref="AI52:AI71" si="40">IF($A52="APP SLAB",0,(U52*$AH$1/12)/27)</f>
        <v>731.03086419753083</v>
      </c>
      <c r="AJ52" s="420">
        <f t="shared" ref="AJ52:AJ71" si="41">(T52*$AJ$1/12)/27+J52</f>
        <v>815.44244074074084</v>
      </c>
      <c r="AK52" s="425">
        <f t="shared" ref="AK52:AK71" si="42">(U52*$AJ$1/12)/27</f>
        <v>381.40740740740739</v>
      </c>
      <c r="AL52" s="398">
        <f t="shared" ref="AL52:AL71" si="43">IF(A52="APP SLAB",0,(T52/9)*$AL$1)</f>
        <v>260.6633333333333</v>
      </c>
      <c r="AM52" s="399">
        <f t="shared" ref="AM52:AM71" si="44">IF($A52="APP SLAB",0,(U52/9)*$AL$1)</f>
        <v>125.86444444444444</v>
      </c>
      <c r="AN52" s="420">
        <f t="shared" ref="AN52:AN71" si="45">IF(A52="APP SLAB",0,(T52*($AN$1/12))/27+K52)</f>
        <v>190.60708888888888</v>
      </c>
      <c r="AO52" s="425">
        <f t="shared" ref="AO52:AO71" si="46">IF($A52="APP SLAB",0,(U52*($AN$1/12))/27)</f>
        <v>95.351851851851848</v>
      </c>
      <c r="AP52" s="420">
        <f t="shared" si="25"/>
        <v>230.38425925925927</v>
      </c>
      <c r="AQ52" s="425">
        <f t="shared" ref="AQ52:AQ71" si="47">IF($A52="APP SLAB",0,(U52*$AP$1/12)/27)</f>
        <v>111.24382716049384</v>
      </c>
      <c r="AR52" s="454">
        <f t="shared" si="26"/>
        <v>38.139629629629781</v>
      </c>
      <c r="AS52" s="85">
        <f t="shared" ref="AS52:AS71" si="48">IF(A52="APP SLAB",0,(M52*2))</f>
        <v>2059.5400000000081</v>
      </c>
    </row>
    <row r="53" spans="1:61" ht="12.75" customHeight="1" x14ac:dyDescent="0.2">
      <c r="B53" s="335">
        <v>89287.96</v>
      </c>
      <c r="C53" s="336">
        <v>89596.98</v>
      </c>
      <c r="D53" s="337" t="s">
        <v>16</v>
      </c>
      <c r="E53" s="337" t="s">
        <v>107</v>
      </c>
      <c r="F53" s="337" t="s">
        <v>102</v>
      </c>
      <c r="G53" s="47" t="str">
        <f t="shared" si="35"/>
        <v>F/C - C/B</v>
      </c>
      <c r="H53" s="26">
        <f t="shared" si="31"/>
        <v>2</v>
      </c>
      <c r="I53" s="27">
        <f t="shared" si="32"/>
        <v>0</v>
      </c>
      <c r="J53" s="27">
        <f t="shared" si="33"/>
        <v>11.216281481481101</v>
      </c>
      <c r="K53" s="27">
        <f t="shared" si="34"/>
        <v>-2.0601333333332636</v>
      </c>
      <c r="L53" s="338">
        <v>0</v>
      </c>
      <c r="M53" s="83">
        <f t="shared" si="5"/>
        <v>309.01999999998952</v>
      </c>
      <c r="N53" s="384">
        <v>43.42</v>
      </c>
      <c r="O53" s="385">
        <v>20</v>
      </c>
      <c r="P53" s="222">
        <f t="shared" si="27"/>
        <v>13418</v>
      </c>
      <c r="Q53" s="274">
        <f t="shared" si="6"/>
        <v>6181</v>
      </c>
      <c r="R53" s="394">
        <v>0</v>
      </c>
      <c r="S53" s="395">
        <v>0</v>
      </c>
      <c r="T53" s="221">
        <f t="shared" si="7"/>
        <v>13418</v>
      </c>
      <c r="U53" s="269">
        <f t="shared" si="8"/>
        <v>6181</v>
      </c>
      <c r="V53" s="345">
        <v>0</v>
      </c>
      <c r="W53" s="400">
        <v>0</v>
      </c>
      <c r="X53" s="401">
        <v>0</v>
      </c>
      <c r="Y53" s="410">
        <f t="shared" si="9"/>
        <v>0.77977999999999881</v>
      </c>
      <c r="Z53" s="411">
        <f t="shared" si="9"/>
        <v>0.34338888888888891</v>
      </c>
      <c r="AA53" s="398">
        <f t="shared" si="28"/>
        <v>1559.5599999999977</v>
      </c>
      <c r="AB53" s="399">
        <f t="shared" si="28"/>
        <v>686.77777777777783</v>
      </c>
      <c r="AC53" s="398">
        <f t="shared" si="36"/>
        <v>1559.5599999999977</v>
      </c>
      <c r="AD53" s="399">
        <f t="shared" si="37"/>
        <v>686.77777777777783</v>
      </c>
      <c r="AE53" s="398">
        <f t="shared" si="38"/>
        <v>46.318931999999926</v>
      </c>
      <c r="AF53" s="399">
        <f t="shared" si="39"/>
        <v>20.397300000000001</v>
      </c>
      <c r="AG53" s="348">
        <v>0</v>
      </c>
      <c r="AH53" s="421">
        <f t="shared" ref="AH53:AH71" si="49">IF(A53="APP SLAB",0,(T53*$AH$1/12)/27+I53)</f>
        <v>476.25617283950618</v>
      </c>
      <c r="AI53" s="422">
        <f t="shared" si="40"/>
        <v>219.38734567901233</v>
      </c>
      <c r="AJ53" s="420">
        <f t="shared" si="41"/>
        <v>259.6977629629626</v>
      </c>
      <c r="AK53" s="425">
        <f t="shared" si="42"/>
        <v>114.46296296296296</v>
      </c>
      <c r="AL53" s="398">
        <f t="shared" si="43"/>
        <v>81.998888888888885</v>
      </c>
      <c r="AM53" s="399">
        <f t="shared" si="44"/>
        <v>37.772777777777783</v>
      </c>
      <c r="AN53" s="420">
        <f t="shared" si="45"/>
        <v>60.060237037037112</v>
      </c>
      <c r="AO53" s="425">
        <f t="shared" si="46"/>
        <v>28.61574074074074</v>
      </c>
      <c r="AP53" s="420">
        <f t="shared" ref="AP53:AP71" si="50">IF(A53="APP SLAB",0,(T53*$AP$1/12)/27+L53)</f>
        <v>72.473765432098773</v>
      </c>
      <c r="AQ53" s="425">
        <f t="shared" si="47"/>
        <v>33.385030864197532</v>
      </c>
      <c r="AR53" s="454">
        <f t="shared" si="26"/>
        <v>0</v>
      </c>
      <c r="AS53" s="85">
        <f t="shared" si="48"/>
        <v>618.03999999997905</v>
      </c>
    </row>
    <row r="54" spans="1:61" ht="12.75" customHeight="1" x14ac:dyDescent="0.2">
      <c r="B54" s="335">
        <v>89596.98</v>
      </c>
      <c r="C54" s="336">
        <v>89617.38</v>
      </c>
      <c r="D54" s="337" t="s">
        <v>16</v>
      </c>
      <c r="E54" s="337" t="s">
        <v>107</v>
      </c>
      <c r="F54" s="337" t="s">
        <v>97</v>
      </c>
      <c r="G54" s="47" t="str">
        <f t="shared" si="35"/>
        <v>-</v>
      </c>
      <c r="H54" s="339">
        <v>0</v>
      </c>
      <c r="I54" s="338">
        <v>0.43</v>
      </c>
      <c r="J54" s="338">
        <v>0.51</v>
      </c>
      <c r="K54" s="338">
        <v>-0.14000000000000001</v>
      </c>
      <c r="L54" s="338">
        <v>0</v>
      </c>
      <c r="M54" s="83">
        <f t="shared" si="5"/>
        <v>20.400000000008731</v>
      </c>
      <c r="N54" s="384" t="s">
        <v>97</v>
      </c>
      <c r="O54" s="385" t="s">
        <v>97</v>
      </c>
      <c r="P54" s="222">
        <f t="shared" si="27"/>
        <v>0</v>
      </c>
      <c r="Q54" s="274">
        <f t="shared" si="6"/>
        <v>0</v>
      </c>
      <c r="R54" s="394">
        <v>444</v>
      </c>
      <c r="S54" s="395">
        <v>204</v>
      </c>
      <c r="T54" s="221">
        <f t="shared" si="7"/>
        <v>444</v>
      </c>
      <c r="U54" s="269">
        <f t="shared" si="8"/>
        <v>204</v>
      </c>
      <c r="V54" s="345">
        <v>0</v>
      </c>
      <c r="W54" s="400">
        <v>0</v>
      </c>
      <c r="X54" s="401">
        <v>0</v>
      </c>
      <c r="Y54" s="410">
        <f t="shared" si="9"/>
        <v>2.4666666666666667E-2</v>
      </c>
      <c r="Z54" s="411">
        <f t="shared" si="9"/>
        <v>1.1333333333333334E-2</v>
      </c>
      <c r="AA54" s="398">
        <f t="shared" si="28"/>
        <v>49.333333333333336</v>
      </c>
      <c r="AB54" s="399">
        <f t="shared" si="28"/>
        <v>22.666666666666668</v>
      </c>
      <c r="AC54" s="398">
        <f t="shared" si="36"/>
        <v>49.333333333333336</v>
      </c>
      <c r="AD54" s="399">
        <f t="shared" si="37"/>
        <v>22.666666666666668</v>
      </c>
      <c r="AE54" s="398">
        <f t="shared" si="38"/>
        <v>1.4651999999999998</v>
      </c>
      <c r="AF54" s="399">
        <f t="shared" si="39"/>
        <v>0.67320000000000002</v>
      </c>
      <c r="AG54" s="348">
        <v>0</v>
      </c>
      <c r="AH54" s="421">
        <f t="shared" si="49"/>
        <v>16.189259259259259</v>
      </c>
      <c r="AI54" s="422">
        <f t="shared" si="40"/>
        <v>7.2407407407407405</v>
      </c>
      <c r="AJ54" s="420">
        <f t="shared" si="41"/>
        <v>8.7322222222222212</v>
      </c>
      <c r="AK54" s="425">
        <f t="shared" si="42"/>
        <v>3.7777777777777777</v>
      </c>
      <c r="AL54" s="398">
        <f t="shared" si="43"/>
        <v>2.7133333333333334</v>
      </c>
      <c r="AM54" s="399">
        <f t="shared" si="44"/>
        <v>1.2466666666666668</v>
      </c>
      <c r="AN54" s="420">
        <f t="shared" si="45"/>
        <v>1.9155555555555552</v>
      </c>
      <c r="AO54" s="425">
        <f t="shared" si="46"/>
        <v>0.94444444444444442</v>
      </c>
      <c r="AP54" s="420">
        <f t="shared" si="50"/>
        <v>2.3981481481481484</v>
      </c>
      <c r="AQ54" s="425">
        <f t="shared" si="47"/>
        <v>1.1018518518518519</v>
      </c>
      <c r="AR54" s="454">
        <f t="shared" si="26"/>
        <v>0</v>
      </c>
      <c r="AS54" s="85">
        <f t="shared" si="48"/>
        <v>40.800000000017462</v>
      </c>
    </row>
    <row r="55" spans="1:61" ht="12.75" customHeight="1" x14ac:dyDescent="0.2">
      <c r="A55" s="1" t="s">
        <v>28</v>
      </c>
      <c r="B55" s="335">
        <v>89617.38</v>
      </c>
      <c r="C55" s="336">
        <v>89642.38</v>
      </c>
      <c r="D55" s="337" t="s">
        <v>16</v>
      </c>
      <c r="E55" s="337" t="s">
        <v>97</v>
      </c>
      <c r="F55" s="337" t="s">
        <v>97</v>
      </c>
      <c r="G55" s="47" t="str">
        <f t="shared" si="35"/>
        <v>-</v>
      </c>
      <c r="H55" s="26">
        <v>4</v>
      </c>
      <c r="I55" s="27">
        <f>IF(AND($E55=$AU$2,$F55=$AU$2),2*$AZ$13*$M55/27,IF(OR(AND($E55=$AU$2,$F55=$AU$3),AND($E55=$AU$3,$F55=$AU$2)),$AZ$13*$M55/27,IF(OR(AND($E55=$AU$2,$F55=$AU$5),AND($E55=$AU$5,$F55=$AU$2)),$AZ$13*$M55/27,0)))</f>
        <v>0</v>
      </c>
      <c r="J55" s="27">
        <f>IF(AND($E55=$AU$2,$F55=$AU$2),2*$BC$13*$M55/27,IF(OR(AND($E55=$AU$2,$F55=$AU$3),AND($E55=$AU$3,$F55=$AU$2)),($BC$13+$BC$14)*$M55/27,IF(OR(AND($E55=$AU$2,$F55=$AU$5),AND($E55=$AU$5,$F55=$AU$2)),$BC$13*$M55/27,IF(OR(AND($E55=$AU$3,$F55=$AU$5),AND($E55=$AU$5,$F55=$AU$3)),$BC$14*$M55/27,IF(AND($E55=$AU$3,$F55=$AU$3),2*$BC$14*$M55/27,0)))))</f>
        <v>0</v>
      </c>
      <c r="K55" s="27">
        <f>IF(AND($E55=$AU$5,$F55=$AU$5),2*$BF$15*$M55/27,IF(OR($E55=$AU$5,$F55=$AU$5),$BF$15*$M55/27,0))</f>
        <v>0</v>
      </c>
      <c r="L55" s="338">
        <v>0</v>
      </c>
      <c r="M55" s="83">
        <f t="shared" si="5"/>
        <v>25</v>
      </c>
      <c r="N55" s="384" t="s">
        <v>97</v>
      </c>
      <c r="O55" s="385" t="s">
        <v>97</v>
      </c>
      <c r="P55" s="222">
        <f t="shared" si="27"/>
        <v>0</v>
      </c>
      <c r="Q55" s="274">
        <f t="shared" si="6"/>
        <v>0</v>
      </c>
      <c r="R55" s="394">
        <v>1124</v>
      </c>
      <c r="S55" s="395">
        <v>500</v>
      </c>
      <c r="T55" s="221">
        <f t="shared" si="7"/>
        <v>1124</v>
      </c>
      <c r="U55" s="269">
        <f t="shared" si="8"/>
        <v>500</v>
      </c>
      <c r="V55" s="345">
        <v>0</v>
      </c>
      <c r="W55" s="400">
        <v>0</v>
      </c>
      <c r="X55" s="401">
        <v>0</v>
      </c>
      <c r="Y55" s="410">
        <f t="shared" si="9"/>
        <v>6.8000000000000005E-2</v>
      </c>
      <c r="Z55" s="411">
        <f t="shared" si="9"/>
        <v>3.3333333333333333E-2</v>
      </c>
      <c r="AA55" s="398">
        <f>IF(OR(W55&lt;&gt;0),0,AC55)</f>
        <v>136</v>
      </c>
      <c r="AB55" s="399">
        <f>IF(OR(X55&lt;&gt;0),0,AD55)</f>
        <v>66.666666666666671</v>
      </c>
      <c r="AC55" s="398">
        <f>IF(OR(W55&lt;&gt;0),0,(T55+$H55*$M55)/9)</f>
        <v>136</v>
      </c>
      <c r="AD55" s="398">
        <f>IF(OR(X55&lt;&gt;0),0,(U55+$H55*$M55)/9)</f>
        <v>66.666666666666671</v>
      </c>
      <c r="AE55" s="398">
        <f>IF(OR(W55&lt;&gt;0),0,$AC$1*AC55*110*0.06*0.75/2000)</f>
        <v>4.0392000000000001</v>
      </c>
      <c r="AF55" s="399">
        <f>IF(OR(X55&lt;&gt;0),0,$AC$1*AD55*110*0.06*0.75/2000)</f>
        <v>1.98</v>
      </c>
      <c r="AG55" s="348">
        <v>0</v>
      </c>
      <c r="AH55" s="421">
        <f t="shared" si="49"/>
        <v>0</v>
      </c>
      <c r="AI55" s="422">
        <f t="shared" si="40"/>
        <v>0</v>
      </c>
      <c r="AJ55" s="420">
        <f t="shared" si="41"/>
        <v>20.814814814814813</v>
      </c>
      <c r="AK55" s="425">
        <f t="shared" si="42"/>
        <v>9.2592592592592595</v>
      </c>
      <c r="AL55" s="398">
        <f t="shared" si="43"/>
        <v>0</v>
      </c>
      <c r="AM55" s="399">
        <f t="shared" si="44"/>
        <v>0</v>
      </c>
      <c r="AN55" s="420">
        <f t="shared" si="45"/>
        <v>0</v>
      </c>
      <c r="AO55" s="425">
        <f t="shared" si="46"/>
        <v>0</v>
      </c>
      <c r="AP55" s="420">
        <f t="shared" si="50"/>
        <v>0</v>
      </c>
      <c r="AQ55" s="425">
        <f t="shared" si="47"/>
        <v>0</v>
      </c>
      <c r="AR55" s="454">
        <f t="shared" si="26"/>
        <v>0</v>
      </c>
      <c r="AS55" s="85">
        <f t="shared" si="48"/>
        <v>0</v>
      </c>
    </row>
    <row r="56" spans="1:61" ht="12.75" customHeight="1" x14ac:dyDescent="0.2">
      <c r="A56" s="1" t="s">
        <v>28</v>
      </c>
      <c r="B56" s="335">
        <v>89984.24</v>
      </c>
      <c r="C56" s="336">
        <v>90009.24</v>
      </c>
      <c r="D56" s="337" t="s">
        <v>16</v>
      </c>
      <c r="E56" s="337" t="s">
        <v>97</v>
      </c>
      <c r="F56" s="337" t="s">
        <v>97</v>
      </c>
      <c r="G56" s="47" t="str">
        <f t="shared" si="35"/>
        <v>-</v>
      </c>
      <c r="H56" s="26">
        <v>4</v>
      </c>
      <c r="I56" s="27">
        <f>IF(AND($E56=$AU$2,$F56=$AU$2),2*$AZ$13*$M56/27,IF(OR(AND($E56=$AU$2,$F56=$AU$3),AND($E56=$AU$3,$F56=$AU$2)),$AZ$13*$M56/27,IF(OR(AND($E56=$AU$2,$F56=$AU$5),AND($E56=$AU$5,$F56=$AU$2)),$AZ$13*$M56/27,0)))</f>
        <v>0</v>
      </c>
      <c r="J56" s="27">
        <f>IF(AND($E56=$AU$2,$F56=$AU$2),2*$BC$13*$M56/27,IF(OR(AND($E56=$AU$2,$F56=$AU$3),AND($E56=$AU$3,$F56=$AU$2)),($BC$13+$BC$14)*$M56/27,IF(OR(AND($E56=$AU$2,$F56=$AU$5),AND($E56=$AU$5,$F56=$AU$2)),$BC$13*$M56/27,IF(OR(AND($E56=$AU$3,$F56=$AU$5),AND($E56=$AU$5,$F56=$AU$3)),$BC$14*$M56/27,IF(AND($E56=$AU$3,$F56=$AU$3),2*$BC$14*$M56/27,0)))))</f>
        <v>0</v>
      </c>
      <c r="K56" s="27">
        <f>IF(AND($E56=$AU$5,$F56=$AU$5),2*$BF$15*$M56/27,IF(OR($E56=$AU$5,$F56=$AU$5),$BF$15*$M56/27,0))</f>
        <v>0</v>
      </c>
      <c r="L56" s="338">
        <v>0</v>
      </c>
      <c r="M56" s="83">
        <f t="shared" si="5"/>
        <v>25</v>
      </c>
      <c r="N56" s="384" t="s">
        <v>97</v>
      </c>
      <c r="O56" s="385" t="s">
        <v>97</v>
      </c>
      <c r="P56" s="222">
        <f t="shared" si="27"/>
        <v>0</v>
      </c>
      <c r="Q56" s="274">
        <f t="shared" si="6"/>
        <v>0</v>
      </c>
      <c r="R56" s="394">
        <v>1124</v>
      </c>
      <c r="S56" s="395">
        <v>500</v>
      </c>
      <c r="T56" s="221">
        <f t="shared" si="7"/>
        <v>1124</v>
      </c>
      <c r="U56" s="269">
        <f t="shared" si="8"/>
        <v>500</v>
      </c>
      <c r="V56" s="345">
        <v>0</v>
      </c>
      <c r="W56" s="400">
        <v>0</v>
      </c>
      <c r="X56" s="401">
        <v>0</v>
      </c>
      <c r="Y56" s="410">
        <f t="shared" si="9"/>
        <v>6.8000000000000005E-2</v>
      </c>
      <c r="Z56" s="411">
        <f t="shared" si="9"/>
        <v>3.3333333333333333E-2</v>
      </c>
      <c r="AA56" s="398">
        <f>IF(OR(W56&lt;&gt;0),0,AC56)</f>
        <v>136</v>
      </c>
      <c r="AB56" s="399">
        <f>IF(OR(X56&lt;&gt;0),0,AD56)</f>
        <v>66.666666666666671</v>
      </c>
      <c r="AC56" s="398">
        <f>IF(OR(W56&lt;&gt;0),0,(T56+$H56*$M56)/9)</f>
        <v>136</v>
      </c>
      <c r="AD56" s="398">
        <f>IF(OR(X56&lt;&gt;0),0,(U56+$H56*$M56)/9)</f>
        <v>66.666666666666671</v>
      </c>
      <c r="AE56" s="398">
        <f>IF(OR(W56&lt;&gt;0),0,$AC$1*AC56*110*0.06*0.75/2000)</f>
        <v>4.0392000000000001</v>
      </c>
      <c r="AF56" s="399">
        <f>IF(OR(X56&lt;&gt;0),0,$AC$1*AD56*110*0.06*0.75/2000)</f>
        <v>1.98</v>
      </c>
      <c r="AG56" s="348">
        <v>0</v>
      </c>
      <c r="AH56" s="421">
        <f t="shared" si="49"/>
        <v>0</v>
      </c>
      <c r="AI56" s="422">
        <f t="shared" si="40"/>
        <v>0</v>
      </c>
      <c r="AJ56" s="420">
        <f t="shared" si="41"/>
        <v>20.814814814814813</v>
      </c>
      <c r="AK56" s="425">
        <f t="shared" si="42"/>
        <v>9.2592592592592595</v>
      </c>
      <c r="AL56" s="398">
        <f t="shared" si="43"/>
        <v>0</v>
      </c>
      <c r="AM56" s="399">
        <f t="shared" si="44"/>
        <v>0</v>
      </c>
      <c r="AN56" s="420">
        <f t="shared" si="45"/>
        <v>0</v>
      </c>
      <c r="AO56" s="425">
        <f t="shared" si="46"/>
        <v>0</v>
      </c>
      <c r="AP56" s="420">
        <f t="shared" si="50"/>
        <v>0</v>
      </c>
      <c r="AQ56" s="425">
        <f t="shared" si="47"/>
        <v>0</v>
      </c>
      <c r="AR56" s="454">
        <f t="shared" si="26"/>
        <v>0</v>
      </c>
      <c r="AS56" s="85">
        <f t="shared" si="48"/>
        <v>0</v>
      </c>
    </row>
    <row r="57" spans="1:61" ht="12.75" customHeight="1" x14ac:dyDescent="0.2">
      <c r="B57" s="335">
        <v>89989.25</v>
      </c>
      <c r="C57" s="336">
        <v>90008.8</v>
      </c>
      <c r="D57" s="337" t="s">
        <v>16</v>
      </c>
      <c r="E57" s="337" t="s">
        <v>97</v>
      </c>
      <c r="F57" s="337" t="s">
        <v>102</v>
      </c>
      <c r="G57" s="47" t="str">
        <f t="shared" si="35"/>
        <v>-</v>
      </c>
      <c r="H57" s="339">
        <v>2</v>
      </c>
      <c r="I57" s="338">
        <v>0</v>
      </c>
      <c r="J57" s="338">
        <v>0.71</v>
      </c>
      <c r="K57" s="338">
        <v>0</v>
      </c>
      <c r="L57" s="338">
        <v>0</v>
      </c>
      <c r="M57" s="83">
        <f t="shared" si="5"/>
        <v>19.55000000000291</v>
      </c>
      <c r="N57" s="384" t="s">
        <v>97</v>
      </c>
      <c r="O57" s="385" t="s">
        <v>97</v>
      </c>
      <c r="P57" s="222">
        <f t="shared" si="27"/>
        <v>0</v>
      </c>
      <c r="Q57" s="274">
        <f t="shared" si="6"/>
        <v>0</v>
      </c>
      <c r="R57" s="394">
        <v>425</v>
      </c>
      <c r="S57" s="395">
        <v>196</v>
      </c>
      <c r="T57" s="221">
        <f t="shared" si="7"/>
        <v>425</v>
      </c>
      <c r="U57" s="269">
        <f t="shared" si="8"/>
        <v>196</v>
      </c>
      <c r="V57" s="345">
        <v>0</v>
      </c>
      <c r="W57" s="400">
        <v>0</v>
      </c>
      <c r="X57" s="401">
        <v>0</v>
      </c>
      <c r="Y57" s="410">
        <f t="shared" si="9"/>
        <v>2.5783333333333658E-2</v>
      </c>
      <c r="Z57" s="411">
        <f t="shared" si="9"/>
        <v>1.0888888888888889E-2</v>
      </c>
      <c r="AA57" s="398">
        <f t="shared" si="28"/>
        <v>51.566666666667317</v>
      </c>
      <c r="AB57" s="399">
        <f t="shared" si="28"/>
        <v>21.777777777777779</v>
      </c>
      <c r="AC57" s="398">
        <f t="shared" si="36"/>
        <v>51.566666666667317</v>
      </c>
      <c r="AD57" s="399">
        <f t="shared" si="37"/>
        <v>21.777777777777779</v>
      </c>
      <c r="AE57" s="398">
        <f t="shared" si="38"/>
        <v>1.5315300000000194</v>
      </c>
      <c r="AF57" s="399">
        <f t="shared" si="39"/>
        <v>0.64680000000000004</v>
      </c>
      <c r="AG57" s="348">
        <v>0</v>
      </c>
      <c r="AH57" s="421">
        <f t="shared" si="49"/>
        <v>15.084876543209877</v>
      </c>
      <c r="AI57" s="422">
        <f t="shared" si="40"/>
        <v>6.9567901234567904</v>
      </c>
      <c r="AJ57" s="420">
        <f t="shared" si="41"/>
        <v>8.5803703703703711</v>
      </c>
      <c r="AK57" s="425">
        <f t="shared" si="42"/>
        <v>3.6296296296296298</v>
      </c>
      <c r="AL57" s="398">
        <f t="shared" si="43"/>
        <v>2.5972222222222223</v>
      </c>
      <c r="AM57" s="399">
        <f t="shared" si="44"/>
        <v>1.1977777777777778</v>
      </c>
      <c r="AN57" s="420">
        <f t="shared" si="45"/>
        <v>1.9675925925925926</v>
      </c>
      <c r="AO57" s="425">
        <f t="shared" si="46"/>
        <v>0.90740740740740744</v>
      </c>
      <c r="AP57" s="420">
        <f t="shared" si="50"/>
        <v>2.2955246913580245</v>
      </c>
      <c r="AQ57" s="425">
        <f t="shared" si="47"/>
        <v>1.058641975308642</v>
      </c>
      <c r="AR57" s="454">
        <f t="shared" si="26"/>
        <v>0</v>
      </c>
      <c r="AS57" s="85">
        <f t="shared" si="48"/>
        <v>39.100000000005821</v>
      </c>
    </row>
    <row r="58" spans="1:61" ht="12.75" customHeight="1" x14ac:dyDescent="0.2">
      <c r="B58" s="335">
        <v>90009.24</v>
      </c>
      <c r="C58" s="336">
        <v>90876.86</v>
      </c>
      <c r="D58" s="337" t="s">
        <v>16</v>
      </c>
      <c r="E58" s="337" t="s">
        <v>107</v>
      </c>
      <c r="F58" s="337" t="s">
        <v>102</v>
      </c>
      <c r="G58" s="47" t="str">
        <f t="shared" si="35"/>
        <v>F/C - C/B</v>
      </c>
      <c r="H58" s="26">
        <f t="shared" ref="H58:H66" si="51">IF(AND($E58=$AU$2,$F58=$AU$2),2*$AW$13,IF(OR(AND($E58=$AU$2, $F58=$AU$3),AND($E58=$AU$3,$F58=$AU$2)),$AW$13+$AW$14,IF(OR(AND($E58=$AU$2,$F58=$AU$5),AND($E58=$AU$5,$F58=$AU$2)),$AW$13,IF(OR(AND($E58=$AU$3,$F58=$AU$5),AND($E58=$AU$5,$F58=$AU$3)),$AW$14,IF(AND($E58=$AU$3,$F58=$AU$3),2*$AW$14,0)))))</f>
        <v>2</v>
      </c>
      <c r="I58" s="27">
        <f t="shared" ref="I58:I66" si="52">IF(AND($E58=$AU$2,$F58=$AU$2),2*$AZ$13*$M58/27,IF(OR(AND($E58=$AU$2,$F58=$AU$3),AND($E58=$AU$3,$F58=$AU$2)),$AZ$13*$M58/27,IF(OR(AND($E58=$AU$2,$F58=$AU$5),AND($E58=$AU$5,$F58=$AU$2)),$AZ$13*$M58/27,0)))</f>
        <v>0</v>
      </c>
      <c r="J58" s="27">
        <f t="shared" ref="J58:J66" si="53">IF(AND($E58=$AU$2,$F58=$AU$2),2*$BC$13*$M58/27,IF(OR(AND($E58=$AU$2,$F58=$AU$3),AND($E58=$AU$3,$F58=$AU$2)),($BC$13+$BC$14)*$M58/27,IF(OR(AND($E58=$AU$2,$F58=$AU$5),AND($E58=$AU$5,$F58=$AU$2)),$BC$13*$M58/27,IF(OR(AND($E58=$AU$3,$F58=$AU$5),AND($E58=$AU$5,$F58=$AU$3)),$BC$14*$M58/27,IF(AND($E58=$AU$3,$F58=$AU$3),2*$BC$14*$M58/27,0)))))</f>
        <v>31.491392592592426</v>
      </c>
      <c r="K58" s="27">
        <f t="shared" ref="K58:K66" si="54">IF(AND($E58=$AU$5,$F58=$AU$5),2*$BF$15*$M58/27,IF(OR($E58=$AU$5,$F58=$AU$5),$BF$15*$M58/27,0))</f>
        <v>-5.784133333333302</v>
      </c>
      <c r="L58" s="338">
        <v>0</v>
      </c>
      <c r="M58" s="83">
        <f t="shared" si="5"/>
        <v>867.61999999999534</v>
      </c>
      <c r="N58" s="384">
        <v>43.42</v>
      </c>
      <c r="O58" s="385">
        <v>20</v>
      </c>
      <c r="P58" s="222">
        <f t="shared" si="27"/>
        <v>37673</v>
      </c>
      <c r="Q58" s="274">
        <f t="shared" si="6"/>
        <v>17353</v>
      </c>
      <c r="R58" s="394">
        <v>0</v>
      </c>
      <c r="S58" s="395">
        <v>0</v>
      </c>
      <c r="T58" s="221">
        <f t="shared" si="7"/>
        <v>37673</v>
      </c>
      <c r="U58" s="269">
        <f t="shared" si="8"/>
        <v>17353</v>
      </c>
      <c r="V58" s="345">
        <v>0</v>
      </c>
      <c r="W58" s="400">
        <v>0</v>
      </c>
      <c r="X58" s="401">
        <v>0</v>
      </c>
      <c r="Y58" s="410">
        <f t="shared" si="9"/>
        <v>2.1893466666666663</v>
      </c>
      <c r="Z58" s="411">
        <f t="shared" si="9"/>
        <v>0.96405555555555555</v>
      </c>
      <c r="AA58" s="398">
        <f t="shared" si="28"/>
        <v>4378.6933333333327</v>
      </c>
      <c r="AB58" s="399">
        <f t="shared" si="28"/>
        <v>1928.1111111111111</v>
      </c>
      <c r="AC58" s="398">
        <f t="shared" si="36"/>
        <v>4378.6933333333327</v>
      </c>
      <c r="AD58" s="399">
        <f t="shared" si="37"/>
        <v>1928.1111111111111</v>
      </c>
      <c r="AE58" s="398">
        <f t="shared" si="38"/>
        <v>130.04719199999997</v>
      </c>
      <c r="AF58" s="399">
        <f t="shared" si="39"/>
        <v>57.264899999999997</v>
      </c>
      <c r="AG58" s="348">
        <v>0</v>
      </c>
      <c r="AH58" s="421">
        <f t="shared" si="49"/>
        <v>1337.1589506172838</v>
      </c>
      <c r="AI58" s="422">
        <f t="shared" si="40"/>
        <v>615.92438271604931</v>
      </c>
      <c r="AJ58" s="420">
        <f t="shared" si="41"/>
        <v>729.13954074074059</v>
      </c>
      <c r="AK58" s="425">
        <f t="shared" si="42"/>
        <v>321.35185185185185</v>
      </c>
      <c r="AL58" s="398">
        <f t="shared" si="43"/>
        <v>230.22388888888887</v>
      </c>
      <c r="AM58" s="399">
        <f t="shared" si="44"/>
        <v>106.04611111111112</v>
      </c>
      <c r="AN58" s="420">
        <f t="shared" si="45"/>
        <v>168.62790370370374</v>
      </c>
      <c r="AO58" s="425">
        <f t="shared" si="46"/>
        <v>80.337962962962962</v>
      </c>
      <c r="AP58" s="420">
        <f t="shared" si="50"/>
        <v>203.48070987654322</v>
      </c>
      <c r="AQ58" s="425">
        <f t="shared" si="47"/>
        <v>93.727623456790127</v>
      </c>
      <c r="AR58" s="454">
        <f t="shared" si="26"/>
        <v>0</v>
      </c>
      <c r="AS58" s="85">
        <f t="shared" si="48"/>
        <v>1735.2399999999907</v>
      </c>
    </row>
    <row r="59" spans="1:61" ht="12.75" customHeight="1" x14ac:dyDescent="0.2">
      <c r="B59" s="335">
        <v>90876.86</v>
      </c>
      <c r="C59" s="336">
        <v>90976.86</v>
      </c>
      <c r="D59" s="337" t="s">
        <v>16</v>
      </c>
      <c r="E59" s="337" t="s">
        <v>107</v>
      </c>
      <c r="F59" s="337" t="s">
        <v>102</v>
      </c>
      <c r="G59" s="47" t="str">
        <f t="shared" si="35"/>
        <v>F/C - C/B</v>
      </c>
      <c r="H59" s="26">
        <f t="shared" si="51"/>
        <v>2</v>
      </c>
      <c r="I59" s="27">
        <f t="shared" si="52"/>
        <v>0</v>
      </c>
      <c r="J59" s="27">
        <f t="shared" si="53"/>
        <v>3.6296296296296298</v>
      </c>
      <c r="K59" s="27">
        <f t="shared" si="54"/>
        <v>-0.66666666666666663</v>
      </c>
      <c r="L59" s="338">
        <v>0</v>
      </c>
      <c r="M59" s="83">
        <f t="shared" si="5"/>
        <v>100</v>
      </c>
      <c r="N59" s="384">
        <v>47.42</v>
      </c>
      <c r="O59" s="385">
        <v>20</v>
      </c>
      <c r="P59" s="222">
        <f t="shared" si="27"/>
        <v>4742</v>
      </c>
      <c r="Q59" s="274">
        <f t="shared" si="6"/>
        <v>2000</v>
      </c>
      <c r="R59" s="394">
        <v>0</v>
      </c>
      <c r="S59" s="395">
        <v>0</v>
      </c>
      <c r="T59" s="221">
        <f t="shared" si="7"/>
        <v>4742</v>
      </c>
      <c r="U59" s="269">
        <f t="shared" si="8"/>
        <v>2000</v>
      </c>
      <c r="V59" s="345">
        <v>0</v>
      </c>
      <c r="W59" s="400">
        <v>0</v>
      </c>
      <c r="X59" s="401">
        <v>0</v>
      </c>
      <c r="Y59" s="410">
        <f t="shared" si="9"/>
        <v>0.27455555555555555</v>
      </c>
      <c r="Z59" s="411">
        <f t="shared" si="9"/>
        <v>0.11111111111111112</v>
      </c>
      <c r="AA59" s="398">
        <f t="shared" si="28"/>
        <v>549.11111111111109</v>
      </c>
      <c r="AB59" s="399">
        <f t="shared" si="28"/>
        <v>222.22222222222223</v>
      </c>
      <c r="AC59" s="398">
        <f t="shared" si="36"/>
        <v>549.11111111111109</v>
      </c>
      <c r="AD59" s="399">
        <f t="shared" si="37"/>
        <v>222.22222222222223</v>
      </c>
      <c r="AE59" s="398">
        <f t="shared" si="38"/>
        <v>16.308599999999998</v>
      </c>
      <c r="AF59" s="399">
        <f t="shared" si="39"/>
        <v>6.6</v>
      </c>
      <c r="AG59" s="348">
        <v>0</v>
      </c>
      <c r="AH59" s="421">
        <f t="shared" si="49"/>
        <v>168.31172839506175</v>
      </c>
      <c r="AI59" s="422">
        <f t="shared" si="40"/>
        <v>70.987654320987659</v>
      </c>
      <c r="AJ59" s="420">
        <f t="shared" si="41"/>
        <v>91.444444444444443</v>
      </c>
      <c r="AK59" s="425">
        <f t="shared" si="42"/>
        <v>37.037037037037038</v>
      </c>
      <c r="AL59" s="398">
        <f t="shared" si="43"/>
        <v>28.978888888888889</v>
      </c>
      <c r="AM59" s="399">
        <f t="shared" si="44"/>
        <v>12.222222222222223</v>
      </c>
      <c r="AN59" s="420">
        <f t="shared" si="45"/>
        <v>21.287037037037035</v>
      </c>
      <c r="AO59" s="425">
        <f t="shared" si="46"/>
        <v>9.2592592592592595</v>
      </c>
      <c r="AP59" s="420">
        <f t="shared" si="50"/>
        <v>25.612654320987652</v>
      </c>
      <c r="AQ59" s="425">
        <f t="shared" si="47"/>
        <v>10.80246913580247</v>
      </c>
      <c r="AR59" s="454">
        <f t="shared" si="26"/>
        <v>0</v>
      </c>
      <c r="AS59" s="85">
        <f t="shared" si="48"/>
        <v>200</v>
      </c>
      <c r="AT59" s="81"/>
      <c r="BG59" s="81"/>
      <c r="BH59" s="81"/>
      <c r="BI59" s="81"/>
    </row>
    <row r="60" spans="1:61" ht="12.75" customHeight="1" x14ac:dyDescent="0.2">
      <c r="B60" s="335">
        <v>90976.86</v>
      </c>
      <c r="C60" s="336">
        <v>91222.55</v>
      </c>
      <c r="D60" s="337" t="s">
        <v>16</v>
      </c>
      <c r="E60" s="337" t="s">
        <v>107</v>
      </c>
      <c r="F60" s="337" t="s">
        <v>102</v>
      </c>
      <c r="G60" s="47" t="str">
        <f t="shared" si="35"/>
        <v>F/C - C/B</v>
      </c>
      <c r="H60" s="26">
        <f t="shared" si="51"/>
        <v>2</v>
      </c>
      <c r="I60" s="27">
        <f t="shared" si="52"/>
        <v>0</v>
      </c>
      <c r="J60" s="27">
        <f t="shared" si="53"/>
        <v>8.9176370370371227</v>
      </c>
      <c r="K60" s="27">
        <f t="shared" si="54"/>
        <v>-1.6379333333333488</v>
      </c>
      <c r="L60" s="338">
        <v>0</v>
      </c>
      <c r="M60" s="83">
        <f t="shared" si="5"/>
        <v>245.69000000000233</v>
      </c>
      <c r="N60" s="384">
        <v>51.42</v>
      </c>
      <c r="O60" s="385">
        <v>20</v>
      </c>
      <c r="P60" s="222">
        <f t="shared" si="27"/>
        <v>12634</v>
      </c>
      <c r="Q60" s="274">
        <f t="shared" si="6"/>
        <v>4914</v>
      </c>
      <c r="R60" s="394">
        <v>0</v>
      </c>
      <c r="S60" s="395">
        <v>0</v>
      </c>
      <c r="T60" s="221">
        <f t="shared" si="7"/>
        <v>12634</v>
      </c>
      <c r="U60" s="269">
        <f t="shared" si="8"/>
        <v>4914</v>
      </c>
      <c r="V60" s="345">
        <v>0</v>
      </c>
      <c r="W60" s="400">
        <v>0</v>
      </c>
      <c r="X60" s="401">
        <v>0</v>
      </c>
      <c r="Y60" s="410">
        <f t="shared" si="9"/>
        <v>0.72918777777777799</v>
      </c>
      <c r="Z60" s="411">
        <f t="shared" si="9"/>
        <v>0.27300000000000002</v>
      </c>
      <c r="AA60" s="398">
        <f t="shared" si="28"/>
        <v>1458.375555555556</v>
      </c>
      <c r="AB60" s="399">
        <f t="shared" si="28"/>
        <v>546</v>
      </c>
      <c r="AC60" s="398">
        <f t="shared" si="36"/>
        <v>1458.375555555556</v>
      </c>
      <c r="AD60" s="399">
        <f t="shared" si="37"/>
        <v>546</v>
      </c>
      <c r="AE60" s="398">
        <f t="shared" si="38"/>
        <v>43.31375400000001</v>
      </c>
      <c r="AF60" s="399">
        <f t="shared" si="39"/>
        <v>16.216200000000001</v>
      </c>
      <c r="AG60" s="348">
        <v>0</v>
      </c>
      <c r="AH60" s="421">
        <f t="shared" si="49"/>
        <v>448.42901234567904</v>
      </c>
      <c r="AI60" s="422">
        <f t="shared" si="40"/>
        <v>174.41666666666666</v>
      </c>
      <c r="AJ60" s="420">
        <f t="shared" si="41"/>
        <v>242.88060000000007</v>
      </c>
      <c r="AK60" s="425">
        <f t="shared" si="42"/>
        <v>91</v>
      </c>
      <c r="AL60" s="398">
        <f t="shared" si="43"/>
        <v>77.207777777777778</v>
      </c>
      <c r="AM60" s="399">
        <f t="shared" si="44"/>
        <v>30.03</v>
      </c>
      <c r="AN60" s="420">
        <f t="shared" si="45"/>
        <v>56.85280740740739</v>
      </c>
      <c r="AO60" s="425">
        <f t="shared" si="46"/>
        <v>22.75</v>
      </c>
      <c r="AP60" s="420">
        <f t="shared" si="50"/>
        <v>68.239197530864189</v>
      </c>
      <c r="AQ60" s="425">
        <f t="shared" si="47"/>
        <v>26.541666666666668</v>
      </c>
      <c r="AR60" s="454">
        <f t="shared" si="26"/>
        <v>0</v>
      </c>
      <c r="AS60" s="85">
        <f t="shared" si="48"/>
        <v>491.38000000000466</v>
      </c>
    </row>
    <row r="61" spans="1:61" ht="12.75" customHeight="1" x14ac:dyDescent="0.2">
      <c r="B61" s="335">
        <v>91222.55</v>
      </c>
      <c r="C61" s="336">
        <v>91676.86</v>
      </c>
      <c r="D61" s="337" t="s">
        <v>16</v>
      </c>
      <c r="E61" s="337" t="s">
        <v>107</v>
      </c>
      <c r="F61" s="337" t="s">
        <v>102</v>
      </c>
      <c r="G61" s="47" t="str">
        <f t="shared" si="35"/>
        <v>F/C - C/B</v>
      </c>
      <c r="H61" s="26">
        <f t="shared" si="51"/>
        <v>2</v>
      </c>
      <c r="I61" s="27">
        <f t="shared" si="52"/>
        <v>0</v>
      </c>
      <c r="J61" s="27">
        <f t="shared" si="53"/>
        <v>16.489770370370284</v>
      </c>
      <c r="K61" s="27">
        <f t="shared" si="54"/>
        <v>-3.0287333333333177</v>
      </c>
      <c r="L61" s="338">
        <v>0</v>
      </c>
      <c r="M61" s="83">
        <f t="shared" si="5"/>
        <v>454.30999999999767</v>
      </c>
      <c r="N61" s="384" t="s">
        <v>97</v>
      </c>
      <c r="O61" s="385" t="s">
        <v>97</v>
      </c>
      <c r="P61" s="222">
        <f t="shared" si="27"/>
        <v>0</v>
      </c>
      <c r="Q61" s="274">
        <f t="shared" si="6"/>
        <v>0</v>
      </c>
      <c r="R61" s="394">
        <v>27431</v>
      </c>
      <c r="S61" s="395">
        <v>9086</v>
      </c>
      <c r="T61" s="221">
        <f t="shared" si="7"/>
        <v>27431</v>
      </c>
      <c r="U61" s="269">
        <f t="shared" si="8"/>
        <v>9086</v>
      </c>
      <c r="V61" s="345">
        <v>0</v>
      </c>
      <c r="W61" s="400">
        <v>0</v>
      </c>
      <c r="X61" s="401">
        <v>0</v>
      </c>
      <c r="Y61" s="410">
        <f t="shared" si="9"/>
        <v>1.5744233333333333</v>
      </c>
      <c r="Z61" s="411">
        <f t="shared" si="9"/>
        <v>0.50477777777777777</v>
      </c>
      <c r="AA61" s="398">
        <f t="shared" si="28"/>
        <v>3148.8466666666664</v>
      </c>
      <c r="AB61" s="399">
        <f t="shared" si="28"/>
        <v>1009.5555555555555</v>
      </c>
      <c r="AC61" s="398">
        <f t="shared" si="36"/>
        <v>3148.8466666666664</v>
      </c>
      <c r="AD61" s="399">
        <f t="shared" si="37"/>
        <v>1009.5555555555555</v>
      </c>
      <c r="AE61" s="398">
        <f t="shared" si="38"/>
        <v>93.520745999999988</v>
      </c>
      <c r="AF61" s="399">
        <f t="shared" si="39"/>
        <v>29.983799999999995</v>
      </c>
      <c r="AG61" s="348">
        <v>0</v>
      </c>
      <c r="AH61" s="421">
        <f t="shared" si="49"/>
        <v>973.63117283950623</v>
      </c>
      <c r="AI61" s="422">
        <f t="shared" si="40"/>
        <v>322.49691358024688</v>
      </c>
      <c r="AJ61" s="420">
        <f t="shared" si="41"/>
        <v>524.47125185185178</v>
      </c>
      <c r="AK61" s="425">
        <f t="shared" si="42"/>
        <v>168.25925925925927</v>
      </c>
      <c r="AL61" s="398">
        <f t="shared" si="43"/>
        <v>167.63388888888889</v>
      </c>
      <c r="AM61" s="399">
        <f t="shared" si="44"/>
        <v>55.525555555555556</v>
      </c>
      <c r="AN61" s="420">
        <f t="shared" si="45"/>
        <v>123.96663703703705</v>
      </c>
      <c r="AO61" s="425">
        <f t="shared" si="46"/>
        <v>42.064814814814817</v>
      </c>
      <c r="AP61" s="420">
        <f t="shared" si="50"/>
        <v>148.16126543209876</v>
      </c>
      <c r="AQ61" s="425">
        <f t="shared" si="47"/>
        <v>49.075617283950621</v>
      </c>
      <c r="AR61" s="454">
        <f t="shared" si="26"/>
        <v>0</v>
      </c>
      <c r="AS61" s="85">
        <f t="shared" si="48"/>
        <v>908.61999999999534</v>
      </c>
    </row>
    <row r="62" spans="1:61" ht="12.75" customHeight="1" x14ac:dyDescent="0.2">
      <c r="B62" s="335">
        <v>91676.86</v>
      </c>
      <c r="C62" s="336">
        <v>93266.82</v>
      </c>
      <c r="D62" s="337" t="s">
        <v>16</v>
      </c>
      <c r="E62" s="337" t="s">
        <v>107</v>
      </c>
      <c r="F62" s="337" t="s">
        <v>101</v>
      </c>
      <c r="G62" s="47" t="str">
        <f t="shared" si="35"/>
        <v>E/S - C/B</v>
      </c>
      <c r="H62" s="26">
        <f t="shared" si="51"/>
        <v>1.5</v>
      </c>
      <c r="I62" s="27">
        <f t="shared" si="52"/>
        <v>33.565822222222351</v>
      </c>
      <c r="J62" s="27">
        <f t="shared" si="53"/>
        <v>39.454562962963124</v>
      </c>
      <c r="K62" s="27">
        <f t="shared" si="54"/>
        <v>-10.599733333333374</v>
      </c>
      <c r="L62" s="338">
        <v>0</v>
      </c>
      <c r="M62" s="83">
        <f t="shared" si="5"/>
        <v>1589.9600000000064</v>
      </c>
      <c r="N62" s="384">
        <v>41.42</v>
      </c>
      <c r="O62" s="385">
        <v>20</v>
      </c>
      <c r="P62" s="222">
        <f t="shared" si="27"/>
        <v>65857</v>
      </c>
      <c r="Q62" s="274">
        <f t="shared" si="6"/>
        <v>31800</v>
      </c>
      <c r="R62" s="394">
        <v>0</v>
      </c>
      <c r="S62" s="395">
        <v>0</v>
      </c>
      <c r="T62" s="221">
        <f t="shared" si="7"/>
        <v>65857</v>
      </c>
      <c r="U62" s="269">
        <f t="shared" si="8"/>
        <v>31800</v>
      </c>
      <c r="V62" s="345">
        <v>0</v>
      </c>
      <c r="W62" s="400">
        <v>0</v>
      </c>
      <c r="X62" s="401">
        <v>0</v>
      </c>
      <c r="Y62" s="410">
        <f t="shared" si="9"/>
        <v>3.7912188888888889</v>
      </c>
      <c r="Z62" s="411">
        <f t="shared" si="9"/>
        <v>1.7666666666666668</v>
      </c>
      <c r="AA62" s="398">
        <f t="shared" si="28"/>
        <v>7582.4377777777781</v>
      </c>
      <c r="AB62" s="399">
        <f t="shared" si="28"/>
        <v>3533.3333333333335</v>
      </c>
      <c r="AC62" s="398">
        <f t="shared" si="36"/>
        <v>7582.4377777777781</v>
      </c>
      <c r="AD62" s="399">
        <f t="shared" si="37"/>
        <v>3533.3333333333335</v>
      </c>
      <c r="AE62" s="398">
        <f t="shared" si="38"/>
        <v>225.19840200000002</v>
      </c>
      <c r="AF62" s="399">
        <f t="shared" si="39"/>
        <v>104.94</v>
      </c>
      <c r="AG62" s="348">
        <v>0</v>
      </c>
      <c r="AH62" s="421">
        <f t="shared" si="49"/>
        <v>2371.0827975308644</v>
      </c>
      <c r="AI62" s="422">
        <f t="shared" si="40"/>
        <v>1128.7037037037037</v>
      </c>
      <c r="AJ62" s="420">
        <f t="shared" si="41"/>
        <v>1259.0286370370372</v>
      </c>
      <c r="AK62" s="425">
        <f t="shared" si="42"/>
        <v>588.88888888888891</v>
      </c>
      <c r="AL62" s="398">
        <f t="shared" si="43"/>
        <v>402.45944444444444</v>
      </c>
      <c r="AM62" s="399">
        <f t="shared" si="44"/>
        <v>194.33333333333334</v>
      </c>
      <c r="AN62" s="420">
        <f t="shared" si="45"/>
        <v>294.29378518518519</v>
      </c>
      <c r="AO62" s="425">
        <f t="shared" si="46"/>
        <v>147.22222222222223</v>
      </c>
      <c r="AP62" s="420">
        <f t="shared" si="50"/>
        <v>355.70910493827165</v>
      </c>
      <c r="AQ62" s="425">
        <f t="shared" si="47"/>
        <v>171.75925925925927</v>
      </c>
      <c r="AR62" s="454">
        <f t="shared" si="26"/>
        <v>58.887407407407643</v>
      </c>
      <c r="AS62" s="85">
        <f t="shared" si="48"/>
        <v>3179.9200000000128</v>
      </c>
    </row>
    <row r="63" spans="1:61" ht="12.75" customHeight="1" x14ac:dyDescent="0.2">
      <c r="B63" s="335">
        <v>93266.82</v>
      </c>
      <c r="C63" s="336">
        <v>93571.43</v>
      </c>
      <c r="D63" s="337" t="s">
        <v>16</v>
      </c>
      <c r="E63" s="337" t="s">
        <v>107</v>
      </c>
      <c r="F63" s="337" t="s">
        <v>101</v>
      </c>
      <c r="G63" s="47" t="str">
        <f t="shared" si="35"/>
        <v>E/S - C/B</v>
      </c>
      <c r="H63" s="26">
        <f t="shared" si="51"/>
        <v>1.5</v>
      </c>
      <c r="I63" s="27">
        <f t="shared" si="52"/>
        <v>6.4306555555552602</v>
      </c>
      <c r="J63" s="27">
        <f t="shared" si="53"/>
        <v>7.5588407407403952</v>
      </c>
      <c r="K63" s="27">
        <f t="shared" si="54"/>
        <v>-2.0307333333332402</v>
      </c>
      <c r="L63" s="338">
        <v>0</v>
      </c>
      <c r="M63" s="83">
        <f t="shared" si="5"/>
        <v>304.60999999998603</v>
      </c>
      <c r="N63" s="384" t="s">
        <v>97</v>
      </c>
      <c r="O63" s="385" t="s">
        <v>97</v>
      </c>
      <c r="P63" s="222">
        <f t="shared" si="27"/>
        <v>0</v>
      </c>
      <c r="Q63" s="274">
        <f t="shared" si="6"/>
        <v>0</v>
      </c>
      <c r="R63" s="394">
        <v>20176</v>
      </c>
      <c r="S63" s="395">
        <v>6092</v>
      </c>
      <c r="T63" s="221">
        <f t="shared" si="7"/>
        <v>20176</v>
      </c>
      <c r="U63" s="269">
        <f t="shared" si="8"/>
        <v>6092</v>
      </c>
      <c r="V63" s="345">
        <v>0</v>
      </c>
      <c r="W63" s="400">
        <v>0</v>
      </c>
      <c r="X63" s="401">
        <v>0</v>
      </c>
      <c r="Y63" s="410">
        <f t="shared" si="9"/>
        <v>1.1462730555555545</v>
      </c>
      <c r="Z63" s="411">
        <f t="shared" si="9"/>
        <v>0.33844444444444444</v>
      </c>
      <c r="AA63" s="398">
        <f t="shared" si="28"/>
        <v>2292.546111111109</v>
      </c>
      <c r="AB63" s="399">
        <f t="shared" si="28"/>
        <v>676.88888888888891</v>
      </c>
      <c r="AC63" s="398">
        <f t="shared" si="36"/>
        <v>2292.546111111109</v>
      </c>
      <c r="AD63" s="399">
        <f t="shared" si="37"/>
        <v>676.88888888888891</v>
      </c>
      <c r="AE63" s="398">
        <f t="shared" si="38"/>
        <v>68.088619499999936</v>
      </c>
      <c r="AF63" s="399">
        <f t="shared" si="39"/>
        <v>20.1036</v>
      </c>
      <c r="AG63" s="348">
        <v>0</v>
      </c>
      <c r="AH63" s="421">
        <f t="shared" si="49"/>
        <v>722.55411234567873</v>
      </c>
      <c r="AI63" s="422">
        <f t="shared" si="40"/>
        <v>216.22839506172841</v>
      </c>
      <c r="AJ63" s="420">
        <f t="shared" si="41"/>
        <v>381.18847037037</v>
      </c>
      <c r="AK63" s="425">
        <f t="shared" si="42"/>
        <v>112.81481481481481</v>
      </c>
      <c r="AL63" s="398">
        <f t="shared" si="43"/>
        <v>123.29777777777778</v>
      </c>
      <c r="AM63" s="399">
        <f t="shared" si="44"/>
        <v>37.228888888888889</v>
      </c>
      <c r="AN63" s="420">
        <f t="shared" si="45"/>
        <v>91.37667407407416</v>
      </c>
      <c r="AO63" s="425">
        <f t="shared" si="46"/>
        <v>28.203703703703702</v>
      </c>
      <c r="AP63" s="420">
        <f t="shared" si="50"/>
        <v>108.97530864197532</v>
      </c>
      <c r="AQ63" s="425">
        <f t="shared" si="47"/>
        <v>32.904320987654323</v>
      </c>
      <c r="AR63" s="454">
        <f t="shared" si="26"/>
        <v>11.281851851851334</v>
      </c>
      <c r="AS63" s="85">
        <f t="shared" si="48"/>
        <v>609.21999999997206</v>
      </c>
    </row>
    <row r="64" spans="1:61" ht="12.75" customHeight="1" x14ac:dyDescent="0.2">
      <c r="B64" s="335">
        <v>93571.43</v>
      </c>
      <c r="C64" s="336">
        <v>94621.43</v>
      </c>
      <c r="D64" s="337" t="s">
        <v>16</v>
      </c>
      <c r="E64" s="337" t="s">
        <v>107</v>
      </c>
      <c r="F64" s="337" t="s">
        <v>101</v>
      </c>
      <c r="G64" s="47" t="str">
        <f t="shared" si="35"/>
        <v>E/S - C/B</v>
      </c>
      <c r="H64" s="26">
        <f t="shared" si="51"/>
        <v>1.5</v>
      </c>
      <c r="I64" s="27">
        <f t="shared" si="52"/>
        <v>22.166666666666668</v>
      </c>
      <c r="J64" s="27">
        <f t="shared" si="53"/>
        <v>26.055555555555557</v>
      </c>
      <c r="K64" s="27">
        <f t="shared" si="54"/>
        <v>-7</v>
      </c>
      <c r="L64" s="338">
        <v>0</v>
      </c>
      <c r="M64" s="83">
        <f t="shared" si="5"/>
        <v>1050</v>
      </c>
      <c r="N64" s="384">
        <v>51.92</v>
      </c>
      <c r="O64" s="385">
        <v>20</v>
      </c>
      <c r="P64" s="222">
        <f t="shared" si="27"/>
        <v>54516</v>
      </c>
      <c r="Q64" s="274">
        <f t="shared" si="6"/>
        <v>21000</v>
      </c>
      <c r="R64" s="394">
        <v>0</v>
      </c>
      <c r="S64" s="395">
        <v>0</v>
      </c>
      <c r="T64" s="221">
        <f t="shared" si="7"/>
        <v>54516</v>
      </c>
      <c r="U64" s="269">
        <f t="shared" si="8"/>
        <v>21000</v>
      </c>
      <c r="V64" s="345">
        <v>0</v>
      </c>
      <c r="W64" s="400">
        <v>0</v>
      </c>
      <c r="X64" s="401">
        <v>0</v>
      </c>
      <c r="Y64" s="410">
        <f>IF(AND(W64=0,AA64=0),0,IF(AA64=0,W64/2000,AA64/2000))</f>
        <v>3.1161666666666665</v>
      </c>
      <c r="Z64" s="411">
        <f t="shared" si="9"/>
        <v>1.1666666666666667</v>
      </c>
      <c r="AA64" s="398">
        <f t="shared" si="28"/>
        <v>6232.333333333333</v>
      </c>
      <c r="AB64" s="399">
        <f t="shared" si="28"/>
        <v>2333.3333333333335</v>
      </c>
      <c r="AC64" s="398">
        <f t="shared" si="36"/>
        <v>6232.333333333333</v>
      </c>
      <c r="AD64" s="399">
        <f t="shared" si="37"/>
        <v>2333.3333333333335</v>
      </c>
      <c r="AE64" s="398">
        <f t="shared" si="38"/>
        <v>185.10029999999998</v>
      </c>
      <c r="AF64" s="399">
        <f t="shared" si="39"/>
        <v>69.3</v>
      </c>
      <c r="AG64" s="348">
        <v>0</v>
      </c>
      <c r="AH64" s="421">
        <f t="shared" si="49"/>
        <v>1957.1481481481483</v>
      </c>
      <c r="AI64" s="422">
        <f t="shared" si="40"/>
        <v>745.37037037037032</v>
      </c>
      <c r="AJ64" s="420">
        <f t="shared" si="41"/>
        <v>1035.6111111111111</v>
      </c>
      <c r="AK64" s="425">
        <f t="shared" si="42"/>
        <v>388.88888888888891</v>
      </c>
      <c r="AL64" s="398">
        <f t="shared" si="43"/>
        <v>333.15333333333331</v>
      </c>
      <c r="AM64" s="399">
        <f t="shared" si="44"/>
        <v>128.33333333333334</v>
      </c>
      <c r="AN64" s="420">
        <f t="shared" si="45"/>
        <v>245.38888888888889</v>
      </c>
      <c r="AO64" s="425">
        <f t="shared" si="46"/>
        <v>97.222222222222229</v>
      </c>
      <c r="AP64" s="420">
        <f t="shared" si="50"/>
        <v>294.4537037037037</v>
      </c>
      <c r="AQ64" s="425">
        <f t="shared" si="47"/>
        <v>113.42592592592592</v>
      </c>
      <c r="AR64" s="454">
        <f t="shared" si="26"/>
        <v>38.888888888888886</v>
      </c>
      <c r="AS64" s="85">
        <f t="shared" si="48"/>
        <v>2100</v>
      </c>
    </row>
    <row r="65" spans="1:45" ht="12.75" customHeight="1" x14ac:dyDescent="0.2">
      <c r="B65" s="335">
        <v>94621.43</v>
      </c>
      <c r="C65" s="336">
        <v>95390</v>
      </c>
      <c r="D65" s="337" t="s">
        <v>16</v>
      </c>
      <c r="E65" s="337" t="s">
        <v>107</v>
      </c>
      <c r="F65" s="337" t="s">
        <v>101</v>
      </c>
      <c r="G65" s="47" t="str">
        <f t="shared" si="35"/>
        <v>E/S - C/B</v>
      </c>
      <c r="H65" s="26">
        <f t="shared" si="51"/>
        <v>1.5</v>
      </c>
      <c r="I65" s="27">
        <f t="shared" si="52"/>
        <v>16.225366666666812</v>
      </c>
      <c r="J65" s="27">
        <f t="shared" si="53"/>
        <v>19.071922222222398</v>
      </c>
      <c r="K65" s="27">
        <f t="shared" si="54"/>
        <v>-5.1238000000000463</v>
      </c>
      <c r="L65" s="338">
        <v>0</v>
      </c>
      <c r="M65" s="83">
        <f t="shared" si="5"/>
        <v>768.57000000000698</v>
      </c>
      <c r="N65" s="384">
        <v>41.42</v>
      </c>
      <c r="O65" s="385">
        <v>20</v>
      </c>
      <c r="P65" s="222">
        <f t="shared" si="27"/>
        <v>31835</v>
      </c>
      <c r="Q65" s="274">
        <f t="shared" si="6"/>
        <v>15372</v>
      </c>
      <c r="R65" s="394">
        <v>0</v>
      </c>
      <c r="S65" s="395">
        <v>0</v>
      </c>
      <c r="T65" s="221">
        <f t="shared" si="7"/>
        <v>31835</v>
      </c>
      <c r="U65" s="269">
        <f t="shared" si="8"/>
        <v>15372</v>
      </c>
      <c r="V65" s="345">
        <v>0</v>
      </c>
      <c r="W65" s="400">
        <v>0</v>
      </c>
      <c r="X65" s="401">
        <v>0</v>
      </c>
      <c r="Y65" s="410">
        <f t="shared" si="9"/>
        <v>1.8326586111111116</v>
      </c>
      <c r="Z65" s="411">
        <f t="shared" si="9"/>
        <v>0.85399999999999998</v>
      </c>
      <c r="AA65" s="398">
        <f t="shared" si="28"/>
        <v>3665.3172222222233</v>
      </c>
      <c r="AB65" s="399">
        <f t="shared" si="28"/>
        <v>1708</v>
      </c>
      <c r="AC65" s="398">
        <f t="shared" si="36"/>
        <v>3665.3172222222233</v>
      </c>
      <c r="AD65" s="399">
        <f t="shared" si="37"/>
        <v>1708</v>
      </c>
      <c r="AE65" s="398">
        <f t="shared" si="38"/>
        <v>108.85992150000003</v>
      </c>
      <c r="AF65" s="399">
        <f t="shared" si="39"/>
        <v>50.727600000000002</v>
      </c>
      <c r="AG65" s="348">
        <v>0</v>
      </c>
      <c r="AH65" s="421">
        <f t="shared" si="49"/>
        <v>1146.1713543209878</v>
      </c>
      <c r="AI65" s="422">
        <f t="shared" si="40"/>
        <v>545.61111111111109</v>
      </c>
      <c r="AJ65" s="420">
        <f t="shared" si="41"/>
        <v>608.60895925925945</v>
      </c>
      <c r="AK65" s="425">
        <f t="shared" si="42"/>
        <v>284.66666666666669</v>
      </c>
      <c r="AL65" s="398">
        <f t="shared" si="43"/>
        <v>194.54722222222222</v>
      </c>
      <c r="AM65" s="399">
        <f t="shared" si="44"/>
        <v>93.94</v>
      </c>
      <c r="AN65" s="420">
        <f t="shared" si="45"/>
        <v>142.26045925925922</v>
      </c>
      <c r="AO65" s="425">
        <f t="shared" si="46"/>
        <v>71.166666666666671</v>
      </c>
      <c r="AP65" s="420">
        <f t="shared" si="50"/>
        <v>171.94830246913583</v>
      </c>
      <c r="AQ65" s="425">
        <f t="shared" si="47"/>
        <v>83.027777777777771</v>
      </c>
      <c r="AR65" s="454">
        <f t="shared" si="26"/>
        <v>28.465555555555813</v>
      </c>
      <c r="AS65" s="85">
        <f t="shared" si="48"/>
        <v>1537.140000000014</v>
      </c>
    </row>
    <row r="66" spans="1:45" ht="12.75" customHeight="1" x14ac:dyDescent="0.2">
      <c r="B66" s="335">
        <v>95390</v>
      </c>
      <c r="C66" s="336">
        <v>95410.94</v>
      </c>
      <c r="D66" s="337" t="s">
        <v>16</v>
      </c>
      <c r="E66" s="337" t="s">
        <v>107</v>
      </c>
      <c r="F66" s="337" t="s">
        <v>102</v>
      </c>
      <c r="G66" s="47" t="str">
        <f t="shared" si="35"/>
        <v>F/C - C/B</v>
      </c>
      <c r="H66" s="26">
        <f t="shared" si="51"/>
        <v>2</v>
      </c>
      <c r="I66" s="27">
        <f t="shared" si="52"/>
        <v>0</v>
      </c>
      <c r="J66" s="27">
        <f t="shared" si="53"/>
        <v>0.7600444444445289</v>
      </c>
      <c r="K66" s="27">
        <f t="shared" si="54"/>
        <v>-0.13960000000001552</v>
      </c>
      <c r="L66" s="338">
        <v>0</v>
      </c>
      <c r="M66" s="83">
        <f t="shared" si="5"/>
        <v>20.940000000002328</v>
      </c>
      <c r="N66" s="384">
        <v>43.42</v>
      </c>
      <c r="O66" s="385">
        <v>20</v>
      </c>
      <c r="P66" s="222">
        <f t="shared" si="27"/>
        <v>910</v>
      </c>
      <c r="Q66" s="274">
        <f t="shared" si="6"/>
        <v>419</v>
      </c>
      <c r="R66" s="394">
        <v>0</v>
      </c>
      <c r="S66" s="395">
        <v>0</v>
      </c>
      <c r="T66" s="221">
        <f t="shared" si="7"/>
        <v>910</v>
      </c>
      <c r="U66" s="269">
        <f t="shared" si="8"/>
        <v>419</v>
      </c>
      <c r="V66" s="345">
        <v>0</v>
      </c>
      <c r="W66" s="400">
        <v>0</v>
      </c>
      <c r="X66" s="401">
        <v>0</v>
      </c>
      <c r="Y66" s="410">
        <f t="shared" si="9"/>
        <v>5.2882222222222483E-2</v>
      </c>
      <c r="Z66" s="411">
        <f t="shared" si="9"/>
        <v>2.3277777777777779E-2</v>
      </c>
      <c r="AA66" s="398">
        <f t="shared" si="28"/>
        <v>105.76444444444496</v>
      </c>
      <c r="AB66" s="399">
        <f t="shared" si="28"/>
        <v>46.555555555555557</v>
      </c>
      <c r="AC66" s="398">
        <f t="shared" si="36"/>
        <v>105.76444444444496</v>
      </c>
      <c r="AD66" s="399">
        <f t="shared" si="37"/>
        <v>46.555555555555557</v>
      </c>
      <c r="AE66" s="398">
        <f t="shared" si="38"/>
        <v>3.1412040000000152</v>
      </c>
      <c r="AF66" s="399">
        <f t="shared" si="39"/>
        <v>1.3827</v>
      </c>
      <c r="AG66" s="348">
        <v>0</v>
      </c>
      <c r="AH66" s="421">
        <f t="shared" si="49"/>
        <v>32.299382716049386</v>
      </c>
      <c r="AI66" s="422">
        <f t="shared" si="40"/>
        <v>14.871913580246915</v>
      </c>
      <c r="AJ66" s="420">
        <f t="shared" si="41"/>
        <v>17.611896296296379</v>
      </c>
      <c r="AK66" s="425">
        <f t="shared" si="42"/>
        <v>7.7592592592592595</v>
      </c>
      <c r="AL66" s="398">
        <f t="shared" si="43"/>
        <v>5.5611111111111109</v>
      </c>
      <c r="AM66" s="399">
        <f t="shared" si="44"/>
        <v>2.5605555555555557</v>
      </c>
      <c r="AN66" s="420">
        <f t="shared" si="45"/>
        <v>4.0733629629629471</v>
      </c>
      <c r="AO66" s="425">
        <f t="shared" si="46"/>
        <v>1.9398148148148149</v>
      </c>
      <c r="AP66" s="420">
        <f t="shared" si="50"/>
        <v>4.9151234567901234</v>
      </c>
      <c r="AQ66" s="425">
        <f t="shared" si="47"/>
        <v>2.2631172839506171</v>
      </c>
      <c r="AR66" s="454">
        <f t="shared" si="26"/>
        <v>0</v>
      </c>
      <c r="AS66" s="85">
        <f t="shared" si="48"/>
        <v>41.880000000004657</v>
      </c>
    </row>
    <row r="67" spans="1:45" ht="12.75" customHeight="1" x14ac:dyDescent="0.2">
      <c r="B67" s="335">
        <v>95410.94</v>
      </c>
      <c r="C67" s="336">
        <v>96504.94</v>
      </c>
      <c r="D67" s="337" t="s">
        <v>16</v>
      </c>
      <c r="E67" s="337" t="s">
        <v>107</v>
      </c>
      <c r="F67" s="337" t="s">
        <v>108</v>
      </c>
      <c r="G67" s="47" t="str">
        <f t="shared" si="35"/>
        <v>-</v>
      </c>
      <c r="H67" s="339">
        <v>3.67</v>
      </c>
      <c r="I67" s="338">
        <v>107.37</v>
      </c>
      <c r="J67" s="338">
        <v>70.91</v>
      </c>
      <c r="K67" s="338">
        <v>-7.29</v>
      </c>
      <c r="L67" s="338">
        <v>12.97</v>
      </c>
      <c r="M67" s="83">
        <f t="shared" si="5"/>
        <v>1094</v>
      </c>
      <c r="N67" s="384">
        <v>43.42</v>
      </c>
      <c r="O67" s="385">
        <v>20</v>
      </c>
      <c r="P67" s="222">
        <f t="shared" si="27"/>
        <v>47502</v>
      </c>
      <c r="Q67" s="274">
        <f t="shared" si="6"/>
        <v>21880</v>
      </c>
      <c r="R67" s="394">
        <v>0</v>
      </c>
      <c r="S67" s="395">
        <v>0</v>
      </c>
      <c r="T67" s="221">
        <f t="shared" si="7"/>
        <v>47502</v>
      </c>
      <c r="U67" s="269">
        <f t="shared" si="8"/>
        <v>21880</v>
      </c>
      <c r="V67" s="345">
        <v>0</v>
      </c>
      <c r="W67" s="400">
        <v>0</v>
      </c>
      <c r="X67" s="401">
        <v>0</v>
      </c>
      <c r="Y67" s="410">
        <f t="shared" si="9"/>
        <v>2.8620544444444445</v>
      </c>
      <c r="Z67" s="411">
        <f t="shared" si="9"/>
        <v>1.2155555555555557</v>
      </c>
      <c r="AA67" s="398">
        <f t="shared" si="28"/>
        <v>5724.1088888888889</v>
      </c>
      <c r="AB67" s="399">
        <f t="shared" si="28"/>
        <v>2431.1111111111113</v>
      </c>
      <c r="AC67" s="398">
        <f t="shared" si="36"/>
        <v>5724.1088888888889</v>
      </c>
      <c r="AD67" s="399">
        <f t="shared" si="37"/>
        <v>2431.1111111111113</v>
      </c>
      <c r="AE67" s="398">
        <f t="shared" si="38"/>
        <v>170.00603399999997</v>
      </c>
      <c r="AF67" s="399">
        <f t="shared" si="39"/>
        <v>72.203999999999994</v>
      </c>
      <c r="AG67" s="348">
        <v>0</v>
      </c>
      <c r="AH67" s="421">
        <f t="shared" si="49"/>
        <v>1793.3977777777777</v>
      </c>
      <c r="AI67" s="422">
        <f t="shared" si="40"/>
        <v>776.60493827160485</v>
      </c>
      <c r="AJ67" s="420">
        <f t="shared" si="41"/>
        <v>950.5766666666666</v>
      </c>
      <c r="AK67" s="425">
        <f t="shared" si="42"/>
        <v>405.18518518518516</v>
      </c>
      <c r="AL67" s="398">
        <f t="shared" si="43"/>
        <v>290.29000000000002</v>
      </c>
      <c r="AM67" s="399">
        <f t="shared" si="44"/>
        <v>133.71111111111114</v>
      </c>
      <c r="AN67" s="420">
        <f t="shared" si="45"/>
        <v>212.62666666666667</v>
      </c>
      <c r="AO67" s="425">
        <f t="shared" si="46"/>
        <v>101.29629629629629</v>
      </c>
      <c r="AP67" s="420">
        <f t="shared" si="50"/>
        <v>269.53944444444448</v>
      </c>
      <c r="AQ67" s="425">
        <f t="shared" si="47"/>
        <v>118.17901234567901</v>
      </c>
      <c r="AR67" s="454">
        <f t="shared" si="26"/>
        <v>0</v>
      </c>
      <c r="AS67" s="85">
        <f t="shared" si="48"/>
        <v>2188</v>
      </c>
    </row>
    <row r="68" spans="1:45" ht="12.75" customHeight="1" x14ac:dyDescent="0.2">
      <c r="B68" s="335">
        <v>96504.94</v>
      </c>
      <c r="C68" s="336">
        <v>98092.73</v>
      </c>
      <c r="D68" s="337" t="s">
        <v>16</v>
      </c>
      <c r="E68" s="337" t="s">
        <v>107</v>
      </c>
      <c r="F68" s="337" t="s">
        <v>101</v>
      </c>
      <c r="G68" s="47" t="str">
        <f t="shared" si="35"/>
        <v>E/S - C/B</v>
      </c>
      <c r="H68" s="26">
        <f>IF(AND($E68=$AU$2,$F68=$AU$2),2*$AW$13,IF(OR(AND($E68=$AU$2, $F68=$AU$3),AND($E68=$AU$3,$F68=$AU$2)),$AW$13+$AW$14,IF(OR(AND($E68=$AU$2,$F68=$AU$5),AND($E68=$AU$5,$F68=$AU$2)),$AW$13,IF(OR(AND($E68=$AU$3,$F68=$AU$5),AND($E68=$AU$5,$F68=$AU$3)),$AW$14,IF(AND($E68=$AU$3,$F68=$AU$3),2*$AW$14,0)))))</f>
        <v>1.5</v>
      </c>
      <c r="I68" s="27">
        <f>IF(AND($E68=$AU$2,$F68=$AU$2),2*$AZ$13*$M68/27,IF(OR(AND($E68=$AU$2,$F68=$AU$3),AND($E68=$AU$3,$F68=$AU$2)),$AZ$13*$M68/27,IF(OR(AND($E68=$AU$2,$F68=$AU$5),AND($E68=$AU$5,$F68=$AU$2)),$AZ$13*$M68/27,0)))</f>
        <v>33.520011111110975</v>
      </c>
      <c r="J68" s="27">
        <f>IF(AND($E68=$AU$2,$F68=$AU$2),2*$BC$13*$M68/27,IF(OR(AND($E68=$AU$2,$F68=$AU$3),AND($E68=$AU$3,$F68=$AU$2)),($BC$13+$BC$14)*$M68/27,IF(OR(AND($E68=$AU$2,$F68=$AU$5),AND($E68=$AU$5,$F68=$AU$2)),$BC$13*$M68/27,IF(OR(AND($E68=$AU$3,$F68=$AU$5),AND($E68=$AU$5,$F68=$AU$3)),$BC$14*$M68/27,IF(AND($E68=$AU$3,$F68=$AU$3),2*$BC$14*$M68/27,0)))))</f>
        <v>39.400714814814656</v>
      </c>
      <c r="K68" s="27">
        <f>IF(AND($E68=$AU$5,$F68=$AU$5),2*$BF$15*$M68/27,IF(OR($E68=$AU$5,$F68=$AU$5),$BF$15*$M68/27,0))</f>
        <v>-10.585266666666623</v>
      </c>
      <c r="L68" s="338">
        <v>0</v>
      </c>
      <c r="M68" s="83">
        <f t="shared" si="5"/>
        <v>1587.7899999999936</v>
      </c>
      <c r="N68" s="384">
        <v>41.42</v>
      </c>
      <c r="O68" s="385">
        <v>20</v>
      </c>
      <c r="P68" s="222">
        <f t="shared" si="27"/>
        <v>65767</v>
      </c>
      <c r="Q68" s="274">
        <f t="shared" si="6"/>
        <v>31756</v>
      </c>
      <c r="R68" s="394">
        <v>0</v>
      </c>
      <c r="S68" s="395">
        <v>0</v>
      </c>
      <c r="T68" s="221">
        <f t="shared" si="7"/>
        <v>65767</v>
      </c>
      <c r="U68" s="269">
        <f t="shared" si="8"/>
        <v>31756</v>
      </c>
      <c r="V68" s="345">
        <v>0</v>
      </c>
      <c r="W68" s="400">
        <v>0</v>
      </c>
      <c r="X68" s="401">
        <v>0</v>
      </c>
      <c r="Y68" s="410">
        <f t="shared" si="9"/>
        <v>3.7860380555555553</v>
      </c>
      <c r="Z68" s="411">
        <f t="shared" si="9"/>
        <v>1.7642222222222221</v>
      </c>
      <c r="AA68" s="398">
        <f t="shared" si="28"/>
        <v>7572.0761111111105</v>
      </c>
      <c r="AB68" s="399">
        <f t="shared" si="28"/>
        <v>3528.4444444444443</v>
      </c>
      <c r="AC68" s="398">
        <f t="shared" si="36"/>
        <v>7572.0761111111105</v>
      </c>
      <c r="AD68" s="399">
        <f t="shared" si="37"/>
        <v>3528.4444444444443</v>
      </c>
      <c r="AE68" s="398">
        <f t="shared" si="38"/>
        <v>224.8906605</v>
      </c>
      <c r="AF68" s="399">
        <f t="shared" si="39"/>
        <v>104.79479999999998</v>
      </c>
      <c r="AG68" s="348">
        <v>0</v>
      </c>
      <c r="AH68" s="421">
        <f t="shared" si="49"/>
        <v>2367.8425419753084</v>
      </c>
      <c r="AI68" s="422">
        <f t="shared" si="40"/>
        <v>1127.141975308642</v>
      </c>
      <c r="AJ68" s="420">
        <f t="shared" si="41"/>
        <v>1257.308122222222</v>
      </c>
      <c r="AK68" s="425">
        <f t="shared" si="42"/>
        <v>588.07407407407402</v>
      </c>
      <c r="AL68" s="398">
        <f t="shared" si="43"/>
        <v>401.90944444444443</v>
      </c>
      <c r="AM68" s="399">
        <f t="shared" si="44"/>
        <v>194.06444444444443</v>
      </c>
      <c r="AN68" s="420">
        <f t="shared" si="45"/>
        <v>293.89158518518525</v>
      </c>
      <c r="AO68" s="425">
        <f t="shared" si="46"/>
        <v>147.0185185185185</v>
      </c>
      <c r="AP68" s="420">
        <f t="shared" si="50"/>
        <v>355.22299382716051</v>
      </c>
      <c r="AQ68" s="425">
        <f t="shared" si="47"/>
        <v>171.52160493827159</v>
      </c>
      <c r="AR68" s="454">
        <f t="shared" si="26"/>
        <v>58.8070370370368</v>
      </c>
      <c r="AS68" s="85">
        <f t="shared" si="48"/>
        <v>3175.5799999999872</v>
      </c>
    </row>
    <row r="69" spans="1:45" ht="12.75" customHeight="1" x14ac:dyDescent="0.2">
      <c r="B69" s="335">
        <v>98092.73</v>
      </c>
      <c r="C69" s="336">
        <v>98152.14</v>
      </c>
      <c r="D69" s="337" t="s">
        <v>16</v>
      </c>
      <c r="E69" s="337" t="s">
        <v>107</v>
      </c>
      <c r="F69" s="337" t="s">
        <v>108</v>
      </c>
      <c r="G69" s="47" t="str">
        <f t="shared" si="35"/>
        <v>-</v>
      </c>
      <c r="H69" s="339">
        <v>3.67</v>
      </c>
      <c r="I69" s="338">
        <v>5.83</v>
      </c>
      <c r="J69" s="338">
        <v>3.85</v>
      </c>
      <c r="K69" s="338">
        <v>-0.4</v>
      </c>
      <c r="L69" s="338">
        <v>0.7</v>
      </c>
      <c r="M69" s="83">
        <f t="shared" si="5"/>
        <v>59.410000000003492</v>
      </c>
      <c r="N69" s="384">
        <v>41.42</v>
      </c>
      <c r="O69" s="385">
        <v>20</v>
      </c>
      <c r="P69" s="222">
        <f t="shared" si="27"/>
        <v>2461</v>
      </c>
      <c r="Q69" s="274">
        <f t="shared" si="6"/>
        <v>1189</v>
      </c>
      <c r="R69" s="394">
        <v>0</v>
      </c>
      <c r="S69" s="395">
        <v>0</v>
      </c>
      <c r="T69" s="221">
        <f t="shared" si="7"/>
        <v>2461</v>
      </c>
      <c r="U69" s="269">
        <f t="shared" si="8"/>
        <v>1189</v>
      </c>
      <c r="V69" s="345">
        <v>0</v>
      </c>
      <c r="W69" s="400">
        <v>0</v>
      </c>
      <c r="X69" s="401">
        <v>0</v>
      </c>
      <c r="Y69" s="410">
        <f t="shared" si="9"/>
        <v>0.14883526111111184</v>
      </c>
      <c r="Z69" s="411">
        <f t="shared" si="9"/>
        <v>6.6055555555555562E-2</v>
      </c>
      <c r="AA69" s="398">
        <f t="shared" si="28"/>
        <v>297.67052222222367</v>
      </c>
      <c r="AB69" s="399">
        <f t="shared" si="28"/>
        <v>132.11111111111111</v>
      </c>
      <c r="AC69" s="398">
        <f t="shared" si="36"/>
        <v>297.67052222222367</v>
      </c>
      <c r="AD69" s="399">
        <f t="shared" si="37"/>
        <v>132.11111111111111</v>
      </c>
      <c r="AE69" s="398">
        <f t="shared" si="38"/>
        <v>8.8408145100000421</v>
      </c>
      <c r="AF69" s="399">
        <f t="shared" si="39"/>
        <v>3.9237000000000002</v>
      </c>
      <c r="AG69" s="348">
        <v>0</v>
      </c>
      <c r="AH69" s="421">
        <f t="shared" si="49"/>
        <v>93.180308641975316</v>
      </c>
      <c r="AI69" s="422">
        <f t="shared" si="40"/>
        <v>42.202160493827158</v>
      </c>
      <c r="AJ69" s="420">
        <f t="shared" si="41"/>
        <v>49.424074074074078</v>
      </c>
      <c r="AK69" s="425">
        <f t="shared" si="42"/>
        <v>22.018518518518519</v>
      </c>
      <c r="AL69" s="398">
        <f t="shared" si="43"/>
        <v>15.039444444444445</v>
      </c>
      <c r="AM69" s="399">
        <f t="shared" si="44"/>
        <v>7.266111111111111</v>
      </c>
      <c r="AN69" s="420">
        <f t="shared" si="45"/>
        <v>10.993518518518519</v>
      </c>
      <c r="AO69" s="425">
        <f t="shared" si="46"/>
        <v>5.5046296296296298</v>
      </c>
      <c r="AP69" s="420">
        <f t="shared" si="50"/>
        <v>13.992438271604938</v>
      </c>
      <c r="AQ69" s="425">
        <f t="shared" si="47"/>
        <v>6.4220679012345681</v>
      </c>
      <c r="AR69" s="454">
        <f t="shared" si="26"/>
        <v>0</v>
      </c>
      <c r="AS69" s="85">
        <f t="shared" si="48"/>
        <v>118.82000000000698</v>
      </c>
    </row>
    <row r="70" spans="1:45" ht="12.75" customHeight="1" x14ac:dyDescent="0.2">
      <c r="B70" s="335">
        <v>98152.14</v>
      </c>
      <c r="C70" s="336">
        <v>101500</v>
      </c>
      <c r="D70" s="337" t="s">
        <v>16</v>
      </c>
      <c r="E70" s="337" t="s">
        <v>107</v>
      </c>
      <c r="F70" s="337" t="s">
        <v>101</v>
      </c>
      <c r="G70" s="47" t="str">
        <f t="shared" si="35"/>
        <v>E/S - C/B</v>
      </c>
      <c r="H70" s="26">
        <f>IF(AND($E70=$AU$2,$F70=$AU$2),2*$AW$13,IF(OR(AND($E70=$AU$2, $F70=$AU$3),AND($E70=$AU$3,$F70=$AU$2)),$AW$13+$AW$14,IF(OR(AND($E70=$AU$2,$F70=$AU$5),AND($E70=$AU$5,$F70=$AU$2)),$AW$13,IF(OR(AND($E70=$AU$3,$F70=$AU$5),AND($E70=$AU$5,$F70=$AU$3)),$AW$14,IF(AND($E70=$AU$3,$F70=$AU$3),2*$AW$14,0)))))</f>
        <v>1.5</v>
      </c>
      <c r="I70" s="27">
        <f>IF(AND($E70=$AU$2,$F70=$AU$2),2*$AZ$13*$M70/27,IF(OR(AND($E70=$AU$2,$F70=$AU$3),AND($E70=$AU$3,$F70=$AU$2)),$AZ$13*$M70/27,IF(OR(AND($E70=$AU$2,$F70=$AU$5),AND($E70=$AU$5,$F70=$AU$2)),$AZ$13*$M70/27,0)))</f>
        <v>70.677044444444448</v>
      </c>
      <c r="J70" s="27">
        <f>IF(AND($E70=$AU$2,$F70=$AU$2),2*$BC$13*$M70/27,IF(OR(AND($E70=$AU$2,$F70=$AU$3),AND($E70=$AU$3,$F70=$AU$2)),($BC$13+$BC$14)*$M70/27,IF(OR(AND($E70=$AU$2,$F70=$AU$5),AND($E70=$AU$5,$F70=$AU$2)),$BC$13*$M70/27,IF(OR(AND($E70=$AU$3,$F70=$AU$5),AND($E70=$AU$5,$F70=$AU$3)),$BC$14*$M70/27,IF(AND($E70=$AU$3,$F70=$AU$3),2*$BC$14*$M70/27,0)))))</f>
        <v>83.076525925925949</v>
      </c>
      <c r="K70" s="27">
        <f>IF(AND($E70=$AU$5,$F70=$AU$5),2*$BF$15*$M70/27,IF(OR($E70=$AU$5,$F70=$AU$5),$BF$15*$M70/27,0))</f>
        <v>-22.319066666666668</v>
      </c>
      <c r="L70" s="338">
        <v>0</v>
      </c>
      <c r="M70" s="83">
        <f t="shared" si="5"/>
        <v>3347.8600000000006</v>
      </c>
      <c r="N70" s="384">
        <v>41.42</v>
      </c>
      <c r="O70" s="385">
        <v>20</v>
      </c>
      <c r="P70" s="222">
        <f t="shared" si="27"/>
        <v>138669</v>
      </c>
      <c r="Q70" s="274">
        <f t="shared" si="6"/>
        <v>66958</v>
      </c>
      <c r="R70" s="394">
        <v>0</v>
      </c>
      <c r="S70" s="395">
        <v>0</v>
      </c>
      <c r="T70" s="221">
        <f t="shared" si="7"/>
        <v>138669</v>
      </c>
      <c r="U70" s="269">
        <f t="shared" si="8"/>
        <v>66958</v>
      </c>
      <c r="V70" s="345">
        <v>0</v>
      </c>
      <c r="W70" s="400">
        <v>0</v>
      </c>
      <c r="X70" s="401">
        <v>0</v>
      </c>
      <c r="Y70" s="410">
        <f t="shared" si="9"/>
        <v>7.9828216666666671</v>
      </c>
      <c r="Z70" s="411">
        <f t="shared" si="9"/>
        <v>3.7198888888888888</v>
      </c>
      <c r="AA70" s="398">
        <f t="shared" si="28"/>
        <v>15965.643333333333</v>
      </c>
      <c r="AB70" s="399">
        <f t="shared" si="28"/>
        <v>7439.7777777777774</v>
      </c>
      <c r="AC70" s="398">
        <f t="shared" si="36"/>
        <v>15965.643333333333</v>
      </c>
      <c r="AD70" s="399">
        <f t="shared" si="37"/>
        <v>7439.7777777777774</v>
      </c>
      <c r="AE70" s="398">
        <f t="shared" si="38"/>
        <v>474.17960699999998</v>
      </c>
      <c r="AF70" s="399">
        <f t="shared" si="39"/>
        <v>220.96139999999997</v>
      </c>
      <c r="AG70" s="348">
        <v>0</v>
      </c>
      <c r="AH70" s="421">
        <f t="shared" si="49"/>
        <v>4992.5705629629629</v>
      </c>
      <c r="AI70" s="422">
        <f t="shared" si="40"/>
        <v>2376.595679012346</v>
      </c>
      <c r="AJ70" s="420">
        <f t="shared" si="41"/>
        <v>2651.0209703703704</v>
      </c>
      <c r="AK70" s="425">
        <f t="shared" si="42"/>
        <v>1239.962962962963</v>
      </c>
      <c r="AL70" s="398">
        <f t="shared" si="43"/>
        <v>847.42166666666662</v>
      </c>
      <c r="AM70" s="399">
        <f t="shared" si="44"/>
        <v>409.18777777777774</v>
      </c>
      <c r="AN70" s="420">
        <f t="shared" si="45"/>
        <v>619.6670444444444</v>
      </c>
      <c r="AO70" s="425">
        <f t="shared" si="46"/>
        <v>309.99074074074076</v>
      </c>
      <c r="AP70" s="420">
        <f t="shared" si="50"/>
        <v>748.9837962962963</v>
      </c>
      <c r="AQ70" s="425">
        <f t="shared" si="47"/>
        <v>361.65586419753089</v>
      </c>
      <c r="AR70" s="454">
        <f t="shared" si="26"/>
        <v>123.99481481481483</v>
      </c>
      <c r="AS70" s="85">
        <f t="shared" si="48"/>
        <v>6695.7200000000012</v>
      </c>
    </row>
    <row r="71" spans="1:45" s="81" customFormat="1" ht="12.75" customHeight="1" x14ac:dyDescent="0.2">
      <c r="B71" s="355">
        <v>101500</v>
      </c>
      <c r="C71" s="356">
        <v>102250</v>
      </c>
      <c r="D71" s="337" t="s">
        <v>16</v>
      </c>
      <c r="E71" s="337" t="s">
        <v>107</v>
      </c>
      <c r="F71" s="337" t="s">
        <v>101</v>
      </c>
      <c r="G71" s="103" t="str">
        <f t="shared" si="35"/>
        <v>E/S - C/B</v>
      </c>
      <c r="H71" s="26">
        <f>IF(AND($E71=$AU$2,$F71=$AU$2),2*$AW$13,IF(OR(AND($E71=$AU$2, $F71=$AU$3),AND($E71=$AU$3,$F71=$AU$2)),$AW$13+$AW$14,IF(OR(AND($E71=$AU$2,$F71=$AU$5),AND($E71=$AU$5,$F71=$AU$2)),$AW$13,IF(OR(AND($E71=$AU$3,$F71=$AU$5),AND($E71=$AU$5,$F71=$AU$3)),$AW$14,IF(AND($E71=$AU$3,$F71=$AU$3),2*$AW$14,0)))))</f>
        <v>1.5</v>
      </c>
      <c r="I71" s="27">
        <f>IF(AND($E71=$AU$2,$F71=$AU$2),2*$AZ$13*$M71/27,IF(OR(AND($E71=$AU$2,$F71=$AU$3),AND($E71=$AU$3,$F71=$AU$2)),$AZ$13*$M71/27,IF(OR(AND($E71=$AU$2,$F71=$AU$5),AND($E71=$AU$5,$F71=$AU$2)),$AZ$13*$M71/27,0)))</f>
        <v>15.83333333333333</v>
      </c>
      <c r="J71" s="27">
        <f>IF(AND($E71=$AU$2,$F71=$AU$2),2*$BC$13*$M71/27,IF(OR(AND($E71=$AU$2,$F71=$AU$3),AND($E71=$AU$3,$F71=$AU$2)),($BC$13+$BC$14)*$M71/27,IF(OR(AND($E71=$AU$2,$F71=$AU$5),AND($E71=$AU$5,$F71=$AU$2)),$BC$13*$M71/27,IF(OR(AND($E71=$AU$3,$F71=$AU$5),AND($E71=$AU$5,$F71=$AU$3)),$BC$14*$M71/27,IF(AND($E71=$AU$3,$F71=$AU$3),2*$BC$14*$M71/27,0)))))</f>
        <v>18.611111111111114</v>
      </c>
      <c r="K71" s="27">
        <f>IF(AND($E71=$AU$5,$F71=$AU$5),2*$BF$15*$M71/27,IF(OR($E71=$AU$5,$F71=$AU$5),$BF$15*$M71/27,0))</f>
        <v>-5</v>
      </c>
      <c r="L71" s="338">
        <v>0</v>
      </c>
      <c r="M71" s="479">
        <f t="shared" si="5"/>
        <v>750</v>
      </c>
      <c r="N71" s="484">
        <v>12</v>
      </c>
      <c r="O71" s="385" t="s">
        <v>97</v>
      </c>
      <c r="P71" s="222">
        <f t="shared" si="27"/>
        <v>9000</v>
      </c>
      <c r="Q71" s="274">
        <f t="shared" si="6"/>
        <v>0</v>
      </c>
      <c r="R71" s="485">
        <v>0</v>
      </c>
      <c r="S71" s="486">
        <v>0</v>
      </c>
      <c r="T71" s="487">
        <f t="shared" si="7"/>
        <v>9000</v>
      </c>
      <c r="U71" s="488">
        <f t="shared" si="8"/>
        <v>0</v>
      </c>
      <c r="V71" s="345">
        <v>0</v>
      </c>
      <c r="W71" s="489">
        <v>0</v>
      </c>
      <c r="X71" s="490">
        <v>0</v>
      </c>
      <c r="Y71" s="491">
        <f t="shared" si="9"/>
        <v>0.5625</v>
      </c>
      <c r="Z71" s="492">
        <f t="shared" si="9"/>
        <v>0</v>
      </c>
      <c r="AA71" s="493">
        <f t="shared" si="28"/>
        <v>1125</v>
      </c>
      <c r="AB71" s="494">
        <f t="shared" si="28"/>
        <v>0</v>
      </c>
      <c r="AC71" s="398">
        <f t="shared" si="36"/>
        <v>1125</v>
      </c>
      <c r="AD71" s="399">
        <f t="shared" si="37"/>
        <v>0</v>
      </c>
      <c r="AE71" s="398">
        <f t="shared" si="38"/>
        <v>33.412500000000001</v>
      </c>
      <c r="AF71" s="399">
        <f t="shared" si="39"/>
        <v>0</v>
      </c>
      <c r="AG71" s="348">
        <v>764</v>
      </c>
      <c r="AH71" s="421">
        <f t="shared" si="49"/>
        <v>335.27777777777777</v>
      </c>
      <c r="AI71" s="422">
        <f t="shared" si="40"/>
        <v>0</v>
      </c>
      <c r="AJ71" s="420">
        <f t="shared" si="41"/>
        <v>185.27777777777777</v>
      </c>
      <c r="AK71" s="425">
        <f t="shared" si="42"/>
        <v>0</v>
      </c>
      <c r="AL71" s="398">
        <f t="shared" si="43"/>
        <v>55</v>
      </c>
      <c r="AM71" s="399">
        <f t="shared" si="44"/>
        <v>0</v>
      </c>
      <c r="AN71" s="420">
        <f t="shared" si="45"/>
        <v>36.666666666666664</v>
      </c>
      <c r="AO71" s="425">
        <f t="shared" si="46"/>
        <v>0</v>
      </c>
      <c r="AP71" s="420">
        <f t="shared" si="50"/>
        <v>48.611111111111114</v>
      </c>
      <c r="AQ71" s="426">
        <f t="shared" si="47"/>
        <v>0</v>
      </c>
      <c r="AR71" s="478">
        <f t="shared" si="26"/>
        <v>27.777777777777779</v>
      </c>
      <c r="AS71" s="469">
        <f t="shared" si="48"/>
        <v>1500</v>
      </c>
    </row>
    <row r="72" spans="1:45" s="81" customFormat="1" ht="12.75" customHeight="1" thickBot="1" x14ac:dyDescent="0.25">
      <c r="B72" s="257"/>
      <c r="C72" s="197"/>
      <c r="D72" s="32"/>
      <c r="E72" s="32"/>
      <c r="F72" s="32"/>
      <c r="G72" s="32"/>
      <c r="H72" s="26"/>
      <c r="I72" s="27"/>
      <c r="J72" s="27"/>
      <c r="K72" s="27"/>
      <c r="L72" s="27"/>
      <c r="M72" s="83"/>
      <c r="N72" s="386"/>
      <c r="O72" s="385"/>
      <c r="P72" s="222"/>
      <c r="Q72" s="274"/>
      <c r="R72" s="223"/>
      <c r="S72" s="280"/>
      <c r="T72" s="223"/>
      <c r="U72" s="280"/>
      <c r="V72" s="123"/>
      <c r="W72" s="223"/>
      <c r="X72" s="280"/>
      <c r="Y72" s="412"/>
      <c r="Z72" s="413"/>
      <c r="AA72" s="412"/>
      <c r="AB72" s="413"/>
      <c r="AC72" s="398"/>
      <c r="AD72" s="399"/>
      <c r="AE72" s="398"/>
      <c r="AF72" s="399"/>
      <c r="AG72" s="70"/>
      <c r="AH72" s="421"/>
      <c r="AI72" s="422"/>
      <c r="AJ72" s="420"/>
      <c r="AK72" s="425"/>
      <c r="AL72" s="398"/>
      <c r="AM72" s="399"/>
      <c r="AN72" s="420"/>
      <c r="AO72" s="425"/>
      <c r="AP72" s="420"/>
      <c r="AQ72" s="426"/>
      <c r="AR72" s="457"/>
      <c r="AS72" s="19"/>
    </row>
    <row r="73" spans="1:45" s="81" customFormat="1" ht="12.75" customHeight="1" x14ac:dyDescent="0.2">
      <c r="B73" s="590" t="s">
        <v>252</v>
      </c>
      <c r="C73" s="591"/>
      <c r="D73" s="602" t="s">
        <v>232</v>
      </c>
      <c r="E73" s="603"/>
      <c r="F73" s="603"/>
      <c r="G73" s="603"/>
      <c r="H73" s="603"/>
      <c r="I73" s="603"/>
      <c r="J73" s="603"/>
      <c r="K73" s="603"/>
      <c r="L73" s="603"/>
      <c r="M73" s="603"/>
      <c r="N73" s="603"/>
      <c r="O73" s="603"/>
      <c r="P73" s="603"/>
      <c r="Q73" s="603"/>
      <c r="R73" s="603"/>
      <c r="S73" s="603"/>
      <c r="T73" s="603"/>
      <c r="U73" s="604"/>
      <c r="V73" s="610">
        <f t="shared" ref="V73:AS73" si="55">ROUNDUP(SUM(V20:V71),0)</f>
        <v>0</v>
      </c>
      <c r="W73" s="612">
        <f t="shared" si="55"/>
        <v>18834</v>
      </c>
      <c r="X73" s="614">
        <f t="shared" si="55"/>
        <v>4379</v>
      </c>
      <c r="Y73" s="612">
        <f t="shared" si="55"/>
        <v>70</v>
      </c>
      <c r="Z73" s="614">
        <f t="shared" si="55"/>
        <v>28</v>
      </c>
      <c r="AA73" s="610">
        <f t="shared" si="55"/>
        <v>119608</v>
      </c>
      <c r="AB73" s="610">
        <f t="shared" si="55"/>
        <v>49921</v>
      </c>
      <c r="AC73" s="612">
        <f t="shared" si="55"/>
        <v>119608</v>
      </c>
      <c r="AD73" s="614">
        <f t="shared" si="55"/>
        <v>49921</v>
      </c>
      <c r="AE73" s="612">
        <f t="shared" si="55"/>
        <v>3553</v>
      </c>
      <c r="AF73" s="614">
        <f t="shared" si="55"/>
        <v>1483</v>
      </c>
      <c r="AG73" s="610">
        <f t="shared" si="55"/>
        <v>764</v>
      </c>
      <c r="AH73" s="612">
        <f t="shared" si="55"/>
        <v>42976</v>
      </c>
      <c r="AI73" s="614">
        <f t="shared" si="55"/>
        <v>17261</v>
      </c>
      <c r="AJ73" s="612">
        <f t="shared" si="55"/>
        <v>23044</v>
      </c>
      <c r="AK73" s="614">
        <f t="shared" si="55"/>
        <v>9069</v>
      </c>
      <c r="AL73" s="612">
        <f t="shared" si="55"/>
        <v>7293</v>
      </c>
      <c r="AM73" s="614">
        <f t="shared" si="55"/>
        <v>2972</v>
      </c>
      <c r="AN73" s="612">
        <f t="shared" si="55"/>
        <v>5351</v>
      </c>
      <c r="AO73" s="614">
        <f t="shared" si="55"/>
        <v>2252</v>
      </c>
      <c r="AP73" s="612">
        <f t="shared" si="55"/>
        <v>6464</v>
      </c>
      <c r="AQ73" s="614">
        <f t="shared" si="55"/>
        <v>2627</v>
      </c>
      <c r="AR73" s="614">
        <f t="shared" si="55"/>
        <v>755</v>
      </c>
      <c r="AS73" s="610">
        <f t="shared" si="55"/>
        <v>54001</v>
      </c>
    </row>
    <row r="74" spans="1:45" ht="12.75" customHeight="1" thickBot="1" x14ac:dyDescent="0.25">
      <c r="B74" s="594"/>
      <c r="C74" s="595"/>
      <c r="D74" s="605"/>
      <c r="E74" s="606"/>
      <c r="F74" s="606"/>
      <c r="G74" s="606"/>
      <c r="H74" s="606"/>
      <c r="I74" s="606"/>
      <c r="J74" s="606"/>
      <c r="K74" s="606"/>
      <c r="L74" s="606"/>
      <c r="M74" s="606"/>
      <c r="N74" s="606"/>
      <c r="O74" s="606"/>
      <c r="P74" s="606"/>
      <c r="Q74" s="606"/>
      <c r="R74" s="606"/>
      <c r="S74" s="606"/>
      <c r="T74" s="606"/>
      <c r="U74" s="607"/>
      <c r="V74" s="611"/>
      <c r="W74" s="613"/>
      <c r="X74" s="615"/>
      <c r="Y74" s="613"/>
      <c r="Z74" s="615"/>
      <c r="AA74" s="611"/>
      <c r="AB74" s="611"/>
      <c r="AC74" s="613"/>
      <c r="AD74" s="615"/>
      <c r="AE74" s="613"/>
      <c r="AF74" s="615"/>
      <c r="AG74" s="611"/>
      <c r="AH74" s="613"/>
      <c r="AI74" s="615"/>
      <c r="AJ74" s="613"/>
      <c r="AK74" s="615"/>
      <c r="AL74" s="613"/>
      <c r="AM74" s="615"/>
      <c r="AN74" s="613"/>
      <c r="AO74" s="615"/>
      <c r="AP74" s="613"/>
      <c r="AQ74" s="615"/>
      <c r="AR74" s="615"/>
      <c r="AS74" s="611"/>
    </row>
    <row r="75" spans="1:45" ht="12.75" customHeight="1" x14ac:dyDescent="0.2">
      <c r="B75" s="647" t="s">
        <v>39</v>
      </c>
      <c r="C75" s="648"/>
      <c r="D75" s="104"/>
      <c r="E75" s="104"/>
      <c r="F75" s="104"/>
      <c r="G75" s="104"/>
      <c r="H75" s="104"/>
      <c r="I75" s="104"/>
      <c r="J75" s="104"/>
      <c r="K75" s="104"/>
      <c r="L75" s="104"/>
      <c r="M75" s="89"/>
      <c r="N75" s="390"/>
      <c r="O75" s="391"/>
      <c r="P75" s="222"/>
      <c r="Q75" s="274"/>
      <c r="R75" s="222"/>
      <c r="S75" s="274"/>
      <c r="T75" s="222"/>
      <c r="U75" s="274"/>
      <c r="V75" s="124"/>
      <c r="W75" s="222"/>
      <c r="X75" s="274"/>
      <c r="Y75" s="390"/>
      <c r="Z75" s="391"/>
      <c r="AA75" s="390"/>
      <c r="AB75" s="391"/>
      <c r="AC75" s="390"/>
      <c r="AD75" s="391"/>
      <c r="AE75" s="440"/>
      <c r="AF75" s="441"/>
      <c r="AG75" s="363"/>
      <c r="AH75" s="390"/>
      <c r="AI75" s="391"/>
      <c r="AJ75" s="390"/>
      <c r="AK75" s="391"/>
      <c r="AL75" s="390"/>
      <c r="AM75" s="391"/>
      <c r="AN75" s="390"/>
      <c r="AO75" s="391"/>
      <c r="AP75" s="390"/>
      <c r="AQ75" s="391"/>
      <c r="AR75" s="364"/>
      <c r="AS75" s="229"/>
    </row>
    <row r="76" spans="1:45" ht="12.75" customHeight="1" x14ac:dyDescent="0.2">
      <c r="B76" s="335">
        <v>74452.94</v>
      </c>
      <c r="C76" s="336">
        <v>74540.72</v>
      </c>
      <c r="D76" s="337" t="s">
        <v>15</v>
      </c>
      <c r="E76" s="337" t="s">
        <v>101</v>
      </c>
      <c r="F76" s="337" t="s">
        <v>101</v>
      </c>
      <c r="G76" s="47" t="str">
        <f t="shared" ref="G76:G107" si="56">IF(AND($E76=$AU$2,$F76=$AU$2),$AW$2,IF(OR(AND($E76=$AU$2,$F76=$AU$3),AND($E76=$AU$3,$F76=$AU$2)),$AW$3,IF(OR(AND($E76=$AU$2,$F76=$AU$5),AND($E76=$AU$5,$F76=$AU$2)),$AW$5,IF(OR(AND($E76=$AU$3,$F76=$AU$5),AND($E76=$AU$5,$F76=$AU$3)),$AW$6,IF(AND($E76=$AU$3,$F76=$AU$3),$AW$7,IF(AND($E76=$AU$5,$F76=$AU$5),$AW$8,"-"))))))</f>
        <v>E/S - E/S</v>
      </c>
      <c r="H76" s="26">
        <f>IF(AND($E76=$AU$2,$F76=$AU$2),2*$AW$13,IF(OR(AND($E76=$AU$2, $F76=$AU$3),AND($E76=$AU$3,$F76=$AU$2)),$AW$13+$AW$14,IF(OR(AND($E76=$AU$2,$F76=$AU$5),AND($E76=$AU$5,$F76=$AU$2)),$AW$13,IF(OR(AND($E76=$AU$3,$F76=$AU$5),AND($E76=$AU$5,$F76=$AU$3)),$AW$14,IF(AND($E76=$AU$3,$F76=$AU$3),2*$AW$14,0)))))</f>
        <v>3</v>
      </c>
      <c r="I76" s="27">
        <f>IF(AND($E76=$AU$2,$F76=$AU$2),2*$AZ$13*$M76/27,IF(OR(AND($E76=$AU$2,$F76=$AU$3),AND($E76=$AU$3,$F76=$AU$2)),$AZ$13*$M76/27,IF(OR(AND($E76=$AU$2,$F76=$AU$5),AND($E76=$AU$5,$F76=$AU$2)),$AZ$13*$M76/27,0)))</f>
        <v>3.7062666666666169</v>
      </c>
      <c r="J76" s="27">
        <f>IF(AND($E76=$AU$2,$F76=$AU$2),2*$BC$13*$M76/27,IF(OR(AND($E76=$AU$2,$F76=$AU$3),AND($E76=$AU$3,$F76=$AU$2)),($BC$13+$BC$14)*$M76/27,IF(OR(AND($E76=$AU$2,$F76=$AU$5),AND($E76=$AU$5,$F76=$AU$2)),$BC$13*$M76/27,IF(OR(AND($E76=$AU$3,$F76=$AU$5),AND($E76=$AU$5,$F76=$AU$3)),$BC$14*$M76/27,IF(AND($E76=$AU$3,$F76=$AU$3),2*$BC$14*$M76/27,0)))))</f>
        <v>4.3564888888888316</v>
      </c>
      <c r="K76" s="27">
        <f>IF(AND($E76=$AU$5,$F76=$AU$5),2*$BF$15*$M76/27,IF(OR($E76=$AU$5,$F76=$AU$5),$BF$15*$M76/27,0))</f>
        <v>0</v>
      </c>
      <c r="L76" s="338">
        <v>0</v>
      </c>
      <c r="M76" s="83">
        <f t="shared" ref="M76:M132" si="57">C76-B76</f>
        <v>87.779999999998836</v>
      </c>
      <c r="N76" s="384">
        <v>40</v>
      </c>
      <c r="O76" s="385">
        <v>8</v>
      </c>
      <c r="P76" s="222">
        <f>IF(N76="-",0,ROUNDUP($M76*N76,0))</f>
        <v>3512</v>
      </c>
      <c r="Q76" s="274">
        <f t="shared" ref="Q76:Q134" si="58">IF($O76="-",0,ROUNDUP($M76*O76,0))</f>
        <v>703</v>
      </c>
      <c r="R76" s="394">
        <v>0</v>
      </c>
      <c r="S76" s="395">
        <v>0</v>
      </c>
      <c r="T76" s="221">
        <f t="shared" ref="T76:U134" si="59">P76+R76</f>
        <v>3512</v>
      </c>
      <c r="U76" s="269">
        <f t="shared" si="59"/>
        <v>703</v>
      </c>
      <c r="V76" s="345">
        <v>0</v>
      </c>
      <c r="W76" s="398">
        <f t="shared" ref="W76:W81" si="60">IF(OR($A76="APP SLAB",T76=0),0,(T76+$H76*$M76)/9)</f>
        <v>419.48222222222182</v>
      </c>
      <c r="X76" s="399">
        <f t="shared" ref="X76:X81" si="61">IF($A76="APP SLAB",0,U76/9)</f>
        <v>78.111111111111114</v>
      </c>
      <c r="Y76" s="410">
        <f t="shared" ref="Y76:Z134" si="62">IF(AND(W76=0,AA76=0),0,IF(AA76=0,W76/2000,AA76/2000))</f>
        <v>0.20974111111111091</v>
      </c>
      <c r="Z76" s="411">
        <f t="shared" si="62"/>
        <v>3.9055555555555559E-2</v>
      </c>
      <c r="AA76" s="398">
        <f t="shared" ref="AA76:AB134" si="63">IF(OR($A76="APP SLAB",W76&lt;&gt;0),0,AC76)</f>
        <v>0</v>
      </c>
      <c r="AB76" s="399">
        <f t="shared" si="63"/>
        <v>0</v>
      </c>
      <c r="AC76" s="398">
        <f t="shared" ref="AC76:AC108" si="64">IF(OR($A76="APP SLAB",W76&lt;&gt;0),0,(T76+$H76*$M76)/9)</f>
        <v>0</v>
      </c>
      <c r="AD76" s="399">
        <f t="shared" ref="AD76:AD108" si="65">IF(OR($A76="APP SLAB",X76&lt;&gt;0),0,U76/9)</f>
        <v>0</v>
      </c>
      <c r="AE76" s="398">
        <f t="shared" ref="AE76:AE108" si="66">IF(OR($A76="APP SLAB",W76&lt;&gt;0),0,$AC$1*AC76*110*0.06*0.75/2000)</f>
        <v>0</v>
      </c>
      <c r="AF76" s="399">
        <f t="shared" ref="AF76:AF108" si="67">IF(OR($A76="APP SLAB",X76&lt;&gt;0),0,$AC$1*AD76*110*0.06*0.75/2000)</f>
        <v>0</v>
      </c>
      <c r="AG76" s="348">
        <v>0</v>
      </c>
      <c r="AH76" s="421">
        <f>IF(A76="APP SLAB",0,(T76*$AH$1/12)/27+I76)</f>
        <v>128.36058765432094</v>
      </c>
      <c r="AI76" s="422">
        <f t="shared" ref="AI76:AI108" si="68">IF($A76="APP SLAB",0,(U76*$AH$1/12)/27)</f>
        <v>24.952160493827162</v>
      </c>
      <c r="AJ76" s="420">
        <f t="shared" ref="AJ76:AJ108" si="69">(T76*$AJ$1/12)/27+J76</f>
        <v>69.393525925925871</v>
      </c>
      <c r="AK76" s="425">
        <f t="shared" ref="AK76:AK108" si="70">(U76*$AJ$1/12)/27</f>
        <v>13.018518518518519</v>
      </c>
      <c r="AL76" s="398">
        <f>IF(A76="APP SLAB",0,(T76/9)*$AL$1)</f>
        <v>21.462222222222223</v>
      </c>
      <c r="AM76" s="399">
        <f t="shared" ref="AM76:AM108" si="71">IF($A76="APP SLAB",0,(U76/9)*$AL$1)</f>
        <v>4.2961111111111112</v>
      </c>
      <c r="AN76" s="420">
        <f t="shared" ref="AN76:AN108" si="72">IF(A76="APP SLAB",0,(T76*($AN$1/12))/27+K76)</f>
        <v>16.25925925925926</v>
      </c>
      <c r="AO76" s="425">
        <f t="shared" ref="AO76:AO108" si="73">IF($A76="APP SLAB",0,(U76*($AN$1/12))/27)</f>
        <v>3.2546296296296298</v>
      </c>
      <c r="AP76" s="420">
        <f t="shared" ref="AP76:AP108" si="74">IF(A76="APP SLAB",0,(T76*$AP$1/12)/27+L76)</f>
        <v>18.969135802469136</v>
      </c>
      <c r="AQ76" s="425">
        <f t="shared" ref="AQ76:AQ108" si="75">IF($A76="APP SLAB",0,(U76*$AP$1/12)/27)</f>
        <v>3.7970679012345676</v>
      </c>
      <c r="AR76" s="454">
        <f t="shared" ref="AR76:AR134" si="76">IF(AND($E76=$F76="Uncurbed"),(2*$M76*2*$AR$1/12)/27,IF(OR($E76="Uncurbed",$F76="Uncurbed"),($M76*2*$AR$1/12)/27,IF(OR(AND($E76="Med. Barr.",$F76="Curbed"),AND($E76="Curbed",$F76="Med. Barr."),$E76=$F76,$E76="Unique",$F76="Unique",$E76="-",$F76="-"),0,"?")))</f>
        <v>3.2511111111110682</v>
      </c>
      <c r="AS76" s="85">
        <f t="shared" ref="AS76:AS108" si="77">IF(A76="APP SLAB",0,(M76*2))</f>
        <v>175.55999999999767</v>
      </c>
    </row>
    <row r="77" spans="1:45" ht="12.75" customHeight="1" x14ac:dyDescent="0.2">
      <c r="B77" s="335">
        <v>74540.72</v>
      </c>
      <c r="C77" s="336">
        <v>75390.63</v>
      </c>
      <c r="D77" s="337" t="s">
        <v>15</v>
      </c>
      <c r="E77" s="337" t="s">
        <v>101</v>
      </c>
      <c r="F77" s="337" t="s">
        <v>101</v>
      </c>
      <c r="G77" s="47" t="str">
        <f t="shared" si="56"/>
        <v>E/S - E/S</v>
      </c>
      <c r="H77" s="26">
        <f>IF(AND($E77=$AU$2,$F77=$AU$2),2*$AW$13,IF(OR(AND($E77=$AU$2, $F77=$AU$3),AND($E77=$AU$3,$F77=$AU$2)),$AW$13+$AW$14,IF(OR(AND($E77=$AU$2,$F77=$AU$5),AND($E77=$AU$5,$F77=$AU$2)),$AW$13,IF(OR(AND($E77=$AU$3,$F77=$AU$5),AND($E77=$AU$5,$F77=$AU$3)),$AW$14,IF(AND($E77=$AU$3,$F77=$AU$3),2*$AW$14,0)))))</f>
        <v>3</v>
      </c>
      <c r="I77" s="27">
        <f>IF(AND($E77=$AU$2,$F77=$AU$2),2*$AZ$13*$M77/27,IF(OR(AND($E77=$AU$2,$F77=$AU$3),AND($E77=$AU$3,$F77=$AU$2)),$AZ$13*$M77/27,IF(OR(AND($E77=$AU$2,$F77=$AU$5),AND($E77=$AU$5,$F77=$AU$2)),$AZ$13*$M77/27,0)))</f>
        <v>35.885088888889037</v>
      </c>
      <c r="J77" s="27">
        <f>IF(AND($E77=$AU$2,$F77=$AU$2),2*$BC$13*$M77/27,IF(OR(AND($E77=$AU$2,$F77=$AU$3),AND($E77=$AU$3,$F77=$AU$2)),($BC$13+$BC$14)*$M77/27,IF(OR(AND($E77=$AU$2,$F77=$AU$5),AND($E77=$AU$5,$F77=$AU$2)),$BC$13*$M77/27,IF(OR(AND($E77=$AU$3,$F77=$AU$5),AND($E77=$AU$5,$F77=$AU$3)),$BC$14*$M77/27,IF(AND($E77=$AU$3,$F77=$AU$3),2*$BC$14*$M77/27,0)))))</f>
        <v>42.180718518518695</v>
      </c>
      <c r="K77" s="27">
        <f>IF(AND($E77=$AU$5,$F77=$AU$5),2*$BF$15*$M77/27,IF(OR($E77=$AU$5,$F77=$AU$5),$BF$15*$M77/27,0))</f>
        <v>0</v>
      </c>
      <c r="L77" s="338">
        <v>0</v>
      </c>
      <c r="M77" s="83">
        <f t="shared" si="57"/>
        <v>849.91000000000349</v>
      </c>
      <c r="N77" s="384">
        <v>40</v>
      </c>
      <c r="O77" s="385">
        <v>14</v>
      </c>
      <c r="P77" s="222">
        <f t="shared" ref="P77:P132" si="78">IF(N77="-",0,ROUNDUP($M77*N77,0))</f>
        <v>33997</v>
      </c>
      <c r="Q77" s="274">
        <f t="shared" si="58"/>
        <v>11899</v>
      </c>
      <c r="R77" s="394">
        <v>0</v>
      </c>
      <c r="S77" s="395">
        <v>0</v>
      </c>
      <c r="T77" s="221">
        <f t="shared" si="59"/>
        <v>33997</v>
      </c>
      <c r="U77" s="269">
        <f t="shared" si="59"/>
        <v>11899</v>
      </c>
      <c r="V77" s="345">
        <v>0</v>
      </c>
      <c r="W77" s="398">
        <f t="shared" si="60"/>
        <v>4060.747777777779</v>
      </c>
      <c r="X77" s="399">
        <f t="shared" si="61"/>
        <v>1322.1111111111111</v>
      </c>
      <c r="Y77" s="410">
        <f t="shared" si="62"/>
        <v>2.0303738888888896</v>
      </c>
      <c r="Z77" s="411">
        <f t="shared" si="62"/>
        <v>0.66105555555555551</v>
      </c>
      <c r="AA77" s="398">
        <f t="shared" si="63"/>
        <v>0</v>
      </c>
      <c r="AB77" s="399">
        <f t="shared" si="63"/>
        <v>0</v>
      </c>
      <c r="AC77" s="398">
        <f t="shared" si="64"/>
        <v>0</v>
      </c>
      <c r="AD77" s="399">
        <f t="shared" si="65"/>
        <v>0</v>
      </c>
      <c r="AE77" s="398">
        <f t="shared" si="66"/>
        <v>0</v>
      </c>
      <c r="AF77" s="399">
        <f t="shared" si="67"/>
        <v>0</v>
      </c>
      <c r="AG77" s="348">
        <v>0</v>
      </c>
      <c r="AH77" s="421">
        <f>IF(A77="APP SLAB",0,(T77*$AH$1/12)/27+I77)</f>
        <v>1242.5687308641975</v>
      </c>
      <c r="AI77" s="422">
        <f t="shared" si="68"/>
        <v>422.34104938271605</v>
      </c>
      <c r="AJ77" s="420">
        <f t="shared" si="69"/>
        <v>671.75479259259271</v>
      </c>
      <c r="AK77" s="425">
        <f t="shared" si="70"/>
        <v>220.35185185185185</v>
      </c>
      <c r="AL77" s="398">
        <f>IF(A77="APP SLAB",0,(T77/9)*$AL$1)</f>
        <v>207.75944444444443</v>
      </c>
      <c r="AM77" s="399">
        <f t="shared" si="71"/>
        <v>72.716111111111104</v>
      </c>
      <c r="AN77" s="420">
        <f t="shared" si="72"/>
        <v>157.3935185185185</v>
      </c>
      <c r="AO77" s="425">
        <f t="shared" si="73"/>
        <v>55.087962962962962</v>
      </c>
      <c r="AP77" s="420">
        <f t="shared" si="74"/>
        <v>183.62577160493825</v>
      </c>
      <c r="AQ77" s="425">
        <f t="shared" si="75"/>
        <v>64.269290123456784</v>
      </c>
      <c r="AR77" s="454">
        <f t="shared" si="76"/>
        <v>31.478148148148279</v>
      </c>
      <c r="AS77" s="85">
        <f t="shared" si="77"/>
        <v>1699.820000000007</v>
      </c>
    </row>
    <row r="78" spans="1:45" ht="12.75" customHeight="1" x14ac:dyDescent="0.2">
      <c r="B78" s="335">
        <v>75390.63</v>
      </c>
      <c r="C78" s="336">
        <v>76200</v>
      </c>
      <c r="D78" s="337" t="s">
        <v>15</v>
      </c>
      <c r="E78" s="337" t="s">
        <v>101</v>
      </c>
      <c r="F78" s="337" t="s">
        <v>101</v>
      </c>
      <c r="G78" s="47" t="str">
        <f t="shared" si="56"/>
        <v>E/S - E/S</v>
      </c>
      <c r="H78" s="26">
        <f>IF(AND($E78=$AU$2,$F78=$AU$2),2*$AW$13,IF(OR(AND($E78=$AU$2, $F78=$AU$3),AND($E78=$AU$3,$F78=$AU$2)),$AW$13+$AW$14,IF(OR(AND($E78=$AU$2,$F78=$AU$5),AND($E78=$AU$5,$F78=$AU$2)),$AW$13,IF(OR(AND($E78=$AU$3,$F78=$AU$5),AND($E78=$AU$5,$F78=$AU$3)),$AW$14,IF(AND($E78=$AU$3,$F78=$AU$3),2*$AW$14,0)))))</f>
        <v>3</v>
      </c>
      <c r="I78" s="27">
        <f>IF(AND($E78=$AU$2,$F78=$AU$2),2*$AZ$13*$M78/27,IF(OR(AND($E78=$AU$2,$F78=$AU$3),AND($E78=$AU$3,$F78=$AU$2)),$AZ$13*$M78/27,IF(OR(AND($E78=$AU$2,$F78=$AU$5),AND($E78=$AU$5,$F78=$AU$2)),$AZ$13*$M78/27,0)))</f>
        <v>34.173399999999802</v>
      </c>
      <c r="J78" s="27">
        <f>IF(AND($E78=$AU$2,$F78=$AU$2),2*$BC$13*$M78/27,IF(OR(AND($E78=$AU$2,$F78=$AU$3),AND($E78=$AU$3,$F78=$AU$2)),($BC$13+$BC$14)*$M78/27,IF(OR(AND($E78=$AU$2,$F78=$AU$5),AND($E78=$AU$5,$F78=$AU$2)),$BC$13*$M78/27,IF(OR(AND($E78=$AU$3,$F78=$AU$5),AND($E78=$AU$5,$F78=$AU$3)),$BC$14*$M78/27,IF(AND($E78=$AU$3,$F78=$AU$3),2*$BC$14*$M78/27,0)))))</f>
        <v>40.168733333333101</v>
      </c>
      <c r="K78" s="27">
        <f>IF(AND($E78=$AU$5,$F78=$AU$5),2*$BF$15*$M78/27,IF(OR($E78=$AU$5,$F78=$AU$5),$BF$15*$M78/27,0))</f>
        <v>0</v>
      </c>
      <c r="L78" s="338">
        <v>0</v>
      </c>
      <c r="M78" s="83">
        <f t="shared" si="57"/>
        <v>809.36999999999534</v>
      </c>
      <c r="N78" s="384">
        <v>40</v>
      </c>
      <c r="O78" s="385">
        <v>20</v>
      </c>
      <c r="P78" s="222">
        <f t="shared" si="78"/>
        <v>32375</v>
      </c>
      <c r="Q78" s="274">
        <f t="shared" si="58"/>
        <v>16188</v>
      </c>
      <c r="R78" s="394">
        <v>0</v>
      </c>
      <c r="S78" s="395">
        <v>0</v>
      </c>
      <c r="T78" s="221">
        <f t="shared" si="59"/>
        <v>32375</v>
      </c>
      <c r="U78" s="269">
        <f t="shared" si="59"/>
        <v>16188</v>
      </c>
      <c r="V78" s="345">
        <v>0</v>
      </c>
      <c r="W78" s="398">
        <f t="shared" si="60"/>
        <v>3867.0122222222208</v>
      </c>
      <c r="X78" s="399">
        <f t="shared" si="61"/>
        <v>1798.6666666666667</v>
      </c>
      <c r="Y78" s="410">
        <f t="shared" si="62"/>
        <v>1.9335061111111105</v>
      </c>
      <c r="Z78" s="411">
        <f t="shared" si="62"/>
        <v>0.89933333333333332</v>
      </c>
      <c r="AA78" s="398">
        <f t="shared" si="63"/>
        <v>0</v>
      </c>
      <c r="AB78" s="399">
        <f t="shared" si="63"/>
        <v>0</v>
      </c>
      <c r="AC78" s="398">
        <f t="shared" si="64"/>
        <v>0</v>
      </c>
      <c r="AD78" s="399">
        <f t="shared" si="65"/>
        <v>0</v>
      </c>
      <c r="AE78" s="398">
        <f t="shared" si="66"/>
        <v>0</v>
      </c>
      <c r="AF78" s="399">
        <f t="shared" si="67"/>
        <v>0</v>
      </c>
      <c r="AG78" s="348">
        <v>0</v>
      </c>
      <c r="AH78" s="421">
        <f>IF(A80="APP SLAB",0,(T78*$AH$1/12)/27+I78)</f>
        <v>1183.2860543209877</v>
      </c>
      <c r="AI78" s="422">
        <f t="shared" si="68"/>
        <v>574.57407407407402</v>
      </c>
      <c r="AJ78" s="420">
        <f t="shared" si="69"/>
        <v>639.70577037037015</v>
      </c>
      <c r="AK78" s="425">
        <f t="shared" si="70"/>
        <v>299.77777777777777</v>
      </c>
      <c r="AL78" s="398">
        <f>IF(A80="APP SLAB",0,(T78/9)*$AL$1)</f>
        <v>197.84722222222223</v>
      </c>
      <c r="AM78" s="399">
        <f t="shared" si="71"/>
        <v>98.926666666666677</v>
      </c>
      <c r="AN78" s="420">
        <f t="shared" si="72"/>
        <v>149.88425925925927</v>
      </c>
      <c r="AO78" s="425">
        <f t="shared" si="73"/>
        <v>74.944444444444443</v>
      </c>
      <c r="AP78" s="420">
        <f t="shared" si="74"/>
        <v>174.86496913580248</v>
      </c>
      <c r="AQ78" s="425">
        <f t="shared" si="75"/>
        <v>87.43518518518519</v>
      </c>
      <c r="AR78" s="454">
        <f t="shared" si="76"/>
        <v>29.976666666666492</v>
      </c>
      <c r="AS78" s="85">
        <f t="shared" si="77"/>
        <v>1618.7399999999907</v>
      </c>
    </row>
    <row r="79" spans="1:45" ht="12.75" customHeight="1" x14ac:dyDescent="0.2">
      <c r="B79" s="335">
        <v>76200</v>
      </c>
      <c r="C79" s="336">
        <v>76347.87</v>
      </c>
      <c r="D79" s="337" t="s">
        <v>15</v>
      </c>
      <c r="E79" s="337" t="s">
        <v>101</v>
      </c>
      <c r="F79" s="337" t="s">
        <v>108</v>
      </c>
      <c r="G79" s="47" t="str">
        <f t="shared" si="56"/>
        <v>-</v>
      </c>
      <c r="H79" s="339">
        <v>5.83</v>
      </c>
      <c r="I79" s="338">
        <v>21.14</v>
      </c>
      <c r="J79" s="338">
        <v>15.12</v>
      </c>
      <c r="K79" s="338">
        <v>0</v>
      </c>
      <c r="L79" s="338">
        <v>2.2999999999999998</v>
      </c>
      <c r="M79" s="83">
        <f t="shared" si="57"/>
        <v>147.86999999999534</v>
      </c>
      <c r="N79" s="384">
        <v>40</v>
      </c>
      <c r="O79" s="385">
        <v>20</v>
      </c>
      <c r="P79" s="222">
        <f t="shared" si="78"/>
        <v>5915</v>
      </c>
      <c r="Q79" s="274">
        <f t="shared" si="58"/>
        <v>2958</v>
      </c>
      <c r="R79" s="394">
        <v>0</v>
      </c>
      <c r="S79" s="395">
        <v>0</v>
      </c>
      <c r="T79" s="221">
        <f t="shared" si="59"/>
        <v>5915</v>
      </c>
      <c r="U79" s="269">
        <f t="shared" si="59"/>
        <v>2958</v>
      </c>
      <c r="V79" s="345">
        <v>0</v>
      </c>
      <c r="W79" s="398">
        <f t="shared" si="60"/>
        <v>753.00912222221928</v>
      </c>
      <c r="X79" s="399">
        <f t="shared" si="61"/>
        <v>328.66666666666669</v>
      </c>
      <c r="Y79" s="410">
        <f t="shared" si="62"/>
        <v>0.37650456111110964</v>
      </c>
      <c r="Z79" s="411">
        <f t="shared" si="62"/>
        <v>0.16433333333333333</v>
      </c>
      <c r="AA79" s="398">
        <f t="shared" si="63"/>
        <v>0</v>
      </c>
      <c r="AB79" s="399">
        <f t="shared" si="63"/>
        <v>0</v>
      </c>
      <c r="AC79" s="398">
        <f t="shared" si="64"/>
        <v>0</v>
      </c>
      <c r="AD79" s="399">
        <f t="shared" si="65"/>
        <v>0</v>
      </c>
      <c r="AE79" s="398">
        <f t="shared" si="66"/>
        <v>0</v>
      </c>
      <c r="AF79" s="399">
        <f t="shared" si="67"/>
        <v>0</v>
      </c>
      <c r="AG79" s="348">
        <v>0</v>
      </c>
      <c r="AH79" s="421">
        <f>IF(A81="APP SLAB",0,(T79*$AH$1/12)/27+I79)</f>
        <v>231.085987654321</v>
      </c>
      <c r="AI79" s="422">
        <f t="shared" si="68"/>
        <v>104.99074074074075</v>
      </c>
      <c r="AJ79" s="420">
        <f t="shared" si="69"/>
        <v>124.65703703703704</v>
      </c>
      <c r="AK79" s="425">
        <f t="shared" si="70"/>
        <v>54.777777777777779</v>
      </c>
      <c r="AL79" s="398">
        <f>IF(A81="APP SLAB",0,(T79/9)*$AL$1)</f>
        <v>36.147222222222219</v>
      </c>
      <c r="AM79" s="399">
        <f t="shared" si="71"/>
        <v>18.076666666666668</v>
      </c>
      <c r="AN79" s="420">
        <f t="shared" si="72"/>
        <v>27.38425925925926</v>
      </c>
      <c r="AO79" s="425">
        <f t="shared" si="73"/>
        <v>13.694444444444445</v>
      </c>
      <c r="AP79" s="420">
        <f t="shared" si="74"/>
        <v>34.248302469135801</v>
      </c>
      <c r="AQ79" s="425">
        <f t="shared" si="75"/>
        <v>15.976851851851851</v>
      </c>
      <c r="AR79" s="454">
        <f t="shared" si="76"/>
        <v>5.4766666666664943</v>
      </c>
      <c r="AS79" s="85">
        <f t="shared" si="77"/>
        <v>295.73999999999069</v>
      </c>
    </row>
    <row r="80" spans="1:45" ht="12.75" customHeight="1" x14ac:dyDescent="0.2">
      <c r="A80" s="48" t="s">
        <v>50</v>
      </c>
      <c r="B80" s="335">
        <v>76347.87</v>
      </c>
      <c r="C80" s="336">
        <v>77009.05</v>
      </c>
      <c r="D80" s="337" t="s">
        <v>15</v>
      </c>
      <c r="E80" s="337" t="s">
        <v>101</v>
      </c>
      <c r="F80" s="337" t="s">
        <v>107</v>
      </c>
      <c r="G80" s="47" t="str">
        <f t="shared" si="56"/>
        <v>E/S - C/B</v>
      </c>
      <c r="H80" s="26">
        <f t="shared" ref="H80:H90" si="79">IF(AND($E80=$AU$2,$F80=$AU$2),2*$AW$13,IF(OR(AND($E80=$AU$2, $F80=$AU$3),AND($E80=$AU$3,$F80=$AU$2)),$AW$13+$AW$14,IF(OR(AND($E80=$AU$2,$F80=$AU$5),AND($E80=$AU$5,$F80=$AU$2)),$AW$13,IF(OR(AND($E80=$AU$3,$F80=$AU$5),AND($E80=$AU$5,$F80=$AU$3)),$AW$14,IF(AND($E80=$AU$3,$F80=$AU$3),2*$AW$14,0)))))</f>
        <v>1.5</v>
      </c>
      <c r="I80" s="27">
        <f t="shared" ref="I80:I90" si="80">IF(AND($E80=$AU$2,$F80=$AU$2),2*$AZ$13*$M80/27,IF(OR(AND($E80=$AU$2,$F80=$AU$3),AND($E80=$AU$3,$F80=$AU$2)),$AZ$13*$M80/27,IF(OR(AND($E80=$AU$2,$F80=$AU$5),AND($E80=$AU$5,$F80=$AU$2)),$AZ$13*$M80/27,0)))</f>
        <v>13.958244444444604</v>
      </c>
      <c r="J80" s="27">
        <f t="shared" ref="J80:J90" si="81">IF(AND($E80=$AU$2,$F80=$AU$2),2*$BC$13*$M80/27,IF(OR(AND($E80=$AU$2,$F80=$AU$3),AND($E80=$AU$3,$F80=$AU$2)),($BC$13+$BC$14)*$M80/27,IF(OR(AND($E80=$AU$2,$F80=$AU$5),AND($E80=$AU$5,$F80=$AU$2)),$BC$13*$M80/27,IF(OR(AND($E80=$AU$3,$F80=$AU$5),AND($E80=$AU$5,$F80=$AU$3)),$BC$14*$M80/27,IF(AND($E80=$AU$3,$F80=$AU$3),2*$BC$14*$M80/27,0)))))</f>
        <v>16.407059259259448</v>
      </c>
      <c r="K80" s="27">
        <f t="shared" ref="K80:K90" si="82">IF(AND($E80=$AU$5,$F80=$AU$5),2*$BF$15*$M80/27,IF(OR($E80=$AU$5,$F80=$AU$5),$BF$15*$M80/27,0))</f>
        <v>-4.4078666666667168</v>
      </c>
      <c r="L80" s="338">
        <v>0</v>
      </c>
      <c r="M80" s="83">
        <f t="shared" si="57"/>
        <v>661.18000000000757</v>
      </c>
      <c r="N80" s="384">
        <v>41.42</v>
      </c>
      <c r="O80" s="385">
        <v>20</v>
      </c>
      <c r="P80" s="222">
        <f t="shared" si="78"/>
        <v>27387</v>
      </c>
      <c r="Q80" s="274">
        <f t="shared" si="58"/>
        <v>13224</v>
      </c>
      <c r="R80" s="394">
        <v>0</v>
      </c>
      <c r="S80" s="395">
        <v>0</v>
      </c>
      <c r="T80" s="221">
        <f t="shared" si="59"/>
        <v>27387</v>
      </c>
      <c r="U80" s="269">
        <f t="shared" si="59"/>
        <v>13224</v>
      </c>
      <c r="V80" s="345">
        <v>0</v>
      </c>
      <c r="W80" s="398">
        <f t="shared" si="60"/>
        <v>3153.1966666666681</v>
      </c>
      <c r="X80" s="399">
        <f t="shared" si="61"/>
        <v>1469.3333333333333</v>
      </c>
      <c r="Y80" s="410">
        <f t="shared" si="62"/>
        <v>1.576598333333334</v>
      </c>
      <c r="Z80" s="411">
        <f t="shared" si="62"/>
        <v>0.73466666666666658</v>
      </c>
      <c r="AA80" s="398">
        <f t="shared" si="63"/>
        <v>0</v>
      </c>
      <c r="AB80" s="399">
        <f t="shared" si="63"/>
        <v>0</v>
      </c>
      <c r="AC80" s="398">
        <f t="shared" si="64"/>
        <v>0</v>
      </c>
      <c r="AD80" s="399">
        <f t="shared" si="65"/>
        <v>0</v>
      </c>
      <c r="AE80" s="398">
        <f t="shared" si="66"/>
        <v>0</v>
      </c>
      <c r="AF80" s="399">
        <f t="shared" si="67"/>
        <v>0</v>
      </c>
      <c r="AG80" s="348">
        <v>0</v>
      </c>
      <c r="AH80" s="421">
        <f>IF(A82="APP SLAB",0,(T80*$AH$1/12)/27+I80)</f>
        <v>986.02768888888909</v>
      </c>
      <c r="AI80" s="422">
        <f t="shared" si="68"/>
        <v>469.37037037037038</v>
      </c>
      <c r="AJ80" s="420">
        <f t="shared" si="69"/>
        <v>523.57372592592617</v>
      </c>
      <c r="AK80" s="425">
        <f t="shared" si="70"/>
        <v>244.88888888888889</v>
      </c>
      <c r="AL80" s="398">
        <f>IF(A82="APP SLAB",0,(T80/9)*$AL$1)</f>
        <v>167.36500000000001</v>
      </c>
      <c r="AM80" s="399">
        <f t="shared" si="71"/>
        <v>80.813333333333333</v>
      </c>
      <c r="AN80" s="420">
        <f t="shared" si="72"/>
        <v>122.38379999999995</v>
      </c>
      <c r="AO80" s="425">
        <f t="shared" si="73"/>
        <v>61.222222222222221</v>
      </c>
      <c r="AP80" s="420">
        <f t="shared" si="74"/>
        <v>147.92361111111111</v>
      </c>
      <c r="AQ80" s="425">
        <f t="shared" si="75"/>
        <v>71.425925925925924</v>
      </c>
      <c r="AR80" s="454">
        <f t="shared" si="76"/>
        <v>24.488148148148429</v>
      </c>
      <c r="AS80" s="85">
        <f t="shared" si="77"/>
        <v>1322.3600000000151</v>
      </c>
    </row>
    <row r="81" spans="1:61" ht="12.75" customHeight="1" x14ac:dyDescent="0.2">
      <c r="A81" s="48" t="s">
        <v>51</v>
      </c>
      <c r="B81" s="335">
        <v>76978.7</v>
      </c>
      <c r="C81" s="336">
        <v>76996</v>
      </c>
      <c r="D81" s="337" t="s">
        <v>15</v>
      </c>
      <c r="E81" s="337" t="s">
        <v>101</v>
      </c>
      <c r="F81" s="337" t="s">
        <v>107</v>
      </c>
      <c r="G81" s="47" t="str">
        <f t="shared" si="56"/>
        <v>E/S - C/B</v>
      </c>
      <c r="H81" s="26">
        <f t="shared" si="79"/>
        <v>1.5</v>
      </c>
      <c r="I81" s="27">
        <f t="shared" si="80"/>
        <v>0.36522222222228362</v>
      </c>
      <c r="J81" s="27">
        <f t="shared" si="81"/>
        <v>0.42929629629636856</v>
      </c>
      <c r="K81" s="27">
        <f t="shared" si="82"/>
        <v>-0.11533333333335273</v>
      </c>
      <c r="L81" s="338">
        <v>0</v>
      </c>
      <c r="M81" s="83">
        <f t="shared" si="57"/>
        <v>17.30000000000291</v>
      </c>
      <c r="N81" s="384">
        <v>41.42</v>
      </c>
      <c r="O81" s="385">
        <v>20</v>
      </c>
      <c r="P81" s="222">
        <f t="shared" si="78"/>
        <v>717</v>
      </c>
      <c r="Q81" s="274">
        <f t="shared" si="58"/>
        <v>347</v>
      </c>
      <c r="R81" s="394">
        <v>0</v>
      </c>
      <c r="S81" s="395">
        <v>0</v>
      </c>
      <c r="T81" s="221">
        <f t="shared" si="59"/>
        <v>717</v>
      </c>
      <c r="U81" s="269">
        <f t="shared" si="59"/>
        <v>347</v>
      </c>
      <c r="V81" s="345">
        <v>0</v>
      </c>
      <c r="W81" s="398">
        <f t="shared" si="60"/>
        <v>82.55000000000048</v>
      </c>
      <c r="X81" s="399">
        <f t="shared" si="61"/>
        <v>38.555555555555557</v>
      </c>
      <c r="Y81" s="410">
        <f t="shared" si="62"/>
        <v>4.1275000000000242E-2</v>
      </c>
      <c r="Z81" s="411">
        <f t="shared" si="62"/>
        <v>1.9277777777777779E-2</v>
      </c>
      <c r="AA81" s="398">
        <f t="shared" si="63"/>
        <v>0</v>
      </c>
      <c r="AB81" s="399">
        <f t="shared" si="63"/>
        <v>0</v>
      </c>
      <c r="AC81" s="398">
        <f t="shared" si="64"/>
        <v>0</v>
      </c>
      <c r="AD81" s="399">
        <f t="shared" si="65"/>
        <v>0</v>
      </c>
      <c r="AE81" s="398">
        <f t="shared" si="66"/>
        <v>0</v>
      </c>
      <c r="AF81" s="399">
        <f t="shared" si="67"/>
        <v>0</v>
      </c>
      <c r="AG81" s="348">
        <v>0</v>
      </c>
      <c r="AH81" s="421">
        <f t="shared" ref="AH81:AH113" si="83">IF(A81="APP SLAB",0,(T81*$AH$1/12)/27+I81)</f>
        <v>25.814296296296355</v>
      </c>
      <c r="AI81" s="422">
        <f t="shared" si="68"/>
        <v>12.316358024691359</v>
      </c>
      <c r="AJ81" s="420">
        <f t="shared" si="69"/>
        <v>13.707074074074146</v>
      </c>
      <c r="AK81" s="425">
        <f t="shared" si="70"/>
        <v>6.4259259259259256</v>
      </c>
      <c r="AL81" s="398">
        <f t="shared" ref="AL81:AL113" si="84">IF(A81="APP SLAB",0,(T81/9)*$AL$1)</f>
        <v>4.3816666666666668</v>
      </c>
      <c r="AM81" s="399">
        <f t="shared" si="71"/>
        <v>2.1205555555555557</v>
      </c>
      <c r="AN81" s="420">
        <f t="shared" si="72"/>
        <v>3.204111111111092</v>
      </c>
      <c r="AO81" s="425">
        <f t="shared" si="73"/>
        <v>1.6064814814814814</v>
      </c>
      <c r="AP81" s="420">
        <f t="shared" si="74"/>
        <v>3.8726851851851851</v>
      </c>
      <c r="AQ81" s="425">
        <f t="shared" si="75"/>
        <v>1.8742283950617282</v>
      </c>
      <c r="AR81" s="454">
        <f t="shared" si="76"/>
        <v>0.64074074074084852</v>
      </c>
      <c r="AS81" s="85">
        <f t="shared" si="77"/>
        <v>34.600000000005821</v>
      </c>
    </row>
    <row r="82" spans="1:61" ht="12.75" customHeight="1" x14ac:dyDescent="0.2">
      <c r="B82" s="335">
        <v>76996</v>
      </c>
      <c r="C82" s="336">
        <v>77200</v>
      </c>
      <c r="D82" s="337" t="s">
        <v>15</v>
      </c>
      <c r="E82" s="337" t="s">
        <v>102</v>
      </c>
      <c r="F82" s="337" t="s">
        <v>107</v>
      </c>
      <c r="G82" s="47" t="str">
        <f t="shared" si="56"/>
        <v>F/C - C/B</v>
      </c>
      <c r="H82" s="26">
        <f t="shared" si="79"/>
        <v>2</v>
      </c>
      <c r="I82" s="27">
        <f t="shared" si="80"/>
        <v>0</v>
      </c>
      <c r="J82" s="27">
        <f t="shared" si="81"/>
        <v>7.4044444444444437</v>
      </c>
      <c r="K82" s="27">
        <f t="shared" si="82"/>
        <v>-1.3599999999999999</v>
      </c>
      <c r="L82" s="338">
        <v>0</v>
      </c>
      <c r="M82" s="83">
        <f t="shared" si="57"/>
        <v>204</v>
      </c>
      <c r="N82" s="384">
        <v>43.42</v>
      </c>
      <c r="O82" s="385">
        <v>20</v>
      </c>
      <c r="P82" s="222">
        <f t="shared" si="78"/>
        <v>8858</v>
      </c>
      <c r="Q82" s="274">
        <f t="shared" si="58"/>
        <v>4080</v>
      </c>
      <c r="R82" s="394">
        <v>0</v>
      </c>
      <c r="S82" s="395">
        <v>0</v>
      </c>
      <c r="T82" s="221">
        <f t="shared" si="59"/>
        <v>8858</v>
      </c>
      <c r="U82" s="269">
        <f t="shared" si="59"/>
        <v>4080</v>
      </c>
      <c r="V82" s="345">
        <v>0</v>
      </c>
      <c r="W82" s="402">
        <v>0</v>
      </c>
      <c r="X82" s="403">
        <v>0</v>
      </c>
      <c r="Y82" s="410">
        <f t="shared" si="62"/>
        <v>0.51477777777777778</v>
      </c>
      <c r="Z82" s="411">
        <f t="shared" si="62"/>
        <v>0.22666666666666666</v>
      </c>
      <c r="AA82" s="398">
        <f t="shared" si="63"/>
        <v>1029.5555555555557</v>
      </c>
      <c r="AB82" s="399">
        <f t="shared" si="63"/>
        <v>453.33333333333331</v>
      </c>
      <c r="AC82" s="398">
        <f t="shared" si="64"/>
        <v>1029.5555555555557</v>
      </c>
      <c r="AD82" s="399">
        <f t="shared" si="65"/>
        <v>453.33333333333331</v>
      </c>
      <c r="AE82" s="398">
        <f t="shared" si="66"/>
        <v>30.577800000000003</v>
      </c>
      <c r="AF82" s="399">
        <f t="shared" si="67"/>
        <v>13.464</v>
      </c>
      <c r="AG82" s="348">
        <v>0</v>
      </c>
      <c r="AH82" s="421">
        <f t="shared" si="83"/>
        <v>314.40432098765427</v>
      </c>
      <c r="AI82" s="422">
        <f t="shared" si="68"/>
        <v>144.81481481481481</v>
      </c>
      <c r="AJ82" s="420">
        <f t="shared" si="69"/>
        <v>171.44148148148147</v>
      </c>
      <c r="AK82" s="425">
        <f t="shared" si="70"/>
        <v>75.555555555555557</v>
      </c>
      <c r="AL82" s="398">
        <f t="shared" si="84"/>
        <v>54.132222222222218</v>
      </c>
      <c r="AM82" s="399">
        <f t="shared" si="71"/>
        <v>24.933333333333334</v>
      </c>
      <c r="AN82" s="420">
        <f t="shared" si="72"/>
        <v>39.64925925925926</v>
      </c>
      <c r="AO82" s="425">
        <f t="shared" si="73"/>
        <v>18.888888888888889</v>
      </c>
      <c r="AP82" s="420">
        <f t="shared" si="74"/>
        <v>47.84413580246914</v>
      </c>
      <c r="AQ82" s="425">
        <f t="shared" si="75"/>
        <v>22.037037037037038</v>
      </c>
      <c r="AR82" s="454">
        <f t="shared" si="76"/>
        <v>0</v>
      </c>
      <c r="AS82" s="85">
        <f t="shared" si="77"/>
        <v>408</v>
      </c>
    </row>
    <row r="83" spans="1:61" s="81" customFormat="1" ht="12.75" customHeight="1" x14ac:dyDescent="0.2">
      <c r="B83" s="335">
        <v>77200</v>
      </c>
      <c r="C83" s="336">
        <v>77587.88</v>
      </c>
      <c r="D83" s="337" t="s">
        <v>15</v>
      </c>
      <c r="E83" s="337" t="s">
        <v>102</v>
      </c>
      <c r="F83" s="337" t="s">
        <v>107</v>
      </c>
      <c r="G83" s="103" t="str">
        <f t="shared" si="56"/>
        <v>F/C - C/B</v>
      </c>
      <c r="H83" s="26">
        <f t="shared" si="79"/>
        <v>2</v>
      </c>
      <c r="I83" s="27">
        <f t="shared" si="80"/>
        <v>0</v>
      </c>
      <c r="J83" s="27">
        <f t="shared" si="81"/>
        <v>14.078607407407576</v>
      </c>
      <c r="K83" s="27">
        <f t="shared" si="82"/>
        <v>-2.5858666666666976</v>
      </c>
      <c r="L83" s="338">
        <v>0</v>
      </c>
      <c r="M83" s="83">
        <f t="shared" si="57"/>
        <v>387.88000000000466</v>
      </c>
      <c r="N83" s="384">
        <v>43.42</v>
      </c>
      <c r="O83" s="385">
        <v>20</v>
      </c>
      <c r="P83" s="222">
        <f t="shared" si="78"/>
        <v>16842</v>
      </c>
      <c r="Q83" s="274">
        <f t="shared" si="58"/>
        <v>7758</v>
      </c>
      <c r="R83" s="394">
        <v>0</v>
      </c>
      <c r="S83" s="395">
        <v>0</v>
      </c>
      <c r="T83" s="221">
        <f t="shared" si="59"/>
        <v>16842</v>
      </c>
      <c r="U83" s="269">
        <f t="shared" si="59"/>
        <v>7758</v>
      </c>
      <c r="V83" s="345">
        <v>0</v>
      </c>
      <c r="W83" s="402">
        <v>0</v>
      </c>
      <c r="X83" s="403">
        <v>0</v>
      </c>
      <c r="Y83" s="410">
        <f t="shared" si="62"/>
        <v>0.97876444444444499</v>
      </c>
      <c r="Z83" s="411">
        <f t="shared" si="62"/>
        <v>0.43099999999999999</v>
      </c>
      <c r="AA83" s="398">
        <f t="shared" si="63"/>
        <v>1957.5288888888899</v>
      </c>
      <c r="AB83" s="399">
        <f t="shared" si="63"/>
        <v>862</v>
      </c>
      <c r="AC83" s="398">
        <f t="shared" si="64"/>
        <v>1957.5288888888899</v>
      </c>
      <c r="AD83" s="399">
        <f t="shared" si="65"/>
        <v>862</v>
      </c>
      <c r="AE83" s="398">
        <f t="shared" si="66"/>
        <v>58.138608000000033</v>
      </c>
      <c r="AF83" s="399">
        <f t="shared" si="67"/>
        <v>25.601399999999998</v>
      </c>
      <c r="AG83" s="348">
        <v>0</v>
      </c>
      <c r="AH83" s="421">
        <f t="shared" si="83"/>
        <v>597.78703703703707</v>
      </c>
      <c r="AI83" s="422">
        <f t="shared" si="68"/>
        <v>275.36111111111109</v>
      </c>
      <c r="AJ83" s="420">
        <f t="shared" si="69"/>
        <v>325.96749629629647</v>
      </c>
      <c r="AK83" s="425">
        <f t="shared" si="70"/>
        <v>143.66666666666666</v>
      </c>
      <c r="AL83" s="398">
        <f t="shared" si="84"/>
        <v>102.92333333333333</v>
      </c>
      <c r="AM83" s="399">
        <f t="shared" si="71"/>
        <v>47.410000000000004</v>
      </c>
      <c r="AN83" s="420">
        <f t="shared" si="72"/>
        <v>75.386355555555525</v>
      </c>
      <c r="AO83" s="425">
        <f t="shared" si="73"/>
        <v>35.916666666666664</v>
      </c>
      <c r="AP83" s="420">
        <f t="shared" si="74"/>
        <v>90.967592592592595</v>
      </c>
      <c r="AQ83" s="425">
        <f t="shared" si="75"/>
        <v>41.902777777777779</v>
      </c>
      <c r="AR83" s="454">
        <f t="shared" si="76"/>
        <v>0</v>
      </c>
      <c r="AS83" s="85">
        <f t="shared" si="77"/>
        <v>775.76000000000931</v>
      </c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</row>
    <row r="84" spans="1:61" ht="12.75" customHeight="1" x14ac:dyDescent="0.2">
      <c r="B84" s="335">
        <v>77587.88</v>
      </c>
      <c r="C84" s="336">
        <v>77900.039999999994</v>
      </c>
      <c r="D84" s="337" t="s">
        <v>15</v>
      </c>
      <c r="E84" s="337" t="s">
        <v>102</v>
      </c>
      <c r="F84" s="337" t="s">
        <v>107</v>
      </c>
      <c r="G84" s="47" t="str">
        <f t="shared" si="56"/>
        <v>F/C - C/B</v>
      </c>
      <c r="H84" s="26">
        <f t="shared" si="79"/>
        <v>2</v>
      </c>
      <c r="I84" s="27">
        <f t="shared" si="80"/>
        <v>0</v>
      </c>
      <c r="J84" s="27">
        <f t="shared" si="81"/>
        <v>11.33025185185145</v>
      </c>
      <c r="K84" s="27">
        <f t="shared" si="82"/>
        <v>-2.0810666666665929</v>
      </c>
      <c r="L84" s="338">
        <v>0</v>
      </c>
      <c r="M84" s="83">
        <f t="shared" si="57"/>
        <v>312.15999999998894</v>
      </c>
      <c r="N84" s="384">
        <v>46.54</v>
      </c>
      <c r="O84" s="385">
        <v>20</v>
      </c>
      <c r="P84" s="222">
        <f t="shared" si="78"/>
        <v>14528</v>
      </c>
      <c r="Q84" s="274">
        <f t="shared" si="58"/>
        <v>6244</v>
      </c>
      <c r="R84" s="394">
        <v>0</v>
      </c>
      <c r="S84" s="395">
        <v>0</v>
      </c>
      <c r="T84" s="221">
        <f t="shared" si="59"/>
        <v>14528</v>
      </c>
      <c r="U84" s="269">
        <f t="shared" si="59"/>
        <v>6244</v>
      </c>
      <c r="V84" s="345">
        <v>0</v>
      </c>
      <c r="W84" s="402">
        <v>0</v>
      </c>
      <c r="X84" s="403">
        <v>0</v>
      </c>
      <c r="Y84" s="410">
        <f t="shared" si="62"/>
        <v>0.8417955555555543</v>
      </c>
      <c r="Z84" s="411">
        <f t="shared" si="62"/>
        <v>0.34688888888888891</v>
      </c>
      <c r="AA84" s="398">
        <f t="shared" si="63"/>
        <v>1683.5911111111086</v>
      </c>
      <c r="AB84" s="399">
        <f t="shared" si="63"/>
        <v>693.77777777777783</v>
      </c>
      <c r="AC84" s="398">
        <f t="shared" si="64"/>
        <v>1683.5911111111086</v>
      </c>
      <c r="AD84" s="399">
        <f t="shared" si="65"/>
        <v>693.77777777777783</v>
      </c>
      <c r="AE84" s="398">
        <f t="shared" si="66"/>
        <v>50.002655999999924</v>
      </c>
      <c r="AF84" s="399">
        <f t="shared" si="67"/>
        <v>20.6052</v>
      </c>
      <c r="AG84" s="348">
        <v>0</v>
      </c>
      <c r="AH84" s="421">
        <f t="shared" si="83"/>
        <v>515.65432098765427</v>
      </c>
      <c r="AI84" s="422">
        <f t="shared" si="68"/>
        <v>221.62345679012344</v>
      </c>
      <c r="AJ84" s="420">
        <f t="shared" si="69"/>
        <v>280.36728888888848</v>
      </c>
      <c r="AK84" s="425">
        <f t="shared" si="70"/>
        <v>115.62962962962963</v>
      </c>
      <c r="AL84" s="398">
        <f t="shared" si="84"/>
        <v>88.782222222222217</v>
      </c>
      <c r="AM84" s="399">
        <f t="shared" si="71"/>
        <v>38.157777777777781</v>
      </c>
      <c r="AN84" s="420">
        <f t="shared" si="72"/>
        <v>65.178192592592666</v>
      </c>
      <c r="AO84" s="425">
        <f t="shared" si="73"/>
        <v>28.907407407407408</v>
      </c>
      <c r="AP84" s="420">
        <f t="shared" si="74"/>
        <v>78.469135802469125</v>
      </c>
      <c r="AQ84" s="425">
        <f t="shared" si="75"/>
        <v>33.72530864197531</v>
      </c>
      <c r="AR84" s="454">
        <f t="shared" si="76"/>
        <v>0</v>
      </c>
      <c r="AS84" s="85">
        <f t="shared" si="77"/>
        <v>624.31999999997788</v>
      </c>
    </row>
    <row r="85" spans="1:61" ht="12.75" customHeight="1" x14ac:dyDescent="0.2">
      <c r="B85" s="335">
        <v>77900.039999999994</v>
      </c>
      <c r="C85" s="336">
        <v>78637.72</v>
      </c>
      <c r="D85" s="337" t="s">
        <v>15</v>
      </c>
      <c r="E85" s="337" t="s">
        <v>101</v>
      </c>
      <c r="F85" s="337" t="s">
        <v>107</v>
      </c>
      <c r="G85" s="47" t="str">
        <f t="shared" si="56"/>
        <v>E/S - C/B</v>
      </c>
      <c r="H85" s="26">
        <f t="shared" si="79"/>
        <v>1.5</v>
      </c>
      <c r="I85" s="27">
        <f t="shared" si="80"/>
        <v>15.573244444444603</v>
      </c>
      <c r="J85" s="27">
        <f t="shared" si="81"/>
        <v>18.305392592592781</v>
      </c>
      <c r="K85" s="27">
        <f t="shared" si="82"/>
        <v>-4.9178666666667175</v>
      </c>
      <c r="L85" s="338">
        <v>0</v>
      </c>
      <c r="M85" s="83">
        <f t="shared" si="57"/>
        <v>737.68000000000757</v>
      </c>
      <c r="N85" s="384">
        <v>55.04</v>
      </c>
      <c r="O85" s="385">
        <v>20</v>
      </c>
      <c r="P85" s="222">
        <f t="shared" si="78"/>
        <v>40602</v>
      </c>
      <c r="Q85" s="274">
        <f t="shared" si="58"/>
        <v>14754</v>
      </c>
      <c r="R85" s="394">
        <v>0</v>
      </c>
      <c r="S85" s="395">
        <v>0</v>
      </c>
      <c r="T85" s="221">
        <f t="shared" si="59"/>
        <v>40602</v>
      </c>
      <c r="U85" s="269">
        <f t="shared" si="59"/>
        <v>14754</v>
      </c>
      <c r="V85" s="345">
        <v>0</v>
      </c>
      <c r="W85" s="402">
        <v>0</v>
      </c>
      <c r="X85" s="403">
        <v>0</v>
      </c>
      <c r="Y85" s="410">
        <f t="shared" si="62"/>
        <v>2.3171400000000006</v>
      </c>
      <c r="Z85" s="411">
        <f t="shared" si="62"/>
        <v>0.81966666666666665</v>
      </c>
      <c r="AA85" s="398">
        <f t="shared" si="63"/>
        <v>4634.2800000000016</v>
      </c>
      <c r="AB85" s="399">
        <f t="shared" si="63"/>
        <v>1639.3333333333333</v>
      </c>
      <c r="AC85" s="398">
        <f t="shared" si="64"/>
        <v>4634.2800000000016</v>
      </c>
      <c r="AD85" s="399">
        <f t="shared" si="65"/>
        <v>1639.3333333333333</v>
      </c>
      <c r="AE85" s="398">
        <f t="shared" si="66"/>
        <v>137.63811600000002</v>
      </c>
      <c r="AF85" s="399">
        <f t="shared" si="67"/>
        <v>48.688199999999995</v>
      </c>
      <c r="AG85" s="348">
        <v>0</v>
      </c>
      <c r="AH85" s="421">
        <f t="shared" si="83"/>
        <v>1456.693614814815</v>
      </c>
      <c r="AI85" s="422">
        <f t="shared" si="68"/>
        <v>523.67592592592598</v>
      </c>
      <c r="AJ85" s="420">
        <f t="shared" si="69"/>
        <v>770.19428148148165</v>
      </c>
      <c r="AK85" s="425">
        <f t="shared" si="70"/>
        <v>273.22222222222223</v>
      </c>
      <c r="AL85" s="398">
        <f t="shared" si="84"/>
        <v>248.12333333333331</v>
      </c>
      <c r="AM85" s="399">
        <f t="shared" si="71"/>
        <v>90.163333333333327</v>
      </c>
      <c r="AN85" s="420">
        <f t="shared" si="72"/>
        <v>183.0543555555555</v>
      </c>
      <c r="AO85" s="425">
        <f t="shared" si="73"/>
        <v>68.305555555555557</v>
      </c>
      <c r="AP85" s="420">
        <f t="shared" si="74"/>
        <v>219.30092592592592</v>
      </c>
      <c r="AQ85" s="425">
        <f t="shared" si="75"/>
        <v>79.68981481481481</v>
      </c>
      <c r="AR85" s="454">
        <f t="shared" si="76"/>
        <v>27.321481481481761</v>
      </c>
      <c r="AS85" s="85">
        <f t="shared" si="77"/>
        <v>1475.3600000000151</v>
      </c>
    </row>
    <row r="86" spans="1:61" ht="12.75" customHeight="1" x14ac:dyDescent="0.2">
      <c r="B86" s="335">
        <v>78637.72</v>
      </c>
      <c r="C86" s="336">
        <v>78687.41</v>
      </c>
      <c r="D86" s="337" t="s">
        <v>15</v>
      </c>
      <c r="E86" s="337" t="s">
        <v>101</v>
      </c>
      <c r="F86" s="337" t="s">
        <v>107</v>
      </c>
      <c r="G86" s="47" t="str">
        <f t="shared" si="56"/>
        <v>E/S - C/B</v>
      </c>
      <c r="H86" s="26">
        <f t="shared" si="79"/>
        <v>1.5</v>
      </c>
      <c r="I86" s="27">
        <f t="shared" si="80"/>
        <v>1.0490111111111602</v>
      </c>
      <c r="J86" s="27">
        <f t="shared" si="81"/>
        <v>1.2330481481482058</v>
      </c>
      <c r="K86" s="27">
        <f t="shared" si="82"/>
        <v>-0.3312666666666822</v>
      </c>
      <c r="L86" s="338">
        <v>0</v>
      </c>
      <c r="M86" s="83">
        <f t="shared" si="57"/>
        <v>49.690000000002328</v>
      </c>
      <c r="N86" s="384">
        <v>61.55</v>
      </c>
      <c r="O86" s="385">
        <v>20</v>
      </c>
      <c r="P86" s="222">
        <f t="shared" si="78"/>
        <v>3059</v>
      </c>
      <c r="Q86" s="274">
        <f t="shared" si="58"/>
        <v>994</v>
      </c>
      <c r="R86" s="394">
        <v>0</v>
      </c>
      <c r="S86" s="395">
        <v>0</v>
      </c>
      <c r="T86" s="221">
        <f t="shared" si="59"/>
        <v>3059</v>
      </c>
      <c r="U86" s="269">
        <f t="shared" si="59"/>
        <v>994</v>
      </c>
      <c r="V86" s="345">
        <v>0</v>
      </c>
      <c r="W86" s="402">
        <v>0</v>
      </c>
      <c r="X86" s="403">
        <v>0</v>
      </c>
      <c r="Y86" s="410">
        <f t="shared" si="62"/>
        <v>0.17408527777777796</v>
      </c>
      <c r="Z86" s="411">
        <f t="shared" si="62"/>
        <v>5.5222222222222221E-2</v>
      </c>
      <c r="AA86" s="398">
        <f t="shared" si="63"/>
        <v>348.17055555555595</v>
      </c>
      <c r="AB86" s="399">
        <f t="shared" si="63"/>
        <v>110.44444444444444</v>
      </c>
      <c r="AC86" s="398">
        <f t="shared" si="64"/>
        <v>348.17055555555595</v>
      </c>
      <c r="AD86" s="399">
        <f t="shared" si="65"/>
        <v>110.44444444444444</v>
      </c>
      <c r="AE86" s="398">
        <f t="shared" si="66"/>
        <v>10.340665500000012</v>
      </c>
      <c r="AF86" s="399">
        <f t="shared" si="67"/>
        <v>3.2801999999999998</v>
      </c>
      <c r="AG86" s="348">
        <v>0</v>
      </c>
      <c r="AH86" s="421">
        <f t="shared" si="83"/>
        <v>109.62462839506176</v>
      </c>
      <c r="AI86" s="422">
        <f t="shared" si="68"/>
        <v>35.280864197530867</v>
      </c>
      <c r="AJ86" s="420">
        <f t="shared" si="69"/>
        <v>57.881196296296352</v>
      </c>
      <c r="AK86" s="425">
        <f t="shared" si="70"/>
        <v>18.407407407407408</v>
      </c>
      <c r="AL86" s="398">
        <f t="shared" si="84"/>
        <v>18.693888888888889</v>
      </c>
      <c r="AM86" s="399">
        <f t="shared" si="71"/>
        <v>6.0744444444444445</v>
      </c>
      <c r="AN86" s="420">
        <f t="shared" si="72"/>
        <v>13.830770370370354</v>
      </c>
      <c r="AO86" s="425">
        <f t="shared" si="73"/>
        <v>4.6018518518518521</v>
      </c>
      <c r="AP86" s="420">
        <f t="shared" si="74"/>
        <v>16.522376543209877</v>
      </c>
      <c r="AQ86" s="425">
        <f t="shared" si="75"/>
        <v>5.3688271604938276</v>
      </c>
      <c r="AR86" s="454">
        <f t="shared" si="76"/>
        <v>1.8403703703704566</v>
      </c>
      <c r="AS86" s="85">
        <f t="shared" si="77"/>
        <v>99.380000000004657</v>
      </c>
    </row>
    <row r="87" spans="1:61" ht="12.75" customHeight="1" x14ac:dyDescent="0.2">
      <c r="B87" s="335">
        <v>78687.41</v>
      </c>
      <c r="C87" s="336">
        <v>78882.06</v>
      </c>
      <c r="D87" s="337" t="s">
        <v>15</v>
      </c>
      <c r="E87" s="337" t="s">
        <v>101</v>
      </c>
      <c r="F87" s="337" t="s">
        <v>107</v>
      </c>
      <c r="G87" s="47" t="str">
        <f t="shared" si="56"/>
        <v>E/S - C/B</v>
      </c>
      <c r="H87" s="26">
        <f t="shared" si="79"/>
        <v>1.5</v>
      </c>
      <c r="I87" s="27">
        <f t="shared" si="80"/>
        <v>4.1092777777776544</v>
      </c>
      <c r="J87" s="27">
        <f t="shared" si="81"/>
        <v>4.8302037037035594</v>
      </c>
      <c r="K87" s="27">
        <f t="shared" si="82"/>
        <v>-1.2976666666666277</v>
      </c>
      <c r="L87" s="338">
        <v>0</v>
      </c>
      <c r="M87" s="83">
        <f t="shared" si="57"/>
        <v>194.64999999999418</v>
      </c>
      <c r="N87" s="384" t="s">
        <v>97</v>
      </c>
      <c r="O87" s="385" t="s">
        <v>97</v>
      </c>
      <c r="P87" s="222">
        <f t="shared" si="78"/>
        <v>0</v>
      </c>
      <c r="Q87" s="274">
        <f t="shared" si="58"/>
        <v>0</v>
      </c>
      <c r="R87" s="394">
        <v>12713</v>
      </c>
      <c r="S87" s="395">
        <v>3893</v>
      </c>
      <c r="T87" s="221">
        <f t="shared" si="59"/>
        <v>12713</v>
      </c>
      <c r="U87" s="269">
        <f t="shared" si="59"/>
        <v>3893</v>
      </c>
      <c r="V87" s="345">
        <v>0</v>
      </c>
      <c r="W87" s="402">
        <v>0</v>
      </c>
      <c r="X87" s="403">
        <v>0</v>
      </c>
      <c r="Y87" s="410">
        <f t="shared" si="62"/>
        <v>0.72249861111111069</v>
      </c>
      <c r="Z87" s="411">
        <f t="shared" si="62"/>
        <v>0.21627777777777776</v>
      </c>
      <c r="AA87" s="398">
        <f t="shared" si="63"/>
        <v>1444.9972222222214</v>
      </c>
      <c r="AB87" s="399">
        <f t="shared" si="63"/>
        <v>432.55555555555554</v>
      </c>
      <c r="AC87" s="398">
        <f t="shared" si="64"/>
        <v>1444.9972222222214</v>
      </c>
      <c r="AD87" s="399">
        <f t="shared" si="65"/>
        <v>432.55555555555554</v>
      </c>
      <c r="AE87" s="398">
        <f t="shared" si="66"/>
        <v>42.916417499999973</v>
      </c>
      <c r="AF87" s="399">
        <f t="shared" si="67"/>
        <v>12.846899999999998</v>
      </c>
      <c r="AG87" s="348">
        <v>0</v>
      </c>
      <c r="AH87" s="421">
        <f t="shared" si="83"/>
        <v>455.34230246913569</v>
      </c>
      <c r="AI87" s="422">
        <f t="shared" si="68"/>
        <v>138.17746913580245</v>
      </c>
      <c r="AJ87" s="420">
        <f t="shared" si="69"/>
        <v>240.25612962962947</v>
      </c>
      <c r="AK87" s="425">
        <f t="shared" si="70"/>
        <v>72.092592592592595</v>
      </c>
      <c r="AL87" s="398">
        <f t="shared" si="84"/>
        <v>77.690555555555562</v>
      </c>
      <c r="AM87" s="399">
        <f t="shared" si="71"/>
        <v>23.790555555555557</v>
      </c>
      <c r="AN87" s="420">
        <f t="shared" si="72"/>
        <v>57.558814814814852</v>
      </c>
      <c r="AO87" s="425">
        <f t="shared" si="73"/>
        <v>18.023148148148149</v>
      </c>
      <c r="AP87" s="420">
        <f t="shared" si="74"/>
        <v>68.665895061728392</v>
      </c>
      <c r="AQ87" s="425">
        <f t="shared" si="75"/>
        <v>21.027006172839506</v>
      </c>
      <c r="AR87" s="454">
        <f t="shared" si="76"/>
        <v>7.2092592592590439</v>
      </c>
      <c r="AS87" s="85">
        <f t="shared" si="77"/>
        <v>389.29999999998836</v>
      </c>
    </row>
    <row r="88" spans="1:61" ht="12.75" customHeight="1" x14ac:dyDescent="0.2">
      <c r="B88" s="335">
        <v>78882.06</v>
      </c>
      <c r="C88" s="336">
        <v>79600</v>
      </c>
      <c r="D88" s="337" t="s">
        <v>15</v>
      </c>
      <c r="E88" s="337" t="s">
        <v>101</v>
      </c>
      <c r="F88" s="337" t="s">
        <v>107</v>
      </c>
      <c r="G88" s="47" t="str">
        <f t="shared" si="56"/>
        <v>E/S - C/B</v>
      </c>
      <c r="H88" s="26">
        <f t="shared" si="79"/>
        <v>1.5</v>
      </c>
      <c r="I88" s="27">
        <f t="shared" si="80"/>
        <v>15.156511111111159</v>
      </c>
      <c r="J88" s="27">
        <f t="shared" si="81"/>
        <v>17.815548148148206</v>
      </c>
      <c r="K88" s="27">
        <f t="shared" si="82"/>
        <v>-4.7862666666666822</v>
      </c>
      <c r="L88" s="338">
        <v>0</v>
      </c>
      <c r="M88" s="83">
        <f t="shared" si="57"/>
        <v>717.94000000000233</v>
      </c>
      <c r="N88" s="384">
        <v>41.42</v>
      </c>
      <c r="O88" s="385">
        <v>20</v>
      </c>
      <c r="P88" s="222">
        <f t="shared" si="78"/>
        <v>29738</v>
      </c>
      <c r="Q88" s="274">
        <f t="shared" si="58"/>
        <v>14359</v>
      </c>
      <c r="R88" s="394">
        <v>0</v>
      </c>
      <c r="S88" s="395">
        <v>0</v>
      </c>
      <c r="T88" s="221">
        <f t="shared" si="59"/>
        <v>29738</v>
      </c>
      <c r="U88" s="269">
        <f t="shared" si="59"/>
        <v>14359</v>
      </c>
      <c r="V88" s="345">
        <v>0</v>
      </c>
      <c r="W88" s="402">
        <v>0</v>
      </c>
      <c r="X88" s="403">
        <v>0</v>
      </c>
      <c r="Y88" s="410">
        <f t="shared" si="62"/>
        <v>1.7119394444444447</v>
      </c>
      <c r="Z88" s="411">
        <f t="shared" si="62"/>
        <v>0.79772222222222222</v>
      </c>
      <c r="AA88" s="398">
        <f t="shared" si="63"/>
        <v>3423.8788888888894</v>
      </c>
      <c r="AB88" s="399">
        <f t="shared" si="63"/>
        <v>1595.4444444444443</v>
      </c>
      <c r="AC88" s="398">
        <f t="shared" si="64"/>
        <v>3423.8788888888894</v>
      </c>
      <c r="AD88" s="399">
        <f t="shared" si="65"/>
        <v>1595.4444444444443</v>
      </c>
      <c r="AE88" s="398">
        <f t="shared" si="66"/>
        <v>101.68920300000003</v>
      </c>
      <c r="AF88" s="399">
        <f t="shared" si="67"/>
        <v>47.384699999999995</v>
      </c>
      <c r="AG88" s="348">
        <v>0</v>
      </c>
      <c r="AH88" s="421">
        <f t="shared" si="83"/>
        <v>1070.6719432098766</v>
      </c>
      <c r="AI88" s="422">
        <f t="shared" si="68"/>
        <v>509.65586419753089</v>
      </c>
      <c r="AJ88" s="420">
        <f t="shared" si="69"/>
        <v>568.51925185185189</v>
      </c>
      <c r="AK88" s="425">
        <f t="shared" si="70"/>
        <v>265.90740740740739</v>
      </c>
      <c r="AL88" s="398">
        <f t="shared" si="84"/>
        <v>181.73222222222222</v>
      </c>
      <c r="AM88" s="399">
        <f t="shared" si="71"/>
        <v>87.749444444444435</v>
      </c>
      <c r="AN88" s="420">
        <f t="shared" si="72"/>
        <v>132.88965925925925</v>
      </c>
      <c r="AO88" s="425">
        <f t="shared" si="73"/>
        <v>66.476851851851848</v>
      </c>
      <c r="AP88" s="420">
        <f t="shared" si="74"/>
        <v>160.62191358024691</v>
      </c>
      <c r="AQ88" s="425">
        <f t="shared" si="75"/>
        <v>77.556327160493836</v>
      </c>
      <c r="AR88" s="454">
        <f t="shared" si="76"/>
        <v>26.590370370370458</v>
      </c>
      <c r="AS88" s="85">
        <f t="shared" si="77"/>
        <v>1435.8800000000047</v>
      </c>
    </row>
    <row r="89" spans="1:61" s="81" customFormat="1" ht="12.75" customHeight="1" x14ac:dyDescent="0.2">
      <c r="B89" s="335">
        <v>79600</v>
      </c>
      <c r="C89" s="336">
        <v>79939.679999999993</v>
      </c>
      <c r="D89" s="337" t="s">
        <v>15</v>
      </c>
      <c r="E89" s="337" t="s">
        <v>101</v>
      </c>
      <c r="F89" s="337" t="s">
        <v>107</v>
      </c>
      <c r="G89" s="103" t="str">
        <f t="shared" si="56"/>
        <v>E/S - C/B</v>
      </c>
      <c r="H89" s="26">
        <f t="shared" si="79"/>
        <v>1.5</v>
      </c>
      <c r="I89" s="27">
        <f t="shared" si="80"/>
        <v>7.1710222222220743</v>
      </c>
      <c r="J89" s="27">
        <f t="shared" si="81"/>
        <v>8.4290962962961231</v>
      </c>
      <c r="K89" s="27">
        <f t="shared" si="82"/>
        <v>-2.2645333333332864</v>
      </c>
      <c r="L89" s="338">
        <v>1</v>
      </c>
      <c r="M89" s="479">
        <f t="shared" ref="M89" si="85">C89-B89</f>
        <v>339.67999999999302</v>
      </c>
      <c r="N89" s="384">
        <v>41.42</v>
      </c>
      <c r="O89" s="385">
        <v>20</v>
      </c>
      <c r="P89" s="222">
        <f t="shared" ref="P89" si="86">IF(N89="-",0,ROUNDUP($M89*N89,0))</f>
        <v>14070</v>
      </c>
      <c r="Q89" s="274">
        <f t="shared" ref="Q89" si="87">IF($O89="-",0,ROUNDUP($M89*O89,0))</f>
        <v>6794</v>
      </c>
      <c r="R89" s="394">
        <v>0</v>
      </c>
      <c r="S89" s="395">
        <v>0</v>
      </c>
      <c r="T89" s="221">
        <f t="shared" ref="T89" si="88">P89+R89</f>
        <v>14070</v>
      </c>
      <c r="U89" s="269">
        <f t="shared" ref="U89" si="89">Q89+S89</f>
        <v>6794</v>
      </c>
      <c r="V89" s="345">
        <v>0</v>
      </c>
      <c r="W89" s="398">
        <f t="shared" ref="W89" si="90">IF(OR($A89="APP SLAB",T89=0),0,(T89+$H89*$M89)/9)</f>
        <v>1619.9466666666656</v>
      </c>
      <c r="X89" s="399">
        <f t="shared" ref="X89" si="91">IF($A89="APP SLAB",0,U89/9)</f>
        <v>754.88888888888891</v>
      </c>
      <c r="Y89" s="410">
        <f t="shared" ref="Y89" si="92">IF(AND(W89=0,AA89=0),0,IF(AA89=0,W89/2000,AA89/2000))</f>
        <v>0.80997333333333277</v>
      </c>
      <c r="Z89" s="411">
        <f t="shared" ref="Z89" si="93">IF(AND(X89=0,AB89=0),0,IF(AB89=0,X89/2000,AB89/2000))</f>
        <v>0.37744444444444447</v>
      </c>
      <c r="AA89" s="398">
        <f t="shared" ref="AA89" si="94">IF(OR($A89="APP SLAB",W89&lt;&gt;0),0,AC89)</f>
        <v>0</v>
      </c>
      <c r="AB89" s="399">
        <f t="shared" ref="AB89" si="95">IF(OR($A89="APP SLAB",X89&lt;&gt;0),0,AD89)</f>
        <v>0</v>
      </c>
      <c r="AC89" s="398">
        <f t="shared" ref="AC89" si="96">IF(OR($A89="APP SLAB",W89&lt;&gt;0),0,(T89+$H89*$M89)/9)</f>
        <v>0</v>
      </c>
      <c r="AD89" s="399">
        <f t="shared" ref="AD89" si="97">IF(OR($A89="APP SLAB",X89&lt;&gt;0),0,U89/9)</f>
        <v>0</v>
      </c>
      <c r="AE89" s="398">
        <f t="shared" ref="AE89" si="98">IF(OR($A89="APP SLAB",W89&lt;&gt;0),0,$AC$1*AC89*110*0.06*0.75/2000)</f>
        <v>0</v>
      </c>
      <c r="AF89" s="399">
        <f t="shared" ref="AF89" si="99">IF(OR($A89="APP SLAB",X89&lt;&gt;0),0,$AC$1*AD89*110*0.06*0.75/2000)</f>
        <v>0</v>
      </c>
      <c r="AG89" s="348">
        <v>1</v>
      </c>
      <c r="AH89" s="421">
        <f t="shared" ref="AH89" si="100">IF(A89="APP SLAB",0,(T89*$AH$1/12)/27+I89)</f>
        <v>506.56917037037022</v>
      </c>
      <c r="AI89" s="422">
        <f t="shared" ref="AI89" si="101">IF($A89="APP SLAB",0,(U89*$AH$1/12)/27)</f>
        <v>241.14506172839506</v>
      </c>
      <c r="AJ89" s="420">
        <f t="shared" ref="AJ89" si="102">(T89*$AJ$1/12)/27+J89</f>
        <v>268.98465185185165</v>
      </c>
      <c r="AK89" s="425">
        <f t="shared" ref="AK89" si="103">(U89*$AJ$1/12)/27</f>
        <v>125.81481481481481</v>
      </c>
      <c r="AL89" s="398">
        <f t="shared" ref="AL89" si="104">IF(A89="APP SLAB",0,(T89/9)*$AL$1)</f>
        <v>85.983333333333334</v>
      </c>
      <c r="AM89" s="399">
        <f t="shared" ref="AM89" si="105">IF($A89="APP SLAB",0,(U89/9)*$AL$1)</f>
        <v>41.518888888888888</v>
      </c>
      <c r="AN89" s="420">
        <f t="shared" ref="AN89" si="106">IF(A89="APP SLAB",0,(T89*($AN$1/12))/27+K89)</f>
        <v>62.874355555555596</v>
      </c>
      <c r="AO89" s="425">
        <f t="shared" ref="AO89" si="107">IF($A89="APP SLAB",0,(U89*($AN$1/12))/27)</f>
        <v>31.453703703703702</v>
      </c>
      <c r="AP89" s="420">
        <f t="shared" ref="AP89" si="108">IF(A89="APP SLAB",0,(T89*$AP$1/12)/27+L89)</f>
        <v>76.995370370370367</v>
      </c>
      <c r="AQ89" s="425">
        <f t="shared" ref="AQ89" si="109">IF($A89="APP SLAB",0,(U89*$AP$1/12)/27)</f>
        <v>36.695987654320987</v>
      </c>
      <c r="AR89" s="497">
        <f t="shared" si="76"/>
        <v>12.580740740740483</v>
      </c>
      <c r="AS89" s="480">
        <f t="shared" ref="AS89" si="110">IF(A89="APP SLAB",0,(M89*2))</f>
        <v>679.35999999998603</v>
      </c>
    </row>
    <row r="90" spans="1:61" ht="12.75" customHeight="1" x14ac:dyDescent="0.2">
      <c r="B90" s="335">
        <v>79939.679999999993</v>
      </c>
      <c r="C90" s="336">
        <v>80563.53</v>
      </c>
      <c r="D90" s="337" t="s">
        <v>15</v>
      </c>
      <c r="E90" s="337" t="s">
        <v>102</v>
      </c>
      <c r="F90" s="337" t="s">
        <v>107</v>
      </c>
      <c r="G90" s="47" t="str">
        <f t="shared" si="56"/>
        <v>F/C - C/B</v>
      </c>
      <c r="H90" s="26">
        <f t="shared" si="79"/>
        <v>2</v>
      </c>
      <c r="I90" s="27">
        <f t="shared" si="80"/>
        <v>0</v>
      </c>
      <c r="J90" s="27">
        <f t="shared" si="81"/>
        <v>22.643444444444658</v>
      </c>
      <c r="K90" s="27">
        <f t="shared" si="82"/>
        <v>-4.1590000000000389</v>
      </c>
      <c r="L90" s="338">
        <v>0</v>
      </c>
      <c r="M90" s="83">
        <f t="shared" si="57"/>
        <v>623.85000000000582</v>
      </c>
      <c r="N90" s="384">
        <v>43.42</v>
      </c>
      <c r="O90" s="385">
        <v>20</v>
      </c>
      <c r="P90" s="222">
        <f t="shared" si="78"/>
        <v>27088</v>
      </c>
      <c r="Q90" s="274">
        <f t="shared" si="58"/>
        <v>12478</v>
      </c>
      <c r="R90" s="394">
        <v>0</v>
      </c>
      <c r="S90" s="395">
        <v>0</v>
      </c>
      <c r="T90" s="221">
        <f t="shared" si="59"/>
        <v>27088</v>
      </c>
      <c r="U90" s="269">
        <f t="shared" si="59"/>
        <v>12478</v>
      </c>
      <c r="V90" s="345">
        <v>0</v>
      </c>
      <c r="W90" s="398">
        <f t="shared" ref="W90:W98" si="111">IF(OR($A90="APP SLAB",T90=0),0,(T90+$H90*$M90)/9)</f>
        <v>3148.4111111111124</v>
      </c>
      <c r="X90" s="399">
        <f t="shared" ref="X90:X98" si="112">IF($A90="APP SLAB",0,U90/9)</f>
        <v>1386.4444444444443</v>
      </c>
      <c r="Y90" s="410">
        <f t="shared" si="62"/>
        <v>1.5742055555555563</v>
      </c>
      <c r="Z90" s="411">
        <f t="shared" si="62"/>
        <v>0.69322222222222218</v>
      </c>
      <c r="AA90" s="398">
        <f t="shared" si="63"/>
        <v>0</v>
      </c>
      <c r="AB90" s="399">
        <f t="shared" si="63"/>
        <v>0</v>
      </c>
      <c r="AC90" s="398">
        <f t="shared" si="64"/>
        <v>0</v>
      </c>
      <c r="AD90" s="399">
        <f t="shared" si="65"/>
        <v>0</v>
      </c>
      <c r="AE90" s="398">
        <f t="shared" si="66"/>
        <v>0</v>
      </c>
      <c r="AF90" s="399">
        <f t="shared" si="67"/>
        <v>0</v>
      </c>
      <c r="AG90" s="348">
        <v>0</v>
      </c>
      <c r="AH90" s="421">
        <f t="shared" si="83"/>
        <v>961.4567901234567</v>
      </c>
      <c r="AI90" s="422">
        <f t="shared" si="68"/>
        <v>442.89197530864197</v>
      </c>
      <c r="AJ90" s="420">
        <f t="shared" si="69"/>
        <v>524.27307407407432</v>
      </c>
      <c r="AK90" s="425">
        <f t="shared" si="70"/>
        <v>231.07407407407408</v>
      </c>
      <c r="AL90" s="398">
        <f t="shared" si="84"/>
        <v>165.53777777777779</v>
      </c>
      <c r="AM90" s="399">
        <f t="shared" si="71"/>
        <v>76.254444444444445</v>
      </c>
      <c r="AN90" s="420">
        <f t="shared" si="72"/>
        <v>121.24840740740737</v>
      </c>
      <c r="AO90" s="425">
        <f t="shared" si="73"/>
        <v>57.768518518518519</v>
      </c>
      <c r="AP90" s="420">
        <f t="shared" si="74"/>
        <v>146.30864197530866</v>
      </c>
      <c r="AQ90" s="425">
        <f t="shared" si="75"/>
        <v>67.396604938271608</v>
      </c>
      <c r="AR90" s="454">
        <f t="shared" si="76"/>
        <v>0</v>
      </c>
      <c r="AS90" s="85">
        <f t="shared" si="77"/>
        <v>1247.7000000000116</v>
      </c>
    </row>
    <row r="91" spans="1:61" ht="12.75" customHeight="1" x14ac:dyDescent="0.2">
      <c r="B91" s="335">
        <v>80563.53</v>
      </c>
      <c r="C91" s="336">
        <v>80591.100000000006</v>
      </c>
      <c r="D91" s="337" t="s">
        <v>15</v>
      </c>
      <c r="E91" s="337" t="s">
        <v>97</v>
      </c>
      <c r="F91" s="337" t="s">
        <v>107</v>
      </c>
      <c r="G91" s="47" t="str">
        <f t="shared" si="56"/>
        <v>-</v>
      </c>
      <c r="H91" s="339">
        <v>0</v>
      </c>
      <c r="I91" s="338">
        <v>0</v>
      </c>
      <c r="J91" s="338">
        <v>0</v>
      </c>
      <c r="K91" s="338">
        <v>-0.18</v>
      </c>
      <c r="L91" s="338">
        <v>0</v>
      </c>
      <c r="M91" s="83">
        <f t="shared" si="57"/>
        <v>27.570000000006985</v>
      </c>
      <c r="N91" s="384" t="s">
        <v>97</v>
      </c>
      <c r="O91" s="385" t="s">
        <v>97</v>
      </c>
      <c r="P91" s="222">
        <f t="shared" si="78"/>
        <v>0</v>
      </c>
      <c r="Q91" s="274">
        <f t="shared" si="58"/>
        <v>0</v>
      </c>
      <c r="R91" s="394">
        <v>599</v>
      </c>
      <c r="S91" s="395">
        <v>276</v>
      </c>
      <c r="T91" s="221">
        <f t="shared" si="59"/>
        <v>599</v>
      </c>
      <c r="U91" s="269">
        <f t="shared" si="59"/>
        <v>276</v>
      </c>
      <c r="V91" s="345">
        <v>0</v>
      </c>
      <c r="W91" s="398">
        <f t="shared" si="111"/>
        <v>66.555555555555557</v>
      </c>
      <c r="X91" s="399">
        <f t="shared" si="112"/>
        <v>30.666666666666668</v>
      </c>
      <c r="Y91" s="410">
        <f t="shared" si="62"/>
        <v>3.3277777777777781E-2</v>
      </c>
      <c r="Z91" s="411">
        <f t="shared" si="62"/>
        <v>1.5333333333333334E-2</v>
      </c>
      <c r="AA91" s="398">
        <f t="shared" si="63"/>
        <v>0</v>
      </c>
      <c r="AB91" s="399">
        <f t="shared" si="63"/>
        <v>0</v>
      </c>
      <c r="AC91" s="398">
        <f t="shared" si="64"/>
        <v>0</v>
      </c>
      <c r="AD91" s="399">
        <f t="shared" si="65"/>
        <v>0</v>
      </c>
      <c r="AE91" s="398">
        <f t="shared" si="66"/>
        <v>0</v>
      </c>
      <c r="AF91" s="399">
        <f t="shared" si="67"/>
        <v>0</v>
      </c>
      <c r="AG91" s="348">
        <v>0</v>
      </c>
      <c r="AH91" s="421">
        <f t="shared" si="83"/>
        <v>21.2608024691358</v>
      </c>
      <c r="AI91" s="422">
        <f t="shared" si="68"/>
        <v>9.7962962962962958</v>
      </c>
      <c r="AJ91" s="420">
        <f t="shared" si="69"/>
        <v>11.092592592592593</v>
      </c>
      <c r="AK91" s="425">
        <f t="shared" si="70"/>
        <v>5.1111111111111107</v>
      </c>
      <c r="AL91" s="398">
        <f t="shared" si="84"/>
        <v>3.6605555555555558</v>
      </c>
      <c r="AM91" s="399">
        <f t="shared" si="71"/>
        <v>1.6866666666666668</v>
      </c>
      <c r="AN91" s="420">
        <f t="shared" si="72"/>
        <v>2.5931481481481482</v>
      </c>
      <c r="AO91" s="425">
        <f t="shared" si="73"/>
        <v>1.2777777777777777</v>
      </c>
      <c r="AP91" s="420">
        <f t="shared" si="74"/>
        <v>3.2353395061728398</v>
      </c>
      <c r="AQ91" s="425">
        <f t="shared" si="75"/>
        <v>1.4907407407407407</v>
      </c>
      <c r="AR91" s="454">
        <f t="shared" si="76"/>
        <v>0</v>
      </c>
      <c r="AS91" s="85">
        <f t="shared" si="77"/>
        <v>55.14000000001397</v>
      </c>
    </row>
    <row r="92" spans="1:61" ht="12.75" customHeight="1" x14ac:dyDescent="0.2">
      <c r="A92" s="48" t="s">
        <v>28</v>
      </c>
      <c r="B92" s="335">
        <v>80591.100000000006</v>
      </c>
      <c r="C92" s="336">
        <v>80621.100000000006</v>
      </c>
      <c r="D92" s="337" t="s">
        <v>15</v>
      </c>
      <c r="E92" s="337" t="s">
        <v>97</v>
      </c>
      <c r="F92" s="337" t="s">
        <v>97</v>
      </c>
      <c r="G92" s="47" t="str">
        <f t="shared" si="56"/>
        <v>-</v>
      </c>
      <c r="H92" s="26">
        <f>IF(AND($E92=$AU$2,$F92=$AU$2),2*$AW$13,IF(OR(AND($E92=$AU$2, $F92=$AU$3),AND($E92=$AU$3,$F92=$AU$2)),$AW$13+$AW$14,IF(OR(AND($E92=$AU$2,$F92=$AU$5),AND($E92=$AU$5,$F92=$AU$2)),$AW$13,IF(OR(AND($E92=$AU$3,$F92=$AU$5),AND($E92=$AU$5,$F92=$AU$3)),$AW$14,IF(AND($E92=$AU$3,$F92=$AU$3),2*$AW$14,0)))))</f>
        <v>0</v>
      </c>
      <c r="I92" s="27">
        <f>IF(AND($E92=$AU$2,$F92=$AU$2),2*$AZ$13*$M92/27,IF(OR(AND($E92=$AU$2,$F92=$AU$3),AND($E92=$AU$3,$F92=$AU$2)),$AZ$13*$M92/27,IF(OR(AND($E92=$AU$2,$F92=$AU$5),AND($E92=$AU$5,$F92=$AU$2)),$AZ$13*$M92/27,0)))</f>
        <v>0</v>
      </c>
      <c r="J92" s="27">
        <f>IF(AND($E92=$AU$2,$F92=$AU$2),2*$BC$13*$M92/27,IF(OR(AND($E92=$AU$2,$F92=$AU$3),AND($E92=$AU$3,$F92=$AU$2)),($BC$13+$BC$14)*$M92/27,IF(OR(AND($E92=$AU$2,$F92=$AU$5),AND($E92=$AU$5,$F92=$AU$2)),$BC$13*$M92/27,IF(OR(AND($E92=$AU$3,$F92=$AU$5),AND($E92=$AU$5,$F92=$AU$3)),$BC$14*$M92/27,IF(AND($E92=$AU$3,$F92=$AU$3),2*$BC$14*$M92/27,0)))))</f>
        <v>0</v>
      </c>
      <c r="K92" s="27">
        <f>IF(AND($E92=$AU$5,$F92=$AU$5),2*$BF$15*$M92/27,IF(OR($E92=$AU$5,$F92=$AU$5),$BF$15*$M92/27,0))</f>
        <v>0</v>
      </c>
      <c r="L92" s="338">
        <v>0</v>
      </c>
      <c r="M92" s="83">
        <f t="shared" si="57"/>
        <v>30</v>
      </c>
      <c r="N92" s="384" t="s">
        <v>97</v>
      </c>
      <c r="O92" s="385" t="s">
        <v>97</v>
      </c>
      <c r="P92" s="222">
        <f t="shared" si="78"/>
        <v>0</v>
      </c>
      <c r="Q92" s="274">
        <f t="shared" si="58"/>
        <v>0</v>
      </c>
      <c r="R92" s="394">
        <v>1393</v>
      </c>
      <c r="S92" s="395">
        <v>600</v>
      </c>
      <c r="T92" s="221">
        <f t="shared" si="59"/>
        <v>1393</v>
      </c>
      <c r="U92" s="269">
        <f t="shared" si="59"/>
        <v>600</v>
      </c>
      <c r="V92" s="345">
        <v>0</v>
      </c>
      <c r="W92" s="398">
        <f t="shared" si="111"/>
        <v>0</v>
      </c>
      <c r="X92" s="399">
        <f t="shared" si="112"/>
        <v>0</v>
      </c>
      <c r="Y92" s="410">
        <f t="shared" si="62"/>
        <v>0</v>
      </c>
      <c r="Z92" s="411">
        <f t="shared" si="62"/>
        <v>0</v>
      </c>
      <c r="AA92" s="398">
        <f t="shared" si="63"/>
        <v>0</v>
      </c>
      <c r="AB92" s="399">
        <f t="shared" si="63"/>
        <v>0</v>
      </c>
      <c r="AC92" s="398">
        <f t="shared" si="64"/>
        <v>0</v>
      </c>
      <c r="AD92" s="399">
        <f t="shared" si="65"/>
        <v>0</v>
      </c>
      <c r="AE92" s="398">
        <f t="shared" si="66"/>
        <v>0</v>
      </c>
      <c r="AF92" s="399">
        <f t="shared" si="67"/>
        <v>0</v>
      </c>
      <c r="AG92" s="348">
        <v>0</v>
      </c>
      <c r="AH92" s="421">
        <f t="shared" si="83"/>
        <v>0</v>
      </c>
      <c r="AI92" s="422">
        <f t="shared" si="68"/>
        <v>0</v>
      </c>
      <c r="AJ92" s="420">
        <f t="shared" si="69"/>
        <v>25.796296296296298</v>
      </c>
      <c r="AK92" s="425">
        <f t="shared" si="70"/>
        <v>11.111111111111111</v>
      </c>
      <c r="AL92" s="398">
        <f t="shared" si="84"/>
        <v>0</v>
      </c>
      <c r="AM92" s="399">
        <f t="shared" si="71"/>
        <v>0</v>
      </c>
      <c r="AN92" s="420">
        <f t="shared" si="72"/>
        <v>0</v>
      </c>
      <c r="AO92" s="425">
        <f t="shared" si="73"/>
        <v>0</v>
      </c>
      <c r="AP92" s="420">
        <f t="shared" si="74"/>
        <v>0</v>
      </c>
      <c r="AQ92" s="425">
        <f t="shared" si="75"/>
        <v>0</v>
      </c>
      <c r="AR92" s="454">
        <f t="shared" si="76"/>
        <v>0</v>
      </c>
      <c r="AS92" s="85">
        <f t="shared" si="77"/>
        <v>0</v>
      </c>
    </row>
    <row r="93" spans="1:61" ht="12.75" customHeight="1" x14ac:dyDescent="0.2">
      <c r="A93" s="48" t="s">
        <v>28</v>
      </c>
      <c r="B93" s="335">
        <v>80726.02</v>
      </c>
      <c r="C93" s="336">
        <v>80756.02</v>
      </c>
      <c r="D93" s="337" t="s">
        <v>15</v>
      </c>
      <c r="E93" s="337" t="s">
        <v>97</v>
      </c>
      <c r="F93" s="337" t="s">
        <v>97</v>
      </c>
      <c r="G93" s="47" t="str">
        <f t="shared" si="56"/>
        <v>-</v>
      </c>
      <c r="H93" s="26">
        <f>IF(AND($E93=$AU$2,$F93=$AU$2),2*$AW$13,IF(OR(AND($E93=$AU$2, $F93=$AU$3),AND($E93=$AU$3,$F93=$AU$2)),$AW$13+$AW$14,IF(OR(AND($E93=$AU$2,$F93=$AU$5),AND($E93=$AU$5,$F93=$AU$2)),$AW$13,IF(OR(AND($E93=$AU$3,$F93=$AU$5),AND($E93=$AU$5,$F93=$AU$3)),$AW$14,IF(AND($E93=$AU$3,$F93=$AU$3),2*$AW$14,0)))))</f>
        <v>0</v>
      </c>
      <c r="I93" s="27">
        <f>IF(AND($E93=$AU$2,$F93=$AU$2),2*$AZ$13*$M93/27,IF(OR(AND($E93=$AU$2,$F93=$AU$3),AND($E93=$AU$3,$F93=$AU$2)),$AZ$13*$M93/27,IF(OR(AND($E93=$AU$2,$F93=$AU$5),AND($E93=$AU$5,$F93=$AU$2)),$AZ$13*$M93/27,0)))</f>
        <v>0</v>
      </c>
      <c r="J93" s="27">
        <f>IF(AND($E93=$AU$2,$F93=$AU$2),2*$BC$13*$M93/27,IF(OR(AND($E93=$AU$2,$F93=$AU$3),AND($E93=$AU$3,$F93=$AU$2)),($BC$13+$BC$14)*$M93/27,IF(OR(AND($E93=$AU$2,$F93=$AU$5),AND($E93=$AU$5,$F93=$AU$2)),$BC$13*$M93/27,IF(OR(AND($E93=$AU$3,$F93=$AU$5),AND($E93=$AU$5,$F93=$AU$3)),$BC$14*$M93/27,IF(AND($E93=$AU$3,$F93=$AU$3),2*$BC$14*$M93/27,0)))))</f>
        <v>0</v>
      </c>
      <c r="K93" s="27">
        <f>IF(AND($E93=$AU$5,$F93=$AU$5),2*$BF$15*$M93/27,IF(OR($E93=$AU$5,$F93=$AU$5),$BF$15*$M93/27,0))</f>
        <v>0</v>
      </c>
      <c r="L93" s="338">
        <v>0</v>
      </c>
      <c r="M93" s="83">
        <f t="shared" si="57"/>
        <v>30</v>
      </c>
      <c r="N93" s="384" t="s">
        <v>97</v>
      </c>
      <c r="O93" s="385" t="s">
        <v>97</v>
      </c>
      <c r="P93" s="222">
        <f t="shared" si="78"/>
        <v>0</v>
      </c>
      <c r="Q93" s="274">
        <f t="shared" si="58"/>
        <v>0</v>
      </c>
      <c r="R93" s="394">
        <v>1385</v>
      </c>
      <c r="S93" s="395">
        <v>600</v>
      </c>
      <c r="T93" s="221">
        <f t="shared" si="59"/>
        <v>1385</v>
      </c>
      <c r="U93" s="269">
        <f t="shared" si="59"/>
        <v>600</v>
      </c>
      <c r="V93" s="345">
        <v>0</v>
      </c>
      <c r="W93" s="398">
        <f t="shared" si="111"/>
        <v>0</v>
      </c>
      <c r="X93" s="399">
        <f t="shared" si="112"/>
        <v>0</v>
      </c>
      <c r="Y93" s="410">
        <f t="shared" si="62"/>
        <v>0</v>
      </c>
      <c r="Z93" s="411">
        <f t="shared" si="62"/>
        <v>0</v>
      </c>
      <c r="AA93" s="398">
        <f t="shared" si="63"/>
        <v>0</v>
      </c>
      <c r="AB93" s="399">
        <f t="shared" si="63"/>
        <v>0</v>
      </c>
      <c r="AC93" s="398">
        <f t="shared" si="64"/>
        <v>0</v>
      </c>
      <c r="AD93" s="399">
        <f t="shared" si="65"/>
        <v>0</v>
      </c>
      <c r="AE93" s="398">
        <f t="shared" si="66"/>
        <v>0</v>
      </c>
      <c r="AF93" s="399">
        <f t="shared" si="67"/>
        <v>0</v>
      </c>
      <c r="AG93" s="348">
        <v>0</v>
      </c>
      <c r="AH93" s="421">
        <f t="shared" si="83"/>
        <v>0</v>
      </c>
      <c r="AI93" s="422">
        <f t="shared" si="68"/>
        <v>0</v>
      </c>
      <c r="AJ93" s="420">
        <f t="shared" si="69"/>
        <v>25.648148148148149</v>
      </c>
      <c r="AK93" s="425">
        <f t="shared" si="70"/>
        <v>11.111111111111111</v>
      </c>
      <c r="AL93" s="398">
        <f t="shared" si="84"/>
        <v>0</v>
      </c>
      <c r="AM93" s="399">
        <f t="shared" si="71"/>
        <v>0</v>
      </c>
      <c r="AN93" s="420">
        <f t="shared" si="72"/>
        <v>0</v>
      </c>
      <c r="AO93" s="425">
        <f t="shared" si="73"/>
        <v>0</v>
      </c>
      <c r="AP93" s="420">
        <f t="shared" si="74"/>
        <v>0</v>
      </c>
      <c r="AQ93" s="425">
        <f t="shared" si="75"/>
        <v>0</v>
      </c>
      <c r="AR93" s="454">
        <f t="shared" si="76"/>
        <v>0</v>
      </c>
      <c r="AS93" s="85">
        <f t="shared" si="77"/>
        <v>0</v>
      </c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</row>
    <row r="94" spans="1:61" ht="12.75" customHeight="1" x14ac:dyDescent="0.2">
      <c r="B94" s="335">
        <v>80734.399999999994</v>
      </c>
      <c r="C94" s="336">
        <v>80756.02</v>
      </c>
      <c r="D94" s="337" t="s">
        <v>15</v>
      </c>
      <c r="E94" s="337" t="s">
        <v>102</v>
      </c>
      <c r="F94" s="337" t="s">
        <v>97</v>
      </c>
      <c r="G94" s="47" t="str">
        <f t="shared" si="56"/>
        <v>-</v>
      </c>
      <c r="H94" s="339">
        <v>2</v>
      </c>
      <c r="I94" s="338">
        <v>0</v>
      </c>
      <c r="J94" s="338">
        <v>0.77</v>
      </c>
      <c r="K94" s="338">
        <v>0</v>
      </c>
      <c r="L94" s="338">
        <v>0</v>
      </c>
      <c r="M94" s="83">
        <f t="shared" si="57"/>
        <v>21.620000000009895</v>
      </c>
      <c r="N94" s="384" t="s">
        <v>97</v>
      </c>
      <c r="O94" s="385" t="s">
        <v>97</v>
      </c>
      <c r="P94" s="222">
        <f t="shared" si="78"/>
        <v>0</v>
      </c>
      <c r="Q94" s="274">
        <f t="shared" si="58"/>
        <v>0</v>
      </c>
      <c r="R94" s="394">
        <v>449</v>
      </c>
      <c r="S94" s="395">
        <v>216</v>
      </c>
      <c r="T94" s="221">
        <f t="shared" si="59"/>
        <v>449</v>
      </c>
      <c r="U94" s="269">
        <f t="shared" si="59"/>
        <v>216</v>
      </c>
      <c r="V94" s="345">
        <v>0</v>
      </c>
      <c r="W94" s="398">
        <f t="shared" si="111"/>
        <v>54.693333333335531</v>
      </c>
      <c r="X94" s="399">
        <f t="shared" si="112"/>
        <v>24</v>
      </c>
      <c r="Y94" s="410">
        <f t="shared" si="62"/>
        <v>2.7346666666667765E-2</v>
      </c>
      <c r="Z94" s="411">
        <f t="shared" si="62"/>
        <v>1.2E-2</v>
      </c>
      <c r="AA94" s="398">
        <f t="shared" si="63"/>
        <v>0</v>
      </c>
      <c r="AB94" s="399">
        <f t="shared" si="63"/>
        <v>0</v>
      </c>
      <c r="AC94" s="398">
        <f t="shared" si="64"/>
        <v>0</v>
      </c>
      <c r="AD94" s="399">
        <f t="shared" si="65"/>
        <v>0</v>
      </c>
      <c r="AE94" s="398">
        <f t="shared" si="66"/>
        <v>0</v>
      </c>
      <c r="AF94" s="399">
        <f t="shared" si="67"/>
        <v>0</v>
      </c>
      <c r="AG94" s="348">
        <v>0</v>
      </c>
      <c r="AH94" s="421">
        <f t="shared" si="83"/>
        <v>15.93672839506173</v>
      </c>
      <c r="AI94" s="422">
        <f t="shared" si="68"/>
        <v>7.666666666666667</v>
      </c>
      <c r="AJ94" s="420">
        <f t="shared" si="69"/>
        <v>9.0848148148148145</v>
      </c>
      <c r="AK94" s="425">
        <f t="shared" si="70"/>
        <v>4</v>
      </c>
      <c r="AL94" s="398">
        <f t="shared" si="84"/>
        <v>2.7438888888888888</v>
      </c>
      <c r="AM94" s="399">
        <f t="shared" si="71"/>
        <v>1.32</v>
      </c>
      <c r="AN94" s="420">
        <f t="shared" si="72"/>
        <v>2.0787037037037037</v>
      </c>
      <c r="AO94" s="425">
        <f t="shared" si="73"/>
        <v>1</v>
      </c>
      <c r="AP94" s="420">
        <f t="shared" si="74"/>
        <v>2.4251543209876547</v>
      </c>
      <c r="AQ94" s="425">
        <f t="shared" si="75"/>
        <v>1.1666666666666667</v>
      </c>
      <c r="AR94" s="454">
        <f t="shared" si="76"/>
        <v>0</v>
      </c>
      <c r="AS94" s="85">
        <f t="shared" si="77"/>
        <v>43.240000000019791</v>
      </c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</row>
    <row r="95" spans="1:61" ht="12.75" customHeight="1" x14ac:dyDescent="0.2">
      <c r="B95" s="335">
        <v>80756.02</v>
      </c>
      <c r="C95" s="336">
        <v>81236.52</v>
      </c>
      <c r="D95" s="337" t="s">
        <v>15</v>
      </c>
      <c r="E95" s="337" t="s">
        <v>102</v>
      </c>
      <c r="F95" s="337" t="s">
        <v>107</v>
      </c>
      <c r="G95" s="47" t="str">
        <f t="shared" si="56"/>
        <v>F/C - C/B</v>
      </c>
      <c r="H95" s="26">
        <f>IF(AND($E95=$AU$2,$F95=$AU$2),2*$AW$13,IF(OR(AND($E95=$AU$2, $F95=$AU$3),AND($E95=$AU$3,$F95=$AU$2)),$AW$13+$AW$14,IF(OR(AND($E95=$AU$2,$F95=$AU$5),AND($E95=$AU$5,$F95=$AU$2)),$AW$13,IF(OR(AND($E95=$AU$3,$F95=$AU$5),AND($E95=$AU$5,$F95=$AU$3)),$AW$14,IF(AND($E95=$AU$3,$F95=$AU$3),2*$AW$14,0)))))</f>
        <v>2</v>
      </c>
      <c r="I95" s="27">
        <f>IF(AND($E95=$AU$2,$F95=$AU$2),2*$AZ$13*$M95/27,IF(OR(AND($E95=$AU$2,$F95=$AU$3),AND($E95=$AU$3,$F95=$AU$2)),$AZ$13*$M95/27,IF(OR(AND($E95=$AU$2,$F95=$AU$5),AND($E95=$AU$5,$F95=$AU$2)),$AZ$13*$M95/27,0)))</f>
        <v>0</v>
      </c>
      <c r="J95" s="27">
        <f>IF(AND($E95=$AU$2,$F95=$AU$2),2*$BC$13*$M95/27,IF(OR(AND($E95=$AU$2,$F95=$AU$3),AND($E95=$AU$3,$F95=$AU$2)),($BC$13+$BC$14)*$M95/27,IF(OR(AND($E95=$AU$2,$F95=$AU$5),AND($E95=$AU$5,$F95=$AU$2)),$BC$13*$M95/27,IF(OR(AND($E95=$AU$3,$F95=$AU$5),AND($E95=$AU$5,$F95=$AU$3)),$BC$14*$M95/27,IF(AND($E95=$AU$3,$F95=$AU$3),2*$BC$14*$M95/27,0)))))</f>
        <v>17.440370370370371</v>
      </c>
      <c r="K95" s="27">
        <f>IF(AND($E95=$AU$5,$F95=$AU$5),2*$BF$15*$M95/27,IF(OR($E95=$AU$5,$F95=$AU$5),$BF$15*$M95/27,0))</f>
        <v>-3.2033333333333331</v>
      </c>
      <c r="L95" s="338">
        <v>0</v>
      </c>
      <c r="M95" s="83">
        <f t="shared" si="57"/>
        <v>480.5</v>
      </c>
      <c r="N95" s="384">
        <v>43.42</v>
      </c>
      <c r="O95" s="385">
        <v>20</v>
      </c>
      <c r="P95" s="222">
        <f t="shared" si="78"/>
        <v>20864</v>
      </c>
      <c r="Q95" s="274">
        <f t="shared" si="58"/>
        <v>9610</v>
      </c>
      <c r="R95" s="394">
        <v>0</v>
      </c>
      <c r="S95" s="395">
        <v>0</v>
      </c>
      <c r="T95" s="221">
        <f t="shared" si="59"/>
        <v>20864</v>
      </c>
      <c r="U95" s="269">
        <f t="shared" si="59"/>
        <v>9610</v>
      </c>
      <c r="V95" s="345">
        <v>0</v>
      </c>
      <c r="W95" s="398">
        <f t="shared" si="111"/>
        <v>2425</v>
      </c>
      <c r="X95" s="399">
        <f t="shared" si="112"/>
        <v>1067.7777777777778</v>
      </c>
      <c r="Y95" s="410">
        <f t="shared" si="62"/>
        <v>1.2124999999999999</v>
      </c>
      <c r="Z95" s="411">
        <f t="shared" si="62"/>
        <v>0.53388888888888897</v>
      </c>
      <c r="AA95" s="398">
        <f t="shared" si="63"/>
        <v>0</v>
      </c>
      <c r="AB95" s="399">
        <f t="shared" si="63"/>
        <v>0</v>
      </c>
      <c r="AC95" s="398">
        <f t="shared" si="64"/>
        <v>0</v>
      </c>
      <c r="AD95" s="399">
        <f t="shared" si="65"/>
        <v>0</v>
      </c>
      <c r="AE95" s="398">
        <f t="shared" si="66"/>
        <v>0</v>
      </c>
      <c r="AF95" s="399">
        <f t="shared" si="67"/>
        <v>0</v>
      </c>
      <c r="AG95" s="348">
        <v>0</v>
      </c>
      <c r="AH95" s="421">
        <f t="shared" si="83"/>
        <v>740.5432098765433</v>
      </c>
      <c r="AI95" s="422">
        <f t="shared" si="68"/>
        <v>341.09567901234573</v>
      </c>
      <c r="AJ95" s="420">
        <f t="shared" si="69"/>
        <v>403.81074074074075</v>
      </c>
      <c r="AK95" s="425">
        <f t="shared" si="70"/>
        <v>177.96296296296296</v>
      </c>
      <c r="AL95" s="398">
        <f t="shared" si="84"/>
        <v>127.50222222222222</v>
      </c>
      <c r="AM95" s="399">
        <f t="shared" si="71"/>
        <v>58.727777777777781</v>
      </c>
      <c r="AN95" s="420">
        <f t="shared" si="72"/>
        <v>93.389259259259262</v>
      </c>
      <c r="AO95" s="425">
        <f t="shared" si="73"/>
        <v>44.49074074074074</v>
      </c>
      <c r="AP95" s="420">
        <f t="shared" si="74"/>
        <v>112.69135802469135</v>
      </c>
      <c r="AQ95" s="425">
        <f t="shared" si="75"/>
        <v>51.90586419753086</v>
      </c>
      <c r="AR95" s="454">
        <f t="shared" si="76"/>
        <v>0</v>
      </c>
      <c r="AS95" s="85">
        <f t="shared" si="77"/>
        <v>961</v>
      </c>
    </row>
    <row r="96" spans="1:61" ht="12.75" customHeight="1" x14ac:dyDescent="0.2">
      <c r="B96" s="335">
        <v>81236.52</v>
      </c>
      <c r="C96" s="336">
        <v>81317.06</v>
      </c>
      <c r="D96" s="337" t="s">
        <v>15</v>
      </c>
      <c r="E96" s="337" t="s">
        <v>97</v>
      </c>
      <c r="F96" s="337" t="s">
        <v>107</v>
      </c>
      <c r="G96" s="47" t="str">
        <f t="shared" si="56"/>
        <v>-</v>
      </c>
      <c r="H96" s="339">
        <v>0</v>
      </c>
      <c r="I96" s="338">
        <v>0</v>
      </c>
      <c r="J96" s="338">
        <v>0</v>
      </c>
      <c r="K96" s="338">
        <v>-0.54</v>
      </c>
      <c r="L96" s="338">
        <v>0</v>
      </c>
      <c r="M96" s="83">
        <f t="shared" si="57"/>
        <v>80.539999999993597</v>
      </c>
      <c r="N96" s="384" t="s">
        <v>97</v>
      </c>
      <c r="O96" s="385" t="s">
        <v>97</v>
      </c>
      <c r="P96" s="222">
        <f t="shared" si="78"/>
        <v>0</v>
      </c>
      <c r="Q96" s="274">
        <f t="shared" si="58"/>
        <v>0</v>
      </c>
      <c r="R96" s="394">
        <v>1769</v>
      </c>
      <c r="S96" s="395">
        <v>805</v>
      </c>
      <c r="T96" s="221">
        <f t="shared" si="59"/>
        <v>1769</v>
      </c>
      <c r="U96" s="269">
        <f t="shared" si="59"/>
        <v>805</v>
      </c>
      <c r="V96" s="345">
        <v>0</v>
      </c>
      <c r="W96" s="398">
        <f t="shared" si="111"/>
        <v>196.55555555555554</v>
      </c>
      <c r="X96" s="399">
        <f t="shared" si="112"/>
        <v>89.444444444444443</v>
      </c>
      <c r="Y96" s="410">
        <f t="shared" si="62"/>
        <v>9.8277777777777769E-2</v>
      </c>
      <c r="Z96" s="411">
        <f t="shared" si="62"/>
        <v>4.4722222222222219E-2</v>
      </c>
      <c r="AA96" s="398">
        <f t="shared" si="63"/>
        <v>0</v>
      </c>
      <c r="AB96" s="399">
        <f t="shared" si="63"/>
        <v>0</v>
      </c>
      <c r="AC96" s="398">
        <f t="shared" si="64"/>
        <v>0</v>
      </c>
      <c r="AD96" s="399">
        <f t="shared" si="65"/>
        <v>0</v>
      </c>
      <c r="AE96" s="398">
        <f t="shared" si="66"/>
        <v>0</v>
      </c>
      <c r="AF96" s="399">
        <f t="shared" si="67"/>
        <v>0</v>
      </c>
      <c r="AG96" s="348">
        <v>0</v>
      </c>
      <c r="AH96" s="421">
        <f t="shared" si="83"/>
        <v>62.788580246913583</v>
      </c>
      <c r="AI96" s="422">
        <f t="shared" si="68"/>
        <v>28.572530864197532</v>
      </c>
      <c r="AJ96" s="420">
        <f t="shared" si="69"/>
        <v>32.75925925925926</v>
      </c>
      <c r="AK96" s="425">
        <f t="shared" si="70"/>
        <v>14.907407407407407</v>
      </c>
      <c r="AL96" s="398">
        <f t="shared" si="84"/>
        <v>10.810555555555554</v>
      </c>
      <c r="AM96" s="399">
        <f t="shared" si="71"/>
        <v>4.9194444444444443</v>
      </c>
      <c r="AN96" s="420">
        <f t="shared" si="72"/>
        <v>7.6498148148148148</v>
      </c>
      <c r="AO96" s="425">
        <f t="shared" si="73"/>
        <v>3.7268518518518516</v>
      </c>
      <c r="AP96" s="420">
        <f t="shared" si="74"/>
        <v>9.5547839506172849</v>
      </c>
      <c r="AQ96" s="425">
        <f t="shared" si="75"/>
        <v>4.3479938271604937</v>
      </c>
      <c r="AR96" s="454">
        <f t="shared" si="76"/>
        <v>0</v>
      </c>
      <c r="AS96" s="85">
        <f t="shared" si="77"/>
        <v>161.07999999998719</v>
      </c>
    </row>
    <row r="97" spans="1:45" ht="12.75" customHeight="1" x14ac:dyDescent="0.2">
      <c r="A97" s="48" t="s">
        <v>28</v>
      </c>
      <c r="B97" s="335">
        <v>81316.460000000006</v>
      </c>
      <c r="C97" s="336">
        <v>81346.460000000006</v>
      </c>
      <c r="D97" s="337" t="s">
        <v>15</v>
      </c>
      <c r="E97" s="337" t="s">
        <v>97</v>
      </c>
      <c r="F97" s="337" t="s">
        <v>97</v>
      </c>
      <c r="G97" s="47" t="str">
        <f t="shared" si="56"/>
        <v>-</v>
      </c>
      <c r="H97" s="26">
        <f>IF(AND($E97=$AU$2,$F97=$AU$2),2*$AW$13,IF(OR(AND($E97=$AU$2, $F97=$AU$3),AND($E97=$AU$3,$F97=$AU$2)),$AW$13+$AW$14,IF(OR(AND($E97=$AU$2,$F97=$AU$5),AND($E97=$AU$5,$F97=$AU$2)),$AW$13,IF(OR(AND($E97=$AU$3,$F97=$AU$5),AND($E97=$AU$5,$F97=$AU$3)),$AW$14,IF(AND($E97=$AU$3,$F97=$AU$3),2*$AW$14,0)))))</f>
        <v>0</v>
      </c>
      <c r="I97" s="27">
        <f>IF(AND($E97=$AU$2,$F97=$AU$2),2*$AZ$13*$M97/27,IF(OR(AND($E97=$AU$2,$F97=$AU$3),AND($E97=$AU$3,$F97=$AU$2)),$AZ$13*$M97/27,IF(OR(AND($E97=$AU$2,$F97=$AU$5),AND($E97=$AU$5,$F97=$AU$2)),$AZ$13*$M97/27,0)))</f>
        <v>0</v>
      </c>
      <c r="J97" s="27">
        <f>IF(AND($E97=$AU$2,$F97=$AU$2),2*$BC$13*$M97/27,IF(OR(AND($E97=$AU$2,$F97=$AU$3),AND($E97=$AU$3,$F97=$AU$2)),($BC$13+$BC$14)*$M97/27,IF(OR(AND($E97=$AU$2,$F97=$AU$5),AND($E97=$AU$5,$F97=$AU$2)),$BC$13*$M97/27,IF(OR(AND($E97=$AU$3,$F97=$AU$5),AND($E97=$AU$5,$F97=$AU$3)),$BC$14*$M97/27,IF(AND($E97=$AU$3,$F97=$AU$3),2*$BC$14*$M97/27,0)))))</f>
        <v>0</v>
      </c>
      <c r="K97" s="27">
        <f>IF(AND($E97=$AU$5,$F97=$AU$5),2*$BF$15*$M97/27,IF(OR($E97=$AU$5,$F97=$AU$5),$BF$15*$M97/27,0))</f>
        <v>0</v>
      </c>
      <c r="L97" s="338">
        <v>0</v>
      </c>
      <c r="M97" s="83">
        <f t="shared" si="57"/>
        <v>30</v>
      </c>
      <c r="N97" s="384" t="s">
        <v>97</v>
      </c>
      <c r="O97" s="385" t="s">
        <v>97</v>
      </c>
      <c r="P97" s="222">
        <f t="shared" si="78"/>
        <v>0</v>
      </c>
      <c r="Q97" s="274">
        <f t="shared" si="58"/>
        <v>0</v>
      </c>
      <c r="R97" s="394">
        <v>1407</v>
      </c>
      <c r="S97" s="395">
        <v>600</v>
      </c>
      <c r="T97" s="221">
        <f t="shared" si="59"/>
        <v>1407</v>
      </c>
      <c r="U97" s="269">
        <f t="shared" si="59"/>
        <v>600</v>
      </c>
      <c r="V97" s="345">
        <v>0</v>
      </c>
      <c r="W97" s="398">
        <f>IF(OR(T97=0),0,(T97+$H97*$M97)/9)</f>
        <v>156.33333333333334</v>
      </c>
      <c r="X97" s="399">
        <f>IF($A97="",0,U97/9)</f>
        <v>66.666666666666671</v>
      </c>
      <c r="Y97" s="410">
        <f t="shared" si="62"/>
        <v>7.8166666666666676E-2</v>
      </c>
      <c r="Z97" s="411">
        <f t="shared" si="62"/>
        <v>3.3333333333333333E-2</v>
      </c>
      <c r="AA97" s="398">
        <f>IF(OR(W97&lt;&gt;0),0,AC97)</f>
        <v>0</v>
      </c>
      <c r="AB97" s="399">
        <f>IF(OR(X97&lt;&gt;0),0,AD97)</f>
        <v>0</v>
      </c>
      <c r="AC97" s="398">
        <f>IF(OR(W97&lt;&gt;0),0,(T97+$H97*$M97)/9)</f>
        <v>0</v>
      </c>
      <c r="AD97" s="399">
        <f>IF(OR(X97&lt;&gt;0),0,U97/9)</f>
        <v>0</v>
      </c>
      <c r="AE97" s="398">
        <f>IF(OR(W97&lt;&gt;0),0,$AC$1*AC97*110*0.06*0.75/2000)</f>
        <v>0</v>
      </c>
      <c r="AF97" s="399">
        <f>IF(OR(X97&lt;&gt;0),0,$AC$1*AD97*110*0.06*0.75/2000)</f>
        <v>0</v>
      </c>
      <c r="AG97" s="348">
        <v>0</v>
      </c>
      <c r="AH97" s="421">
        <f t="shared" si="83"/>
        <v>0</v>
      </c>
      <c r="AI97" s="422">
        <f t="shared" si="68"/>
        <v>0</v>
      </c>
      <c r="AJ97" s="420">
        <f t="shared" si="69"/>
        <v>26.055555555555557</v>
      </c>
      <c r="AK97" s="425">
        <f t="shared" si="70"/>
        <v>11.111111111111111</v>
      </c>
      <c r="AL97" s="398">
        <f t="shared" si="84"/>
        <v>0</v>
      </c>
      <c r="AM97" s="399">
        <f t="shared" si="71"/>
        <v>0</v>
      </c>
      <c r="AN97" s="420">
        <f t="shared" si="72"/>
        <v>0</v>
      </c>
      <c r="AO97" s="425">
        <f t="shared" si="73"/>
        <v>0</v>
      </c>
      <c r="AP97" s="420">
        <f t="shared" si="74"/>
        <v>0</v>
      </c>
      <c r="AQ97" s="425">
        <f t="shared" si="75"/>
        <v>0</v>
      </c>
      <c r="AR97" s="454">
        <f t="shared" si="76"/>
        <v>0</v>
      </c>
      <c r="AS97" s="85">
        <f t="shared" si="77"/>
        <v>0</v>
      </c>
    </row>
    <row r="98" spans="1:45" ht="12.75" customHeight="1" x14ac:dyDescent="0.2">
      <c r="A98" s="48" t="s">
        <v>28</v>
      </c>
      <c r="B98" s="335">
        <v>81611.05</v>
      </c>
      <c r="C98" s="336">
        <v>81641.05</v>
      </c>
      <c r="D98" s="337" t="s">
        <v>15</v>
      </c>
      <c r="E98" s="337" t="s">
        <v>97</v>
      </c>
      <c r="F98" s="337" t="s">
        <v>97</v>
      </c>
      <c r="G98" s="47" t="str">
        <f t="shared" si="56"/>
        <v>-</v>
      </c>
      <c r="H98" s="26">
        <f>IF(AND($E98=$AU$2,$F98=$AU$2),2*$AW$13,IF(OR(AND($E98=$AU$2, $F98=$AU$3),AND($E98=$AU$3,$F98=$AU$2)),$AW$13+$AW$14,IF(OR(AND($E98=$AU$2,$F98=$AU$5),AND($E98=$AU$5,$F98=$AU$2)),$AW$13,IF(OR(AND($E98=$AU$3,$F98=$AU$5),AND($E98=$AU$5,$F98=$AU$3)),$AW$14,IF(AND($E98=$AU$3,$F98=$AU$3),2*$AW$14,0)))))</f>
        <v>0</v>
      </c>
      <c r="I98" s="27">
        <f>IF(AND($E98=$AU$2,$F98=$AU$2),2*$AZ$13*$M98/27,IF(OR(AND($E98=$AU$2,$F98=$AU$3),AND($E98=$AU$3,$F98=$AU$2)),$AZ$13*$M98/27,IF(OR(AND($E98=$AU$2,$F98=$AU$5),AND($E98=$AU$5,$F98=$AU$2)),$AZ$13*$M98/27,0)))</f>
        <v>0</v>
      </c>
      <c r="J98" s="27">
        <f>IF(AND($E98=$AU$2,$F98=$AU$2),2*$BC$13*$M98/27,IF(OR(AND($E98=$AU$2,$F98=$AU$3),AND($E98=$AU$3,$F98=$AU$2)),($BC$13+$BC$14)*$M98/27,IF(OR(AND($E98=$AU$2,$F98=$AU$5),AND($E98=$AU$5,$F98=$AU$2)),$BC$13*$M98/27,IF(OR(AND($E98=$AU$3,$F98=$AU$5),AND($E98=$AU$5,$F98=$AU$3)),$BC$14*$M98/27,IF(AND($E98=$AU$3,$F98=$AU$3),2*$BC$14*$M98/27,0)))))</f>
        <v>0</v>
      </c>
      <c r="K98" s="27">
        <f>IF(AND($E98=$AU$5,$F98=$AU$5),2*$BF$15*$M98/27,IF(OR($E98=$AU$5,$F98=$AU$5),$BF$15*$M98/27,0))</f>
        <v>0</v>
      </c>
      <c r="L98" s="338">
        <v>0</v>
      </c>
      <c r="M98" s="83">
        <f t="shared" si="57"/>
        <v>30</v>
      </c>
      <c r="N98" s="384" t="s">
        <v>97</v>
      </c>
      <c r="O98" s="385" t="s">
        <v>97</v>
      </c>
      <c r="P98" s="222">
        <f t="shared" si="78"/>
        <v>0</v>
      </c>
      <c r="Q98" s="274">
        <f t="shared" si="58"/>
        <v>0</v>
      </c>
      <c r="R98" s="394">
        <v>1385</v>
      </c>
      <c r="S98" s="395">
        <v>600</v>
      </c>
      <c r="T98" s="221">
        <f t="shared" si="59"/>
        <v>1385</v>
      </c>
      <c r="U98" s="269">
        <f t="shared" si="59"/>
        <v>600</v>
      </c>
      <c r="V98" s="345">
        <v>0</v>
      </c>
      <c r="W98" s="398">
        <f t="shared" si="111"/>
        <v>0</v>
      </c>
      <c r="X98" s="399">
        <f t="shared" si="112"/>
        <v>0</v>
      </c>
      <c r="Y98" s="410">
        <f t="shared" si="62"/>
        <v>7.694444444444444E-2</v>
      </c>
      <c r="Z98" s="411">
        <f t="shared" si="62"/>
        <v>3.3333333333333333E-2</v>
      </c>
      <c r="AA98" s="398">
        <f>IF(OR(W98&lt;&gt;0),0,AC98)</f>
        <v>153.88888888888889</v>
      </c>
      <c r="AB98" s="399">
        <f>IF(OR(X98&lt;&gt;0),0,AD98)</f>
        <v>66.666666666666671</v>
      </c>
      <c r="AC98" s="398">
        <f>IF(OR(W98&lt;&gt;0),0,(T98+$H98*$M98)/9)</f>
        <v>153.88888888888889</v>
      </c>
      <c r="AD98" s="399">
        <f>IF(OR(X98&lt;&gt;0),0,U98/9)</f>
        <v>66.666666666666671</v>
      </c>
      <c r="AE98" s="398">
        <f>IF(OR(W98&lt;&gt;0),0,$AC$1*AC98*110*0.06*0.75/2000)</f>
        <v>4.5704999999999991</v>
      </c>
      <c r="AF98" s="399">
        <f>IF(OR(X98&lt;&gt;0),0,$AC$1*AD98*110*0.06*0.75/2000)</f>
        <v>1.98</v>
      </c>
      <c r="AG98" s="348">
        <v>0</v>
      </c>
      <c r="AH98" s="421">
        <f t="shared" si="83"/>
        <v>0</v>
      </c>
      <c r="AI98" s="422">
        <f t="shared" si="68"/>
        <v>0</v>
      </c>
      <c r="AJ98" s="420">
        <f t="shared" si="69"/>
        <v>25.648148148148149</v>
      </c>
      <c r="AK98" s="425">
        <f t="shared" si="70"/>
        <v>11.111111111111111</v>
      </c>
      <c r="AL98" s="398">
        <f t="shared" si="84"/>
        <v>0</v>
      </c>
      <c r="AM98" s="399">
        <f t="shared" si="71"/>
        <v>0</v>
      </c>
      <c r="AN98" s="420">
        <f t="shared" si="72"/>
        <v>0</v>
      </c>
      <c r="AO98" s="425">
        <f t="shared" si="73"/>
        <v>0</v>
      </c>
      <c r="AP98" s="420">
        <f t="shared" si="74"/>
        <v>0</v>
      </c>
      <c r="AQ98" s="425">
        <f t="shared" si="75"/>
        <v>0</v>
      </c>
      <c r="AR98" s="454">
        <f t="shared" si="76"/>
        <v>0</v>
      </c>
      <c r="AS98" s="85">
        <f t="shared" si="77"/>
        <v>0</v>
      </c>
    </row>
    <row r="99" spans="1:45" ht="12.75" customHeight="1" x14ac:dyDescent="0.2">
      <c r="B99" s="335">
        <v>81581.45</v>
      </c>
      <c r="C99" s="336">
        <v>81641.52</v>
      </c>
      <c r="D99" s="337" t="s">
        <v>15</v>
      </c>
      <c r="E99" s="337" t="s">
        <v>102</v>
      </c>
      <c r="F99" s="337" t="s">
        <v>97</v>
      </c>
      <c r="G99" s="47" t="str">
        <f t="shared" si="56"/>
        <v>-</v>
      </c>
      <c r="H99" s="339">
        <v>2</v>
      </c>
      <c r="I99" s="338">
        <v>0</v>
      </c>
      <c r="J99" s="338">
        <v>2.14</v>
      </c>
      <c r="K99" s="338">
        <v>0</v>
      </c>
      <c r="L99" s="338">
        <v>0</v>
      </c>
      <c r="M99" s="83">
        <f t="shared" si="57"/>
        <v>60.070000000006985</v>
      </c>
      <c r="N99" s="384" t="s">
        <v>97</v>
      </c>
      <c r="O99" s="385" t="s">
        <v>97</v>
      </c>
      <c r="P99" s="222">
        <f t="shared" si="78"/>
        <v>0</v>
      </c>
      <c r="Q99" s="274">
        <f t="shared" si="58"/>
        <v>0</v>
      </c>
      <c r="R99" s="394">
        <v>1269</v>
      </c>
      <c r="S99" s="395">
        <v>601</v>
      </c>
      <c r="T99" s="221">
        <f t="shared" si="59"/>
        <v>1269</v>
      </c>
      <c r="U99" s="269">
        <f t="shared" si="59"/>
        <v>601</v>
      </c>
      <c r="V99" s="345">
        <v>0</v>
      </c>
      <c r="W99" s="402">
        <v>0</v>
      </c>
      <c r="X99" s="403">
        <v>0</v>
      </c>
      <c r="Y99" s="410">
        <f>IF(AND(W99=0,AA99=0),0,IF(AA99=0,W99/2000,AA99/2000))</f>
        <v>7.7174444444445212E-2</v>
      </c>
      <c r="Z99" s="411">
        <f t="shared" si="62"/>
        <v>3.3388888888888885E-2</v>
      </c>
      <c r="AA99" s="398">
        <f t="shared" si="63"/>
        <v>154.34888888889043</v>
      </c>
      <c r="AB99" s="399">
        <f t="shared" si="63"/>
        <v>66.777777777777771</v>
      </c>
      <c r="AC99" s="398">
        <f t="shared" si="64"/>
        <v>154.34888888889043</v>
      </c>
      <c r="AD99" s="399">
        <f t="shared" si="65"/>
        <v>66.777777777777771</v>
      </c>
      <c r="AE99" s="398">
        <f t="shared" si="66"/>
        <v>4.5841620000000454</v>
      </c>
      <c r="AF99" s="399">
        <f t="shared" si="67"/>
        <v>1.9832999999999996</v>
      </c>
      <c r="AG99" s="348">
        <v>0</v>
      </c>
      <c r="AH99" s="421">
        <f t="shared" si="83"/>
        <v>45.041666666666664</v>
      </c>
      <c r="AI99" s="422">
        <f t="shared" si="68"/>
        <v>21.331790123456791</v>
      </c>
      <c r="AJ99" s="420">
        <f t="shared" si="69"/>
        <v>25.64</v>
      </c>
      <c r="AK99" s="425">
        <f t="shared" si="70"/>
        <v>11.12962962962963</v>
      </c>
      <c r="AL99" s="398">
        <f t="shared" si="84"/>
        <v>7.7549999999999999</v>
      </c>
      <c r="AM99" s="399">
        <f t="shared" si="71"/>
        <v>3.6727777777777773</v>
      </c>
      <c r="AN99" s="420">
        <f t="shared" si="72"/>
        <v>5.875</v>
      </c>
      <c r="AO99" s="425">
        <f t="shared" si="73"/>
        <v>2.7824074074074074</v>
      </c>
      <c r="AP99" s="420">
        <f t="shared" si="74"/>
        <v>6.854166666666667</v>
      </c>
      <c r="AQ99" s="425">
        <f t="shared" si="75"/>
        <v>3.246141975308642</v>
      </c>
      <c r="AR99" s="454">
        <f t="shared" si="76"/>
        <v>0</v>
      </c>
      <c r="AS99" s="85">
        <f t="shared" si="77"/>
        <v>120.14000000001397</v>
      </c>
    </row>
    <row r="100" spans="1:45" ht="12.75" customHeight="1" x14ac:dyDescent="0.2">
      <c r="B100" s="335">
        <v>81641.52</v>
      </c>
      <c r="C100" s="336">
        <v>82187.839999999997</v>
      </c>
      <c r="D100" s="337" t="s">
        <v>15</v>
      </c>
      <c r="E100" s="337" t="s">
        <v>102</v>
      </c>
      <c r="F100" s="337" t="s">
        <v>107</v>
      </c>
      <c r="G100" s="47" t="str">
        <f t="shared" si="56"/>
        <v>F/C - C/B</v>
      </c>
      <c r="H100" s="26">
        <f t="shared" ref="H100:H114" si="113">IF(AND($E100=$AU$2,$F100=$AU$2),2*$AW$13,IF(OR(AND($E100=$AU$2, $F100=$AU$3),AND($E100=$AU$3,$F100=$AU$2)),$AW$13+$AW$14,IF(OR(AND($E100=$AU$2,$F100=$AU$5),AND($E100=$AU$5,$F100=$AU$2)),$AW$13,IF(OR(AND($E100=$AU$3,$F100=$AU$5),AND($E100=$AU$5,$F100=$AU$3)),$AW$14,IF(AND($E100=$AU$3,$F100=$AU$3),2*$AW$14,0)))))</f>
        <v>2</v>
      </c>
      <c r="I100" s="27">
        <f t="shared" ref="I100:I114" si="114">IF(AND($E100=$AU$2,$F100=$AU$2),2*$AZ$13*$M100/27,IF(OR(AND($E100=$AU$2,$F100=$AU$3),AND($E100=$AU$3,$F100=$AU$2)),$AZ$13*$M100/27,IF(OR(AND($E100=$AU$2,$F100=$AU$5),AND($E100=$AU$5,$F100=$AU$2)),$AZ$13*$M100/27,0)))</f>
        <v>0</v>
      </c>
      <c r="J100" s="27">
        <f t="shared" ref="J100:J114" si="115">IF(AND($E100=$AU$2,$F100=$AU$2),2*$BC$13*$M100/27,IF(OR(AND($E100=$AU$2,$F100=$AU$3),AND($E100=$AU$3,$F100=$AU$2)),($BC$13+$BC$14)*$M100/27,IF(OR(AND($E100=$AU$2,$F100=$AU$5),AND($E100=$AU$5,$F100=$AU$2)),$BC$13*$M100/27,IF(OR(AND($E100=$AU$3,$F100=$AU$5),AND($E100=$AU$5,$F100=$AU$3)),$BC$14*$M100/27,IF(AND($E100=$AU$3,$F100=$AU$3),2*$BC$14*$M100/27,0)))))</f>
        <v>19.829392592592317</v>
      </c>
      <c r="K100" s="27">
        <f t="shared" ref="K100:K114" si="116">IF(AND($E100=$AU$5,$F100=$AU$5),2*$BF$15*$M100/27,IF(OR($E100=$AU$5,$F100=$AU$5),$BF$15*$M100/27,0))</f>
        <v>-3.6421333333332826</v>
      </c>
      <c r="L100" s="338">
        <v>0</v>
      </c>
      <c r="M100" s="83">
        <f t="shared" si="57"/>
        <v>546.31999999999243</v>
      </c>
      <c r="N100" s="384">
        <v>43.42</v>
      </c>
      <c r="O100" s="385">
        <v>20</v>
      </c>
      <c r="P100" s="222">
        <f t="shared" si="78"/>
        <v>23722</v>
      </c>
      <c r="Q100" s="274">
        <f t="shared" si="58"/>
        <v>10927</v>
      </c>
      <c r="R100" s="394">
        <v>0</v>
      </c>
      <c r="S100" s="395">
        <v>0</v>
      </c>
      <c r="T100" s="221">
        <f t="shared" si="59"/>
        <v>23722</v>
      </c>
      <c r="U100" s="269">
        <f t="shared" si="59"/>
        <v>10927</v>
      </c>
      <c r="V100" s="345">
        <v>0</v>
      </c>
      <c r="W100" s="402">
        <v>0</v>
      </c>
      <c r="X100" s="403">
        <v>0</v>
      </c>
      <c r="Y100" s="410">
        <f t="shared" si="62"/>
        <v>1.3785911111111102</v>
      </c>
      <c r="Z100" s="411">
        <f t="shared" si="62"/>
        <v>0.60705555555555557</v>
      </c>
      <c r="AA100" s="398">
        <f t="shared" si="63"/>
        <v>2757.1822222222204</v>
      </c>
      <c r="AB100" s="399">
        <f t="shared" si="63"/>
        <v>1214.1111111111111</v>
      </c>
      <c r="AC100" s="398">
        <f t="shared" si="64"/>
        <v>2757.1822222222204</v>
      </c>
      <c r="AD100" s="399">
        <f t="shared" si="65"/>
        <v>1214.1111111111111</v>
      </c>
      <c r="AE100" s="398">
        <f t="shared" si="66"/>
        <v>81.888311999999942</v>
      </c>
      <c r="AF100" s="399">
        <f t="shared" si="67"/>
        <v>36.059100000000001</v>
      </c>
      <c r="AG100" s="348">
        <v>0</v>
      </c>
      <c r="AH100" s="421">
        <f t="shared" si="83"/>
        <v>841.98456790123453</v>
      </c>
      <c r="AI100" s="422">
        <f t="shared" si="68"/>
        <v>387.84104938271605</v>
      </c>
      <c r="AJ100" s="420">
        <f t="shared" si="69"/>
        <v>459.12568888888865</v>
      </c>
      <c r="AK100" s="425">
        <f t="shared" si="70"/>
        <v>202.35185185185185</v>
      </c>
      <c r="AL100" s="398">
        <f t="shared" si="84"/>
        <v>144.96777777777777</v>
      </c>
      <c r="AM100" s="399">
        <f t="shared" si="71"/>
        <v>66.776111111111106</v>
      </c>
      <c r="AN100" s="420">
        <f t="shared" si="72"/>
        <v>106.1819407407408</v>
      </c>
      <c r="AO100" s="425">
        <f t="shared" si="73"/>
        <v>50.587962962962962</v>
      </c>
      <c r="AP100" s="420">
        <f t="shared" si="74"/>
        <v>128.12808641975309</v>
      </c>
      <c r="AQ100" s="425">
        <f t="shared" si="75"/>
        <v>59.019290123456784</v>
      </c>
      <c r="AR100" s="454">
        <f t="shared" si="76"/>
        <v>0</v>
      </c>
      <c r="AS100" s="85">
        <f t="shared" si="77"/>
        <v>1092.6399999999849</v>
      </c>
    </row>
    <row r="101" spans="1:45" ht="12.75" customHeight="1" x14ac:dyDescent="0.2">
      <c r="B101" s="335">
        <v>82187.839999999997</v>
      </c>
      <c r="C101" s="336">
        <v>82642.14</v>
      </c>
      <c r="D101" s="337" t="s">
        <v>15</v>
      </c>
      <c r="E101" s="337" t="s">
        <v>101</v>
      </c>
      <c r="F101" s="337" t="s">
        <v>107</v>
      </c>
      <c r="G101" s="47" t="str">
        <f t="shared" si="56"/>
        <v>E/S - C/B</v>
      </c>
      <c r="H101" s="26">
        <f t="shared" si="113"/>
        <v>1.5</v>
      </c>
      <c r="I101" s="27">
        <f t="shared" si="114"/>
        <v>9.5907777777778378</v>
      </c>
      <c r="J101" s="27">
        <f t="shared" si="115"/>
        <v>11.273370370370444</v>
      </c>
      <c r="K101" s="27">
        <f t="shared" si="116"/>
        <v>-3.0286666666666862</v>
      </c>
      <c r="L101" s="338">
        <v>0</v>
      </c>
      <c r="M101" s="83">
        <f t="shared" si="57"/>
        <v>454.30000000000291</v>
      </c>
      <c r="N101" s="384" t="s">
        <v>97</v>
      </c>
      <c r="O101" s="385" t="s">
        <v>97</v>
      </c>
      <c r="P101" s="222">
        <f t="shared" si="78"/>
        <v>0</v>
      </c>
      <c r="Q101" s="274">
        <f t="shared" si="58"/>
        <v>0</v>
      </c>
      <c r="R101" s="394">
        <v>26525</v>
      </c>
      <c r="S101" s="395">
        <v>9086</v>
      </c>
      <c r="T101" s="221">
        <f t="shared" si="59"/>
        <v>26525</v>
      </c>
      <c r="U101" s="269">
        <f t="shared" si="59"/>
        <v>9086</v>
      </c>
      <c r="V101" s="345">
        <v>0</v>
      </c>
      <c r="W101" s="402">
        <v>0</v>
      </c>
      <c r="X101" s="403">
        <v>0</v>
      </c>
      <c r="Y101" s="410">
        <f t="shared" si="62"/>
        <v>1.5114694444444448</v>
      </c>
      <c r="Z101" s="411">
        <f t="shared" si="62"/>
        <v>0.50477777777777777</v>
      </c>
      <c r="AA101" s="398">
        <f t="shared" si="63"/>
        <v>3022.9388888888893</v>
      </c>
      <c r="AB101" s="399">
        <f t="shared" si="63"/>
        <v>1009.5555555555555</v>
      </c>
      <c r="AC101" s="398">
        <f t="shared" si="64"/>
        <v>3022.9388888888893</v>
      </c>
      <c r="AD101" s="399">
        <f t="shared" si="65"/>
        <v>1009.5555555555555</v>
      </c>
      <c r="AE101" s="398">
        <f t="shared" si="66"/>
        <v>89.781284999999997</v>
      </c>
      <c r="AF101" s="399">
        <f t="shared" si="67"/>
        <v>29.983799999999995</v>
      </c>
      <c r="AG101" s="348">
        <v>0</v>
      </c>
      <c r="AH101" s="421">
        <f t="shared" si="83"/>
        <v>951.06454320987666</v>
      </c>
      <c r="AI101" s="422">
        <f t="shared" si="68"/>
        <v>322.49691358024688</v>
      </c>
      <c r="AJ101" s="420">
        <f t="shared" si="69"/>
        <v>502.47707407407415</v>
      </c>
      <c r="AK101" s="425">
        <f t="shared" si="70"/>
        <v>168.25925925925927</v>
      </c>
      <c r="AL101" s="398">
        <f t="shared" si="84"/>
        <v>162.09722222222223</v>
      </c>
      <c r="AM101" s="399">
        <f t="shared" si="71"/>
        <v>55.525555555555556</v>
      </c>
      <c r="AN101" s="420">
        <f t="shared" si="72"/>
        <v>119.77225925925924</v>
      </c>
      <c r="AO101" s="425">
        <f t="shared" si="73"/>
        <v>42.064814814814817</v>
      </c>
      <c r="AP101" s="420">
        <f t="shared" si="74"/>
        <v>143.26774691358025</v>
      </c>
      <c r="AQ101" s="425">
        <f t="shared" si="75"/>
        <v>49.075617283950621</v>
      </c>
      <c r="AR101" s="454">
        <f t="shared" si="76"/>
        <v>16.825925925926033</v>
      </c>
      <c r="AS101" s="85">
        <f t="shared" si="77"/>
        <v>908.60000000000582</v>
      </c>
    </row>
    <row r="102" spans="1:45" ht="12.75" customHeight="1" x14ac:dyDescent="0.2">
      <c r="B102" s="335">
        <v>82642.14</v>
      </c>
      <c r="C102" s="336">
        <v>82987.839999999997</v>
      </c>
      <c r="D102" s="337" t="s">
        <v>15</v>
      </c>
      <c r="E102" s="337" t="s">
        <v>101</v>
      </c>
      <c r="F102" s="337" t="s">
        <v>107</v>
      </c>
      <c r="G102" s="47" t="str">
        <f t="shared" si="56"/>
        <v>E/S - C/B</v>
      </c>
      <c r="H102" s="26">
        <f t="shared" si="113"/>
        <v>1.5</v>
      </c>
      <c r="I102" s="27">
        <f t="shared" si="114"/>
        <v>7.2981111111110488</v>
      </c>
      <c r="J102" s="27">
        <f t="shared" si="115"/>
        <v>8.5784814814814094</v>
      </c>
      <c r="K102" s="27">
        <f t="shared" si="116"/>
        <v>-2.3046666666666473</v>
      </c>
      <c r="L102" s="338">
        <v>0</v>
      </c>
      <c r="M102" s="83">
        <f t="shared" si="57"/>
        <v>345.69999999999709</v>
      </c>
      <c r="N102" s="384">
        <v>49.42</v>
      </c>
      <c r="O102" s="385">
        <v>20</v>
      </c>
      <c r="P102" s="222">
        <f t="shared" si="78"/>
        <v>17085</v>
      </c>
      <c r="Q102" s="274">
        <f t="shared" si="58"/>
        <v>6914</v>
      </c>
      <c r="R102" s="394">
        <v>0</v>
      </c>
      <c r="S102" s="395">
        <v>0</v>
      </c>
      <c r="T102" s="221">
        <f t="shared" si="59"/>
        <v>17085</v>
      </c>
      <c r="U102" s="269">
        <f t="shared" si="59"/>
        <v>6914</v>
      </c>
      <c r="V102" s="345">
        <v>0</v>
      </c>
      <c r="W102" s="402">
        <v>0</v>
      </c>
      <c r="X102" s="403">
        <v>0</v>
      </c>
      <c r="Y102" s="410">
        <f t="shared" si="62"/>
        <v>0.97797499999999982</v>
      </c>
      <c r="Z102" s="411">
        <f t="shared" si="62"/>
        <v>0.38411111111111107</v>
      </c>
      <c r="AA102" s="398">
        <f t="shared" si="63"/>
        <v>1955.9499999999996</v>
      </c>
      <c r="AB102" s="399">
        <f t="shared" si="63"/>
        <v>768.22222222222217</v>
      </c>
      <c r="AC102" s="398">
        <f t="shared" si="64"/>
        <v>1955.9499999999996</v>
      </c>
      <c r="AD102" s="399">
        <f t="shared" si="65"/>
        <v>768.22222222222217</v>
      </c>
      <c r="AE102" s="398">
        <f t="shared" si="66"/>
        <v>58.091714999999979</v>
      </c>
      <c r="AF102" s="399">
        <f t="shared" si="67"/>
        <v>22.816199999999998</v>
      </c>
      <c r="AG102" s="348">
        <v>0</v>
      </c>
      <c r="AH102" s="421">
        <f t="shared" si="83"/>
        <v>613.71014814814816</v>
      </c>
      <c r="AI102" s="422">
        <f t="shared" si="68"/>
        <v>245.40432098765433</v>
      </c>
      <c r="AJ102" s="420">
        <f t="shared" si="69"/>
        <v>324.9673703703703</v>
      </c>
      <c r="AK102" s="425">
        <f t="shared" si="70"/>
        <v>128.03703703703704</v>
      </c>
      <c r="AL102" s="398">
        <f t="shared" si="84"/>
        <v>104.40833333333333</v>
      </c>
      <c r="AM102" s="399">
        <f t="shared" si="71"/>
        <v>42.252222222222223</v>
      </c>
      <c r="AN102" s="420">
        <f t="shared" si="72"/>
        <v>76.79255555555558</v>
      </c>
      <c r="AO102" s="425">
        <f t="shared" si="73"/>
        <v>32.00925925925926</v>
      </c>
      <c r="AP102" s="420">
        <f t="shared" si="74"/>
        <v>92.280092592592595</v>
      </c>
      <c r="AQ102" s="425">
        <f t="shared" si="75"/>
        <v>37.344135802469133</v>
      </c>
      <c r="AR102" s="454">
        <f t="shared" si="76"/>
        <v>12.803703703703595</v>
      </c>
      <c r="AS102" s="85">
        <f t="shared" si="77"/>
        <v>691.39999999999418</v>
      </c>
    </row>
    <row r="103" spans="1:45" ht="12.75" customHeight="1" x14ac:dyDescent="0.2">
      <c r="B103" s="335">
        <v>82987.839999999997</v>
      </c>
      <c r="C103" s="336">
        <v>83087.839999999997</v>
      </c>
      <c r="D103" s="337" t="s">
        <v>15</v>
      </c>
      <c r="E103" s="337" t="s">
        <v>101</v>
      </c>
      <c r="F103" s="337" t="s">
        <v>107</v>
      </c>
      <c r="G103" s="47" t="str">
        <f t="shared" si="56"/>
        <v>E/S - C/B</v>
      </c>
      <c r="H103" s="26">
        <f t="shared" si="113"/>
        <v>1.5</v>
      </c>
      <c r="I103" s="27">
        <f t="shared" si="114"/>
        <v>2.1111111111111107</v>
      </c>
      <c r="J103" s="27">
        <f t="shared" si="115"/>
        <v>2.4814814814814814</v>
      </c>
      <c r="K103" s="27">
        <f t="shared" si="116"/>
        <v>-0.66666666666666663</v>
      </c>
      <c r="L103" s="338">
        <v>0</v>
      </c>
      <c r="M103" s="83">
        <f t="shared" si="57"/>
        <v>100</v>
      </c>
      <c r="N103" s="384">
        <v>45.42</v>
      </c>
      <c r="O103" s="385">
        <v>20</v>
      </c>
      <c r="P103" s="222">
        <f t="shared" si="78"/>
        <v>4542</v>
      </c>
      <c r="Q103" s="274">
        <f t="shared" si="58"/>
        <v>2000</v>
      </c>
      <c r="R103" s="394">
        <v>0</v>
      </c>
      <c r="S103" s="395">
        <v>0</v>
      </c>
      <c r="T103" s="221">
        <f t="shared" si="59"/>
        <v>4542</v>
      </c>
      <c r="U103" s="269">
        <f t="shared" si="59"/>
        <v>2000</v>
      </c>
      <c r="V103" s="345">
        <v>0</v>
      </c>
      <c r="W103" s="402">
        <v>0</v>
      </c>
      <c r="X103" s="403">
        <v>0</v>
      </c>
      <c r="Y103" s="410">
        <f t="shared" si="62"/>
        <v>0.26066666666666671</v>
      </c>
      <c r="Z103" s="411">
        <f t="shared" si="62"/>
        <v>0.11111111111111112</v>
      </c>
      <c r="AA103" s="398">
        <f t="shared" si="63"/>
        <v>521.33333333333337</v>
      </c>
      <c r="AB103" s="399">
        <f t="shared" si="63"/>
        <v>222.22222222222223</v>
      </c>
      <c r="AC103" s="398">
        <f t="shared" si="64"/>
        <v>521.33333333333337</v>
      </c>
      <c r="AD103" s="399">
        <f t="shared" si="65"/>
        <v>222.22222222222223</v>
      </c>
      <c r="AE103" s="398">
        <f t="shared" si="66"/>
        <v>15.483599999999999</v>
      </c>
      <c r="AF103" s="399">
        <f t="shared" si="67"/>
        <v>6.6</v>
      </c>
      <c r="AG103" s="348">
        <v>0</v>
      </c>
      <c r="AH103" s="421">
        <f t="shared" si="83"/>
        <v>163.32407407407408</v>
      </c>
      <c r="AI103" s="422">
        <f t="shared" si="68"/>
        <v>70.987654320987659</v>
      </c>
      <c r="AJ103" s="420">
        <f t="shared" si="69"/>
        <v>86.592592592592595</v>
      </c>
      <c r="AK103" s="425">
        <f t="shared" si="70"/>
        <v>37.037037037037038</v>
      </c>
      <c r="AL103" s="398">
        <f t="shared" si="84"/>
        <v>27.756666666666668</v>
      </c>
      <c r="AM103" s="399">
        <f t="shared" si="71"/>
        <v>12.222222222222223</v>
      </c>
      <c r="AN103" s="420">
        <f t="shared" si="72"/>
        <v>20.361111111111111</v>
      </c>
      <c r="AO103" s="425">
        <f t="shared" si="73"/>
        <v>9.2592592592592595</v>
      </c>
      <c r="AP103" s="420">
        <f t="shared" si="74"/>
        <v>24.532407407407408</v>
      </c>
      <c r="AQ103" s="425">
        <f t="shared" si="75"/>
        <v>10.80246913580247</v>
      </c>
      <c r="AR103" s="454">
        <f t="shared" si="76"/>
        <v>3.7037037037037037</v>
      </c>
      <c r="AS103" s="85">
        <f t="shared" si="77"/>
        <v>200</v>
      </c>
    </row>
    <row r="104" spans="1:45" ht="12.75" customHeight="1" x14ac:dyDescent="0.2">
      <c r="B104" s="335">
        <v>83087.839999999997</v>
      </c>
      <c r="C104" s="336">
        <v>84207.01</v>
      </c>
      <c r="D104" s="337" t="s">
        <v>15</v>
      </c>
      <c r="E104" s="337" t="s">
        <v>101</v>
      </c>
      <c r="F104" s="337" t="s">
        <v>107</v>
      </c>
      <c r="G104" s="47" t="str">
        <f t="shared" si="56"/>
        <v>E/S - C/B</v>
      </c>
      <c r="H104" s="26">
        <f t="shared" si="113"/>
        <v>1.5</v>
      </c>
      <c r="I104" s="27">
        <f t="shared" si="114"/>
        <v>23.626922222222181</v>
      </c>
      <c r="J104" s="27">
        <f t="shared" si="115"/>
        <v>27.771996296296251</v>
      </c>
      <c r="K104" s="27">
        <f t="shared" si="116"/>
        <v>-7.4611333333333212</v>
      </c>
      <c r="L104" s="338">
        <v>0</v>
      </c>
      <c r="M104" s="83">
        <f t="shared" si="57"/>
        <v>1119.1699999999983</v>
      </c>
      <c r="N104" s="384">
        <v>41.42</v>
      </c>
      <c r="O104" s="385">
        <v>20</v>
      </c>
      <c r="P104" s="222">
        <f t="shared" si="78"/>
        <v>46357</v>
      </c>
      <c r="Q104" s="274">
        <f t="shared" si="58"/>
        <v>22384</v>
      </c>
      <c r="R104" s="394">
        <v>0</v>
      </c>
      <c r="S104" s="395">
        <v>0</v>
      </c>
      <c r="T104" s="221">
        <f t="shared" si="59"/>
        <v>46357</v>
      </c>
      <c r="U104" s="269">
        <f t="shared" si="59"/>
        <v>22384</v>
      </c>
      <c r="V104" s="345">
        <v>0</v>
      </c>
      <c r="W104" s="402">
        <v>0</v>
      </c>
      <c r="X104" s="403">
        <v>0</v>
      </c>
      <c r="Y104" s="410">
        <f t="shared" si="62"/>
        <v>2.6686530555555557</v>
      </c>
      <c r="Z104" s="411">
        <f t="shared" si="62"/>
        <v>1.2435555555555557</v>
      </c>
      <c r="AA104" s="398">
        <f t="shared" si="63"/>
        <v>5337.306111111111</v>
      </c>
      <c r="AB104" s="399">
        <f t="shared" si="63"/>
        <v>2487.1111111111113</v>
      </c>
      <c r="AC104" s="398">
        <f t="shared" si="64"/>
        <v>5337.306111111111</v>
      </c>
      <c r="AD104" s="399">
        <f t="shared" si="65"/>
        <v>2487.1111111111113</v>
      </c>
      <c r="AE104" s="398">
        <f t="shared" si="66"/>
        <v>158.51799149999999</v>
      </c>
      <c r="AF104" s="399">
        <f t="shared" si="67"/>
        <v>73.867200000000011</v>
      </c>
      <c r="AG104" s="348">
        <v>0</v>
      </c>
      <c r="AH104" s="421">
        <f t="shared" si="83"/>
        <v>1669.0142679012347</v>
      </c>
      <c r="AI104" s="422">
        <f t="shared" si="68"/>
        <v>794.49382716049377</v>
      </c>
      <c r="AJ104" s="420">
        <f t="shared" si="69"/>
        <v>886.2349592592592</v>
      </c>
      <c r="AK104" s="425">
        <f t="shared" si="70"/>
        <v>414.51851851851853</v>
      </c>
      <c r="AL104" s="398">
        <f t="shared" si="84"/>
        <v>283.29277777777776</v>
      </c>
      <c r="AM104" s="399">
        <f t="shared" si="71"/>
        <v>136.79111111111112</v>
      </c>
      <c r="AN104" s="420">
        <f t="shared" si="72"/>
        <v>207.15460740740741</v>
      </c>
      <c r="AO104" s="425">
        <f t="shared" si="73"/>
        <v>103.62962962962963</v>
      </c>
      <c r="AP104" s="420">
        <f t="shared" si="74"/>
        <v>250.38503086419752</v>
      </c>
      <c r="AQ104" s="425">
        <f t="shared" si="75"/>
        <v>120.90123456790124</v>
      </c>
      <c r="AR104" s="454">
        <f t="shared" si="76"/>
        <v>41.450740740740677</v>
      </c>
      <c r="AS104" s="85">
        <f t="shared" si="77"/>
        <v>2238.3399999999965</v>
      </c>
    </row>
    <row r="105" spans="1:45" ht="12.75" customHeight="1" x14ac:dyDescent="0.2">
      <c r="B105" s="335">
        <v>84207.01</v>
      </c>
      <c r="C105" s="336">
        <v>85257.01</v>
      </c>
      <c r="D105" s="337" t="s">
        <v>15</v>
      </c>
      <c r="E105" s="337" t="s">
        <v>101</v>
      </c>
      <c r="F105" s="337" t="s">
        <v>107</v>
      </c>
      <c r="G105" s="47" t="str">
        <f t="shared" si="56"/>
        <v>E/S - C/B</v>
      </c>
      <c r="H105" s="26">
        <f t="shared" si="113"/>
        <v>1.5</v>
      </c>
      <c r="I105" s="27">
        <f t="shared" si="114"/>
        <v>22.166666666666668</v>
      </c>
      <c r="J105" s="27">
        <f t="shared" si="115"/>
        <v>26.055555555555557</v>
      </c>
      <c r="K105" s="27">
        <f t="shared" si="116"/>
        <v>-7</v>
      </c>
      <c r="L105" s="338">
        <v>0</v>
      </c>
      <c r="M105" s="83">
        <f t="shared" si="57"/>
        <v>1050</v>
      </c>
      <c r="N105" s="384">
        <v>51.92</v>
      </c>
      <c r="O105" s="385">
        <v>20</v>
      </c>
      <c r="P105" s="222">
        <f t="shared" si="78"/>
        <v>54516</v>
      </c>
      <c r="Q105" s="274">
        <f t="shared" si="58"/>
        <v>21000</v>
      </c>
      <c r="R105" s="394">
        <v>0</v>
      </c>
      <c r="S105" s="395">
        <v>0</v>
      </c>
      <c r="T105" s="221">
        <f t="shared" si="59"/>
        <v>54516</v>
      </c>
      <c r="U105" s="269">
        <f t="shared" si="59"/>
        <v>21000</v>
      </c>
      <c r="V105" s="345">
        <v>0</v>
      </c>
      <c r="W105" s="402">
        <v>0</v>
      </c>
      <c r="X105" s="403">
        <v>0</v>
      </c>
      <c r="Y105" s="410">
        <f t="shared" si="62"/>
        <v>3.1161666666666665</v>
      </c>
      <c r="Z105" s="411">
        <f t="shared" si="62"/>
        <v>1.1666666666666667</v>
      </c>
      <c r="AA105" s="398">
        <f t="shared" si="63"/>
        <v>6232.333333333333</v>
      </c>
      <c r="AB105" s="399">
        <f t="shared" si="63"/>
        <v>2333.3333333333335</v>
      </c>
      <c r="AC105" s="398">
        <f t="shared" si="64"/>
        <v>6232.333333333333</v>
      </c>
      <c r="AD105" s="399">
        <f t="shared" si="65"/>
        <v>2333.3333333333335</v>
      </c>
      <c r="AE105" s="398">
        <f t="shared" si="66"/>
        <v>185.10029999999998</v>
      </c>
      <c r="AF105" s="399">
        <f t="shared" si="67"/>
        <v>69.3</v>
      </c>
      <c r="AG105" s="348">
        <v>0</v>
      </c>
      <c r="AH105" s="421">
        <f t="shared" si="83"/>
        <v>1957.1481481481483</v>
      </c>
      <c r="AI105" s="422">
        <f t="shared" si="68"/>
        <v>745.37037037037032</v>
      </c>
      <c r="AJ105" s="420">
        <f t="shared" si="69"/>
        <v>1035.6111111111111</v>
      </c>
      <c r="AK105" s="425">
        <f t="shared" si="70"/>
        <v>388.88888888888891</v>
      </c>
      <c r="AL105" s="398">
        <f t="shared" si="84"/>
        <v>333.15333333333331</v>
      </c>
      <c r="AM105" s="399">
        <f t="shared" si="71"/>
        <v>128.33333333333334</v>
      </c>
      <c r="AN105" s="420">
        <f t="shared" si="72"/>
        <v>245.38888888888889</v>
      </c>
      <c r="AO105" s="425">
        <f t="shared" si="73"/>
        <v>97.222222222222229</v>
      </c>
      <c r="AP105" s="420">
        <f t="shared" si="74"/>
        <v>294.4537037037037</v>
      </c>
      <c r="AQ105" s="425">
        <f t="shared" si="75"/>
        <v>113.42592592592592</v>
      </c>
      <c r="AR105" s="454">
        <f t="shared" si="76"/>
        <v>38.888888888888886</v>
      </c>
      <c r="AS105" s="85">
        <f t="shared" si="77"/>
        <v>2100</v>
      </c>
    </row>
    <row r="106" spans="1:45" ht="12.75" customHeight="1" x14ac:dyDescent="0.2">
      <c r="B106" s="335">
        <v>85257.01</v>
      </c>
      <c r="C106" s="336">
        <v>85535.87</v>
      </c>
      <c r="D106" s="337" t="s">
        <v>15</v>
      </c>
      <c r="E106" s="337" t="s">
        <v>101</v>
      </c>
      <c r="F106" s="337" t="s">
        <v>107</v>
      </c>
      <c r="G106" s="47" t="str">
        <f t="shared" si="56"/>
        <v>E/S - C/B</v>
      </c>
      <c r="H106" s="26">
        <f t="shared" si="113"/>
        <v>1.5</v>
      </c>
      <c r="I106" s="27">
        <f t="shared" si="114"/>
        <v>5.8870444444444558</v>
      </c>
      <c r="J106" s="27">
        <f t="shared" si="115"/>
        <v>6.9198592592592734</v>
      </c>
      <c r="K106" s="27">
        <f t="shared" si="116"/>
        <v>-1.8590666666666704</v>
      </c>
      <c r="L106" s="338">
        <v>0</v>
      </c>
      <c r="M106" s="83">
        <f t="shared" si="57"/>
        <v>278.86000000000058</v>
      </c>
      <c r="N106" s="384" t="s">
        <v>97</v>
      </c>
      <c r="O106" s="385" t="s">
        <v>97</v>
      </c>
      <c r="P106" s="222">
        <f t="shared" si="78"/>
        <v>0</v>
      </c>
      <c r="Q106" s="274">
        <f t="shared" si="58"/>
        <v>0</v>
      </c>
      <c r="R106" s="394">
        <v>18269</v>
      </c>
      <c r="S106" s="395">
        <v>5577</v>
      </c>
      <c r="T106" s="221">
        <f t="shared" si="59"/>
        <v>18269</v>
      </c>
      <c r="U106" s="269">
        <f t="shared" si="59"/>
        <v>5577</v>
      </c>
      <c r="V106" s="345">
        <v>0</v>
      </c>
      <c r="W106" s="402">
        <v>0</v>
      </c>
      <c r="X106" s="403">
        <v>0</v>
      </c>
      <c r="Y106" s="410">
        <f t="shared" si="62"/>
        <v>1.0381827777777779</v>
      </c>
      <c r="Z106" s="411">
        <f t="shared" si="62"/>
        <v>0.30983333333333329</v>
      </c>
      <c r="AA106" s="398">
        <f t="shared" si="63"/>
        <v>2076.3655555555556</v>
      </c>
      <c r="AB106" s="399">
        <f t="shared" si="63"/>
        <v>619.66666666666663</v>
      </c>
      <c r="AC106" s="398">
        <f t="shared" si="64"/>
        <v>2076.3655555555556</v>
      </c>
      <c r="AD106" s="399">
        <f t="shared" si="65"/>
        <v>619.66666666666663</v>
      </c>
      <c r="AE106" s="398">
        <f t="shared" si="66"/>
        <v>61.668056999999983</v>
      </c>
      <c r="AF106" s="399">
        <f t="shared" si="67"/>
        <v>18.4041</v>
      </c>
      <c r="AG106" s="348">
        <v>0</v>
      </c>
      <c r="AH106" s="421">
        <f t="shared" si="83"/>
        <v>654.3237728395062</v>
      </c>
      <c r="AI106" s="422">
        <f t="shared" si="68"/>
        <v>197.94907407407408</v>
      </c>
      <c r="AJ106" s="420">
        <f t="shared" si="69"/>
        <v>345.23467407407412</v>
      </c>
      <c r="AK106" s="425">
        <f t="shared" si="70"/>
        <v>103.27777777777777</v>
      </c>
      <c r="AL106" s="398">
        <f t="shared" si="84"/>
        <v>111.6438888888889</v>
      </c>
      <c r="AM106" s="399">
        <f t="shared" si="71"/>
        <v>34.081666666666663</v>
      </c>
      <c r="AN106" s="420">
        <f t="shared" si="72"/>
        <v>82.719637037037046</v>
      </c>
      <c r="AO106" s="425">
        <f t="shared" si="73"/>
        <v>25.819444444444443</v>
      </c>
      <c r="AP106" s="420">
        <f t="shared" si="74"/>
        <v>98.675154320987644</v>
      </c>
      <c r="AQ106" s="425">
        <f t="shared" si="75"/>
        <v>30.122685185185187</v>
      </c>
      <c r="AR106" s="454">
        <f t="shared" si="76"/>
        <v>10.32814814814817</v>
      </c>
      <c r="AS106" s="85">
        <f t="shared" si="77"/>
        <v>557.72000000000116</v>
      </c>
    </row>
    <row r="107" spans="1:45" ht="12.75" customHeight="1" x14ac:dyDescent="0.2">
      <c r="B107" s="335">
        <v>85535.87</v>
      </c>
      <c r="C107" s="336">
        <v>86875.27</v>
      </c>
      <c r="D107" s="337" t="s">
        <v>15</v>
      </c>
      <c r="E107" s="337" t="s">
        <v>101</v>
      </c>
      <c r="F107" s="337" t="s">
        <v>107</v>
      </c>
      <c r="G107" s="47" t="str">
        <f t="shared" si="56"/>
        <v>E/S - C/B</v>
      </c>
      <c r="H107" s="26">
        <f t="shared" si="113"/>
        <v>1.5</v>
      </c>
      <c r="I107" s="27">
        <f t="shared" si="114"/>
        <v>28.276222222222401</v>
      </c>
      <c r="J107" s="27">
        <f t="shared" si="115"/>
        <v>33.236962962963183</v>
      </c>
      <c r="K107" s="27">
        <f t="shared" si="116"/>
        <v>-8.9293333333333909</v>
      </c>
      <c r="L107" s="338">
        <v>0</v>
      </c>
      <c r="M107" s="83">
        <f t="shared" si="57"/>
        <v>1339.4000000000087</v>
      </c>
      <c r="N107" s="384">
        <v>41.42</v>
      </c>
      <c r="O107" s="385">
        <v>20</v>
      </c>
      <c r="P107" s="222">
        <f t="shared" si="78"/>
        <v>55478</v>
      </c>
      <c r="Q107" s="274">
        <f t="shared" si="58"/>
        <v>26789</v>
      </c>
      <c r="R107" s="394">
        <v>0</v>
      </c>
      <c r="S107" s="395">
        <v>0</v>
      </c>
      <c r="T107" s="221">
        <f t="shared" si="59"/>
        <v>55478</v>
      </c>
      <c r="U107" s="269">
        <f t="shared" si="59"/>
        <v>26789</v>
      </c>
      <c r="V107" s="345">
        <v>0</v>
      </c>
      <c r="W107" s="402">
        <v>0</v>
      </c>
      <c r="X107" s="403">
        <v>0</v>
      </c>
      <c r="Y107" s="410">
        <f t="shared" si="62"/>
        <v>3.1937277777777786</v>
      </c>
      <c r="Z107" s="411">
        <f t="shared" si="62"/>
        <v>1.4882777777777778</v>
      </c>
      <c r="AA107" s="398">
        <f t="shared" si="63"/>
        <v>6387.4555555555571</v>
      </c>
      <c r="AB107" s="399">
        <f t="shared" si="63"/>
        <v>2976.5555555555557</v>
      </c>
      <c r="AC107" s="398">
        <f t="shared" si="64"/>
        <v>6387.4555555555571</v>
      </c>
      <c r="AD107" s="399">
        <f t="shared" si="65"/>
        <v>2976.5555555555557</v>
      </c>
      <c r="AE107" s="398">
        <f t="shared" si="66"/>
        <v>189.70743000000004</v>
      </c>
      <c r="AF107" s="399">
        <f t="shared" si="67"/>
        <v>88.403700000000015</v>
      </c>
      <c r="AG107" s="348">
        <v>0</v>
      </c>
      <c r="AH107" s="421">
        <f t="shared" si="83"/>
        <v>1997.4027654320989</v>
      </c>
      <c r="AI107" s="422">
        <f t="shared" si="68"/>
        <v>950.84413580246917</v>
      </c>
      <c r="AJ107" s="420">
        <f t="shared" si="69"/>
        <v>1060.6073333333336</v>
      </c>
      <c r="AK107" s="425">
        <f t="shared" si="70"/>
        <v>496.09259259259261</v>
      </c>
      <c r="AL107" s="398">
        <f t="shared" si="84"/>
        <v>339.03222222222223</v>
      </c>
      <c r="AM107" s="399">
        <f t="shared" si="71"/>
        <v>163.71055555555557</v>
      </c>
      <c r="AN107" s="420">
        <f t="shared" si="72"/>
        <v>247.91325925925921</v>
      </c>
      <c r="AO107" s="425">
        <f t="shared" si="73"/>
        <v>124.02314814814815</v>
      </c>
      <c r="AP107" s="420">
        <f t="shared" si="74"/>
        <v>299.64969135802471</v>
      </c>
      <c r="AQ107" s="425">
        <f t="shared" si="75"/>
        <v>144.69367283950618</v>
      </c>
      <c r="AR107" s="454">
        <f t="shared" si="76"/>
        <v>49.607407407407727</v>
      </c>
      <c r="AS107" s="85">
        <f t="shared" si="77"/>
        <v>2678.8000000000175</v>
      </c>
    </row>
    <row r="108" spans="1:45" ht="12.75" customHeight="1" x14ac:dyDescent="0.2">
      <c r="B108" s="335">
        <v>86875.27</v>
      </c>
      <c r="C108" s="336">
        <v>87200.34</v>
      </c>
      <c r="D108" s="337" t="s">
        <v>15</v>
      </c>
      <c r="E108" s="337" t="s">
        <v>101</v>
      </c>
      <c r="F108" s="337" t="s">
        <v>107</v>
      </c>
      <c r="G108" s="47" t="str">
        <f t="shared" ref="G108:G134" si="117">IF(AND($E108=$AU$2,$F108=$AU$2),$AW$2,IF(OR(AND($E108=$AU$2,$F108=$AU$3),AND($E108=$AU$3,$F108=$AU$2)),$AW$3,IF(OR(AND($E108=$AU$2,$F108=$AU$5),AND($E108=$AU$5,$F108=$AU$2)),$AW$5,IF(OR(AND($E108=$AU$3,$F108=$AU$5),AND($E108=$AU$5,$F108=$AU$3)),$AW$6,IF(AND($E108=$AU$3,$F108=$AU$3),$AW$7,IF(AND($E108=$AU$5,$F108=$AU$5),$AW$8,"-"))))))</f>
        <v>E/S - C/B</v>
      </c>
      <c r="H108" s="26">
        <f t="shared" si="113"/>
        <v>1.5</v>
      </c>
      <c r="I108" s="27">
        <f t="shared" si="114"/>
        <v>6.8625888888887285</v>
      </c>
      <c r="J108" s="27">
        <f t="shared" si="115"/>
        <v>8.0665518518516635</v>
      </c>
      <c r="K108" s="27">
        <f t="shared" si="116"/>
        <v>-2.167133333333283</v>
      </c>
      <c r="L108" s="338">
        <v>0</v>
      </c>
      <c r="M108" s="83">
        <f t="shared" si="57"/>
        <v>325.06999999999243</v>
      </c>
      <c r="N108" s="384" t="s">
        <v>97</v>
      </c>
      <c r="O108" s="385" t="s">
        <v>97</v>
      </c>
      <c r="P108" s="222">
        <f t="shared" si="78"/>
        <v>0</v>
      </c>
      <c r="Q108" s="274">
        <f t="shared" si="58"/>
        <v>0</v>
      </c>
      <c r="R108" s="394">
        <v>20246</v>
      </c>
      <c r="S108" s="395">
        <v>6501</v>
      </c>
      <c r="T108" s="221">
        <f t="shared" si="59"/>
        <v>20246</v>
      </c>
      <c r="U108" s="269">
        <f t="shared" si="59"/>
        <v>6501</v>
      </c>
      <c r="V108" s="345">
        <v>0</v>
      </c>
      <c r="W108" s="402">
        <v>0</v>
      </c>
      <c r="X108" s="403">
        <v>0</v>
      </c>
      <c r="Y108" s="410">
        <f t="shared" si="62"/>
        <v>1.1518669444444438</v>
      </c>
      <c r="Z108" s="411">
        <f t="shared" si="62"/>
        <v>0.36116666666666669</v>
      </c>
      <c r="AA108" s="398">
        <f t="shared" si="63"/>
        <v>2303.7338888888876</v>
      </c>
      <c r="AB108" s="399">
        <f t="shared" si="63"/>
        <v>722.33333333333337</v>
      </c>
      <c r="AC108" s="398">
        <f t="shared" si="64"/>
        <v>2303.7338888888876</v>
      </c>
      <c r="AD108" s="399">
        <f t="shared" si="65"/>
        <v>722.33333333333337</v>
      </c>
      <c r="AE108" s="398">
        <f t="shared" si="66"/>
        <v>68.420896499999941</v>
      </c>
      <c r="AF108" s="399">
        <f t="shared" si="67"/>
        <v>21.453299999999999</v>
      </c>
      <c r="AG108" s="348">
        <v>0</v>
      </c>
      <c r="AH108" s="421">
        <f t="shared" si="83"/>
        <v>725.47061358024678</v>
      </c>
      <c r="AI108" s="422">
        <f t="shared" si="68"/>
        <v>230.74537037037038</v>
      </c>
      <c r="AJ108" s="420">
        <f t="shared" si="69"/>
        <v>382.99247777777759</v>
      </c>
      <c r="AK108" s="425">
        <f t="shared" si="70"/>
        <v>120.38888888888889</v>
      </c>
      <c r="AL108" s="398">
        <f t="shared" si="84"/>
        <v>123.72555555555556</v>
      </c>
      <c r="AM108" s="399">
        <f t="shared" si="71"/>
        <v>39.728333333333339</v>
      </c>
      <c r="AN108" s="420">
        <f t="shared" si="72"/>
        <v>91.564348148148198</v>
      </c>
      <c r="AO108" s="425">
        <f t="shared" si="73"/>
        <v>30.097222222222221</v>
      </c>
      <c r="AP108" s="420">
        <f t="shared" si="74"/>
        <v>109.35339506172839</v>
      </c>
      <c r="AQ108" s="425">
        <f t="shared" si="75"/>
        <v>35.113425925925924</v>
      </c>
      <c r="AR108" s="454">
        <f t="shared" si="76"/>
        <v>12.039629629629349</v>
      </c>
      <c r="AS108" s="85">
        <f t="shared" si="77"/>
        <v>650.13999999998487</v>
      </c>
    </row>
    <row r="109" spans="1:45" ht="12.75" customHeight="1" x14ac:dyDescent="0.2">
      <c r="B109" s="335">
        <v>87200.34</v>
      </c>
      <c r="C109" s="336">
        <v>87372.92</v>
      </c>
      <c r="D109" s="337" t="s">
        <v>15</v>
      </c>
      <c r="E109" s="337" t="s">
        <v>102</v>
      </c>
      <c r="F109" s="337" t="s">
        <v>107</v>
      </c>
      <c r="G109" s="47" t="str">
        <f t="shared" si="117"/>
        <v>F/C - C/B</v>
      </c>
      <c r="H109" s="26">
        <f t="shared" si="113"/>
        <v>2</v>
      </c>
      <c r="I109" s="27">
        <f t="shared" si="114"/>
        <v>0</v>
      </c>
      <c r="J109" s="27">
        <f t="shared" si="115"/>
        <v>6.2640148148148782</v>
      </c>
      <c r="K109" s="27">
        <f t="shared" si="116"/>
        <v>-1.150533333333345</v>
      </c>
      <c r="L109" s="338">
        <v>0</v>
      </c>
      <c r="M109" s="83">
        <f t="shared" si="57"/>
        <v>172.58000000000175</v>
      </c>
      <c r="N109" s="384" t="s">
        <v>97</v>
      </c>
      <c r="O109" s="385" t="s">
        <v>97</v>
      </c>
      <c r="P109" s="222">
        <f t="shared" si="78"/>
        <v>0</v>
      </c>
      <c r="Q109" s="274">
        <f t="shared" si="58"/>
        <v>0</v>
      </c>
      <c r="R109" s="394">
        <v>9158</v>
      </c>
      <c r="S109" s="395">
        <v>3452</v>
      </c>
      <c r="T109" s="221">
        <f t="shared" si="59"/>
        <v>9158</v>
      </c>
      <c r="U109" s="269">
        <f t="shared" si="59"/>
        <v>3452</v>
      </c>
      <c r="V109" s="345">
        <v>0</v>
      </c>
      <c r="W109" s="402">
        <v>0</v>
      </c>
      <c r="X109" s="403">
        <v>0</v>
      </c>
      <c r="Y109" s="410">
        <f t="shared" si="62"/>
        <v>0.5279533333333335</v>
      </c>
      <c r="Z109" s="411">
        <f t="shared" si="62"/>
        <v>0.19177777777777777</v>
      </c>
      <c r="AA109" s="398">
        <f t="shared" si="63"/>
        <v>1055.906666666667</v>
      </c>
      <c r="AB109" s="399">
        <f t="shared" si="63"/>
        <v>383.55555555555554</v>
      </c>
      <c r="AC109" s="398">
        <f t="shared" ref="AC109:AC134" si="118">IF(OR($A109="APP SLAB",W109&lt;&gt;0),0,(T109+$H109*$M109)/9)</f>
        <v>1055.906666666667</v>
      </c>
      <c r="AD109" s="399">
        <f t="shared" ref="AD109:AD134" si="119">IF(OR($A109="APP SLAB",X109&lt;&gt;0),0,U109/9)</f>
        <v>383.55555555555554</v>
      </c>
      <c r="AE109" s="398">
        <f t="shared" ref="AE109:AE134" si="120">IF(OR($A109="APP SLAB",W109&lt;&gt;0),0,$AC$1*AC109*110*0.06*0.75/2000)</f>
        <v>31.360428000000013</v>
      </c>
      <c r="AF109" s="399">
        <f t="shared" ref="AF109:AF134" si="121">IF(OR($A109="APP SLAB",X109&lt;&gt;0),0,$AC$1*AD109*110*0.06*0.75/2000)</f>
        <v>11.391599999999999</v>
      </c>
      <c r="AG109" s="348">
        <v>0</v>
      </c>
      <c r="AH109" s="421">
        <f t="shared" si="83"/>
        <v>325.05246913580243</v>
      </c>
      <c r="AI109" s="422">
        <f t="shared" ref="AI109:AI134" si="122">IF($A109="APP SLAB",0,(U109*$AH$1/12)/27)</f>
        <v>122.52469135802468</v>
      </c>
      <c r="AJ109" s="420">
        <f t="shared" ref="AJ109:AJ134" si="123">(T109*$AJ$1/12)/27+J109</f>
        <v>175.85660740740747</v>
      </c>
      <c r="AK109" s="425">
        <f t="shared" ref="AK109:AK134" si="124">(U109*$AJ$1/12)/27</f>
        <v>63.925925925925924</v>
      </c>
      <c r="AL109" s="398">
        <f t="shared" si="84"/>
        <v>55.965555555555554</v>
      </c>
      <c r="AM109" s="399">
        <f t="shared" ref="AM109:AM134" si="125">IF($A109="APP SLAB",0,(U109/9)*$AL$1)</f>
        <v>21.095555555555556</v>
      </c>
      <c r="AN109" s="420">
        <f t="shared" ref="AN109:AN134" si="126">IF(A109="APP SLAB",0,(T109*($AN$1/12))/27+K109)</f>
        <v>41.247614814814803</v>
      </c>
      <c r="AO109" s="425">
        <f t="shared" ref="AO109:AO134" si="127">IF($A109="APP SLAB",0,(U109*($AN$1/12))/27)</f>
        <v>15.981481481481481</v>
      </c>
      <c r="AP109" s="420">
        <f t="shared" ref="AP109:AP134" si="128">IF(A109="APP SLAB",0,(T109*$AP$1/12)/27+L109)</f>
        <v>49.464506172839506</v>
      </c>
      <c r="AQ109" s="425">
        <f t="shared" ref="AQ109:AQ134" si="129">IF($A109="APP SLAB",0,(U109*$AP$1/12)/27)</f>
        <v>18.645061728395063</v>
      </c>
      <c r="AR109" s="454">
        <f t="shared" si="76"/>
        <v>0</v>
      </c>
      <c r="AS109" s="85">
        <f t="shared" ref="AS109:AS134" si="130">IF(A109="APP SLAB",0,(M109*2))</f>
        <v>345.16000000000349</v>
      </c>
    </row>
    <row r="110" spans="1:45" ht="12.75" customHeight="1" x14ac:dyDescent="0.2">
      <c r="B110" s="335">
        <v>87372.92</v>
      </c>
      <c r="C110" s="336">
        <v>87675.37</v>
      </c>
      <c r="D110" s="337" t="s">
        <v>15</v>
      </c>
      <c r="E110" s="337" t="s">
        <v>102</v>
      </c>
      <c r="F110" s="337" t="s">
        <v>107</v>
      </c>
      <c r="G110" s="47" t="str">
        <f t="shared" si="117"/>
        <v>F/C - C/B</v>
      </c>
      <c r="H110" s="26">
        <f t="shared" si="113"/>
        <v>2</v>
      </c>
      <c r="I110" s="27">
        <f t="shared" si="114"/>
        <v>0</v>
      </c>
      <c r="J110" s="27">
        <f t="shared" si="115"/>
        <v>10.97781481481471</v>
      </c>
      <c r="K110" s="27">
        <f t="shared" si="116"/>
        <v>-2.0163333333333138</v>
      </c>
      <c r="L110" s="338">
        <v>0</v>
      </c>
      <c r="M110" s="83">
        <f t="shared" si="57"/>
        <v>302.44999999999709</v>
      </c>
      <c r="N110" s="384">
        <v>51.42</v>
      </c>
      <c r="O110" s="385">
        <v>20</v>
      </c>
      <c r="P110" s="222">
        <f t="shared" si="78"/>
        <v>15552</v>
      </c>
      <c r="Q110" s="274">
        <f t="shared" si="58"/>
        <v>6049</v>
      </c>
      <c r="R110" s="394">
        <v>0</v>
      </c>
      <c r="S110" s="395">
        <v>0</v>
      </c>
      <c r="T110" s="221">
        <f t="shared" si="59"/>
        <v>15552</v>
      </c>
      <c r="U110" s="269">
        <f t="shared" si="59"/>
        <v>6049</v>
      </c>
      <c r="V110" s="345">
        <v>0</v>
      </c>
      <c r="W110" s="402">
        <v>0</v>
      </c>
      <c r="X110" s="403">
        <v>0</v>
      </c>
      <c r="Y110" s="410">
        <f t="shared" si="62"/>
        <v>0.89760555555555532</v>
      </c>
      <c r="Z110" s="411">
        <f t="shared" si="62"/>
        <v>0.33605555555555555</v>
      </c>
      <c r="AA110" s="398">
        <f t="shared" si="63"/>
        <v>1795.2111111111105</v>
      </c>
      <c r="AB110" s="399">
        <f t="shared" si="63"/>
        <v>672.11111111111109</v>
      </c>
      <c r="AC110" s="398">
        <f t="shared" si="118"/>
        <v>1795.2111111111105</v>
      </c>
      <c r="AD110" s="399">
        <f t="shared" si="119"/>
        <v>672.11111111111109</v>
      </c>
      <c r="AE110" s="398">
        <f t="shared" si="120"/>
        <v>53.317769999999975</v>
      </c>
      <c r="AF110" s="399">
        <f t="shared" si="121"/>
        <v>19.961699999999997</v>
      </c>
      <c r="AG110" s="348">
        <v>0</v>
      </c>
      <c r="AH110" s="421">
        <f t="shared" si="83"/>
        <v>552</v>
      </c>
      <c r="AI110" s="422">
        <f t="shared" si="122"/>
        <v>214.70216049382714</v>
      </c>
      <c r="AJ110" s="420">
        <f t="shared" si="123"/>
        <v>298.97781481481474</v>
      </c>
      <c r="AK110" s="425">
        <f t="shared" si="124"/>
        <v>112.01851851851852</v>
      </c>
      <c r="AL110" s="398">
        <f t="shared" si="84"/>
        <v>95.04</v>
      </c>
      <c r="AM110" s="399">
        <f t="shared" si="125"/>
        <v>36.966111111111111</v>
      </c>
      <c r="AN110" s="420">
        <f t="shared" si="126"/>
        <v>69.983666666666693</v>
      </c>
      <c r="AO110" s="425">
        <f t="shared" si="127"/>
        <v>28.00462962962963</v>
      </c>
      <c r="AP110" s="420">
        <f t="shared" si="128"/>
        <v>84</v>
      </c>
      <c r="AQ110" s="425">
        <f t="shared" si="129"/>
        <v>32.67206790123457</v>
      </c>
      <c r="AR110" s="454">
        <f t="shared" si="76"/>
        <v>0</v>
      </c>
      <c r="AS110" s="85">
        <f t="shared" si="130"/>
        <v>604.89999999999418</v>
      </c>
    </row>
    <row r="111" spans="1:45" ht="12.75" customHeight="1" x14ac:dyDescent="0.2">
      <c r="B111" s="335">
        <v>87675.37</v>
      </c>
      <c r="C111" s="336">
        <v>87775.37</v>
      </c>
      <c r="D111" s="337" t="s">
        <v>15</v>
      </c>
      <c r="E111" s="337" t="s">
        <v>102</v>
      </c>
      <c r="F111" s="337" t="s">
        <v>107</v>
      </c>
      <c r="G111" s="47" t="str">
        <f t="shared" si="117"/>
        <v>F/C - C/B</v>
      </c>
      <c r="H111" s="26">
        <f t="shared" si="113"/>
        <v>2</v>
      </c>
      <c r="I111" s="27">
        <f t="shared" si="114"/>
        <v>0</v>
      </c>
      <c r="J111" s="27">
        <f t="shared" si="115"/>
        <v>3.6296296296296298</v>
      </c>
      <c r="K111" s="27">
        <f t="shared" si="116"/>
        <v>-0.66666666666666663</v>
      </c>
      <c r="L111" s="338">
        <v>0</v>
      </c>
      <c r="M111" s="83">
        <f t="shared" si="57"/>
        <v>100</v>
      </c>
      <c r="N111" s="384">
        <v>47.42</v>
      </c>
      <c r="O111" s="385">
        <v>20</v>
      </c>
      <c r="P111" s="222">
        <f t="shared" si="78"/>
        <v>4742</v>
      </c>
      <c r="Q111" s="274">
        <f t="shared" si="58"/>
        <v>2000</v>
      </c>
      <c r="R111" s="394">
        <v>0</v>
      </c>
      <c r="S111" s="395">
        <v>0</v>
      </c>
      <c r="T111" s="221">
        <f t="shared" si="59"/>
        <v>4742</v>
      </c>
      <c r="U111" s="269">
        <f t="shared" si="59"/>
        <v>2000</v>
      </c>
      <c r="V111" s="345">
        <v>0</v>
      </c>
      <c r="W111" s="402">
        <v>0</v>
      </c>
      <c r="X111" s="403">
        <v>0</v>
      </c>
      <c r="Y111" s="410">
        <f t="shared" si="62"/>
        <v>0.27455555555555555</v>
      </c>
      <c r="Z111" s="411">
        <f t="shared" si="62"/>
        <v>0.11111111111111112</v>
      </c>
      <c r="AA111" s="398">
        <f t="shared" si="63"/>
        <v>549.11111111111109</v>
      </c>
      <c r="AB111" s="399">
        <f t="shared" si="63"/>
        <v>222.22222222222223</v>
      </c>
      <c r="AC111" s="398">
        <f t="shared" si="118"/>
        <v>549.11111111111109</v>
      </c>
      <c r="AD111" s="399">
        <f t="shared" si="119"/>
        <v>222.22222222222223</v>
      </c>
      <c r="AE111" s="398">
        <f t="shared" si="120"/>
        <v>16.308599999999998</v>
      </c>
      <c r="AF111" s="399">
        <f t="shared" si="121"/>
        <v>6.6</v>
      </c>
      <c r="AG111" s="348">
        <v>0</v>
      </c>
      <c r="AH111" s="421">
        <f t="shared" si="83"/>
        <v>168.31172839506175</v>
      </c>
      <c r="AI111" s="422">
        <f t="shared" si="122"/>
        <v>70.987654320987659</v>
      </c>
      <c r="AJ111" s="420">
        <f t="shared" si="123"/>
        <v>91.444444444444443</v>
      </c>
      <c r="AK111" s="425">
        <f t="shared" si="124"/>
        <v>37.037037037037038</v>
      </c>
      <c r="AL111" s="398">
        <f t="shared" si="84"/>
        <v>28.978888888888889</v>
      </c>
      <c r="AM111" s="399">
        <f t="shared" si="125"/>
        <v>12.222222222222223</v>
      </c>
      <c r="AN111" s="420">
        <f t="shared" si="126"/>
        <v>21.287037037037035</v>
      </c>
      <c r="AO111" s="425">
        <f t="shared" si="127"/>
        <v>9.2592592592592595</v>
      </c>
      <c r="AP111" s="420">
        <f t="shared" si="128"/>
        <v>25.612654320987652</v>
      </c>
      <c r="AQ111" s="425">
        <f t="shared" si="129"/>
        <v>10.80246913580247</v>
      </c>
      <c r="AR111" s="454">
        <f t="shared" si="76"/>
        <v>0</v>
      </c>
      <c r="AS111" s="85">
        <f t="shared" si="130"/>
        <v>200</v>
      </c>
    </row>
    <row r="112" spans="1:45" ht="12.75" customHeight="1" x14ac:dyDescent="0.2">
      <c r="B112" s="335">
        <v>87775.37</v>
      </c>
      <c r="C112" s="336">
        <v>87820</v>
      </c>
      <c r="D112" s="337" t="s">
        <v>15</v>
      </c>
      <c r="E112" s="337" t="s">
        <v>102</v>
      </c>
      <c r="F112" s="337" t="s">
        <v>107</v>
      </c>
      <c r="G112" s="47" t="str">
        <f t="shared" si="117"/>
        <v>F/C - C/B</v>
      </c>
      <c r="H112" s="26">
        <f t="shared" si="113"/>
        <v>2</v>
      </c>
      <c r="I112" s="27">
        <f t="shared" si="114"/>
        <v>0</v>
      </c>
      <c r="J112" s="27">
        <f t="shared" si="115"/>
        <v>1.6199037037038726</v>
      </c>
      <c r="K112" s="27">
        <f t="shared" si="116"/>
        <v>-0.2975333333333644</v>
      </c>
      <c r="L112" s="338">
        <v>0</v>
      </c>
      <c r="M112" s="83">
        <f t="shared" si="57"/>
        <v>44.630000000004657</v>
      </c>
      <c r="N112" s="384">
        <v>43.42</v>
      </c>
      <c r="O112" s="385">
        <v>20</v>
      </c>
      <c r="P112" s="222">
        <f t="shared" si="78"/>
        <v>1938</v>
      </c>
      <c r="Q112" s="274">
        <f t="shared" si="58"/>
        <v>893</v>
      </c>
      <c r="R112" s="394">
        <v>0</v>
      </c>
      <c r="S112" s="395">
        <v>0</v>
      </c>
      <c r="T112" s="221">
        <f t="shared" si="59"/>
        <v>1938</v>
      </c>
      <c r="U112" s="269">
        <f t="shared" si="59"/>
        <v>893</v>
      </c>
      <c r="V112" s="345">
        <v>0</v>
      </c>
      <c r="W112" s="402">
        <v>0</v>
      </c>
      <c r="X112" s="403">
        <v>0</v>
      </c>
      <c r="Y112" s="410">
        <f t="shared" si="62"/>
        <v>0.11262555555555608</v>
      </c>
      <c r="Z112" s="411">
        <f t="shared" si="62"/>
        <v>4.9611111111111113E-2</v>
      </c>
      <c r="AA112" s="398">
        <f t="shared" si="63"/>
        <v>225.25111111111215</v>
      </c>
      <c r="AB112" s="399">
        <f t="shared" si="63"/>
        <v>99.222222222222229</v>
      </c>
      <c r="AC112" s="398">
        <f t="shared" si="118"/>
        <v>225.25111111111215</v>
      </c>
      <c r="AD112" s="399">
        <f t="shared" si="119"/>
        <v>99.222222222222229</v>
      </c>
      <c r="AE112" s="398">
        <f t="shared" si="120"/>
        <v>6.6899580000000318</v>
      </c>
      <c r="AF112" s="399">
        <f t="shared" si="121"/>
        <v>2.9469000000000003</v>
      </c>
      <c r="AG112" s="348">
        <v>0</v>
      </c>
      <c r="AH112" s="421">
        <f t="shared" si="83"/>
        <v>68.787037037037038</v>
      </c>
      <c r="AI112" s="422">
        <f t="shared" si="122"/>
        <v>31.695987654320987</v>
      </c>
      <c r="AJ112" s="420">
        <f t="shared" si="123"/>
        <v>37.508792592592755</v>
      </c>
      <c r="AK112" s="425">
        <f t="shared" si="124"/>
        <v>16.537037037037038</v>
      </c>
      <c r="AL112" s="398">
        <f t="shared" si="84"/>
        <v>11.843333333333334</v>
      </c>
      <c r="AM112" s="399">
        <f t="shared" si="125"/>
        <v>5.4572222222222226</v>
      </c>
      <c r="AN112" s="420">
        <f t="shared" si="126"/>
        <v>8.6746888888888574</v>
      </c>
      <c r="AO112" s="425">
        <f t="shared" si="127"/>
        <v>4.1342592592592595</v>
      </c>
      <c r="AP112" s="420">
        <f t="shared" si="128"/>
        <v>10.467592592592593</v>
      </c>
      <c r="AQ112" s="425">
        <f t="shared" si="129"/>
        <v>4.8233024691358022</v>
      </c>
      <c r="AR112" s="454">
        <f t="shared" si="76"/>
        <v>0</v>
      </c>
      <c r="AS112" s="85">
        <f t="shared" si="130"/>
        <v>89.260000000009313</v>
      </c>
    </row>
    <row r="113" spans="1:61" ht="12.75" customHeight="1" x14ac:dyDescent="0.2">
      <c r="B113" s="335">
        <v>87820</v>
      </c>
      <c r="C113" s="336">
        <v>89190.3</v>
      </c>
      <c r="D113" s="337" t="s">
        <v>15</v>
      </c>
      <c r="E113" s="337" t="s">
        <v>101</v>
      </c>
      <c r="F113" s="337" t="s">
        <v>107</v>
      </c>
      <c r="G113" s="47" t="str">
        <f t="shared" si="117"/>
        <v>E/S - C/B</v>
      </c>
      <c r="H113" s="26">
        <f t="shared" si="113"/>
        <v>1.5</v>
      </c>
      <c r="I113" s="27">
        <f t="shared" si="114"/>
        <v>28.928555555555615</v>
      </c>
      <c r="J113" s="27">
        <f t="shared" si="115"/>
        <v>34.003740740740817</v>
      </c>
      <c r="K113" s="27">
        <f t="shared" si="116"/>
        <v>-9.1353333333333513</v>
      </c>
      <c r="L113" s="338">
        <v>0</v>
      </c>
      <c r="M113" s="83">
        <f t="shared" si="57"/>
        <v>1370.3000000000029</v>
      </c>
      <c r="N113" s="384">
        <v>41.42</v>
      </c>
      <c r="O113" s="385">
        <v>20</v>
      </c>
      <c r="P113" s="222">
        <f t="shared" si="78"/>
        <v>56758</v>
      </c>
      <c r="Q113" s="274">
        <f t="shared" si="58"/>
        <v>27407</v>
      </c>
      <c r="R113" s="394">
        <v>0</v>
      </c>
      <c r="S113" s="395">
        <v>0</v>
      </c>
      <c r="T113" s="221">
        <f t="shared" si="59"/>
        <v>56758</v>
      </c>
      <c r="U113" s="269">
        <f t="shared" si="59"/>
        <v>27407</v>
      </c>
      <c r="V113" s="345">
        <v>0</v>
      </c>
      <c r="W113" s="402">
        <v>0</v>
      </c>
      <c r="X113" s="403">
        <v>0</v>
      </c>
      <c r="Y113" s="410">
        <f t="shared" si="62"/>
        <v>3.2674138888888891</v>
      </c>
      <c r="Z113" s="411">
        <f t="shared" si="62"/>
        <v>1.5226111111111111</v>
      </c>
      <c r="AA113" s="398">
        <f t="shared" si="63"/>
        <v>6534.8277777777785</v>
      </c>
      <c r="AB113" s="399">
        <f t="shared" si="63"/>
        <v>3045.2222222222222</v>
      </c>
      <c r="AC113" s="398">
        <f t="shared" si="118"/>
        <v>6534.8277777777785</v>
      </c>
      <c r="AD113" s="399">
        <f t="shared" si="119"/>
        <v>3045.2222222222222</v>
      </c>
      <c r="AE113" s="398">
        <f t="shared" si="120"/>
        <v>194.084385</v>
      </c>
      <c r="AF113" s="399">
        <f t="shared" si="121"/>
        <v>90.443099999999987</v>
      </c>
      <c r="AG113" s="348">
        <v>0</v>
      </c>
      <c r="AH113" s="421">
        <f t="shared" si="83"/>
        <v>2043.4871975308645</v>
      </c>
      <c r="AI113" s="422">
        <f t="shared" si="122"/>
        <v>972.77932098765439</v>
      </c>
      <c r="AJ113" s="420">
        <f t="shared" si="123"/>
        <v>1085.0778148148149</v>
      </c>
      <c r="AK113" s="425">
        <f t="shared" si="124"/>
        <v>507.53703703703701</v>
      </c>
      <c r="AL113" s="398">
        <f t="shared" si="84"/>
        <v>346.85444444444443</v>
      </c>
      <c r="AM113" s="399">
        <f t="shared" si="125"/>
        <v>167.48722222222221</v>
      </c>
      <c r="AN113" s="420">
        <f t="shared" si="126"/>
        <v>253.63318518518517</v>
      </c>
      <c r="AO113" s="425">
        <f t="shared" si="127"/>
        <v>126.88425925925925</v>
      </c>
      <c r="AP113" s="420">
        <f t="shared" si="128"/>
        <v>306.56327160493828</v>
      </c>
      <c r="AQ113" s="425">
        <f t="shared" si="129"/>
        <v>148.03163580246914</v>
      </c>
      <c r="AR113" s="454">
        <f t="shared" si="76"/>
        <v>50.75185185185196</v>
      </c>
      <c r="AS113" s="85">
        <f t="shared" si="130"/>
        <v>2740.6000000000058</v>
      </c>
    </row>
    <row r="114" spans="1:61" ht="12.75" customHeight="1" x14ac:dyDescent="0.2">
      <c r="B114" s="335">
        <v>89190.3</v>
      </c>
      <c r="C114" s="336">
        <v>89617.84</v>
      </c>
      <c r="D114" s="337" t="s">
        <v>15</v>
      </c>
      <c r="E114" s="337" t="s">
        <v>102</v>
      </c>
      <c r="F114" s="337" t="s">
        <v>107</v>
      </c>
      <c r="G114" s="47" t="str">
        <f t="shared" si="117"/>
        <v>F/C - C/B</v>
      </c>
      <c r="H114" s="26">
        <f t="shared" si="113"/>
        <v>2</v>
      </c>
      <c r="I114" s="27">
        <f t="shared" si="114"/>
        <v>0</v>
      </c>
      <c r="J114" s="27">
        <f t="shared" si="115"/>
        <v>15.518118518518285</v>
      </c>
      <c r="K114" s="27">
        <f t="shared" si="116"/>
        <v>-2.8502666666666241</v>
      </c>
      <c r="L114" s="338">
        <v>0</v>
      </c>
      <c r="M114" s="83">
        <f t="shared" si="57"/>
        <v>427.5399999999936</v>
      </c>
      <c r="N114" s="384">
        <v>43.42</v>
      </c>
      <c r="O114" s="385">
        <v>20</v>
      </c>
      <c r="P114" s="222">
        <f t="shared" si="78"/>
        <v>18564</v>
      </c>
      <c r="Q114" s="274">
        <f t="shared" si="58"/>
        <v>8551</v>
      </c>
      <c r="R114" s="394">
        <v>0</v>
      </c>
      <c r="S114" s="395">
        <v>0</v>
      </c>
      <c r="T114" s="221">
        <f t="shared" si="59"/>
        <v>18564</v>
      </c>
      <c r="U114" s="269">
        <f t="shared" si="59"/>
        <v>8551</v>
      </c>
      <c r="V114" s="345">
        <v>0</v>
      </c>
      <c r="W114" s="402">
        <v>0</v>
      </c>
      <c r="X114" s="403">
        <v>0</v>
      </c>
      <c r="Y114" s="410">
        <f t="shared" si="62"/>
        <v>1.0788377777777771</v>
      </c>
      <c r="Z114" s="411">
        <f t="shared" si="62"/>
        <v>0.47505555555555556</v>
      </c>
      <c r="AA114" s="398">
        <f t="shared" si="63"/>
        <v>2157.6755555555542</v>
      </c>
      <c r="AB114" s="399">
        <f t="shared" si="63"/>
        <v>950.11111111111109</v>
      </c>
      <c r="AC114" s="398">
        <f t="shared" si="118"/>
        <v>2157.6755555555542</v>
      </c>
      <c r="AD114" s="399">
        <f t="shared" si="119"/>
        <v>950.11111111111109</v>
      </c>
      <c r="AE114" s="398">
        <f t="shared" si="120"/>
        <v>64.082963999999961</v>
      </c>
      <c r="AF114" s="399">
        <f t="shared" si="121"/>
        <v>28.218299999999996</v>
      </c>
      <c r="AG114" s="348">
        <v>0</v>
      </c>
      <c r="AH114" s="421">
        <f t="shared" ref="AH114:AH134" si="131">IF(A114="APP SLAB",0,(T114*$AH$1/12)/27+I114)</f>
        <v>658.90740740740739</v>
      </c>
      <c r="AI114" s="422">
        <f t="shared" si="122"/>
        <v>303.50771604938274</v>
      </c>
      <c r="AJ114" s="420">
        <f t="shared" si="123"/>
        <v>359.29589629629606</v>
      </c>
      <c r="AK114" s="425">
        <f t="shared" si="124"/>
        <v>158.35185185185185</v>
      </c>
      <c r="AL114" s="398">
        <f t="shared" ref="AL114:AL134" si="132">IF(A114="APP SLAB",0,(T114/9)*$AL$1)</f>
        <v>113.44666666666666</v>
      </c>
      <c r="AM114" s="399">
        <f t="shared" si="125"/>
        <v>52.25611111111111</v>
      </c>
      <c r="AN114" s="420">
        <f t="shared" si="126"/>
        <v>83.094177777777816</v>
      </c>
      <c r="AO114" s="425">
        <f t="shared" si="127"/>
        <v>39.587962962962962</v>
      </c>
      <c r="AP114" s="420">
        <f t="shared" si="128"/>
        <v>100.26851851851852</v>
      </c>
      <c r="AQ114" s="425">
        <f t="shared" si="129"/>
        <v>46.185956790123456</v>
      </c>
      <c r="AR114" s="454">
        <f t="shared" si="76"/>
        <v>0</v>
      </c>
      <c r="AS114" s="85">
        <f t="shared" si="130"/>
        <v>855.07999999998719</v>
      </c>
      <c r="AT114" s="20"/>
      <c r="BG114" s="20"/>
      <c r="BH114" s="20"/>
      <c r="BI114" s="20"/>
    </row>
    <row r="115" spans="1:61" ht="12.75" customHeight="1" x14ac:dyDescent="0.2">
      <c r="B115" s="335">
        <v>89617.84</v>
      </c>
      <c r="C115" s="336">
        <v>89637.55</v>
      </c>
      <c r="D115" s="337" t="s">
        <v>15</v>
      </c>
      <c r="E115" s="337" t="s">
        <v>102</v>
      </c>
      <c r="F115" s="337" t="s">
        <v>97</v>
      </c>
      <c r="G115" s="47" t="str">
        <f t="shared" si="117"/>
        <v>-</v>
      </c>
      <c r="H115" s="339">
        <v>2</v>
      </c>
      <c r="I115" s="338">
        <v>0</v>
      </c>
      <c r="J115" s="338">
        <v>0.72</v>
      </c>
      <c r="K115" s="338">
        <v>0</v>
      </c>
      <c r="L115" s="338">
        <v>0</v>
      </c>
      <c r="M115" s="83">
        <f t="shared" si="57"/>
        <v>19.710000000006403</v>
      </c>
      <c r="N115" s="384" t="s">
        <v>97</v>
      </c>
      <c r="O115" s="385" t="s">
        <v>97</v>
      </c>
      <c r="P115" s="222">
        <f t="shared" si="78"/>
        <v>0</v>
      </c>
      <c r="Q115" s="274">
        <f t="shared" si="58"/>
        <v>0</v>
      </c>
      <c r="R115" s="394">
        <v>432</v>
      </c>
      <c r="S115" s="395">
        <v>197</v>
      </c>
      <c r="T115" s="221">
        <f t="shared" si="59"/>
        <v>432</v>
      </c>
      <c r="U115" s="269">
        <f t="shared" si="59"/>
        <v>197</v>
      </c>
      <c r="V115" s="345">
        <v>0</v>
      </c>
      <c r="W115" s="402">
        <v>0</v>
      </c>
      <c r="X115" s="403">
        <v>0</v>
      </c>
      <c r="Y115" s="410">
        <f t="shared" si="62"/>
        <v>2.6190000000000713E-2</v>
      </c>
      <c r="Z115" s="411">
        <f t="shared" si="62"/>
        <v>1.0944444444444444E-2</v>
      </c>
      <c r="AA115" s="398">
        <f t="shared" si="63"/>
        <v>52.380000000001424</v>
      </c>
      <c r="AB115" s="399">
        <f t="shared" si="63"/>
        <v>21.888888888888889</v>
      </c>
      <c r="AC115" s="398">
        <f t="shared" si="118"/>
        <v>52.380000000001424</v>
      </c>
      <c r="AD115" s="399">
        <f t="shared" si="119"/>
        <v>21.888888888888889</v>
      </c>
      <c r="AE115" s="398">
        <f t="shared" si="120"/>
        <v>1.5556860000000425</v>
      </c>
      <c r="AF115" s="399">
        <f t="shared" si="121"/>
        <v>0.65010000000000001</v>
      </c>
      <c r="AG115" s="348">
        <v>0</v>
      </c>
      <c r="AH115" s="421">
        <f t="shared" si="131"/>
        <v>15.333333333333334</v>
      </c>
      <c r="AI115" s="422">
        <f t="shared" si="122"/>
        <v>6.992283950617284</v>
      </c>
      <c r="AJ115" s="420">
        <f t="shared" si="123"/>
        <v>8.7200000000000006</v>
      </c>
      <c r="AK115" s="425">
        <f t="shared" si="124"/>
        <v>3.6481481481481484</v>
      </c>
      <c r="AL115" s="398">
        <f t="shared" si="132"/>
        <v>2.64</v>
      </c>
      <c r="AM115" s="399">
        <f t="shared" si="125"/>
        <v>1.203888888888889</v>
      </c>
      <c r="AN115" s="420">
        <f t="shared" si="126"/>
        <v>2</v>
      </c>
      <c r="AO115" s="425">
        <f t="shared" si="127"/>
        <v>0.91203703703703709</v>
      </c>
      <c r="AP115" s="420">
        <f t="shared" si="128"/>
        <v>2.3333333333333335</v>
      </c>
      <c r="AQ115" s="425">
        <f t="shared" si="129"/>
        <v>1.0640432098765433</v>
      </c>
      <c r="AR115" s="454">
        <f t="shared" si="76"/>
        <v>0</v>
      </c>
      <c r="AS115" s="85">
        <f t="shared" si="130"/>
        <v>39.420000000012806</v>
      </c>
      <c r="AT115" s="20"/>
      <c r="BG115" s="20"/>
      <c r="BH115" s="20"/>
      <c r="BI115" s="20"/>
    </row>
    <row r="116" spans="1:61" ht="12.75" customHeight="1" x14ac:dyDescent="0.2">
      <c r="A116" s="48" t="s">
        <v>28</v>
      </c>
      <c r="B116" s="335">
        <v>89617.38</v>
      </c>
      <c r="C116" s="336">
        <v>89642.38</v>
      </c>
      <c r="D116" s="337" t="s">
        <v>15</v>
      </c>
      <c r="E116" s="337" t="s">
        <v>97</v>
      </c>
      <c r="F116" s="337" t="s">
        <v>97</v>
      </c>
      <c r="G116" s="47" t="str">
        <f t="shared" si="117"/>
        <v>-</v>
      </c>
      <c r="H116" s="26">
        <v>4</v>
      </c>
      <c r="I116" s="27">
        <f>IF(AND($E116=$AU$2,$F116=$AU$2),2*$AZ$13*$M116/27,IF(OR(AND($E116=$AU$2,$F116=$AU$3),AND($E116=$AU$3,$F116=$AU$2)),$AZ$13*$M116/27,IF(OR(AND($E116=$AU$2,$F116=$AU$5),AND($E116=$AU$5,$F116=$AU$2)),$AZ$13*$M116/27,0)))</f>
        <v>0</v>
      </c>
      <c r="J116" s="27">
        <f>IF(AND($E116=$AU$2,$F116=$AU$2),2*$BC$13*$M116/27,IF(OR(AND($E116=$AU$2,$F116=$AU$3),AND($E116=$AU$3,$F116=$AU$2)),($BC$13+$BC$14)*$M116/27,IF(OR(AND($E116=$AU$2,$F116=$AU$5),AND($E116=$AU$5,$F116=$AU$2)),$BC$13*$M116/27,IF(OR(AND($E116=$AU$3,$F116=$AU$5),AND($E116=$AU$5,$F116=$AU$3)),$BC$14*$M116/27,IF(AND($E116=$AU$3,$F116=$AU$3),2*$BC$14*$M116/27,0)))))</f>
        <v>0</v>
      </c>
      <c r="K116" s="27">
        <f>IF(AND($E116=$AU$5,$F116=$AU$5),2*$BF$15*$M116/27,IF(OR($E116=$AU$5,$F116=$AU$5),$BF$15*$M116/27,0))</f>
        <v>0</v>
      </c>
      <c r="L116" s="338">
        <v>0</v>
      </c>
      <c r="M116" s="83">
        <f t="shared" si="57"/>
        <v>25</v>
      </c>
      <c r="N116" s="384" t="s">
        <v>97</v>
      </c>
      <c r="O116" s="385" t="s">
        <v>97</v>
      </c>
      <c r="P116" s="222">
        <f t="shared" si="78"/>
        <v>0</v>
      </c>
      <c r="Q116" s="274">
        <f t="shared" si="58"/>
        <v>0</v>
      </c>
      <c r="R116" s="394">
        <v>1123</v>
      </c>
      <c r="S116" s="395">
        <v>500</v>
      </c>
      <c r="T116" s="221">
        <f t="shared" si="59"/>
        <v>1123</v>
      </c>
      <c r="U116" s="269">
        <f t="shared" si="59"/>
        <v>500</v>
      </c>
      <c r="V116" s="345">
        <v>0</v>
      </c>
      <c r="W116" s="402">
        <v>0</v>
      </c>
      <c r="X116" s="403">
        <v>0</v>
      </c>
      <c r="Y116" s="410">
        <f t="shared" si="62"/>
        <v>6.7944444444444446E-2</v>
      </c>
      <c r="Z116" s="411">
        <f t="shared" si="62"/>
        <v>2.777777777777778E-2</v>
      </c>
      <c r="AA116" s="398">
        <f>IF(OR(W116&lt;&gt;0),0,AC116)</f>
        <v>135.88888888888889</v>
      </c>
      <c r="AB116" s="399">
        <f>IF(OR(X116&lt;&gt;0),0,AD116)</f>
        <v>55.555555555555557</v>
      </c>
      <c r="AC116" s="398">
        <f>IF(OR(W116&lt;&gt;0),0,(T116+$H116*$M116)/9)</f>
        <v>135.88888888888889</v>
      </c>
      <c r="AD116" s="399">
        <f>IF(OR(X116&lt;&gt;0),0,U116/9)</f>
        <v>55.555555555555557</v>
      </c>
      <c r="AE116" s="398">
        <f>IF(OR(W116&lt;&gt;0),0,$AC$1*AC116*110*0.06*0.75/2000)</f>
        <v>4.0358999999999989</v>
      </c>
      <c r="AF116" s="399">
        <f>IF(OR(X116&lt;&gt;0),0,$AC$1*AD116*110*0.06*0.75/2000)</f>
        <v>1.65</v>
      </c>
      <c r="AG116" s="348">
        <v>0</v>
      </c>
      <c r="AH116" s="421">
        <f t="shared" si="131"/>
        <v>0</v>
      </c>
      <c r="AI116" s="422">
        <f t="shared" si="122"/>
        <v>0</v>
      </c>
      <c r="AJ116" s="420">
        <f t="shared" si="123"/>
        <v>20.796296296296298</v>
      </c>
      <c r="AK116" s="425">
        <f t="shared" si="124"/>
        <v>9.2592592592592595</v>
      </c>
      <c r="AL116" s="398">
        <f t="shared" si="132"/>
        <v>0</v>
      </c>
      <c r="AM116" s="399">
        <f t="shared" si="125"/>
        <v>0</v>
      </c>
      <c r="AN116" s="420">
        <f t="shared" si="126"/>
        <v>0</v>
      </c>
      <c r="AO116" s="425">
        <f t="shared" si="127"/>
        <v>0</v>
      </c>
      <c r="AP116" s="420">
        <f t="shared" si="128"/>
        <v>0</v>
      </c>
      <c r="AQ116" s="425">
        <f t="shared" si="129"/>
        <v>0</v>
      </c>
      <c r="AR116" s="454">
        <f t="shared" si="76"/>
        <v>0</v>
      </c>
      <c r="AS116" s="85">
        <f t="shared" si="130"/>
        <v>0</v>
      </c>
    </row>
    <row r="117" spans="1:61" ht="12.75" customHeight="1" x14ac:dyDescent="0.2">
      <c r="A117" s="48" t="s">
        <v>28</v>
      </c>
      <c r="B117" s="335">
        <v>89984.24</v>
      </c>
      <c r="C117" s="336">
        <v>90009.24</v>
      </c>
      <c r="D117" s="337" t="s">
        <v>15</v>
      </c>
      <c r="E117" s="337" t="s">
        <v>97</v>
      </c>
      <c r="F117" s="337" t="s">
        <v>97</v>
      </c>
      <c r="G117" s="47" t="str">
        <f t="shared" si="117"/>
        <v>-</v>
      </c>
      <c r="H117" s="26">
        <v>4</v>
      </c>
      <c r="I117" s="27">
        <f>IF(AND($E117=$AU$2,$F117=$AU$2),2*$AZ$13*$M117/27,IF(OR(AND($E117=$AU$2,$F117=$AU$3),AND($E117=$AU$3,$F117=$AU$2)),$AZ$13*$M117/27,IF(OR(AND($E117=$AU$2,$F117=$AU$5),AND($E117=$AU$5,$F117=$AU$2)),$AZ$13*$M117/27,0)))</f>
        <v>0</v>
      </c>
      <c r="J117" s="27">
        <f>IF(AND($E117=$AU$2,$F117=$AU$2),2*$BC$13*$M117/27,IF(OR(AND($E117=$AU$2,$F117=$AU$3),AND($E117=$AU$3,$F117=$AU$2)),($BC$13+$BC$14)*$M117/27,IF(OR(AND($E117=$AU$2,$F117=$AU$5),AND($E117=$AU$5,$F117=$AU$2)),$BC$13*$M117/27,IF(OR(AND($E117=$AU$3,$F117=$AU$5),AND($E117=$AU$5,$F117=$AU$3)),$BC$14*$M117/27,IF(AND($E117=$AU$3,$F117=$AU$3),2*$BC$14*$M117/27,0)))))</f>
        <v>0</v>
      </c>
      <c r="K117" s="27">
        <f>IF(AND($E117=$AU$5,$F117=$AU$5),2*$BF$15*$M117/27,IF(OR($E117=$AU$5,$F117=$AU$5),$BF$15*$M117/27,0))</f>
        <v>0</v>
      </c>
      <c r="L117" s="338">
        <v>0</v>
      </c>
      <c r="M117" s="83">
        <f t="shared" si="57"/>
        <v>25</v>
      </c>
      <c r="N117" s="384" t="s">
        <v>97</v>
      </c>
      <c r="O117" s="385" t="s">
        <v>97</v>
      </c>
      <c r="P117" s="222">
        <f t="shared" si="78"/>
        <v>0</v>
      </c>
      <c r="Q117" s="274">
        <f t="shared" si="58"/>
        <v>0</v>
      </c>
      <c r="R117" s="394">
        <v>1123</v>
      </c>
      <c r="S117" s="395">
        <v>500</v>
      </c>
      <c r="T117" s="221">
        <f t="shared" si="59"/>
        <v>1123</v>
      </c>
      <c r="U117" s="269">
        <f t="shared" si="59"/>
        <v>500</v>
      </c>
      <c r="V117" s="345">
        <v>0</v>
      </c>
      <c r="W117" s="402">
        <v>0</v>
      </c>
      <c r="X117" s="403">
        <v>0</v>
      </c>
      <c r="Y117" s="410">
        <f t="shared" si="62"/>
        <v>6.7944444444444446E-2</v>
      </c>
      <c r="Z117" s="411">
        <f t="shared" si="62"/>
        <v>2.777777777777778E-2</v>
      </c>
      <c r="AA117" s="398">
        <f>IF(OR(W117&lt;&gt;0),0,AC117)</f>
        <v>135.88888888888889</v>
      </c>
      <c r="AB117" s="399">
        <f>IF(OR(X117&lt;&gt;0),0,AD117)</f>
        <v>55.555555555555557</v>
      </c>
      <c r="AC117" s="398">
        <f>IF(OR(W117&lt;&gt;0),0,(T117+$H117*$M117)/9)</f>
        <v>135.88888888888889</v>
      </c>
      <c r="AD117" s="399">
        <f>IF(OR(X117&lt;&gt;0),0,U117/9)</f>
        <v>55.555555555555557</v>
      </c>
      <c r="AE117" s="398">
        <f>IF(OR(W117&lt;&gt;0),0,$AC$1*AC117*110*0.06*0.75/2000)</f>
        <v>4.0358999999999989</v>
      </c>
      <c r="AF117" s="399">
        <f>IF(OR(X117&lt;&gt;0),0,$AC$1*AD117*110*0.06*0.75/2000)</f>
        <v>1.65</v>
      </c>
      <c r="AG117" s="348">
        <v>0</v>
      </c>
      <c r="AH117" s="421">
        <f t="shared" si="131"/>
        <v>0</v>
      </c>
      <c r="AI117" s="422">
        <f t="shared" si="122"/>
        <v>0</v>
      </c>
      <c r="AJ117" s="420">
        <f t="shared" si="123"/>
        <v>20.796296296296298</v>
      </c>
      <c r="AK117" s="425">
        <f t="shared" si="124"/>
        <v>9.2592592592592595</v>
      </c>
      <c r="AL117" s="398">
        <f t="shared" si="132"/>
        <v>0</v>
      </c>
      <c r="AM117" s="399">
        <f t="shared" si="125"/>
        <v>0</v>
      </c>
      <c r="AN117" s="420">
        <f t="shared" si="126"/>
        <v>0</v>
      </c>
      <c r="AO117" s="425">
        <f t="shared" si="127"/>
        <v>0</v>
      </c>
      <c r="AP117" s="420">
        <f t="shared" si="128"/>
        <v>0</v>
      </c>
      <c r="AQ117" s="425">
        <f t="shared" si="129"/>
        <v>0</v>
      </c>
      <c r="AR117" s="454">
        <f t="shared" si="76"/>
        <v>0</v>
      </c>
      <c r="AS117" s="85">
        <f t="shared" si="130"/>
        <v>0</v>
      </c>
    </row>
    <row r="118" spans="1:61" ht="12.75" customHeight="1" x14ac:dyDescent="0.2">
      <c r="B118" s="335">
        <v>90009.24</v>
      </c>
      <c r="C118" s="336">
        <v>90029.24</v>
      </c>
      <c r="D118" s="337" t="s">
        <v>15</v>
      </c>
      <c r="E118" s="337" t="s">
        <v>97</v>
      </c>
      <c r="F118" s="337" t="s">
        <v>107</v>
      </c>
      <c r="G118" s="47" t="str">
        <f t="shared" si="117"/>
        <v>-</v>
      </c>
      <c r="H118" s="339">
        <v>0</v>
      </c>
      <c r="I118" s="338">
        <v>0</v>
      </c>
      <c r="J118" s="338">
        <v>0</v>
      </c>
      <c r="K118" s="338">
        <v>-0.13</v>
      </c>
      <c r="L118" s="338">
        <v>0</v>
      </c>
      <c r="M118" s="83">
        <f t="shared" si="57"/>
        <v>20</v>
      </c>
      <c r="N118" s="384" t="s">
        <v>97</v>
      </c>
      <c r="O118" s="385" t="s">
        <v>97</v>
      </c>
      <c r="P118" s="222">
        <f t="shared" si="78"/>
        <v>0</v>
      </c>
      <c r="Q118" s="274">
        <f t="shared" si="58"/>
        <v>0</v>
      </c>
      <c r="R118" s="394">
        <v>435</v>
      </c>
      <c r="S118" s="395">
        <v>200</v>
      </c>
      <c r="T118" s="221">
        <f t="shared" si="59"/>
        <v>435</v>
      </c>
      <c r="U118" s="269">
        <f t="shared" si="59"/>
        <v>200</v>
      </c>
      <c r="V118" s="345">
        <v>0</v>
      </c>
      <c r="W118" s="402">
        <v>0</v>
      </c>
      <c r="X118" s="403">
        <v>0</v>
      </c>
      <c r="Y118" s="410">
        <f t="shared" si="62"/>
        <v>2.4166666666666666E-2</v>
      </c>
      <c r="Z118" s="411">
        <f t="shared" si="62"/>
        <v>1.1111111111111112E-2</v>
      </c>
      <c r="AA118" s="398">
        <f t="shared" si="63"/>
        <v>48.333333333333336</v>
      </c>
      <c r="AB118" s="399">
        <f t="shared" si="63"/>
        <v>22.222222222222221</v>
      </c>
      <c r="AC118" s="398">
        <f t="shared" si="118"/>
        <v>48.333333333333336</v>
      </c>
      <c r="AD118" s="399">
        <f t="shared" si="119"/>
        <v>22.222222222222221</v>
      </c>
      <c r="AE118" s="398">
        <f t="shared" si="120"/>
        <v>1.4355</v>
      </c>
      <c r="AF118" s="399">
        <f t="shared" si="121"/>
        <v>0.65999999999999981</v>
      </c>
      <c r="AG118" s="348">
        <v>0</v>
      </c>
      <c r="AH118" s="421">
        <f t="shared" si="131"/>
        <v>15.439814814814815</v>
      </c>
      <c r="AI118" s="422">
        <f t="shared" si="122"/>
        <v>7.098765432098765</v>
      </c>
      <c r="AJ118" s="420">
        <f t="shared" si="123"/>
        <v>8.0555555555555554</v>
      </c>
      <c r="AK118" s="425">
        <f t="shared" si="124"/>
        <v>3.7037037037037037</v>
      </c>
      <c r="AL118" s="398">
        <f t="shared" si="132"/>
        <v>2.6583333333333337</v>
      </c>
      <c r="AM118" s="399">
        <f t="shared" si="125"/>
        <v>1.2222222222222221</v>
      </c>
      <c r="AN118" s="420">
        <f t="shared" si="126"/>
        <v>1.8838888888888889</v>
      </c>
      <c r="AO118" s="425">
        <f t="shared" si="127"/>
        <v>0.92592592592592593</v>
      </c>
      <c r="AP118" s="420">
        <f t="shared" si="128"/>
        <v>2.3495370370370372</v>
      </c>
      <c r="AQ118" s="425">
        <f t="shared" si="129"/>
        <v>1.080246913580247</v>
      </c>
      <c r="AR118" s="454">
        <f t="shared" si="76"/>
        <v>0</v>
      </c>
      <c r="AS118" s="85">
        <f t="shared" si="130"/>
        <v>40</v>
      </c>
    </row>
    <row r="119" spans="1:61" ht="12.75" customHeight="1" x14ac:dyDescent="0.2">
      <c r="B119" s="335">
        <v>90029.24</v>
      </c>
      <c r="C119" s="336">
        <v>90318.11</v>
      </c>
      <c r="D119" s="337" t="s">
        <v>15</v>
      </c>
      <c r="E119" s="337" t="s">
        <v>102</v>
      </c>
      <c r="F119" s="337" t="s">
        <v>107</v>
      </c>
      <c r="G119" s="47" t="str">
        <f t="shared" si="117"/>
        <v>F/C - C/B</v>
      </c>
      <c r="H119" s="26">
        <f t="shared" ref="H119:H126" si="133">IF(AND($E119=$AU$2,$F119=$AU$2),2*$AW$13,IF(OR(AND($E119=$AU$2, $F119=$AU$3),AND($E119=$AU$3,$F119=$AU$2)),$AW$13+$AW$14,IF(OR(AND($E119=$AU$2,$F119=$AU$5),AND($E119=$AU$5,$F119=$AU$2)),$AW$13,IF(OR(AND($E119=$AU$3,$F119=$AU$5),AND($E119=$AU$5,$F119=$AU$3)),$AW$14,IF(AND($E119=$AU$3,$F119=$AU$3),2*$AW$14,0)))))</f>
        <v>2</v>
      </c>
      <c r="I119" s="27">
        <f t="shared" ref="I119:I126" si="134">IF(AND($E119=$AU$2,$F119=$AU$2),2*$AZ$13*$M119/27,IF(OR(AND($E119=$AU$2,$F119=$AU$3),AND($E119=$AU$3,$F119=$AU$2)),$AZ$13*$M119/27,IF(OR(AND($E119=$AU$2,$F119=$AU$5),AND($E119=$AU$5,$F119=$AU$2)),$AZ$13*$M119/27,0)))</f>
        <v>0</v>
      </c>
      <c r="J119" s="27">
        <f t="shared" ref="J119:J126" si="135">IF(AND($E119=$AU$2,$F119=$AU$2),2*$BC$13*$M119/27,IF(OR(AND($E119=$AU$2,$F119=$AU$3),AND($E119=$AU$3,$F119=$AU$2)),($BC$13+$BC$14)*$M119/27,IF(OR(AND($E119=$AU$2,$F119=$AU$5),AND($E119=$AU$5,$F119=$AU$2)),$BC$13*$M119/27,IF(OR(AND($E119=$AU$3,$F119=$AU$5),AND($E119=$AU$5,$F119=$AU$3)),$BC$14*$M119/27,IF(AND($E119=$AU$3,$F119=$AU$3),2*$BC$14*$M119/27,0)))))</f>
        <v>10.484911111110943</v>
      </c>
      <c r="K119" s="27">
        <f t="shared" ref="K119:K126" si="136">IF(AND($E119=$AU$5,$F119=$AU$5),2*$BF$15*$M119/27,IF(OR($E119=$AU$5,$F119=$AU$5),$BF$15*$M119/27,0))</f>
        <v>-1.9257999999999689</v>
      </c>
      <c r="L119" s="338">
        <v>0</v>
      </c>
      <c r="M119" s="83">
        <f t="shared" si="57"/>
        <v>288.86999999999534</v>
      </c>
      <c r="N119" s="384">
        <v>43.42</v>
      </c>
      <c r="O119" s="385">
        <v>20</v>
      </c>
      <c r="P119" s="222">
        <f t="shared" si="78"/>
        <v>12543</v>
      </c>
      <c r="Q119" s="274">
        <f t="shared" si="58"/>
        <v>5778</v>
      </c>
      <c r="R119" s="394">
        <v>0</v>
      </c>
      <c r="S119" s="395">
        <v>0</v>
      </c>
      <c r="T119" s="221">
        <f t="shared" si="59"/>
        <v>12543</v>
      </c>
      <c r="U119" s="269">
        <f t="shared" si="59"/>
        <v>5778</v>
      </c>
      <c r="V119" s="345">
        <v>0</v>
      </c>
      <c r="W119" s="402">
        <v>0</v>
      </c>
      <c r="X119" s="403">
        <v>0</v>
      </c>
      <c r="Y119" s="410">
        <f t="shared" si="62"/>
        <v>0.72892999999999952</v>
      </c>
      <c r="Z119" s="411">
        <f t="shared" si="62"/>
        <v>0.32100000000000001</v>
      </c>
      <c r="AA119" s="398">
        <f t="shared" si="63"/>
        <v>1457.859999999999</v>
      </c>
      <c r="AB119" s="399">
        <f t="shared" si="63"/>
        <v>642</v>
      </c>
      <c r="AC119" s="398">
        <f t="shared" si="118"/>
        <v>1457.859999999999</v>
      </c>
      <c r="AD119" s="399">
        <f t="shared" si="119"/>
        <v>642</v>
      </c>
      <c r="AE119" s="398">
        <f t="shared" si="120"/>
        <v>43.298441999999973</v>
      </c>
      <c r="AF119" s="399">
        <f t="shared" si="121"/>
        <v>19.067400000000003</v>
      </c>
      <c r="AG119" s="348">
        <v>0</v>
      </c>
      <c r="AH119" s="421">
        <f t="shared" si="131"/>
        <v>445.19907407407408</v>
      </c>
      <c r="AI119" s="422">
        <f t="shared" si="122"/>
        <v>205.08333333333334</v>
      </c>
      <c r="AJ119" s="420">
        <f t="shared" si="123"/>
        <v>242.7626888888887</v>
      </c>
      <c r="AK119" s="425">
        <f t="shared" si="124"/>
        <v>107</v>
      </c>
      <c r="AL119" s="398">
        <f t="shared" si="132"/>
        <v>76.651666666666671</v>
      </c>
      <c r="AM119" s="399">
        <f t="shared" si="125"/>
        <v>35.31</v>
      </c>
      <c r="AN119" s="420">
        <f t="shared" si="126"/>
        <v>56.143644444444476</v>
      </c>
      <c r="AO119" s="425">
        <f t="shared" si="127"/>
        <v>26.75</v>
      </c>
      <c r="AP119" s="420">
        <f t="shared" si="128"/>
        <v>67.74768518518519</v>
      </c>
      <c r="AQ119" s="425">
        <f t="shared" si="129"/>
        <v>31.208333333333332</v>
      </c>
      <c r="AR119" s="454">
        <f t="shared" si="76"/>
        <v>0</v>
      </c>
      <c r="AS119" s="85">
        <f t="shared" si="130"/>
        <v>577.73999999999069</v>
      </c>
    </row>
    <row r="120" spans="1:61" ht="12.75" customHeight="1" x14ac:dyDescent="0.2">
      <c r="B120" s="335">
        <v>90318.11</v>
      </c>
      <c r="C120" s="336">
        <v>91368.11</v>
      </c>
      <c r="D120" s="337" t="s">
        <v>15</v>
      </c>
      <c r="E120" s="337" t="s">
        <v>102</v>
      </c>
      <c r="F120" s="337" t="s">
        <v>107</v>
      </c>
      <c r="G120" s="47" t="str">
        <f t="shared" si="117"/>
        <v>F/C - C/B</v>
      </c>
      <c r="H120" s="26">
        <f t="shared" si="133"/>
        <v>2</v>
      </c>
      <c r="I120" s="27">
        <f t="shared" si="134"/>
        <v>0</v>
      </c>
      <c r="J120" s="27">
        <f t="shared" si="135"/>
        <v>38.111111111111114</v>
      </c>
      <c r="K120" s="27">
        <f t="shared" si="136"/>
        <v>-7</v>
      </c>
      <c r="L120" s="338">
        <v>0</v>
      </c>
      <c r="M120" s="83">
        <f t="shared" si="57"/>
        <v>1050</v>
      </c>
      <c r="N120" s="384">
        <v>53.92</v>
      </c>
      <c r="O120" s="385">
        <v>20</v>
      </c>
      <c r="P120" s="222">
        <f t="shared" si="78"/>
        <v>56616</v>
      </c>
      <c r="Q120" s="274">
        <f t="shared" si="58"/>
        <v>21000</v>
      </c>
      <c r="R120" s="394">
        <v>0</v>
      </c>
      <c r="S120" s="395">
        <v>0</v>
      </c>
      <c r="T120" s="221">
        <f t="shared" si="59"/>
        <v>56616</v>
      </c>
      <c r="U120" s="269">
        <f t="shared" si="59"/>
        <v>21000</v>
      </c>
      <c r="V120" s="345">
        <v>0</v>
      </c>
      <c r="W120" s="402">
        <v>0</v>
      </c>
      <c r="X120" s="403">
        <v>0</v>
      </c>
      <c r="Y120" s="410">
        <f t="shared" si="62"/>
        <v>3.262</v>
      </c>
      <c r="Z120" s="411">
        <f t="shared" si="62"/>
        <v>1.1666666666666667</v>
      </c>
      <c r="AA120" s="398">
        <f t="shared" si="63"/>
        <v>6524</v>
      </c>
      <c r="AB120" s="399">
        <f t="shared" si="63"/>
        <v>2333.3333333333335</v>
      </c>
      <c r="AC120" s="398">
        <f t="shared" si="118"/>
        <v>6524</v>
      </c>
      <c r="AD120" s="399">
        <f t="shared" si="119"/>
        <v>2333.3333333333335</v>
      </c>
      <c r="AE120" s="398">
        <f t="shared" si="120"/>
        <v>193.7628</v>
      </c>
      <c r="AF120" s="399">
        <f t="shared" si="121"/>
        <v>69.3</v>
      </c>
      <c r="AG120" s="348">
        <v>0</v>
      </c>
      <c r="AH120" s="421">
        <f t="shared" si="131"/>
        <v>2009.5185185185185</v>
      </c>
      <c r="AI120" s="422">
        <f t="shared" si="122"/>
        <v>745.37037037037032</v>
      </c>
      <c r="AJ120" s="420">
        <f t="shared" si="123"/>
        <v>1086.5555555555554</v>
      </c>
      <c r="AK120" s="425">
        <f t="shared" si="124"/>
        <v>388.88888888888891</v>
      </c>
      <c r="AL120" s="398">
        <f t="shared" si="132"/>
        <v>345.98666666666668</v>
      </c>
      <c r="AM120" s="399">
        <f t="shared" si="125"/>
        <v>128.33333333333334</v>
      </c>
      <c r="AN120" s="420">
        <f t="shared" si="126"/>
        <v>255.11111111111109</v>
      </c>
      <c r="AO120" s="425">
        <f t="shared" si="127"/>
        <v>97.222222222222229</v>
      </c>
      <c r="AP120" s="420">
        <f t="shared" si="128"/>
        <v>305.7962962962963</v>
      </c>
      <c r="AQ120" s="425">
        <f t="shared" si="129"/>
        <v>113.42592592592592</v>
      </c>
      <c r="AR120" s="454">
        <f t="shared" si="76"/>
        <v>0</v>
      </c>
      <c r="AS120" s="85">
        <f t="shared" si="130"/>
        <v>2100</v>
      </c>
    </row>
    <row r="121" spans="1:61" ht="12.75" customHeight="1" x14ac:dyDescent="0.2">
      <c r="B121" s="335">
        <v>91368.11</v>
      </c>
      <c r="C121" s="336">
        <v>91745.83</v>
      </c>
      <c r="D121" s="337" t="s">
        <v>15</v>
      </c>
      <c r="E121" s="337" t="s">
        <v>102</v>
      </c>
      <c r="F121" s="337" t="s">
        <v>107</v>
      </c>
      <c r="G121" s="47" t="str">
        <f t="shared" si="117"/>
        <v>F/C - C/B</v>
      </c>
      <c r="H121" s="26">
        <f t="shared" si="133"/>
        <v>2</v>
      </c>
      <c r="I121" s="27">
        <f t="shared" si="134"/>
        <v>0</v>
      </c>
      <c r="J121" s="27">
        <f t="shared" si="135"/>
        <v>13.709837037037078</v>
      </c>
      <c r="K121" s="27">
        <f t="shared" si="136"/>
        <v>-2.5181333333333411</v>
      </c>
      <c r="L121" s="338">
        <v>0</v>
      </c>
      <c r="M121" s="83">
        <f t="shared" si="57"/>
        <v>377.72000000000116</v>
      </c>
      <c r="N121" s="384" t="s">
        <v>97</v>
      </c>
      <c r="O121" s="385" t="s">
        <v>97</v>
      </c>
      <c r="P121" s="222">
        <f t="shared" si="78"/>
        <v>0</v>
      </c>
      <c r="Q121" s="274">
        <f t="shared" si="58"/>
        <v>0</v>
      </c>
      <c r="R121" s="394">
        <v>25013</v>
      </c>
      <c r="S121" s="395">
        <v>7554</v>
      </c>
      <c r="T121" s="221">
        <f t="shared" si="59"/>
        <v>25013</v>
      </c>
      <c r="U121" s="269">
        <f t="shared" si="59"/>
        <v>7554</v>
      </c>
      <c r="V121" s="345">
        <v>0</v>
      </c>
      <c r="W121" s="402">
        <v>0</v>
      </c>
      <c r="X121" s="403">
        <v>0</v>
      </c>
      <c r="Y121" s="410">
        <f t="shared" si="62"/>
        <v>1.4315800000000001</v>
      </c>
      <c r="Z121" s="411">
        <f t="shared" si="62"/>
        <v>0.41966666666666669</v>
      </c>
      <c r="AA121" s="398">
        <f t="shared" si="63"/>
        <v>2863.1600000000003</v>
      </c>
      <c r="AB121" s="399">
        <f t="shared" si="63"/>
        <v>839.33333333333337</v>
      </c>
      <c r="AC121" s="398">
        <f t="shared" si="118"/>
        <v>2863.1600000000003</v>
      </c>
      <c r="AD121" s="399">
        <f t="shared" si="119"/>
        <v>839.33333333333337</v>
      </c>
      <c r="AE121" s="398">
        <f t="shared" si="120"/>
        <v>85.03585200000002</v>
      </c>
      <c r="AF121" s="399">
        <f t="shared" si="121"/>
        <v>24.928199999999997</v>
      </c>
      <c r="AG121" s="348">
        <v>0</v>
      </c>
      <c r="AH121" s="421">
        <f t="shared" si="131"/>
        <v>887.8070987654321</v>
      </c>
      <c r="AI121" s="422">
        <f t="shared" si="122"/>
        <v>268.12037037037038</v>
      </c>
      <c r="AJ121" s="420">
        <f t="shared" si="123"/>
        <v>476.91354074074076</v>
      </c>
      <c r="AK121" s="425">
        <f t="shared" si="124"/>
        <v>139.88888888888889</v>
      </c>
      <c r="AL121" s="398">
        <f t="shared" si="132"/>
        <v>152.85722222222222</v>
      </c>
      <c r="AM121" s="399">
        <f t="shared" si="125"/>
        <v>46.163333333333334</v>
      </c>
      <c r="AN121" s="420">
        <f t="shared" si="126"/>
        <v>113.28279259259259</v>
      </c>
      <c r="AO121" s="425">
        <f t="shared" si="127"/>
        <v>34.972222222222221</v>
      </c>
      <c r="AP121" s="420">
        <f t="shared" si="128"/>
        <v>135.10108024691357</v>
      </c>
      <c r="AQ121" s="425">
        <f t="shared" si="129"/>
        <v>40.800925925925924</v>
      </c>
      <c r="AR121" s="454">
        <f t="shared" si="76"/>
        <v>0</v>
      </c>
      <c r="AS121" s="85">
        <f t="shared" si="130"/>
        <v>755.44000000000233</v>
      </c>
    </row>
    <row r="122" spans="1:61" ht="12.75" customHeight="1" x14ac:dyDescent="0.2">
      <c r="B122" s="335">
        <v>91745.83</v>
      </c>
      <c r="C122" s="336">
        <v>93258.71</v>
      </c>
      <c r="D122" s="337" t="s">
        <v>15</v>
      </c>
      <c r="E122" s="337" t="s">
        <v>101</v>
      </c>
      <c r="F122" s="337" t="s">
        <v>107</v>
      </c>
      <c r="G122" s="47" t="str">
        <f t="shared" si="117"/>
        <v>E/S - C/B</v>
      </c>
      <c r="H122" s="26">
        <f t="shared" si="133"/>
        <v>1.5</v>
      </c>
      <c r="I122" s="27">
        <f t="shared" si="134"/>
        <v>31.938577777777873</v>
      </c>
      <c r="J122" s="27">
        <f t="shared" si="135"/>
        <v>37.541837037037155</v>
      </c>
      <c r="K122" s="27">
        <f t="shared" si="136"/>
        <v>-10.085866666666698</v>
      </c>
      <c r="L122" s="338">
        <v>0</v>
      </c>
      <c r="M122" s="83">
        <f t="shared" si="57"/>
        <v>1512.8800000000047</v>
      </c>
      <c r="N122" s="384">
        <v>41.42</v>
      </c>
      <c r="O122" s="385">
        <v>20</v>
      </c>
      <c r="P122" s="222">
        <f t="shared" si="78"/>
        <v>62664</v>
      </c>
      <c r="Q122" s="274">
        <f t="shared" si="58"/>
        <v>30258</v>
      </c>
      <c r="R122" s="394">
        <v>0</v>
      </c>
      <c r="S122" s="395">
        <v>0</v>
      </c>
      <c r="T122" s="221">
        <f t="shared" si="59"/>
        <v>62664</v>
      </c>
      <c r="U122" s="269">
        <f t="shared" si="59"/>
        <v>30258</v>
      </c>
      <c r="V122" s="345">
        <v>0</v>
      </c>
      <c r="W122" s="402">
        <v>0</v>
      </c>
      <c r="X122" s="403">
        <v>0</v>
      </c>
      <c r="Y122" s="410">
        <f t="shared" si="62"/>
        <v>3.6074066666666673</v>
      </c>
      <c r="Z122" s="411">
        <f t="shared" si="62"/>
        <v>1.681</v>
      </c>
      <c r="AA122" s="398">
        <f t="shared" si="63"/>
        <v>7214.8133333333344</v>
      </c>
      <c r="AB122" s="399">
        <f t="shared" si="63"/>
        <v>3362</v>
      </c>
      <c r="AC122" s="398">
        <f t="shared" si="118"/>
        <v>7214.8133333333344</v>
      </c>
      <c r="AD122" s="399">
        <f t="shared" si="119"/>
        <v>3362</v>
      </c>
      <c r="AE122" s="398">
        <f t="shared" si="120"/>
        <v>214.279956</v>
      </c>
      <c r="AF122" s="399">
        <f t="shared" si="121"/>
        <v>99.851399999999998</v>
      </c>
      <c r="AG122" s="348">
        <v>0</v>
      </c>
      <c r="AH122" s="421">
        <f t="shared" si="131"/>
        <v>2256.1237629629632</v>
      </c>
      <c r="AI122" s="422">
        <f t="shared" si="122"/>
        <v>1073.9722222222222</v>
      </c>
      <c r="AJ122" s="420">
        <f t="shared" si="123"/>
        <v>1197.9862814814815</v>
      </c>
      <c r="AK122" s="425">
        <f t="shared" si="124"/>
        <v>560.33333333333337</v>
      </c>
      <c r="AL122" s="398">
        <f t="shared" si="132"/>
        <v>382.94666666666666</v>
      </c>
      <c r="AM122" s="399">
        <f t="shared" si="125"/>
        <v>184.91</v>
      </c>
      <c r="AN122" s="420">
        <f t="shared" si="126"/>
        <v>280.02524444444441</v>
      </c>
      <c r="AO122" s="425">
        <f t="shared" si="127"/>
        <v>140.08333333333334</v>
      </c>
      <c r="AP122" s="420">
        <f t="shared" si="128"/>
        <v>338.46296296296299</v>
      </c>
      <c r="AQ122" s="425">
        <f t="shared" si="129"/>
        <v>163.43055555555554</v>
      </c>
      <c r="AR122" s="454">
        <f t="shared" si="76"/>
        <v>56.032592592592763</v>
      </c>
      <c r="AS122" s="85">
        <f t="shared" si="130"/>
        <v>3025.7600000000093</v>
      </c>
    </row>
    <row r="123" spans="1:61" ht="12.75" customHeight="1" x14ac:dyDescent="0.2">
      <c r="B123" s="335">
        <v>93258.71</v>
      </c>
      <c r="C123" s="336">
        <v>93710.71</v>
      </c>
      <c r="D123" s="337" t="s">
        <v>15</v>
      </c>
      <c r="E123" s="337" t="s">
        <v>101</v>
      </c>
      <c r="F123" s="337" t="s">
        <v>107</v>
      </c>
      <c r="G123" s="47" t="str">
        <f t="shared" si="117"/>
        <v>E/S - C/B</v>
      </c>
      <c r="H123" s="26">
        <f t="shared" si="133"/>
        <v>1.5</v>
      </c>
      <c r="I123" s="27">
        <f t="shared" si="134"/>
        <v>9.5422222222222217</v>
      </c>
      <c r="J123" s="27">
        <f t="shared" si="135"/>
        <v>11.216296296296298</v>
      </c>
      <c r="K123" s="27">
        <f t="shared" si="136"/>
        <v>-3.0133333333333332</v>
      </c>
      <c r="L123" s="338">
        <v>0</v>
      </c>
      <c r="M123" s="83">
        <f t="shared" si="57"/>
        <v>452</v>
      </c>
      <c r="N123" s="384" t="s">
        <v>97</v>
      </c>
      <c r="O123" s="385" t="s">
        <v>97</v>
      </c>
      <c r="P123" s="222">
        <f t="shared" si="78"/>
        <v>0</v>
      </c>
      <c r="Q123" s="274">
        <f t="shared" si="58"/>
        <v>0</v>
      </c>
      <c r="R123" s="394">
        <v>26355</v>
      </c>
      <c r="S123" s="395">
        <v>9040</v>
      </c>
      <c r="T123" s="221">
        <f t="shared" si="59"/>
        <v>26355</v>
      </c>
      <c r="U123" s="269">
        <f t="shared" si="59"/>
        <v>9040</v>
      </c>
      <c r="V123" s="345">
        <v>0</v>
      </c>
      <c r="W123" s="402">
        <v>0</v>
      </c>
      <c r="X123" s="403">
        <v>0</v>
      </c>
      <c r="Y123" s="410">
        <f t="shared" si="62"/>
        <v>1.5018333333333334</v>
      </c>
      <c r="Z123" s="411">
        <f t="shared" si="62"/>
        <v>0.50222222222222224</v>
      </c>
      <c r="AA123" s="398">
        <f t="shared" si="63"/>
        <v>3003.6666666666665</v>
      </c>
      <c r="AB123" s="399">
        <f t="shared" si="63"/>
        <v>1004.4444444444445</v>
      </c>
      <c r="AC123" s="398">
        <f t="shared" si="118"/>
        <v>3003.6666666666665</v>
      </c>
      <c r="AD123" s="399">
        <f t="shared" si="119"/>
        <v>1004.4444444444445</v>
      </c>
      <c r="AE123" s="398">
        <f t="shared" si="120"/>
        <v>89.2089</v>
      </c>
      <c r="AF123" s="399">
        <f t="shared" si="121"/>
        <v>29.832000000000001</v>
      </c>
      <c r="AG123" s="348">
        <v>0</v>
      </c>
      <c r="AH123" s="421">
        <f t="shared" si="131"/>
        <v>944.982037037037</v>
      </c>
      <c r="AI123" s="422">
        <f t="shared" si="122"/>
        <v>320.8641975308642</v>
      </c>
      <c r="AJ123" s="420">
        <f t="shared" si="123"/>
        <v>499.27185185185186</v>
      </c>
      <c r="AK123" s="425">
        <f t="shared" si="124"/>
        <v>167.40740740740742</v>
      </c>
      <c r="AL123" s="398">
        <f t="shared" si="132"/>
        <v>161.05833333333334</v>
      </c>
      <c r="AM123" s="399">
        <f t="shared" si="125"/>
        <v>55.244444444444447</v>
      </c>
      <c r="AN123" s="420">
        <f t="shared" si="126"/>
        <v>119.00055555555555</v>
      </c>
      <c r="AO123" s="425">
        <f t="shared" si="127"/>
        <v>41.851851851851855</v>
      </c>
      <c r="AP123" s="420">
        <f t="shared" si="128"/>
        <v>142.34953703703704</v>
      </c>
      <c r="AQ123" s="425">
        <f t="shared" si="129"/>
        <v>48.827160493827158</v>
      </c>
      <c r="AR123" s="454">
        <f t="shared" si="76"/>
        <v>16.74074074074074</v>
      </c>
      <c r="AS123" s="85">
        <f t="shared" si="130"/>
        <v>904</v>
      </c>
    </row>
    <row r="124" spans="1:61" ht="12.75" customHeight="1" x14ac:dyDescent="0.2">
      <c r="B124" s="335">
        <v>93710.71</v>
      </c>
      <c r="C124" s="336">
        <v>94058.71</v>
      </c>
      <c r="D124" s="337" t="s">
        <v>15</v>
      </c>
      <c r="E124" s="337" t="s">
        <v>101</v>
      </c>
      <c r="F124" s="337" t="s">
        <v>107</v>
      </c>
      <c r="G124" s="47" t="str">
        <f t="shared" si="117"/>
        <v>E/S - C/B</v>
      </c>
      <c r="H124" s="26">
        <f t="shared" si="133"/>
        <v>1.5</v>
      </c>
      <c r="I124" s="27">
        <f t="shared" si="134"/>
        <v>7.3466666666666658</v>
      </c>
      <c r="J124" s="27">
        <f t="shared" si="135"/>
        <v>8.6355555555555572</v>
      </c>
      <c r="K124" s="27">
        <f t="shared" si="136"/>
        <v>-2.3199999999999998</v>
      </c>
      <c r="L124" s="338">
        <v>0</v>
      </c>
      <c r="M124" s="83">
        <f t="shared" si="57"/>
        <v>348</v>
      </c>
      <c r="N124" s="384">
        <v>49.42</v>
      </c>
      <c r="O124" s="385">
        <v>20</v>
      </c>
      <c r="P124" s="222">
        <f t="shared" si="78"/>
        <v>17199</v>
      </c>
      <c r="Q124" s="274">
        <f t="shared" si="58"/>
        <v>6960</v>
      </c>
      <c r="R124" s="394">
        <v>0</v>
      </c>
      <c r="S124" s="395">
        <v>0</v>
      </c>
      <c r="T124" s="221">
        <f t="shared" si="59"/>
        <v>17199</v>
      </c>
      <c r="U124" s="269">
        <f t="shared" si="59"/>
        <v>6960</v>
      </c>
      <c r="V124" s="345">
        <v>0</v>
      </c>
      <c r="W124" s="402">
        <v>0</v>
      </c>
      <c r="X124" s="403">
        <v>0</v>
      </c>
      <c r="Y124" s="410">
        <f t="shared" si="62"/>
        <v>0.98450000000000004</v>
      </c>
      <c r="Z124" s="411">
        <f t="shared" si="62"/>
        <v>0.38666666666666666</v>
      </c>
      <c r="AA124" s="398">
        <f t="shared" si="63"/>
        <v>1969</v>
      </c>
      <c r="AB124" s="399">
        <f t="shared" si="63"/>
        <v>773.33333333333337</v>
      </c>
      <c r="AC124" s="398">
        <f t="shared" si="118"/>
        <v>1969</v>
      </c>
      <c r="AD124" s="399">
        <f t="shared" si="119"/>
        <v>773.33333333333337</v>
      </c>
      <c r="AE124" s="398">
        <f t="shared" si="120"/>
        <v>58.479299999999995</v>
      </c>
      <c r="AF124" s="399">
        <f t="shared" si="121"/>
        <v>22.968</v>
      </c>
      <c r="AG124" s="348">
        <v>0</v>
      </c>
      <c r="AH124" s="421">
        <f t="shared" si="131"/>
        <v>617.80500000000006</v>
      </c>
      <c r="AI124" s="422">
        <f t="shared" si="122"/>
        <v>247.03703703703704</v>
      </c>
      <c r="AJ124" s="420">
        <f t="shared" si="123"/>
        <v>327.13555555555558</v>
      </c>
      <c r="AK124" s="425">
        <f t="shared" si="124"/>
        <v>128.88888888888889</v>
      </c>
      <c r="AL124" s="398">
        <f t="shared" si="132"/>
        <v>105.105</v>
      </c>
      <c r="AM124" s="399">
        <f t="shared" si="125"/>
        <v>42.533333333333339</v>
      </c>
      <c r="AN124" s="420">
        <f t="shared" si="126"/>
        <v>77.305000000000007</v>
      </c>
      <c r="AO124" s="425">
        <f t="shared" si="127"/>
        <v>32.222222222222221</v>
      </c>
      <c r="AP124" s="420">
        <f t="shared" si="128"/>
        <v>92.895833333333329</v>
      </c>
      <c r="AQ124" s="425">
        <f t="shared" si="129"/>
        <v>37.592592592592595</v>
      </c>
      <c r="AR124" s="454">
        <f t="shared" si="76"/>
        <v>12.888888888888889</v>
      </c>
      <c r="AS124" s="85">
        <f t="shared" si="130"/>
        <v>696</v>
      </c>
    </row>
    <row r="125" spans="1:61" ht="12.75" customHeight="1" x14ac:dyDescent="0.2">
      <c r="B125" s="335">
        <v>94058.71</v>
      </c>
      <c r="C125" s="336">
        <v>94158.71</v>
      </c>
      <c r="D125" s="337" t="s">
        <v>15</v>
      </c>
      <c r="E125" s="337" t="s">
        <v>101</v>
      </c>
      <c r="F125" s="337" t="s">
        <v>107</v>
      </c>
      <c r="G125" s="47" t="str">
        <f t="shared" si="117"/>
        <v>E/S - C/B</v>
      </c>
      <c r="H125" s="26">
        <f t="shared" si="133"/>
        <v>1.5</v>
      </c>
      <c r="I125" s="27">
        <f t="shared" si="134"/>
        <v>2.1111111111111107</v>
      </c>
      <c r="J125" s="27">
        <f t="shared" si="135"/>
        <v>2.4814814814814814</v>
      </c>
      <c r="K125" s="27">
        <f t="shared" si="136"/>
        <v>-0.66666666666666663</v>
      </c>
      <c r="L125" s="338">
        <v>0</v>
      </c>
      <c r="M125" s="83">
        <f t="shared" si="57"/>
        <v>100</v>
      </c>
      <c r="N125" s="384">
        <v>45.42</v>
      </c>
      <c r="O125" s="385">
        <v>20</v>
      </c>
      <c r="P125" s="222">
        <f t="shared" si="78"/>
        <v>4542</v>
      </c>
      <c r="Q125" s="274">
        <f t="shared" si="58"/>
        <v>2000</v>
      </c>
      <c r="R125" s="394">
        <v>0</v>
      </c>
      <c r="S125" s="395">
        <v>0</v>
      </c>
      <c r="T125" s="221">
        <f t="shared" si="59"/>
        <v>4542</v>
      </c>
      <c r="U125" s="269">
        <f t="shared" si="59"/>
        <v>2000</v>
      </c>
      <c r="V125" s="345">
        <v>0</v>
      </c>
      <c r="W125" s="402">
        <v>0</v>
      </c>
      <c r="X125" s="403">
        <v>0</v>
      </c>
      <c r="Y125" s="410">
        <f t="shared" si="62"/>
        <v>0.26066666666666671</v>
      </c>
      <c r="Z125" s="411">
        <f t="shared" si="62"/>
        <v>0.11111111111111112</v>
      </c>
      <c r="AA125" s="398">
        <f t="shared" si="63"/>
        <v>521.33333333333337</v>
      </c>
      <c r="AB125" s="399">
        <f t="shared" si="63"/>
        <v>222.22222222222223</v>
      </c>
      <c r="AC125" s="398">
        <f t="shared" si="118"/>
        <v>521.33333333333337</v>
      </c>
      <c r="AD125" s="399">
        <f t="shared" si="119"/>
        <v>222.22222222222223</v>
      </c>
      <c r="AE125" s="398">
        <f t="shared" si="120"/>
        <v>15.483599999999999</v>
      </c>
      <c r="AF125" s="399">
        <f t="shared" si="121"/>
        <v>6.6</v>
      </c>
      <c r="AG125" s="348">
        <v>0</v>
      </c>
      <c r="AH125" s="421">
        <f t="shared" si="131"/>
        <v>163.32407407407408</v>
      </c>
      <c r="AI125" s="422">
        <f t="shared" si="122"/>
        <v>70.987654320987659</v>
      </c>
      <c r="AJ125" s="420">
        <f t="shared" si="123"/>
        <v>86.592592592592595</v>
      </c>
      <c r="AK125" s="425">
        <f t="shared" si="124"/>
        <v>37.037037037037038</v>
      </c>
      <c r="AL125" s="398">
        <f t="shared" si="132"/>
        <v>27.756666666666668</v>
      </c>
      <c r="AM125" s="399">
        <f t="shared" si="125"/>
        <v>12.222222222222223</v>
      </c>
      <c r="AN125" s="420">
        <f t="shared" si="126"/>
        <v>20.361111111111111</v>
      </c>
      <c r="AO125" s="425">
        <f t="shared" si="127"/>
        <v>9.2592592592592595</v>
      </c>
      <c r="AP125" s="420">
        <f t="shared" si="128"/>
        <v>24.532407407407408</v>
      </c>
      <c r="AQ125" s="425">
        <f t="shared" si="129"/>
        <v>10.80246913580247</v>
      </c>
      <c r="AR125" s="454">
        <f t="shared" si="76"/>
        <v>3.7037037037037037</v>
      </c>
      <c r="AS125" s="85">
        <f t="shared" si="130"/>
        <v>200</v>
      </c>
    </row>
    <row r="126" spans="1:61" ht="12.75" customHeight="1" x14ac:dyDescent="0.2">
      <c r="B126" s="335">
        <v>94158.71</v>
      </c>
      <c r="C126" s="336">
        <v>94895</v>
      </c>
      <c r="D126" s="337" t="s">
        <v>15</v>
      </c>
      <c r="E126" s="337" t="s">
        <v>101</v>
      </c>
      <c r="F126" s="337" t="s">
        <v>107</v>
      </c>
      <c r="G126" s="47" t="str">
        <f t="shared" si="117"/>
        <v>E/S - C/B</v>
      </c>
      <c r="H126" s="26">
        <f t="shared" si="133"/>
        <v>1.5</v>
      </c>
      <c r="I126" s="27">
        <f t="shared" si="134"/>
        <v>15.543899999999862</v>
      </c>
      <c r="J126" s="27">
        <f t="shared" si="135"/>
        <v>18.270899999999841</v>
      </c>
      <c r="K126" s="27">
        <f t="shared" si="136"/>
        <v>-4.9085999999999572</v>
      </c>
      <c r="L126" s="338">
        <v>0</v>
      </c>
      <c r="M126" s="83">
        <f t="shared" si="57"/>
        <v>736.2899999999936</v>
      </c>
      <c r="N126" s="384">
        <v>41.42</v>
      </c>
      <c r="O126" s="385">
        <v>20</v>
      </c>
      <c r="P126" s="222">
        <f t="shared" si="78"/>
        <v>30498</v>
      </c>
      <c r="Q126" s="274">
        <f t="shared" si="58"/>
        <v>14726</v>
      </c>
      <c r="R126" s="394">
        <v>0</v>
      </c>
      <c r="S126" s="395">
        <v>0</v>
      </c>
      <c r="T126" s="221">
        <f t="shared" si="59"/>
        <v>30498</v>
      </c>
      <c r="U126" s="269">
        <f t="shared" si="59"/>
        <v>14726</v>
      </c>
      <c r="V126" s="345">
        <v>0</v>
      </c>
      <c r="W126" s="402">
        <v>0</v>
      </c>
      <c r="X126" s="403">
        <v>0</v>
      </c>
      <c r="Y126" s="410">
        <f t="shared" si="62"/>
        <v>1.755690833333333</v>
      </c>
      <c r="Z126" s="411">
        <f t="shared" si="62"/>
        <v>0.81811111111111112</v>
      </c>
      <c r="AA126" s="398">
        <f t="shared" si="63"/>
        <v>3511.3816666666658</v>
      </c>
      <c r="AB126" s="399">
        <f t="shared" si="63"/>
        <v>1636.2222222222222</v>
      </c>
      <c r="AC126" s="398">
        <f t="shared" si="118"/>
        <v>3511.3816666666658</v>
      </c>
      <c r="AD126" s="399">
        <f t="shared" si="119"/>
        <v>1636.2222222222222</v>
      </c>
      <c r="AE126" s="398">
        <f t="shared" si="120"/>
        <v>104.28803549999996</v>
      </c>
      <c r="AF126" s="399">
        <f t="shared" si="121"/>
        <v>48.59579999999999</v>
      </c>
      <c r="AG126" s="348">
        <v>0</v>
      </c>
      <c r="AH126" s="421">
        <f t="shared" si="131"/>
        <v>1098.0346407407405</v>
      </c>
      <c r="AI126" s="422">
        <f t="shared" si="122"/>
        <v>522.6820987654321</v>
      </c>
      <c r="AJ126" s="420">
        <f t="shared" si="123"/>
        <v>583.0486777777777</v>
      </c>
      <c r="AK126" s="425">
        <f t="shared" si="124"/>
        <v>272.7037037037037</v>
      </c>
      <c r="AL126" s="398">
        <f t="shared" si="132"/>
        <v>186.37666666666667</v>
      </c>
      <c r="AM126" s="399">
        <f t="shared" si="125"/>
        <v>89.992222222222225</v>
      </c>
      <c r="AN126" s="420">
        <f t="shared" si="126"/>
        <v>136.28584444444451</v>
      </c>
      <c r="AO126" s="425">
        <f t="shared" si="127"/>
        <v>68.175925925925924</v>
      </c>
      <c r="AP126" s="420">
        <f t="shared" si="128"/>
        <v>164.72685185185185</v>
      </c>
      <c r="AQ126" s="425">
        <f t="shared" si="129"/>
        <v>79.538580246913568</v>
      </c>
      <c r="AR126" s="454">
        <f t="shared" si="76"/>
        <v>27.269999999999762</v>
      </c>
      <c r="AS126" s="85">
        <f t="shared" si="130"/>
        <v>1472.5799999999872</v>
      </c>
    </row>
    <row r="127" spans="1:61" ht="12.75" customHeight="1" x14ac:dyDescent="0.2">
      <c r="B127" s="335">
        <v>94895</v>
      </c>
      <c r="C127" s="336">
        <v>95726.25</v>
      </c>
      <c r="D127" s="337" t="s">
        <v>15</v>
      </c>
      <c r="E127" s="337" t="s">
        <v>108</v>
      </c>
      <c r="F127" s="337" t="s">
        <v>107</v>
      </c>
      <c r="G127" s="47" t="str">
        <f t="shared" si="117"/>
        <v>-</v>
      </c>
      <c r="H127" s="339">
        <v>3.67</v>
      </c>
      <c r="I127" s="338">
        <v>81.59</v>
      </c>
      <c r="J127" s="338">
        <v>53.88</v>
      </c>
      <c r="K127" s="338">
        <v>-5.54</v>
      </c>
      <c r="L127" s="338">
        <v>9.85</v>
      </c>
      <c r="M127" s="83">
        <f t="shared" si="57"/>
        <v>831.25</v>
      </c>
      <c r="N127" s="384">
        <v>43.42</v>
      </c>
      <c r="O127" s="385">
        <v>20</v>
      </c>
      <c r="P127" s="222">
        <f t="shared" si="78"/>
        <v>36093</v>
      </c>
      <c r="Q127" s="274">
        <f t="shared" si="58"/>
        <v>16625</v>
      </c>
      <c r="R127" s="394">
        <v>0</v>
      </c>
      <c r="S127" s="395">
        <v>0</v>
      </c>
      <c r="T127" s="221">
        <f t="shared" si="59"/>
        <v>36093</v>
      </c>
      <c r="U127" s="269">
        <f t="shared" si="59"/>
        <v>16625</v>
      </c>
      <c r="V127" s="345">
        <v>0</v>
      </c>
      <c r="W127" s="402">
        <v>0</v>
      </c>
      <c r="X127" s="403">
        <v>0</v>
      </c>
      <c r="Y127" s="410">
        <f t="shared" si="62"/>
        <v>2.1746493055555556</v>
      </c>
      <c r="Z127" s="411">
        <f t="shared" si="62"/>
        <v>0.92361111111111105</v>
      </c>
      <c r="AA127" s="398">
        <f t="shared" si="63"/>
        <v>4349.2986111111113</v>
      </c>
      <c r="AB127" s="399">
        <f t="shared" si="63"/>
        <v>1847.2222222222222</v>
      </c>
      <c r="AC127" s="398">
        <f t="shared" si="118"/>
        <v>4349.2986111111113</v>
      </c>
      <c r="AD127" s="399">
        <f t="shared" si="119"/>
        <v>1847.2222222222222</v>
      </c>
      <c r="AE127" s="398">
        <f t="shared" si="120"/>
        <v>129.17416875000001</v>
      </c>
      <c r="AF127" s="399">
        <f t="shared" si="121"/>
        <v>54.862499999999983</v>
      </c>
      <c r="AG127" s="348">
        <v>0</v>
      </c>
      <c r="AH127" s="421">
        <f t="shared" si="131"/>
        <v>1362.6687037037036</v>
      </c>
      <c r="AI127" s="422">
        <f t="shared" si="122"/>
        <v>590.08487654320982</v>
      </c>
      <c r="AJ127" s="420">
        <f t="shared" si="123"/>
        <v>722.26888888888891</v>
      </c>
      <c r="AK127" s="425">
        <f t="shared" si="124"/>
        <v>307.87037037037038</v>
      </c>
      <c r="AL127" s="398">
        <f t="shared" si="132"/>
        <v>220.56833333333336</v>
      </c>
      <c r="AM127" s="399">
        <f t="shared" si="125"/>
        <v>101.59722222222221</v>
      </c>
      <c r="AN127" s="420">
        <f t="shared" si="126"/>
        <v>161.55722222222224</v>
      </c>
      <c r="AO127" s="425">
        <f t="shared" si="127"/>
        <v>76.967592592592595</v>
      </c>
      <c r="AP127" s="420">
        <f t="shared" si="128"/>
        <v>204.79675925925926</v>
      </c>
      <c r="AQ127" s="425">
        <f t="shared" si="129"/>
        <v>89.795524691358025</v>
      </c>
      <c r="AR127" s="454">
        <f t="shared" si="76"/>
        <v>0</v>
      </c>
      <c r="AS127" s="85">
        <f t="shared" si="130"/>
        <v>1662.5</v>
      </c>
    </row>
    <row r="128" spans="1:61" ht="12.75" customHeight="1" x14ac:dyDescent="0.2">
      <c r="B128" s="335">
        <v>95726.25</v>
      </c>
      <c r="C128" s="336">
        <v>98057.71</v>
      </c>
      <c r="D128" s="337" t="s">
        <v>15</v>
      </c>
      <c r="E128" s="337" t="s">
        <v>101</v>
      </c>
      <c r="F128" s="337" t="s">
        <v>107</v>
      </c>
      <c r="G128" s="47" t="str">
        <f t="shared" si="117"/>
        <v>E/S - C/B</v>
      </c>
      <c r="H128" s="26">
        <f>IF(AND($E128=$AU$2,$F128=$AU$2),2*$AW$13,IF(OR(AND($E128=$AU$2, $F128=$AU$3),AND($E128=$AU$3,$F128=$AU$2)),$AW$13+$AW$14,IF(OR(AND($E128=$AU$2,$F128=$AU$5),AND($E128=$AU$5,$F128=$AU$2)),$AW$13,IF(OR(AND($E128=$AU$3,$F128=$AU$5),AND($E128=$AU$5,$F128=$AU$3)),$AW$14,IF(AND($E128=$AU$3,$F128=$AU$3),2*$AW$14,0)))))</f>
        <v>1.5</v>
      </c>
      <c r="I128" s="27">
        <f>IF(AND($E128=$AU$2,$F128=$AU$2),2*$AZ$13*$M128/27,IF(OR(AND($E128=$AU$2,$F128=$AU$3),AND($E128=$AU$3,$F128=$AU$2)),$AZ$13*$M128/27,IF(OR(AND($E128=$AU$2,$F128=$AU$5),AND($E128=$AU$5,$F128=$AU$2)),$AZ$13*$M128/27,0)))</f>
        <v>49.219711111111245</v>
      </c>
      <c r="J128" s="27">
        <f>IF(AND($E128=$AU$2,$F128=$AU$2),2*$BC$13*$M128/27,IF(OR(AND($E128=$AU$2,$F128=$AU$3),AND($E128=$AU$3,$F128=$AU$2)),($BC$13+$BC$14)*$M128/27,IF(OR(AND($E128=$AU$2,$F128=$AU$5),AND($E128=$AU$5,$F128=$AU$2)),$BC$13*$M128/27,IF(OR(AND($E128=$AU$3,$F128=$AU$5),AND($E128=$AU$5,$F128=$AU$3)),$BC$14*$M128/27,IF(AND($E128=$AU$3,$F128=$AU$3),2*$BC$14*$M128/27,0)))))</f>
        <v>57.85474814814831</v>
      </c>
      <c r="K128" s="27">
        <f>IF(AND($E128=$AU$5,$F128=$AU$5),2*$BF$15*$M128/27,IF(OR($E128=$AU$5,$F128=$AU$5),$BF$15*$M128/27,0))</f>
        <v>-15.543066666666709</v>
      </c>
      <c r="L128" s="338">
        <v>0</v>
      </c>
      <c r="M128" s="83">
        <f t="shared" si="57"/>
        <v>2331.4600000000064</v>
      </c>
      <c r="N128" s="384">
        <v>41.42</v>
      </c>
      <c r="O128" s="385">
        <v>20</v>
      </c>
      <c r="P128" s="222">
        <f t="shared" si="78"/>
        <v>96570</v>
      </c>
      <c r="Q128" s="274">
        <f t="shared" si="58"/>
        <v>46630</v>
      </c>
      <c r="R128" s="394">
        <v>0</v>
      </c>
      <c r="S128" s="395">
        <v>0</v>
      </c>
      <c r="T128" s="221">
        <f t="shared" si="59"/>
        <v>96570</v>
      </c>
      <c r="U128" s="269">
        <f t="shared" si="59"/>
        <v>46630</v>
      </c>
      <c r="V128" s="345">
        <v>0</v>
      </c>
      <c r="W128" s="402">
        <v>0</v>
      </c>
      <c r="X128" s="403">
        <v>0</v>
      </c>
      <c r="Y128" s="410">
        <f t="shared" si="62"/>
        <v>5.5592883333333338</v>
      </c>
      <c r="Z128" s="411">
        <f t="shared" si="62"/>
        <v>2.5905555555555555</v>
      </c>
      <c r="AA128" s="398">
        <f t="shared" si="63"/>
        <v>11118.576666666668</v>
      </c>
      <c r="AB128" s="399">
        <f t="shared" si="63"/>
        <v>5181.1111111111113</v>
      </c>
      <c r="AC128" s="398">
        <f t="shared" si="118"/>
        <v>11118.576666666668</v>
      </c>
      <c r="AD128" s="399">
        <f t="shared" si="119"/>
        <v>5181.1111111111113</v>
      </c>
      <c r="AE128" s="398">
        <f t="shared" si="120"/>
        <v>330.22172699999999</v>
      </c>
      <c r="AF128" s="399">
        <f t="shared" si="121"/>
        <v>153.87899999999999</v>
      </c>
      <c r="AG128" s="348">
        <v>0</v>
      </c>
      <c r="AH128" s="421">
        <f t="shared" si="131"/>
        <v>3476.8586</v>
      </c>
      <c r="AI128" s="422">
        <f t="shared" si="122"/>
        <v>1655.0771604938273</v>
      </c>
      <c r="AJ128" s="420">
        <f t="shared" si="123"/>
        <v>1846.1880814814815</v>
      </c>
      <c r="AK128" s="425">
        <f t="shared" si="124"/>
        <v>863.51851851851848</v>
      </c>
      <c r="AL128" s="398">
        <f t="shared" si="132"/>
        <v>590.15</v>
      </c>
      <c r="AM128" s="399">
        <f t="shared" si="125"/>
        <v>284.96111111111111</v>
      </c>
      <c r="AN128" s="420">
        <f t="shared" si="126"/>
        <v>431.54026666666658</v>
      </c>
      <c r="AO128" s="425">
        <f t="shared" si="127"/>
        <v>215.87962962962962</v>
      </c>
      <c r="AP128" s="420">
        <f t="shared" si="128"/>
        <v>521.59722222222217</v>
      </c>
      <c r="AQ128" s="425">
        <f t="shared" si="129"/>
        <v>251.85956790123456</v>
      </c>
      <c r="AR128" s="454">
        <f t="shared" si="76"/>
        <v>86.350370370370612</v>
      </c>
      <c r="AS128" s="85">
        <f t="shared" si="130"/>
        <v>4662.9200000000128</v>
      </c>
    </row>
    <row r="129" spans="2:45" ht="12.75" customHeight="1" x14ac:dyDescent="0.2">
      <c r="B129" s="335">
        <v>98057.71</v>
      </c>
      <c r="C129" s="336">
        <v>98116.800000000003</v>
      </c>
      <c r="D129" s="337" t="s">
        <v>15</v>
      </c>
      <c r="E129" s="337" t="s">
        <v>108</v>
      </c>
      <c r="F129" s="337" t="s">
        <v>107</v>
      </c>
      <c r="G129" s="47" t="str">
        <f t="shared" si="117"/>
        <v>-</v>
      </c>
      <c r="H129" s="339">
        <v>3.67</v>
      </c>
      <c r="I129" s="338">
        <v>5.8</v>
      </c>
      <c r="J129" s="338">
        <v>3.83</v>
      </c>
      <c r="K129" s="338">
        <v>-0.39</v>
      </c>
      <c r="L129" s="338">
        <v>0.7</v>
      </c>
      <c r="M129" s="83">
        <f t="shared" si="57"/>
        <v>59.089999999996508</v>
      </c>
      <c r="N129" s="384">
        <v>41.42</v>
      </c>
      <c r="O129" s="385">
        <v>20</v>
      </c>
      <c r="P129" s="222">
        <f t="shared" si="78"/>
        <v>2448</v>
      </c>
      <c r="Q129" s="274">
        <f t="shared" si="58"/>
        <v>1182</v>
      </c>
      <c r="R129" s="394">
        <v>0</v>
      </c>
      <c r="S129" s="395">
        <v>0</v>
      </c>
      <c r="T129" s="221">
        <f t="shared" si="59"/>
        <v>2448</v>
      </c>
      <c r="U129" s="269">
        <f t="shared" si="59"/>
        <v>1182</v>
      </c>
      <c r="V129" s="345">
        <v>0</v>
      </c>
      <c r="W129" s="402">
        <v>0</v>
      </c>
      <c r="X129" s="403">
        <v>0</v>
      </c>
      <c r="Y129" s="410">
        <f t="shared" si="62"/>
        <v>0.14804779444444371</v>
      </c>
      <c r="Z129" s="411">
        <f t="shared" si="62"/>
        <v>6.5666666666666665E-2</v>
      </c>
      <c r="AA129" s="398">
        <f t="shared" si="63"/>
        <v>296.09558888888745</v>
      </c>
      <c r="AB129" s="399">
        <f t="shared" si="63"/>
        <v>131.33333333333334</v>
      </c>
      <c r="AC129" s="398">
        <f t="shared" si="118"/>
        <v>296.09558888888745</v>
      </c>
      <c r="AD129" s="399">
        <f t="shared" si="119"/>
        <v>131.33333333333334</v>
      </c>
      <c r="AE129" s="398">
        <f t="shared" si="120"/>
        <v>8.794038989999958</v>
      </c>
      <c r="AF129" s="399">
        <f t="shared" si="121"/>
        <v>3.9006000000000003</v>
      </c>
      <c r="AG129" s="348">
        <v>0</v>
      </c>
      <c r="AH129" s="421">
        <f t="shared" si="131"/>
        <v>92.688888888888883</v>
      </c>
      <c r="AI129" s="422">
        <f t="shared" si="122"/>
        <v>41.953703703703702</v>
      </c>
      <c r="AJ129" s="420">
        <f t="shared" si="123"/>
        <v>49.163333333333334</v>
      </c>
      <c r="AK129" s="425">
        <f t="shared" si="124"/>
        <v>21.888888888888889</v>
      </c>
      <c r="AL129" s="398">
        <f t="shared" si="132"/>
        <v>14.96</v>
      </c>
      <c r="AM129" s="399">
        <f t="shared" si="125"/>
        <v>7.2233333333333336</v>
      </c>
      <c r="AN129" s="420">
        <f t="shared" si="126"/>
        <v>10.943333333333333</v>
      </c>
      <c r="AO129" s="425">
        <f t="shared" si="127"/>
        <v>5.4722222222222223</v>
      </c>
      <c r="AP129" s="420">
        <f t="shared" si="128"/>
        <v>13.922222222222221</v>
      </c>
      <c r="AQ129" s="425">
        <f t="shared" si="129"/>
        <v>6.3842592592592595</v>
      </c>
      <c r="AR129" s="454">
        <f t="shared" si="76"/>
        <v>0</v>
      </c>
      <c r="AS129" s="85">
        <f t="shared" si="130"/>
        <v>118.17999999999302</v>
      </c>
    </row>
    <row r="130" spans="2:45" ht="12.75" customHeight="1" x14ac:dyDescent="0.2">
      <c r="B130" s="335">
        <v>98116.800000000003</v>
      </c>
      <c r="C130" s="336">
        <v>98141.8</v>
      </c>
      <c r="D130" s="337" t="s">
        <v>15</v>
      </c>
      <c r="E130" s="337" t="s">
        <v>102</v>
      </c>
      <c r="F130" s="337" t="s">
        <v>107</v>
      </c>
      <c r="G130" s="47" t="str">
        <f t="shared" si="117"/>
        <v>F/C - C/B</v>
      </c>
      <c r="H130" s="26">
        <f>IF(AND($E130=$AU$2,$F130=$AU$2),2*$AW$13,IF(OR(AND($E130=$AU$2, $F130=$AU$3),AND($E130=$AU$3,$F130=$AU$2)),$AW$13+$AW$14,IF(OR(AND($E130=$AU$2,$F130=$AU$5),AND($E130=$AU$5,$F130=$AU$2)),$AW$13,IF(OR(AND($E130=$AU$3,$F130=$AU$5),AND($E130=$AU$5,$F130=$AU$3)),$AW$14,IF(AND($E130=$AU$3,$F130=$AU$3),2*$AW$14,0)))))</f>
        <v>2</v>
      </c>
      <c r="I130" s="27">
        <f>IF(AND($E130=$AU$2,$F130=$AU$2),2*$AZ$13*$M130/27,IF(OR(AND($E130=$AU$2,$F130=$AU$3),AND($E130=$AU$3,$F130=$AU$2)),$AZ$13*$M130/27,IF(OR(AND($E130=$AU$2,$F130=$AU$5),AND($E130=$AU$5,$F130=$AU$2)),$AZ$13*$M130/27,0)))</f>
        <v>0</v>
      </c>
      <c r="J130" s="27">
        <f>IF(AND($E130=$AU$2,$F130=$AU$2),2*$BC$13*$M130/27,IF(OR(AND($E130=$AU$2,$F130=$AU$3),AND($E130=$AU$3,$F130=$AU$2)),($BC$13+$BC$14)*$M130/27,IF(OR(AND($E130=$AU$2,$F130=$AU$5),AND($E130=$AU$5,$F130=$AU$2)),$BC$13*$M130/27,IF(OR(AND($E130=$AU$3,$F130=$AU$5),AND($E130=$AU$5,$F130=$AU$3)),$BC$14*$M130/27,IF(AND($E130=$AU$3,$F130=$AU$3),2*$BC$14*$M130/27,0)))))</f>
        <v>0.90740740740740744</v>
      </c>
      <c r="K130" s="27">
        <f>IF(AND($E130=$AU$5,$F130=$AU$5),2*$BF$15*$M130/27,IF(OR($E130=$AU$5,$F130=$AU$5),$BF$15*$M130/27,0))</f>
        <v>-0.16666666666666666</v>
      </c>
      <c r="L130" s="338">
        <v>0</v>
      </c>
      <c r="M130" s="83">
        <f t="shared" si="57"/>
        <v>25</v>
      </c>
      <c r="N130" s="384">
        <v>41.42</v>
      </c>
      <c r="O130" s="385">
        <v>20</v>
      </c>
      <c r="P130" s="222">
        <f t="shared" si="78"/>
        <v>1036</v>
      </c>
      <c r="Q130" s="274">
        <f t="shared" si="58"/>
        <v>500</v>
      </c>
      <c r="R130" s="394">
        <v>0</v>
      </c>
      <c r="S130" s="395">
        <v>0</v>
      </c>
      <c r="T130" s="221">
        <f t="shared" si="59"/>
        <v>1036</v>
      </c>
      <c r="U130" s="269">
        <f t="shared" si="59"/>
        <v>500</v>
      </c>
      <c r="V130" s="345">
        <v>0</v>
      </c>
      <c r="W130" s="402">
        <v>0</v>
      </c>
      <c r="X130" s="403">
        <v>0</v>
      </c>
      <c r="Y130" s="410">
        <f t="shared" si="62"/>
        <v>6.0333333333333336E-2</v>
      </c>
      <c r="Z130" s="411">
        <f t="shared" si="62"/>
        <v>2.777777777777778E-2</v>
      </c>
      <c r="AA130" s="398">
        <f t="shared" si="63"/>
        <v>120.66666666666667</v>
      </c>
      <c r="AB130" s="399">
        <f t="shared" si="63"/>
        <v>55.555555555555557</v>
      </c>
      <c r="AC130" s="398">
        <f t="shared" si="118"/>
        <v>120.66666666666667</v>
      </c>
      <c r="AD130" s="399">
        <f t="shared" si="119"/>
        <v>55.555555555555557</v>
      </c>
      <c r="AE130" s="398">
        <f t="shared" si="120"/>
        <v>3.5837999999999997</v>
      </c>
      <c r="AF130" s="399">
        <f t="shared" si="121"/>
        <v>1.65</v>
      </c>
      <c r="AG130" s="348">
        <v>0</v>
      </c>
      <c r="AH130" s="421">
        <f t="shared" si="131"/>
        <v>36.771604938271608</v>
      </c>
      <c r="AI130" s="422">
        <f t="shared" si="122"/>
        <v>17.746913580246915</v>
      </c>
      <c r="AJ130" s="420">
        <f t="shared" si="123"/>
        <v>20.092592592592595</v>
      </c>
      <c r="AK130" s="425">
        <f t="shared" si="124"/>
        <v>9.2592592592592595</v>
      </c>
      <c r="AL130" s="398">
        <f t="shared" si="132"/>
        <v>6.3311111111111114</v>
      </c>
      <c r="AM130" s="399">
        <f t="shared" si="125"/>
        <v>3.0555555555555558</v>
      </c>
      <c r="AN130" s="420">
        <f t="shared" si="126"/>
        <v>4.6296296296296298</v>
      </c>
      <c r="AO130" s="425">
        <f t="shared" si="127"/>
        <v>2.3148148148148149</v>
      </c>
      <c r="AP130" s="420">
        <f t="shared" si="128"/>
        <v>5.5956790123456797</v>
      </c>
      <c r="AQ130" s="425">
        <f t="shared" si="129"/>
        <v>2.7006172839506175</v>
      </c>
      <c r="AR130" s="454">
        <f t="shared" si="76"/>
        <v>0</v>
      </c>
      <c r="AS130" s="85">
        <f t="shared" si="130"/>
        <v>50</v>
      </c>
    </row>
    <row r="131" spans="2:45" ht="12.75" customHeight="1" x14ac:dyDescent="0.2">
      <c r="B131" s="335">
        <v>98141.8</v>
      </c>
      <c r="C131" s="336">
        <v>98171.8</v>
      </c>
      <c r="D131" s="337" t="s">
        <v>15</v>
      </c>
      <c r="E131" s="337" t="s">
        <v>102</v>
      </c>
      <c r="F131" s="337" t="s">
        <v>107</v>
      </c>
      <c r="G131" s="47" t="str">
        <f t="shared" si="117"/>
        <v>F/C - C/B</v>
      </c>
      <c r="H131" s="26">
        <f>IF(AND($E131=$AU$2,$F131=$AU$2),2*$AW$13,IF(OR(AND($E131=$AU$2, $F131=$AU$3),AND($E131=$AU$3,$F131=$AU$2)),$AW$13+$AW$14,IF(OR(AND($E131=$AU$2,$F131=$AU$5),AND($E131=$AU$5,$F131=$AU$2)),$AW$13,IF(OR(AND($E131=$AU$3,$F131=$AU$5),AND($E131=$AU$5,$F131=$AU$3)),$AW$14,IF(AND($E131=$AU$3,$F131=$AU$3),2*$AW$14,0)))))</f>
        <v>2</v>
      </c>
      <c r="I131" s="27">
        <f>IF(AND($E131=$AU$2,$F131=$AU$2),2*$AZ$13*$M131/27,IF(OR(AND($E131=$AU$2,$F131=$AU$3),AND($E131=$AU$3,$F131=$AU$2)),$AZ$13*$M131/27,IF(OR(AND($E131=$AU$2,$F131=$AU$5),AND($E131=$AU$5,$F131=$AU$2)),$AZ$13*$M131/27,0)))</f>
        <v>0</v>
      </c>
      <c r="J131" s="27">
        <f>IF(AND($E131=$AU$2,$F131=$AU$2),2*$BC$13*$M131/27,IF(OR(AND($E131=$AU$2,$F131=$AU$3),AND($E131=$AU$3,$F131=$AU$2)),($BC$13+$BC$14)*$M131/27,IF(OR(AND($E131=$AU$2,$F131=$AU$5),AND($E131=$AU$5,$F131=$AU$2)),$BC$13*$M131/27,IF(OR(AND($E131=$AU$3,$F131=$AU$5),AND($E131=$AU$5,$F131=$AU$3)),$BC$14*$M131/27,IF(AND($E131=$AU$3,$F131=$AU$3),2*$BC$14*$M131/27,0)))))</f>
        <v>1.0888888888888888</v>
      </c>
      <c r="K131" s="27">
        <f>IF(AND($E131=$AU$5,$F131=$AU$5),2*$BF$15*$M131/27,IF(OR($E131=$AU$5,$F131=$AU$5),$BF$15*$M131/27,0))</f>
        <v>-0.19999999999999998</v>
      </c>
      <c r="L131" s="338">
        <v>0</v>
      </c>
      <c r="M131" s="83">
        <f t="shared" si="57"/>
        <v>30</v>
      </c>
      <c r="N131" s="384">
        <v>42.42</v>
      </c>
      <c r="O131" s="385">
        <v>20</v>
      </c>
      <c r="P131" s="222">
        <f t="shared" si="78"/>
        <v>1273</v>
      </c>
      <c r="Q131" s="274">
        <f t="shared" si="58"/>
        <v>600</v>
      </c>
      <c r="R131" s="394">
        <v>0</v>
      </c>
      <c r="S131" s="395">
        <v>0</v>
      </c>
      <c r="T131" s="221">
        <f t="shared" si="59"/>
        <v>1273</v>
      </c>
      <c r="U131" s="269">
        <f t="shared" si="59"/>
        <v>600</v>
      </c>
      <c r="V131" s="345">
        <v>0</v>
      </c>
      <c r="W131" s="402">
        <v>0</v>
      </c>
      <c r="X131" s="403">
        <v>0</v>
      </c>
      <c r="Y131" s="410">
        <f t="shared" si="62"/>
        <v>7.4055555555555555E-2</v>
      </c>
      <c r="Z131" s="411">
        <f t="shared" si="62"/>
        <v>3.3333333333333333E-2</v>
      </c>
      <c r="AA131" s="398">
        <f t="shared" si="63"/>
        <v>148.11111111111111</v>
      </c>
      <c r="AB131" s="399">
        <f t="shared" si="63"/>
        <v>66.666666666666671</v>
      </c>
      <c r="AC131" s="398">
        <f t="shared" si="118"/>
        <v>148.11111111111111</v>
      </c>
      <c r="AD131" s="399">
        <f t="shared" si="119"/>
        <v>66.666666666666671</v>
      </c>
      <c r="AE131" s="398">
        <f t="shared" si="120"/>
        <v>4.3989000000000003</v>
      </c>
      <c r="AF131" s="399">
        <f t="shared" si="121"/>
        <v>1.98</v>
      </c>
      <c r="AG131" s="348">
        <v>0</v>
      </c>
      <c r="AH131" s="421">
        <f t="shared" si="131"/>
        <v>45.183641975308639</v>
      </c>
      <c r="AI131" s="422">
        <f t="shared" si="122"/>
        <v>21.296296296296298</v>
      </c>
      <c r="AJ131" s="420">
        <f t="shared" si="123"/>
        <v>24.662962962962961</v>
      </c>
      <c r="AK131" s="425">
        <f t="shared" si="124"/>
        <v>11.111111111111111</v>
      </c>
      <c r="AL131" s="398">
        <f t="shared" si="132"/>
        <v>7.7794444444444455</v>
      </c>
      <c r="AM131" s="399">
        <f t="shared" si="125"/>
        <v>3.666666666666667</v>
      </c>
      <c r="AN131" s="420">
        <f t="shared" si="126"/>
        <v>5.693518518518518</v>
      </c>
      <c r="AO131" s="425">
        <f t="shared" si="127"/>
        <v>2.7777777777777777</v>
      </c>
      <c r="AP131" s="420">
        <f t="shared" si="128"/>
        <v>6.8757716049382722</v>
      </c>
      <c r="AQ131" s="425">
        <f t="shared" si="129"/>
        <v>3.2407407407407409</v>
      </c>
      <c r="AR131" s="454">
        <f t="shared" si="76"/>
        <v>0</v>
      </c>
      <c r="AS131" s="85">
        <f t="shared" si="130"/>
        <v>60</v>
      </c>
    </row>
    <row r="132" spans="2:45" ht="12.75" customHeight="1" x14ac:dyDescent="0.2">
      <c r="B132" s="335">
        <v>98171.8</v>
      </c>
      <c r="C132" s="336">
        <v>98778.16</v>
      </c>
      <c r="D132" s="337" t="s">
        <v>15</v>
      </c>
      <c r="E132" s="337" t="s">
        <v>102</v>
      </c>
      <c r="F132" s="337" t="s">
        <v>107</v>
      </c>
      <c r="G132" s="47" t="str">
        <f t="shared" si="117"/>
        <v>F/C - C/B</v>
      </c>
      <c r="H132" s="26">
        <f>IF(AND($E132=$AU$2,$F132=$AU$2),2*$AW$13,IF(OR(AND($E132=$AU$2, $F132=$AU$3),AND($E132=$AU$3,$F132=$AU$2)),$AW$13+$AW$14,IF(OR(AND($E132=$AU$2,$F132=$AU$5),AND($E132=$AU$5,$F132=$AU$2)),$AW$13,IF(OR(AND($E132=$AU$3,$F132=$AU$5),AND($E132=$AU$5,$F132=$AU$3)),$AW$14,IF(AND($E132=$AU$3,$F132=$AU$3),2*$AW$14,0)))))</f>
        <v>2</v>
      </c>
      <c r="I132" s="27">
        <f>IF(AND($E132=$AU$2,$F132=$AU$2),2*$AZ$13*$M132/27,IF(OR(AND($E132=$AU$2,$F132=$AU$3),AND($E132=$AU$3,$F132=$AU$2)),$AZ$13*$M132/27,IF(OR(AND($E132=$AU$2,$F132=$AU$5),AND($E132=$AU$5,$F132=$AU$2)),$AZ$13*$M132/27,0)))</f>
        <v>0</v>
      </c>
      <c r="J132" s="27">
        <f>IF(AND($E132=$AU$2,$F132=$AU$2),2*$BC$13*$M132/27,IF(OR(AND($E132=$AU$2,$F132=$AU$3),AND($E132=$AU$3,$F132=$AU$2)),($BC$13+$BC$14)*$M132/27,IF(OR(AND($E132=$AU$2,$F132=$AU$5),AND($E132=$AU$5,$F132=$AU$2)),$BC$13*$M132/27,IF(OR(AND($E132=$AU$3,$F132=$AU$5),AND($E132=$AU$5,$F132=$AU$3)),$BC$14*$M132/27,IF(AND($E132=$AU$3,$F132=$AU$3),2*$BC$14*$M132/27,0)))))</f>
        <v>22.008622222222243</v>
      </c>
      <c r="K132" s="27">
        <f>IF(AND($E132=$AU$5,$F132=$AU$5),2*$BF$15*$M132/27,IF(OR($E132=$AU$5,$F132=$AU$5),$BF$15*$M132/27,0))</f>
        <v>-4.0424000000000042</v>
      </c>
      <c r="L132" s="338">
        <v>0</v>
      </c>
      <c r="M132" s="83">
        <f t="shared" si="57"/>
        <v>606.36000000000058</v>
      </c>
      <c r="N132" s="384">
        <v>43.42</v>
      </c>
      <c r="O132" s="385">
        <v>20</v>
      </c>
      <c r="P132" s="222">
        <f t="shared" si="78"/>
        <v>26329</v>
      </c>
      <c r="Q132" s="274">
        <f t="shared" si="58"/>
        <v>12128</v>
      </c>
      <c r="R132" s="394">
        <v>0</v>
      </c>
      <c r="S132" s="395">
        <v>0</v>
      </c>
      <c r="T132" s="221">
        <f t="shared" si="59"/>
        <v>26329</v>
      </c>
      <c r="U132" s="269">
        <f t="shared" si="59"/>
        <v>12128</v>
      </c>
      <c r="V132" s="345">
        <v>0</v>
      </c>
      <c r="W132" s="402">
        <v>0</v>
      </c>
      <c r="X132" s="403">
        <v>0</v>
      </c>
      <c r="Y132" s="410">
        <f t="shared" si="62"/>
        <v>1.5300955555555555</v>
      </c>
      <c r="Z132" s="411">
        <f t="shared" si="62"/>
        <v>0.67377777777777781</v>
      </c>
      <c r="AA132" s="398">
        <f t="shared" si="63"/>
        <v>3060.1911111111112</v>
      </c>
      <c r="AB132" s="399">
        <f t="shared" si="63"/>
        <v>1347.5555555555557</v>
      </c>
      <c r="AC132" s="398">
        <f t="shared" si="118"/>
        <v>3060.1911111111112</v>
      </c>
      <c r="AD132" s="399">
        <f t="shared" si="119"/>
        <v>1347.5555555555557</v>
      </c>
      <c r="AE132" s="398">
        <f t="shared" si="120"/>
        <v>90.887676000000013</v>
      </c>
      <c r="AF132" s="399">
        <f t="shared" si="121"/>
        <v>40.022400000000005</v>
      </c>
      <c r="AG132" s="348">
        <v>0</v>
      </c>
      <c r="AH132" s="421">
        <f t="shared" si="131"/>
        <v>934.51697530864192</v>
      </c>
      <c r="AI132" s="422">
        <f t="shared" si="122"/>
        <v>430.46913580246911</v>
      </c>
      <c r="AJ132" s="420">
        <f t="shared" si="123"/>
        <v>509.58269629629632</v>
      </c>
      <c r="AK132" s="425">
        <f t="shared" si="124"/>
        <v>224.59259259259258</v>
      </c>
      <c r="AL132" s="398">
        <f t="shared" si="132"/>
        <v>160.89944444444444</v>
      </c>
      <c r="AM132" s="399">
        <f t="shared" si="125"/>
        <v>74.115555555555559</v>
      </c>
      <c r="AN132" s="420">
        <f t="shared" si="126"/>
        <v>117.85111851851852</v>
      </c>
      <c r="AO132" s="425">
        <f t="shared" si="127"/>
        <v>56.148148148148145</v>
      </c>
      <c r="AP132" s="420">
        <f t="shared" si="128"/>
        <v>142.20910493827162</v>
      </c>
      <c r="AQ132" s="425">
        <f t="shared" si="129"/>
        <v>65.506172839506178</v>
      </c>
      <c r="AR132" s="454">
        <f t="shared" si="76"/>
        <v>0</v>
      </c>
      <c r="AS132" s="85">
        <f t="shared" si="130"/>
        <v>1212.7200000000012</v>
      </c>
    </row>
    <row r="133" spans="2:45" ht="12.75" customHeight="1" x14ac:dyDescent="0.2">
      <c r="B133" s="335">
        <v>98778.16</v>
      </c>
      <c r="C133" s="336">
        <v>101500</v>
      </c>
      <c r="D133" s="337" t="s">
        <v>15</v>
      </c>
      <c r="E133" s="337" t="s">
        <v>101</v>
      </c>
      <c r="F133" s="337" t="s">
        <v>107</v>
      </c>
      <c r="G133" s="47" t="str">
        <f t="shared" si="117"/>
        <v>E/S - C/B</v>
      </c>
      <c r="H133" s="26">
        <f>IF(AND($E133=$AU$2,$F133=$AU$2),2*$AW$13,IF(OR(AND($E133=$AU$2, $F133=$AU$3),AND($E133=$AU$3,$F133=$AU$2)),$AW$13+$AW$14,IF(OR(AND($E133=$AU$2,$F133=$AU$5),AND($E133=$AU$5,$F133=$AU$2)),$AW$13,IF(OR(AND($E133=$AU$3,$F133=$AU$5),AND($E133=$AU$5,$F133=$AU$3)),$AW$14,IF(AND($E133=$AU$3,$F133=$AU$3),2*$AW$14,0)))))</f>
        <v>1.5</v>
      </c>
      <c r="I133" s="27">
        <f>IF(AND($E133=$AU$2,$F133=$AU$2),2*$AZ$13*$M133/27,IF(OR(AND($E133=$AU$2,$F133=$AU$3),AND($E133=$AU$3,$F133=$AU$2)),$AZ$13*$M133/27,IF(OR(AND($E133=$AU$2,$F133=$AU$5),AND($E133=$AU$5,$F133=$AU$2)),$AZ$13*$M133/27,0)))</f>
        <v>57.461066666666589</v>
      </c>
      <c r="J133" s="27">
        <f>IF(AND($E133=$AU$2,$F133=$AU$2),2*$BC$13*$M133/27,IF(OR(AND($E133=$AU$2,$F133=$AU$3),AND($E133=$AU$3,$F133=$AU$2)),($BC$13+$BC$14)*$M133/27,IF(OR(AND($E133=$AU$2,$F133=$AU$5),AND($E133=$AU$5,$F133=$AU$2)),$BC$13*$M133/27,IF(OR(AND($E133=$AU$3,$F133=$AU$5),AND($E133=$AU$5,$F133=$AU$3)),$BC$14*$M133/27,IF(AND($E133=$AU$3,$F133=$AU$3),2*$BC$14*$M133/27,0)))))</f>
        <v>67.541955555555475</v>
      </c>
      <c r="K133" s="27">
        <f>IF(AND($E133=$AU$5,$F133=$AU$5),2*$BF$15*$M133/27,IF(OR($E133=$AU$5,$F133=$AU$5),$BF$15*$M133/27,0))</f>
        <v>-18.145599999999977</v>
      </c>
      <c r="L133" s="338">
        <v>0</v>
      </c>
      <c r="M133" s="83">
        <f>C133-B133</f>
        <v>2721.8399999999965</v>
      </c>
      <c r="N133" s="384">
        <v>41.42</v>
      </c>
      <c r="O133" s="385">
        <v>20</v>
      </c>
      <c r="P133" s="222">
        <f>IF(N133="-",0,ROUNDUP($M133*N133,0))</f>
        <v>112739</v>
      </c>
      <c r="Q133" s="274">
        <f t="shared" si="58"/>
        <v>54437</v>
      </c>
      <c r="R133" s="394">
        <v>0</v>
      </c>
      <c r="S133" s="395">
        <v>0</v>
      </c>
      <c r="T133" s="221">
        <f t="shared" si="59"/>
        <v>112739</v>
      </c>
      <c r="U133" s="269">
        <f t="shared" si="59"/>
        <v>54437</v>
      </c>
      <c r="V133" s="345">
        <v>0</v>
      </c>
      <c r="W133" s="402">
        <v>0</v>
      </c>
      <c r="X133" s="403">
        <v>0</v>
      </c>
      <c r="Y133" s="410">
        <f>IF(AND(W133=0,AA133=0),0,IF(AA133=0,W133/2000,AA133/2000))</f>
        <v>6.4900977777777769</v>
      </c>
      <c r="Z133" s="411">
        <f t="shared" si="62"/>
        <v>3.0242777777777778</v>
      </c>
      <c r="AA133" s="398">
        <f t="shared" si="63"/>
        <v>12980.195555555554</v>
      </c>
      <c r="AB133" s="399">
        <f t="shared" si="63"/>
        <v>6048.5555555555557</v>
      </c>
      <c r="AC133" s="398">
        <f t="shared" si="118"/>
        <v>12980.195555555554</v>
      </c>
      <c r="AD133" s="399">
        <f t="shared" si="119"/>
        <v>6048.5555555555557</v>
      </c>
      <c r="AE133" s="398">
        <f t="shared" si="120"/>
        <v>385.51180799999997</v>
      </c>
      <c r="AF133" s="399">
        <f t="shared" si="121"/>
        <v>179.6421</v>
      </c>
      <c r="AG133" s="348">
        <v>0</v>
      </c>
      <c r="AH133" s="421">
        <f t="shared" si="131"/>
        <v>4058.9996469135804</v>
      </c>
      <c r="AI133" s="422">
        <f t="shared" si="122"/>
        <v>1932.1774691358023</v>
      </c>
      <c r="AJ133" s="420">
        <f t="shared" si="123"/>
        <v>2155.3012148148146</v>
      </c>
      <c r="AK133" s="425">
        <f t="shared" si="124"/>
        <v>1008.0925925925926</v>
      </c>
      <c r="AL133" s="398">
        <f t="shared" si="132"/>
        <v>688.96055555555552</v>
      </c>
      <c r="AM133" s="399">
        <f t="shared" si="125"/>
        <v>332.67055555555555</v>
      </c>
      <c r="AN133" s="420">
        <f t="shared" si="126"/>
        <v>503.79421481481478</v>
      </c>
      <c r="AO133" s="425">
        <f t="shared" si="127"/>
        <v>252.02314814814815</v>
      </c>
      <c r="AP133" s="420">
        <f t="shared" si="128"/>
        <v>608.92978395061732</v>
      </c>
      <c r="AQ133" s="425">
        <f t="shared" si="129"/>
        <v>294.02700617283949</v>
      </c>
      <c r="AR133" s="454">
        <f t="shared" si="76"/>
        <v>100.80888888888876</v>
      </c>
      <c r="AS133" s="85">
        <f t="shared" si="130"/>
        <v>5443.679999999993</v>
      </c>
    </row>
    <row r="134" spans="2:45" s="81" customFormat="1" ht="12.75" customHeight="1" x14ac:dyDescent="0.2">
      <c r="B134" s="335">
        <v>101500</v>
      </c>
      <c r="C134" s="336">
        <v>102250</v>
      </c>
      <c r="D134" s="337" t="s">
        <v>15</v>
      </c>
      <c r="E134" s="337" t="s">
        <v>101</v>
      </c>
      <c r="F134" s="337" t="s">
        <v>107</v>
      </c>
      <c r="G134" s="103" t="str">
        <f t="shared" si="117"/>
        <v>E/S - C/B</v>
      </c>
      <c r="H134" s="26">
        <f>IF(AND($E134=$AU$2,$F134=$AU$2),2*$AW$13,IF(OR(AND($E134=$AU$2, $F134=$AU$3),AND($E134=$AU$3,$F134=$AU$2)),$AW$13+$AW$14,IF(OR(AND($E134=$AU$2,$F134=$AU$5),AND($E134=$AU$5,$F134=$AU$2)),$AW$13,IF(OR(AND($E134=$AU$3,$F134=$AU$5),AND($E134=$AU$5,$F134=$AU$3)),$AW$14,IF(AND($E134=$AU$3,$F134=$AU$3),2*$AW$14,0)))))</f>
        <v>1.5</v>
      </c>
      <c r="I134" s="27">
        <f>IF(AND($E134=$AU$2,$F134=$AU$2),2*$AZ$13*$M134/27,IF(OR(AND($E134=$AU$2,$F134=$AU$3),AND($E134=$AU$3,$F134=$AU$2)),$AZ$13*$M134/27,IF(OR(AND($E134=$AU$2,$F134=$AU$5),AND($E134=$AU$5,$F134=$AU$2)),$AZ$13*$M134/27,0)))</f>
        <v>15.83333333333333</v>
      </c>
      <c r="J134" s="27">
        <f>IF(AND($E134=$AU$2,$F134=$AU$2),2*$BC$13*$M134/27,IF(OR(AND($E134=$AU$2,$F134=$AU$3),AND($E134=$AU$3,$F134=$AU$2)),($BC$13+$BC$14)*$M134/27,IF(OR(AND($E134=$AU$2,$F134=$AU$5),AND($E134=$AU$5,$F134=$AU$2)),$BC$13*$M134/27,IF(OR(AND($E134=$AU$3,$F134=$AU$5),AND($E134=$AU$5,$F134=$AU$3)),$BC$14*$M134/27,IF(AND($E134=$AU$3,$F134=$AU$3),2*$BC$14*$M134/27,0)))))</f>
        <v>18.611111111111114</v>
      </c>
      <c r="K134" s="27">
        <f>IF(AND($E134=$AU$5,$F134=$AU$5),2*$BF$15*$M134/27,IF(OR($E134=$AU$5,$F134=$AU$5),$BF$15*$M134/27,0))</f>
        <v>-5</v>
      </c>
      <c r="L134" s="338">
        <v>0</v>
      </c>
      <c r="M134" s="479">
        <f>C134-B134</f>
        <v>750</v>
      </c>
      <c r="N134" s="484">
        <v>12</v>
      </c>
      <c r="O134" s="385" t="s">
        <v>97</v>
      </c>
      <c r="P134" s="222">
        <f>IF(N134="-",0,ROUNDUP($M134*N134,0))</f>
        <v>9000</v>
      </c>
      <c r="Q134" s="274">
        <f t="shared" si="58"/>
        <v>0</v>
      </c>
      <c r="R134" s="485">
        <v>0</v>
      </c>
      <c r="S134" s="486">
        <v>0</v>
      </c>
      <c r="T134" s="487">
        <f t="shared" si="59"/>
        <v>9000</v>
      </c>
      <c r="U134" s="488">
        <f t="shared" si="59"/>
        <v>0</v>
      </c>
      <c r="V134" s="345">
        <v>0</v>
      </c>
      <c r="W134" s="495">
        <v>0</v>
      </c>
      <c r="X134" s="496">
        <v>0</v>
      </c>
      <c r="Y134" s="491">
        <f>IF(AND(W134=0,AA134=0),0,IF(AA134=0,W134/2000,AA134/2000))</f>
        <v>0.5625</v>
      </c>
      <c r="Z134" s="492">
        <f t="shared" si="62"/>
        <v>0</v>
      </c>
      <c r="AA134" s="398">
        <f t="shared" si="63"/>
        <v>1125</v>
      </c>
      <c r="AB134" s="399">
        <f t="shared" si="63"/>
        <v>0</v>
      </c>
      <c r="AC134" s="398">
        <f t="shared" si="118"/>
        <v>1125</v>
      </c>
      <c r="AD134" s="399">
        <f t="shared" si="119"/>
        <v>0</v>
      </c>
      <c r="AE134" s="398">
        <f t="shared" si="120"/>
        <v>33.412500000000001</v>
      </c>
      <c r="AF134" s="399">
        <f t="shared" si="121"/>
        <v>0</v>
      </c>
      <c r="AG134" s="348">
        <v>764</v>
      </c>
      <c r="AH134" s="421">
        <f t="shared" si="131"/>
        <v>335.27777777777777</v>
      </c>
      <c r="AI134" s="422">
        <f t="shared" si="122"/>
        <v>0</v>
      </c>
      <c r="AJ134" s="420">
        <f t="shared" si="123"/>
        <v>185.27777777777777</v>
      </c>
      <c r="AK134" s="425">
        <f t="shared" si="124"/>
        <v>0</v>
      </c>
      <c r="AL134" s="398">
        <f t="shared" si="132"/>
        <v>55</v>
      </c>
      <c r="AM134" s="399">
        <f t="shared" si="125"/>
        <v>0</v>
      </c>
      <c r="AN134" s="420">
        <f t="shared" si="126"/>
        <v>36.666666666666664</v>
      </c>
      <c r="AO134" s="425">
        <f t="shared" si="127"/>
        <v>0</v>
      </c>
      <c r="AP134" s="420">
        <f t="shared" si="128"/>
        <v>48.611111111111114</v>
      </c>
      <c r="AQ134" s="426">
        <f t="shared" si="129"/>
        <v>0</v>
      </c>
      <c r="AR134" s="478">
        <f t="shared" si="76"/>
        <v>27.777777777777779</v>
      </c>
      <c r="AS134" s="469">
        <f t="shared" si="130"/>
        <v>1500</v>
      </c>
    </row>
    <row r="135" spans="2:45" ht="12.75" customHeight="1" thickBot="1" x14ac:dyDescent="0.25">
      <c r="B135" s="54"/>
      <c r="C135" s="3"/>
      <c r="D135" s="32"/>
      <c r="E135" s="32"/>
      <c r="F135" s="32"/>
      <c r="G135" s="32"/>
      <c r="H135" s="26"/>
      <c r="I135" s="27"/>
      <c r="J135" s="27"/>
      <c r="K135" s="27"/>
      <c r="L135" s="27"/>
      <c r="M135" s="4"/>
      <c r="N135" s="386"/>
      <c r="O135" s="385"/>
      <c r="P135" s="222"/>
      <c r="Q135" s="274"/>
      <c r="R135" s="223"/>
      <c r="S135" s="280"/>
      <c r="T135" s="223"/>
      <c r="U135" s="280"/>
      <c r="V135" s="123"/>
      <c r="W135" s="223"/>
      <c r="X135" s="280"/>
      <c r="Y135" s="412"/>
      <c r="Z135" s="413"/>
      <c r="AA135" s="398"/>
      <c r="AB135" s="399"/>
      <c r="AC135" s="398"/>
      <c r="AD135" s="399"/>
      <c r="AE135" s="398"/>
      <c r="AF135" s="399"/>
      <c r="AG135" s="70"/>
      <c r="AH135" s="421"/>
      <c r="AI135" s="422"/>
      <c r="AJ135" s="420"/>
      <c r="AK135" s="425"/>
      <c r="AL135" s="398"/>
      <c r="AM135" s="399"/>
      <c r="AN135" s="420"/>
      <c r="AO135" s="425"/>
      <c r="AP135" s="420"/>
      <c r="AQ135" s="426"/>
      <c r="AR135" s="457"/>
      <c r="AS135" s="19"/>
    </row>
    <row r="136" spans="2:45" s="81" customFormat="1" ht="12.75" customHeight="1" x14ac:dyDescent="0.2">
      <c r="B136" s="590" t="s">
        <v>253</v>
      </c>
      <c r="C136" s="591"/>
      <c r="D136" s="602" t="s">
        <v>232</v>
      </c>
      <c r="E136" s="603"/>
      <c r="F136" s="603"/>
      <c r="G136" s="603"/>
      <c r="H136" s="603"/>
      <c r="I136" s="603"/>
      <c r="J136" s="603"/>
      <c r="K136" s="603"/>
      <c r="L136" s="603"/>
      <c r="M136" s="603"/>
      <c r="N136" s="603"/>
      <c r="O136" s="603"/>
      <c r="P136" s="603"/>
      <c r="Q136" s="603"/>
      <c r="R136" s="603"/>
      <c r="S136" s="603"/>
      <c r="T136" s="603"/>
      <c r="U136" s="604"/>
      <c r="V136" s="610">
        <f t="shared" ref="V136:AS136" si="137">ROUNDUP(SUM(V76:V134),0)</f>
        <v>0</v>
      </c>
      <c r="W136" s="610">
        <f t="shared" si="137"/>
        <v>20004</v>
      </c>
      <c r="X136" s="610">
        <f t="shared" si="137"/>
        <v>8456</v>
      </c>
      <c r="Y136" s="610">
        <f t="shared" si="137"/>
        <v>70</v>
      </c>
      <c r="Z136" s="610">
        <f t="shared" si="137"/>
        <v>29</v>
      </c>
      <c r="AA136" s="610">
        <f t="shared" si="137"/>
        <v>118379</v>
      </c>
      <c r="AB136" s="610">
        <f t="shared" si="137"/>
        <v>49292</v>
      </c>
      <c r="AC136" s="610">
        <f t="shared" si="137"/>
        <v>118379</v>
      </c>
      <c r="AD136" s="610">
        <f t="shared" si="137"/>
        <v>49292</v>
      </c>
      <c r="AE136" s="610">
        <f t="shared" si="137"/>
        <v>3516</v>
      </c>
      <c r="AF136" s="610">
        <f t="shared" si="137"/>
        <v>1464</v>
      </c>
      <c r="AG136" s="610">
        <f t="shared" si="137"/>
        <v>765</v>
      </c>
      <c r="AH136" s="610">
        <f t="shared" si="137"/>
        <v>42858</v>
      </c>
      <c r="AI136" s="610">
        <f t="shared" si="137"/>
        <v>18369</v>
      </c>
      <c r="AJ136" s="610">
        <f t="shared" si="137"/>
        <v>23040</v>
      </c>
      <c r="AK136" s="610">
        <f t="shared" si="137"/>
        <v>9647</v>
      </c>
      <c r="AL136" s="610">
        <f t="shared" si="137"/>
        <v>7282</v>
      </c>
      <c r="AM136" s="610">
        <f t="shared" si="137"/>
        <v>3163</v>
      </c>
      <c r="AN136" s="610">
        <f t="shared" si="137"/>
        <v>5350</v>
      </c>
      <c r="AO136" s="610">
        <f t="shared" si="137"/>
        <v>2396</v>
      </c>
      <c r="AP136" s="610">
        <f t="shared" si="137"/>
        <v>6450</v>
      </c>
      <c r="AQ136" s="610">
        <f t="shared" si="137"/>
        <v>2796</v>
      </c>
      <c r="AR136" s="610">
        <f t="shared" si="137"/>
        <v>739</v>
      </c>
      <c r="AS136" s="610">
        <f t="shared" si="137"/>
        <v>54097</v>
      </c>
    </row>
    <row r="137" spans="2:45" s="81" customFormat="1" ht="12.75" customHeight="1" thickBot="1" x14ac:dyDescent="0.25">
      <c r="B137" s="594"/>
      <c r="C137" s="595"/>
      <c r="D137" s="605"/>
      <c r="E137" s="606"/>
      <c r="F137" s="606"/>
      <c r="G137" s="606"/>
      <c r="H137" s="606"/>
      <c r="I137" s="606"/>
      <c r="J137" s="606"/>
      <c r="K137" s="606"/>
      <c r="L137" s="606"/>
      <c r="M137" s="606"/>
      <c r="N137" s="606"/>
      <c r="O137" s="606"/>
      <c r="P137" s="606"/>
      <c r="Q137" s="606"/>
      <c r="R137" s="606"/>
      <c r="S137" s="606"/>
      <c r="T137" s="606"/>
      <c r="U137" s="607"/>
      <c r="V137" s="611"/>
      <c r="W137" s="611"/>
      <c r="X137" s="611"/>
      <c r="Y137" s="611"/>
      <c r="Z137" s="611"/>
      <c r="AA137" s="611"/>
      <c r="AB137" s="611"/>
      <c r="AC137" s="611"/>
      <c r="AD137" s="611"/>
      <c r="AE137" s="611"/>
      <c r="AF137" s="611"/>
      <c r="AG137" s="611"/>
      <c r="AH137" s="611"/>
      <c r="AI137" s="611"/>
      <c r="AJ137" s="611"/>
      <c r="AK137" s="611"/>
      <c r="AL137" s="611"/>
      <c r="AM137" s="611"/>
      <c r="AN137" s="611"/>
      <c r="AO137" s="611"/>
      <c r="AP137" s="611"/>
      <c r="AQ137" s="611"/>
      <c r="AR137" s="611"/>
      <c r="AS137" s="611"/>
    </row>
    <row r="138" spans="2:45" s="81" customFormat="1" ht="12.75" customHeight="1" x14ac:dyDescent="0.2">
      <c r="B138" s="647" t="s">
        <v>184</v>
      </c>
      <c r="C138" s="648"/>
      <c r="D138" s="445"/>
      <c r="E138" s="446"/>
      <c r="F138" s="447"/>
      <c r="G138" s="447"/>
      <c r="H138" s="448"/>
      <c r="I138" s="448"/>
      <c r="J138" s="448"/>
      <c r="K138" s="364"/>
      <c r="L138" s="364"/>
      <c r="M138" s="449"/>
      <c r="N138" s="222"/>
      <c r="O138" s="274"/>
      <c r="P138" s="222"/>
      <c r="Q138" s="274"/>
      <c r="R138" s="222"/>
      <c r="S138" s="274"/>
      <c r="T138" s="222"/>
      <c r="U138" s="274"/>
      <c r="V138" s="124"/>
      <c r="W138" s="222"/>
      <c r="X138" s="274"/>
      <c r="Y138" s="222"/>
      <c r="Z138" s="274"/>
      <c r="AA138" s="222"/>
      <c r="AB138" s="274"/>
      <c r="AC138" s="222"/>
      <c r="AD138" s="274"/>
      <c r="AE138" s="222"/>
      <c r="AF138" s="274"/>
      <c r="AG138" s="71"/>
      <c r="AH138" s="222"/>
      <c r="AI138" s="274"/>
      <c r="AJ138" s="222"/>
      <c r="AK138" s="274"/>
      <c r="AL138" s="222"/>
      <c r="AM138" s="274"/>
      <c r="AN138" s="222"/>
      <c r="AO138" s="274"/>
      <c r="AP138" s="222"/>
      <c r="AQ138" s="274"/>
      <c r="AR138" s="126"/>
      <c r="AS138" s="89"/>
    </row>
    <row r="139" spans="2:45" s="81" customFormat="1" ht="12.75" customHeight="1" x14ac:dyDescent="0.2">
      <c r="B139" s="335">
        <v>73400</v>
      </c>
      <c r="C139" s="336">
        <v>74426.75</v>
      </c>
      <c r="D139" s="340" t="s">
        <v>16</v>
      </c>
      <c r="E139" s="341" t="s">
        <v>97</v>
      </c>
      <c r="F139" s="341" t="s">
        <v>97</v>
      </c>
      <c r="G139" s="103" t="str">
        <f>IF(AND($E139=$AU$2,$F139=$AU$2),$AW$2,IF(OR(AND($E139=$AU$2,$F139=$AU$3),AND($E139=$AU$3,$F139=$AU$2)),$AW$3,IF(OR(AND($E139=$AU$2,$F139=$AU$5),AND($E139=$AU$5,$F139=$AU$2)),$AW$5,IF(OR(AND($E139=$AU$3,$F139=$AU$5),AND($E139=$AU$5,$F139=$AU$3)),$AW$6,IF(AND($E139=$AU$3,$F139=$AU$3),$AW$7,IF(AND($E139=$AU$5,$F139=$AU$5),$AW$8,"-"))))))</f>
        <v>-</v>
      </c>
      <c r="H139" s="26">
        <f>IF(AND($E139=$AU$2,$F139=$AU$2),2*$AW$13,IF(OR(AND($E139=$AU$2, $F139=$AU$3),AND($E139=$AU$3,$F139=$AU$2)),$AW$13+$AW$14,IF(OR(AND($E139=$AU$2,$F139=$AU$5),AND($E139=$AU$5,$F139=$AU$2)),$AW$13,IF(OR(AND($E139=$AU$3,$F139=$AU$5),AND($E139=$AU$5,$F139=$AU$3)),$AW$14,IF(AND($E139=$AU$3,$F139=$AU$3),2*$AW$14,0)))))</f>
        <v>0</v>
      </c>
      <c r="I139" s="27">
        <f>IF(AND($E139=$AU$2,$F139=$AU$2),2*$AZ$13*$M139/27,IF(OR(AND($E139=$AU$2,$F139=$AU$3),AND($E139=$AU$3,$F139=$AU$2)),$AZ$13*$M139/27,IF(OR(AND($E139=$AU$2,$F139=$AU$5),AND($E139=$AU$5,$F139=$AU$2)),$AZ$13*$M139/27,0)))</f>
        <v>0</v>
      </c>
      <c r="J139" s="27">
        <f>IF(AND($E139=$AU$2,$F139=$AU$2),2*$BC$13*$M139/27,IF(OR(AND($E139=$AU$2,$F139=$AU$3),AND($E139=$AU$3,$F139=$AU$2)),($BC$13+$BC$14)*$M139/27,IF(OR(AND($E139=$AU$2,$F139=$AU$5),AND($E139=$AU$5,$F139=$AU$2)),$BC$13*$M139/27,IF(OR(AND($E139=$AU$3,$F139=$AU$5),AND($E139=$AU$5,$F139=$AU$3)),$BC$14*$M139/27,IF(AND($E139=$AU$3,$F139=$AU$3),2*$BC$14*$M139/27,0)))))</f>
        <v>0</v>
      </c>
      <c r="K139" s="27">
        <f>IF(AND($E139=$AU$5,$F139=$AU$5),2*$BF$15*$M139/27,IF(OR($E139=$AU$5,$F139=$AU$5),$BF$15*$M139/27,0))</f>
        <v>0</v>
      </c>
      <c r="L139" s="338">
        <v>0</v>
      </c>
      <c r="M139" s="83">
        <f t="shared" ref="M139" si="138">C139-B139</f>
        <v>1026.75</v>
      </c>
      <c r="N139" s="388" t="s">
        <v>97</v>
      </c>
      <c r="O139" s="389" t="s">
        <v>97</v>
      </c>
      <c r="P139" s="221">
        <f>IF($N139="-",0,ROUNDUP($M139*$N139,0))</f>
        <v>0</v>
      </c>
      <c r="Q139" s="269">
        <f>IF($O139="-",0,ROUNDUP($M139*O139,0))</f>
        <v>0</v>
      </c>
      <c r="R139" s="396">
        <v>41973</v>
      </c>
      <c r="S139" s="397">
        <v>0</v>
      </c>
      <c r="T139" s="221">
        <f t="shared" ref="T139:U142" si="139">P139+R139</f>
        <v>41973</v>
      </c>
      <c r="U139" s="269">
        <f t="shared" si="139"/>
        <v>0</v>
      </c>
      <c r="V139" s="345">
        <v>0</v>
      </c>
      <c r="W139" s="402">
        <v>0</v>
      </c>
      <c r="X139" s="403">
        <v>0</v>
      </c>
      <c r="Y139" s="406">
        <v>0</v>
      </c>
      <c r="Z139" s="407">
        <v>0</v>
      </c>
      <c r="AA139" s="402">
        <v>0</v>
      </c>
      <c r="AB139" s="403">
        <v>0</v>
      </c>
      <c r="AC139" s="406">
        <v>0</v>
      </c>
      <c r="AD139" s="407">
        <v>0</v>
      </c>
      <c r="AE139" s="406">
        <v>0</v>
      </c>
      <c r="AF139" s="407">
        <v>0</v>
      </c>
      <c r="AG139" s="350">
        <v>40</v>
      </c>
      <c r="AH139" s="423">
        <v>0</v>
      </c>
      <c r="AI139" s="424">
        <v>0</v>
      </c>
      <c r="AJ139" s="388">
        <v>0</v>
      </c>
      <c r="AK139" s="389">
        <v>0</v>
      </c>
      <c r="AL139" s="398">
        <f>IF(A139="APP SLAB",0,(T139/9)*$AL$1)</f>
        <v>256.50166666666667</v>
      </c>
      <c r="AM139" s="399">
        <f>IF(A139="APP SLAB",0,(U139/9)*$AL$1)</f>
        <v>0</v>
      </c>
      <c r="AN139" s="420">
        <f>IF(A139="APP SLAB",0,(T139*($AN$1/12))/27+K139)</f>
        <v>194.31944444444446</v>
      </c>
      <c r="AO139" s="425">
        <f>IF(A139="APP SLAB",0,(U139*($AN$1/12))/27)</f>
        <v>0</v>
      </c>
      <c r="AP139" s="388">
        <v>0</v>
      </c>
      <c r="AQ139" s="389">
        <v>0</v>
      </c>
      <c r="AR139" s="368"/>
      <c r="AS139" s="347">
        <v>0</v>
      </c>
    </row>
    <row r="140" spans="2:45" s="81" customFormat="1" ht="12.75" customHeight="1" x14ac:dyDescent="0.2">
      <c r="B140" s="335">
        <v>73400</v>
      </c>
      <c r="C140" s="336">
        <v>74452.94</v>
      </c>
      <c r="D140" s="337" t="s">
        <v>15</v>
      </c>
      <c r="E140" s="337" t="s">
        <v>97</v>
      </c>
      <c r="F140" s="337" t="s">
        <v>97</v>
      </c>
      <c r="G140" s="103" t="str">
        <f>IF(AND($E140=$AU$2,$F140=$AU$2),$AW$2,IF(OR(AND($E140=$AU$2,$F140=$AU$3),AND($E140=$AU$3,$F140=$AU$2)),$AW$3,IF(OR(AND($E140=$AU$2,$F140=$AU$5),AND($E140=$AU$5,$F140=$AU$2)),$AW$5,IF(OR(AND($E140=$AU$3,$F140=$AU$5),AND($E140=$AU$5,$F140=$AU$3)),$AW$6,IF(AND($E140=$AU$3,$F140=$AU$3),$AW$7,IF(AND($E140=$AU$5,$F140=$AU$5),$AW$8,"-"))))))</f>
        <v>-</v>
      </c>
      <c r="H140" s="26">
        <f>IF(AND($E140=$AU$2,$F140=$AU$2),2*$AW$13,IF(OR(AND($E140=$AU$2, $F140=$AU$3),AND($E140=$AU$3,$F140=$AU$2)),$AW$13+$AW$14,IF(OR(AND($E140=$AU$2,$F140=$AU$5),AND($E140=$AU$5,$F140=$AU$2)),$AW$13,IF(OR(AND($E140=$AU$3,$F140=$AU$5),AND($E140=$AU$5,$F140=$AU$3)),$AW$14,IF(AND($E140=$AU$3,$F140=$AU$3),2*$AW$14,0)))))</f>
        <v>0</v>
      </c>
      <c r="I140" s="27">
        <f>IF(AND($E140=$AU$2,$F140=$AU$2),2*$AZ$13*$M140/27,IF(OR(AND($E140=$AU$2,$F140=$AU$3),AND($E140=$AU$3,$F140=$AU$2)),$AZ$13*$M140/27,IF(OR(AND($E140=$AU$2,$F140=$AU$5),AND($E140=$AU$5,$F140=$AU$2)),$AZ$13*$M140/27,0)))</f>
        <v>0</v>
      </c>
      <c r="J140" s="27">
        <f>IF(AND($E140=$AU$2,$F140=$AU$2),2*$BC$13*$M140/27,IF(OR(AND($E140=$AU$2,$F140=$AU$3),AND($E140=$AU$3,$F140=$AU$2)),($BC$13+$BC$14)*$M140/27,IF(OR(AND($E140=$AU$2,$F140=$AU$5),AND($E140=$AU$5,$F140=$AU$2)),$BC$13*$M140/27,IF(OR(AND($E140=$AU$3,$F140=$AU$5),AND($E140=$AU$5,$F140=$AU$3)),$BC$14*$M140/27,IF(AND($E140=$AU$3,$F140=$AU$3),2*$BC$14*$M140/27,0)))))</f>
        <v>0</v>
      </c>
      <c r="K140" s="27">
        <f>IF(AND($E140=$AU$5,$F140=$AU$5),2*$BF$15*$M140/27,IF(OR($E140=$AU$5,$F140=$AU$5),$BF$15*$M140/27,0))</f>
        <v>0</v>
      </c>
      <c r="L140" s="338">
        <v>0</v>
      </c>
      <c r="M140" s="83">
        <f t="shared" ref="M140" si="140">C140-B140</f>
        <v>1052.9400000000023</v>
      </c>
      <c r="N140" s="384" t="s">
        <v>97</v>
      </c>
      <c r="O140" s="385" t="s">
        <v>97</v>
      </c>
      <c r="P140" s="222">
        <f>IF(N140="-",0,ROUNDUP($M140*N140,0))</f>
        <v>0</v>
      </c>
      <c r="Q140" s="274">
        <f>IF($O140="-",0,ROUNDUP($M140*O140,0))</f>
        <v>0</v>
      </c>
      <c r="R140" s="394">
        <v>42226</v>
      </c>
      <c r="S140" s="395">
        <v>0</v>
      </c>
      <c r="T140" s="221">
        <f t="shared" si="139"/>
        <v>42226</v>
      </c>
      <c r="U140" s="269">
        <f t="shared" si="139"/>
        <v>0</v>
      </c>
      <c r="V140" s="345">
        <v>0</v>
      </c>
      <c r="W140" s="402">
        <v>0</v>
      </c>
      <c r="X140" s="403">
        <v>0</v>
      </c>
      <c r="Y140" s="406">
        <v>0</v>
      </c>
      <c r="Z140" s="407">
        <v>0</v>
      </c>
      <c r="AA140" s="402">
        <v>0</v>
      </c>
      <c r="AB140" s="403">
        <v>0</v>
      </c>
      <c r="AC140" s="406">
        <v>0</v>
      </c>
      <c r="AD140" s="401">
        <v>0</v>
      </c>
      <c r="AE140" s="400">
        <v>0</v>
      </c>
      <c r="AF140" s="401">
        <v>0</v>
      </c>
      <c r="AG140" s="348">
        <v>48</v>
      </c>
      <c r="AH140" s="423">
        <v>0</v>
      </c>
      <c r="AI140" s="424">
        <v>0</v>
      </c>
      <c r="AJ140" s="388">
        <v>0</v>
      </c>
      <c r="AK140" s="389">
        <v>0</v>
      </c>
      <c r="AL140" s="398">
        <f>IF(A140="APP SLAB",0,(T140/9)*$AL$1)</f>
        <v>258.04777777777775</v>
      </c>
      <c r="AM140" s="399">
        <f>IF(A140="APP SLAB",0,(U140/9)*$AL$1)</f>
        <v>0</v>
      </c>
      <c r="AN140" s="420">
        <f>IF(A140="APP SLAB",0,(T140*($AN$1/12))/27+K140)</f>
        <v>195.49074074074073</v>
      </c>
      <c r="AO140" s="425">
        <f>IF(A140="APP SLAB",0,(U140*($AN$1/12))/27)</f>
        <v>0</v>
      </c>
      <c r="AP140" s="388">
        <v>0</v>
      </c>
      <c r="AQ140" s="389">
        <v>0</v>
      </c>
      <c r="AR140" s="368"/>
      <c r="AS140" s="347">
        <v>0</v>
      </c>
    </row>
    <row r="141" spans="2:45" s="81" customFormat="1" ht="12.75" customHeight="1" x14ac:dyDescent="0.2">
      <c r="B141" s="335">
        <v>101500</v>
      </c>
      <c r="C141" s="336">
        <v>102600</v>
      </c>
      <c r="D141" s="337" t="s">
        <v>16</v>
      </c>
      <c r="E141" s="337" t="s">
        <v>97</v>
      </c>
      <c r="F141" s="337" t="s">
        <v>97</v>
      </c>
      <c r="G141" s="103" t="str">
        <f>IF(AND($E141=$AU$2,$F141=$AU$2),$AW$2,IF(OR(AND($E141=$AU$2,$F141=$AU$3),AND($E141=$AU$3,$F141=$AU$2)),$AW$3,IF(OR(AND($E141=$AU$2,$F141=$AU$5),AND($E141=$AU$5,$F141=$AU$2)),$AW$5,IF(OR(AND($E141=$AU$3,$F141=$AU$5),AND($E141=$AU$5,$F141=$AU$3)),$AW$6,IF(AND($E141=$AU$3,$F141=$AU$3),$AW$7,IF(AND($E141=$AU$5,$F141=$AU$5),$AW$8,"-"))))))</f>
        <v>-</v>
      </c>
      <c r="H141" s="26">
        <f>IF(AND($E141=$AU$2,$F141=$AU$2),2*$AW$13,IF(OR(AND($E141=$AU$2, $F141=$AU$3),AND($E141=$AU$3,$F141=$AU$2)),$AW$13+$AW$14,IF(OR(AND($E141=$AU$2,$F141=$AU$5),AND($E141=$AU$5,$F141=$AU$2)),$AW$13,IF(OR(AND($E141=$AU$3,$F141=$AU$5),AND($E141=$AU$5,$F141=$AU$3)),$AW$14,IF(AND($E141=$AU$3,$F141=$AU$3),2*$AW$14,0)))))</f>
        <v>0</v>
      </c>
      <c r="I141" s="27">
        <f>IF(AND($E141=$AU$2,$F141=$AU$2),2*$AZ$13*$M141/27,IF(OR(AND($E141=$AU$2,$F141=$AU$3),AND($E141=$AU$3,$F141=$AU$2)),$AZ$13*$M141/27,IF(OR(AND($E141=$AU$2,$F141=$AU$5),AND($E141=$AU$5,$F141=$AU$2)),$AZ$13*$M141/27,0)))</f>
        <v>0</v>
      </c>
      <c r="J141" s="27">
        <f>IF(AND($E141=$AU$2,$F141=$AU$2),2*$BC$13*$M141/27,IF(OR(AND($E141=$AU$2,$F141=$AU$3),AND($E141=$AU$3,$F141=$AU$2)),($BC$13+$BC$14)*$M141/27,IF(OR(AND($E141=$AU$2,$F141=$AU$5),AND($E141=$AU$5,$F141=$AU$2)),$BC$13*$M141/27,IF(OR(AND($E141=$AU$3,$F141=$AU$5),AND($E141=$AU$5,$F141=$AU$3)),$BC$14*$M141/27,IF(AND($E141=$AU$3,$F141=$AU$3),2*$BC$14*$M141/27,0)))))</f>
        <v>0</v>
      </c>
      <c r="K141" s="27">
        <f>IF(AND($E141=$AU$5,$F141=$AU$5),2*$BF$15*$M141/27,IF(OR($E141=$AU$5,$F141=$AU$5),$BF$15*$M141/27,0))</f>
        <v>0</v>
      </c>
      <c r="L141" s="338">
        <v>0</v>
      </c>
      <c r="M141" s="83">
        <f t="shared" ref="M141" si="141">C141-B141</f>
        <v>1100</v>
      </c>
      <c r="N141" s="384" t="s">
        <v>97</v>
      </c>
      <c r="O141" s="385" t="s">
        <v>97</v>
      </c>
      <c r="P141" s="222">
        <f>IF(N141="-",0,ROUNDUP($M141*N141,0))</f>
        <v>0</v>
      </c>
      <c r="Q141" s="274">
        <f>IF($O141="-",0,ROUNDUP($M141*O141,0))</f>
        <v>0</v>
      </c>
      <c r="R141" s="394">
        <v>72192</v>
      </c>
      <c r="S141" s="395">
        <v>0</v>
      </c>
      <c r="T141" s="221">
        <f t="shared" si="139"/>
        <v>72192</v>
      </c>
      <c r="U141" s="269">
        <f t="shared" si="139"/>
        <v>0</v>
      </c>
      <c r="V141" s="345">
        <v>0</v>
      </c>
      <c r="W141" s="400">
        <v>0</v>
      </c>
      <c r="X141" s="401">
        <v>0</v>
      </c>
      <c r="Y141" s="406">
        <v>0</v>
      </c>
      <c r="Z141" s="407">
        <v>0</v>
      </c>
      <c r="AA141" s="402">
        <v>0</v>
      </c>
      <c r="AB141" s="403">
        <v>0</v>
      </c>
      <c r="AC141" s="406">
        <v>0</v>
      </c>
      <c r="AD141" s="403">
        <v>0</v>
      </c>
      <c r="AE141" s="402">
        <v>0</v>
      </c>
      <c r="AF141" s="419">
        <v>0</v>
      </c>
      <c r="AG141" s="348">
        <v>59</v>
      </c>
      <c r="AH141" s="423">
        <v>0</v>
      </c>
      <c r="AI141" s="424">
        <v>0</v>
      </c>
      <c r="AJ141" s="388">
        <v>0</v>
      </c>
      <c r="AK141" s="389">
        <v>0</v>
      </c>
      <c r="AL141" s="398">
        <f>IF(A141="APP SLAB",0,(T141/9)*$AL$1)</f>
        <v>441.17333333333335</v>
      </c>
      <c r="AM141" s="399">
        <f>IF($A141="APP SLAB",0,(U141/9)*$AL$1)</f>
        <v>0</v>
      </c>
      <c r="AN141" s="420">
        <f>IF(A141="APP SLAB",0,(T141*($AN$1/12))/27+K141)</f>
        <v>334.22222222222223</v>
      </c>
      <c r="AO141" s="425">
        <f>IF($A141="APP SLAB",0,(U141*($AN$1/12))/27)</f>
        <v>0</v>
      </c>
      <c r="AP141" s="388">
        <v>0</v>
      </c>
      <c r="AQ141" s="389">
        <v>0</v>
      </c>
      <c r="AR141" s="368"/>
      <c r="AS141" s="347">
        <v>0</v>
      </c>
    </row>
    <row r="142" spans="2:45" s="81" customFormat="1" ht="12.75" customHeight="1" x14ac:dyDescent="0.2">
      <c r="B142" s="335">
        <v>101500</v>
      </c>
      <c r="C142" s="336">
        <v>102600</v>
      </c>
      <c r="D142" s="337" t="s">
        <v>15</v>
      </c>
      <c r="E142" s="337" t="s">
        <v>97</v>
      </c>
      <c r="F142" s="337" t="s">
        <v>97</v>
      </c>
      <c r="G142" s="103" t="str">
        <f>IF(AND($E142=$AU$2,$F142=$AU$2),$AW$2,IF(OR(AND($E142=$AU$2,$F142=$AU$3),AND($E142=$AU$3,$F142=$AU$2)),$AW$3,IF(OR(AND($E142=$AU$2,$F142=$AU$5),AND($E142=$AU$5,$F142=$AU$2)),$AW$5,IF(OR(AND($E142=$AU$3,$F142=$AU$5),AND($E142=$AU$5,$F142=$AU$3)),$AW$6,IF(AND($E142=$AU$3,$F142=$AU$3),$AW$7,IF(AND($E142=$AU$5,$F142=$AU$5),$AW$8,"-"))))))</f>
        <v>-</v>
      </c>
      <c r="H142" s="26">
        <f>IF(AND($E142=$AU$2,$F142=$AU$2),2*$AW$13,IF(OR(AND($E142=$AU$2, $F142=$AU$3),AND($E142=$AU$3,$F142=$AU$2)),$AW$13+$AW$14,IF(OR(AND($E142=$AU$2,$F142=$AU$5),AND($E142=$AU$5,$F142=$AU$2)),$AW$13,IF(OR(AND($E142=$AU$3,$F142=$AU$5),AND($E142=$AU$5,$F142=$AU$3)),$AW$14,IF(AND($E142=$AU$3,$F142=$AU$3),2*$AW$14,0)))))</f>
        <v>0</v>
      </c>
      <c r="I142" s="27">
        <f>IF(AND($E142=$AU$2,$F142=$AU$2),2*$AZ$13*$M142/27,IF(OR(AND($E142=$AU$2,$F142=$AU$3),AND($E142=$AU$3,$F142=$AU$2)),$AZ$13*$M142/27,IF(OR(AND($E142=$AU$2,$F142=$AU$5),AND($E142=$AU$5,$F142=$AU$2)),$AZ$13*$M142/27,0)))</f>
        <v>0</v>
      </c>
      <c r="J142" s="27">
        <f>IF(AND($E142=$AU$2,$F142=$AU$2),2*$BC$13*$M142/27,IF(OR(AND($E142=$AU$2,$F142=$AU$3),AND($E142=$AU$3,$F142=$AU$2)),($BC$13+$BC$14)*$M142/27,IF(OR(AND($E142=$AU$2,$F142=$AU$5),AND($E142=$AU$5,$F142=$AU$2)),$BC$13*$M142/27,IF(OR(AND($E142=$AU$3,$F142=$AU$5),AND($E142=$AU$5,$F142=$AU$3)),$BC$14*$M142/27,IF(AND($E142=$AU$3,$F142=$AU$3),2*$BC$14*$M142/27,0)))))</f>
        <v>0</v>
      </c>
      <c r="K142" s="27">
        <f>IF(AND($E142=$AU$5,$F142=$AU$5),2*$BF$15*$M142/27,IF(OR($E142=$AU$5,$F142=$AU$5),$BF$15*$M142/27,0))</f>
        <v>0</v>
      </c>
      <c r="L142" s="338">
        <v>0</v>
      </c>
      <c r="M142" s="83">
        <f>C142-B142</f>
        <v>1100</v>
      </c>
      <c r="N142" s="384" t="s">
        <v>97</v>
      </c>
      <c r="O142" s="385" t="s">
        <v>97</v>
      </c>
      <c r="P142" s="222">
        <f>IF(N142="-",0,ROUNDUP($M142*N142,0))</f>
        <v>0</v>
      </c>
      <c r="Q142" s="274">
        <f>IF($O142="-",0,ROUNDUP($M142*O142,0))</f>
        <v>0</v>
      </c>
      <c r="R142" s="394">
        <v>78864</v>
      </c>
      <c r="S142" s="395">
        <v>0</v>
      </c>
      <c r="T142" s="221">
        <f t="shared" si="139"/>
        <v>78864</v>
      </c>
      <c r="U142" s="269">
        <f t="shared" si="139"/>
        <v>0</v>
      </c>
      <c r="V142" s="345">
        <v>0</v>
      </c>
      <c r="W142" s="402">
        <v>0</v>
      </c>
      <c r="X142" s="403">
        <v>0</v>
      </c>
      <c r="Y142" s="406">
        <v>0</v>
      </c>
      <c r="Z142" s="407">
        <v>0</v>
      </c>
      <c r="AA142" s="402">
        <v>0</v>
      </c>
      <c r="AB142" s="403">
        <v>0</v>
      </c>
      <c r="AC142" s="406">
        <v>0</v>
      </c>
      <c r="AD142" s="403">
        <v>0</v>
      </c>
      <c r="AE142" s="402">
        <v>0</v>
      </c>
      <c r="AF142" s="419">
        <v>0</v>
      </c>
      <c r="AG142" s="348">
        <v>60</v>
      </c>
      <c r="AH142" s="423">
        <v>0</v>
      </c>
      <c r="AI142" s="424">
        <v>0</v>
      </c>
      <c r="AJ142" s="388">
        <v>0</v>
      </c>
      <c r="AK142" s="389">
        <v>0</v>
      </c>
      <c r="AL142" s="398">
        <f>IF(A142="APP SLAB",0,(T142/9)*$AL$1)</f>
        <v>481.94666666666666</v>
      </c>
      <c r="AM142" s="399">
        <f>IF($A142="APP SLAB",0,(U142/9)*$AL$1)</f>
        <v>0</v>
      </c>
      <c r="AN142" s="420">
        <f>IF(A142="APP SLAB",0,(T142*($AN$1/12))/27+K142)</f>
        <v>365.11111111111109</v>
      </c>
      <c r="AO142" s="425">
        <f>IF($A142="APP SLAB",0,(U142*($AN$1/12))/27)</f>
        <v>0</v>
      </c>
      <c r="AP142" s="388">
        <v>0</v>
      </c>
      <c r="AQ142" s="389">
        <v>0</v>
      </c>
      <c r="AR142" s="368"/>
      <c r="AS142" s="347">
        <v>0</v>
      </c>
    </row>
    <row r="143" spans="2:45" s="81" customFormat="1" ht="12.75" customHeight="1" thickBot="1" x14ac:dyDescent="0.25">
      <c r="B143" s="335"/>
      <c r="C143" s="336"/>
      <c r="D143" s="151"/>
      <c r="E143" s="152"/>
      <c r="F143" s="121"/>
      <c r="G143" s="121"/>
      <c r="H143" s="153"/>
      <c r="I143" s="153"/>
      <c r="J143" s="153"/>
      <c r="K143" s="154"/>
      <c r="L143" s="154"/>
      <c r="M143" s="155"/>
      <c r="N143" s="313"/>
      <c r="O143" s="314"/>
      <c r="P143" s="313"/>
      <c r="Q143" s="314"/>
      <c r="R143" s="313"/>
      <c r="S143" s="314"/>
      <c r="T143" s="313"/>
      <c r="U143" s="314"/>
      <c r="V143" s="165"/>
      <c r="W143" s="313"/>
      <c r="X143" s="314"/>
      <c r="Y143" s="313"/>
      <c r="Z143" s="314"/>
      <c r="AA143" s="313"/>
      <c r="AB143" s="314"/>
      <c r="AC143" s="313"/>
      <c r="AD143" s="314"/>
      <c r="AE143" s="313"/>
      <c r="AF143" s="314"/>
      <c r="AG143" s="253"/>
      <c r="AH143" s="313"/>
      <c r="AI143" s="314"/>
      <c r="AJ143" s="313"/>
      <c r="AK143" s="314"/>
      <c r="AL143" s="313"/>
      <c r="AM143" s="314"/>
      <c r="AN143" s="313"/>
      <c r="AO143" s="314"/>
      <c r="AP143" s="223"/>
      <c r="AQ143" s="280"/>
      <c r="AR143" s="283"/>
      <c r="AS143" s="84"/>
    </row>
    <row r="144" spans="2:45" s="117" customFormat="1" x14ac:dyDescent="0.2">
      <c r="B144" s="661" t="s">
        <v>231</v>
      </c>
      <c r="C144" s="662"/>
      <c r="D144" s="100"/>
      <c r="E144" s="100"/>
      <c r="F144" s="100"/>
      <c r="G144" s="100"/>
      <c r="H144" s="100"/>
      <c r="I144" s="100"/>
      <c r="J144" s="100"/>
      <c r="K144" s="100"/>
      <c r="L144" s="100"/>
      <c r="M144" s="101"/>
      <c r="N144" s="382"/>
      <c r="O144" s="383"/>
      <c r="P144" s="264"/>
      <c r="Q144" s="265"/>
      <c r="R144" s="264"/>
      <c r="S144" s="265"/>
      <c r="T144" s="264"/>
      <c r="U144" s="265"/>
      <c r="V144" s="118"/>
      <c r="W144" s="264"/>
      <c r="X144" s="265"/>
      <c r="Y144" s="382"/>
      <c r="Z144" s="383"/>
      <c r="AA144" s="382"/>
      <c r="AB144" s="383"/>
      <c r="AC144" s="382"/>
      <c r="AD144" s="383"/>
      <c r="AE144" s="417"/>
      <c r="AF144" s="418"/>
      <c r="AG144" s="49"/>
      <c r="AH144" s="382"/>
      <c r="AI144" s="383"/>
      <c r="AJ144" s="382"/>
      <c r="AK144" s="383"/>
      <c r="AL144" s="382"/>
      <c r="AM144" s="383"/>
      <c r="AN144" s="382"/>
      <c r="AO144" s="383"/>
      <c r="AP144" s="382"/>
      <c r="AQ144" s="383"/>
      <c r="AR144" s="364"/>
      <c r="AS144" s="202"/>
    </row>
    <row r="145" spans="2:45" s="117" customFormat="1" x14ac:dyDescent="0.2">
      <c r="B145" s="335" t="s">
        <v>91</v>
      </c>
      <c r="C145" s="336" t="s">
        <v>90</v>
      </c>
      <c r="D145" s="337" t="s">
        <v>30</v>
      </c>
      <c r="E145" s="104"/>
      <c r="F145" s="104"/>
      <c r="G145" s="103"/>
      <c r="H145" s="26"/>
      <c r="I145" s="27"/>
      <c r="J145" s="27"/>
      <c r="K145" s="27"/>
      <c r="L145" s="79"/>
      <c r="M145" s="83"/>
      <c r="N145" s="390"/>
      <c r="O145" s="391"/>
      <c r="P145" s="222"/>
      <c r="Q145" s="274"/>
      <c r="R145" s="394">
        <v>76743</v>
      </c>
      <c r="S145" s="395">
        <v>0</v>
      </c>
      <c r="T145" s="221">
        <f t="shared" ref="T145" si="142">P145+R145</f>
        <v>76743</v>
      </c>
      <c r="U145" s="269">
        <f t="shared" ref="U145" si="143">Q145+S145</f>
        <v>0</v>
      </c>
      <c r="V145" s="345">
        <f>T145/9</f>
        <v>8527</v>
      </c>
      <c r="W145" s="404"/>
      <c r="X145" s="405"/>
      <c r="Y145" s="408"/>
      <c r="Z145" s="409"/>
      <c r="AA145" s="414"/>
      <c r="AB145" s="415"/>
      <c r="AC145" s="414"/>
      <c r="AD145" s="416"/>
      <c r="AE145" s="420"/>
      <c r="AF145" s="391"/>
      <c r="AG145" s="71"/>
      <c r="AH145" s="222"/>
      <c r="AI145" s="274"/>
      <c r="AJ145" s="222"/>
      <c r="AK145" s="274"/>
      <c r="AL145" s="221"/>
      <c r="AM145" s="269"/>
      <c r="AN145" s="404"/>
      <c r="AO145" s="405"/>
      <c r="AP145" s="408"/>
      <c r="AQ145" s="409"/>
      <c r="AR145" s="26"/>
      <c r="AS145" s="27"/>
    </row>
    <row r="146" spans="2:45" s="117" customFormat="1" x14ac:dyDescent="0.2">
      <c r="B146" s="335" t="s">
        <v>90</v>
      </c>
      <c r="C146" s="336" t="s">
        <v>88</v>
      </c>
      <c r="D146" s="337" t="s">
        <v>30</v>
      </c>
      <c r="E146" s="104"/>
      <c r="F146" s="104"/>
      <c r="G146" s="103"/>
      <c r="H146" s="26"/>
      <c r="I146" s="27"/>
      <c r="J146" s="27"/>
      <c r="K146" s="27"/>
      <c r="L146" s="79"/>
      <c r="M146" s="83"/>
      <c r="N146" s="390"/>
      <c r="O146" s="391"/>
      <c r="P146" s="222"/>
      <c r="Q146" s="274"/>
      <c r="R146" s="394">
        <v>173673</v>
      </c>
      <c r="S146" s="395">
        <v>0</v>
      </c>
      <c r="T146" s="221">
        <f t="shared" ref="T146:T176" si="144">P146+R146</f>
        <v>173673</v>
      </c>
      <c r="U146" s="269">
        <f t="shared" ref="U146:U176" si="145">Q146+S146</f>
        <v>0</v>
      </c>
      <c r="V146" s="345">
        <f t="shared" ref="V146:V176" si="146">T146/9</f>
        <v>19297</v>
      </c>
      <c r="W146" s="404"/>
      <c r="X146" s="405"/>
      <c r="Y146" s="408"/>
      <c r="Z146" s="409"/>
      <c r="AA146" s="414"/>
      <c r="AB146" s="415"/>
      <c r="AC146" s="414"/>
      <c r="AD146" s="416"/>
      <c r="AE146" s="420"/>
      <c r="AF146" s="391"/>
      <c r="AG146" s="71"/>
      <c r="AH146" s="222"/>
      <c r="AI146" s="274"/>
      <c r="AJ146" s="222"/>
      <c r="AK146" s="274"/>
      <c r="AL146" s="221"/>
      <c r="AM146" s="269"/>
      <c r="AN146" s="404"/>
      <c r="AO146" s="405"/>
      <c r="AP146" s="408"/>
      <c r="AQ146" s="409"/>
      <c r="AR146" s="26"/>
      <c r="AS146" s="27"/>
    </row>
    <row r="147" spans="2:45" s="117" customFormat="1" x14ac:dyDescent="0.2">
      <c r="B147" s="335" t="s">
        <v>90</v>
      </c>
      <c r="C147" s="336" t="s">
        <v>88</v>
      </c>
      <c r="D147" s="337" t="s">
        <v>30</v>
      </c>
      <c r="E147" s="104"/>
      <c r="F147" s="104"/>
      <c r="G147" s="103"/>
      <c r="H147" s="26"/>
      <c r="I147" s="27"/>
      <c r="J147" s="27"/>
      <c r="K147" s="27"/>
      <c r="L147" s="79"/>
      <c r="M147" s="83"/>
      <c r="N147" s="390"/>
      <c r="O147" s="391"/>
      <c r="P147" s="222"/>
      <c r="Q147" s="274"/>
      <c r="R147" s="394">
        <v>24849</v>
      </c>
      <c r="S147" s="395">
        <v>0</v>
      </c>
      <c r="T147" s="221">
        <f t="shared" si="144"/>
        <v>24849</v>
      </c>
      <c r="U147" s="269">
        <f t="shared" si="145"/>
        <v>0</v>
      </c>
      <c r="V147" s="345">
        <f t="shared" si="146"/>
        <v>2761</v>
      </c>
      <c r="W147" s="404"/>
      <c r="X147" s="405"/>
      <c r="Y147" s="408"/>
      <c r="Z147" s="409"/>
      <c r="AA147" s="414"/>
      <c r="AB147" s="415"/>
      <c r="AC147" s="414"/>
      <c r="AD147" s="416"/>
      <c r="AE147" s="420"/>
      <c r="AF147" s="391"/>
      <c r="AG147" s="71"/>
      <c r="AH147" s="222"/>
      <c r="AI147" s="274"/>
      <c r="AJ147" s="222"/>
      <c r="AK147" s="274"/>
      <c r="AL147" s="221"/>
      <c r="AM147" s="269"/>
      <c r="AN147" s="404"/>
      <c r="AO147" s="405"/>
      <c r="AP147" s="408"/>
      <c r="AQ147" s="409"/>
      <c r="AR147" s="26"/>
      <c r="AS147" s="27"/>
    </row>
    <row r="148" spans="2:45" s="117" customFormat="1" x14ac:dyDescent="0.2">
      <c r="B148" s="335" t="s">
        <v>90</v>
      </c>
      <c r="C148" s="336" t="s">
        <v>88</v>
      </c>
      <c r="D148" s="337" t="s">
        <v>16</v>
      </c>
      <c r="E148" s="104"/>
      <c r="F148" s="104"/>
      <c r="G148" s="103"/>
      <c r="H148" s="26"/>
      <c r="I148" s="27"/>
      <c r="J148" s="27"/>
      <c r="K148" s="27"/>
      <c r="L148" s="79"/>
      <c r="M148" s="83"/>
      <c r="N148" s="390"/>
      <c r="O148" s="391"/>
      <c r="P148" s="222"/>
      <c r="Q148" s="274"/>
      <c r="R148" s="394">
        <v>61344</v>
      </c>
      <c r="S148" s="395">
        <v>0</v>
      </c>
      <c r="T148" s="221">
        <f t="shared" si="144"/>
        <v>61344</v>
      </c>
      <c r="U148" s="269">
        <f t="shared" si="145"/>
        <v>0</v>
      </c>
      <c r="V148" s="345">
        <f t="shared" si="146"/>
        <v>6816</v>
      </c>
      <c r="W148" s="404"/>
      <c r="X148" s="405"/>
      <c r="Y148" s="408"/>
      <c r="Z148" s="409"/>
      <c r="AA148" s="414"/>
      <c r="AB148" s="415"/>
      <c r="AC148" s="414"/>
      <c r="AD148" s="416"/>
      <c r="AE148" s="420"/>
      <c r="AF148" s="391"/>
      <c r="AG148" s="71"/>
      <c r="AH148" s="222"/>
      <c r="AI148" s="274"/>
      <c r="AJ148" s="222"/>
      <c r="AK148" s="274"/>
      <c r="AL148" s="221"/>
      <c r="AM148" s="269"/>
      <c r="AN148" s="404"/>
      <c r="AO148" s="405"/>
      <c r="AP148" s="408"/>
      <c r="AQ148" s="409"/>
      <c r="AR148" s="26"/>
      <c r="AS148" s="27"/>
    </row>
    <row r="149" spans="2:45" s="117" customFormat="1" x14ac:dyDescent="0.2">
      <c r="B149" s="335" t="s">
        <v>88</v>
      </c>
      <c r="C149" s="336" t="s">
        <v>89</v>
      </c>
      <c r="D149" s="337" t="s">
        <v>30</v>
      </c>
      <c r="E149" s="104"/>
      <c r="F149" s="104"/>
      <c r="G149" s="103"/>
      <c r="H149" s="26"/>
      <c r="I149" s="27"/>
      <c r="J149" s="27"/>
      <c r="K149" s="27"/>
      <c r="L149" s="79"/>
      <c r="M149" s="83"/>
      <c r="N149" s="390"/>
      <c r="O149" s="391"/>
      <c r="P149" s="222"/>
      <c r="Q149" s="274"/>
      <c r="R149" s="394">
        <v>78111</v>
      </c>
      <c r="S149" s="395">
        <v>0</v>
      </c>
      <c r="T149" s="221">
        <f t="shared" si="144"/>
        <v>78111</v>
      </c>
      <c r="U149" s="269">
        <f t="shared" si="145"/>
        <v>0</v>
      </c>
      <c r="V149" s="345">
        <f t="shared" si="146"/>
        <v>8679</v>
      </c>
      <c r="W149" s="404"/>
      <c r="X149" s="405"/>
      <c r="Y149" s="408"/>
      <c r="Z149" s="409"/>
      <c r="AA149" s="414"/>
      <c r="AB149" s="415"/>
      <c r="AC149" s="414"/>
      <c r="AD149" s="416"/>
      <c r="AE149" s="420"/>
      <c r="AF149" s="391"/>
      <c r="AG149" s="71"/>
      <c r="AH149" s="222"/>
      <c r="AI149" s="274"/>
      <c r="AJ149" s="222"/>
      <c r="AK149" s="274"/>
      <c r="AL149" s="221"/>
      <c r="AM149" s="269"/>
      <c r="AN149" s="404"/>
      <c r="AO149" s="405"/>
      <c r="AP149" s="408"/>
      <c r="AQ149" s="409"/>
      <c r="AR149" s="26"/>
      <c r="AS149" s="27"/>
    </row>
    <row r="150" spans="2:45" s="117" customFormat="1" x14ac:dyDescent="0.2">
      <c r="B150" s="335" t="s">
        <v>88</v>
      </c>
      <c r="C150" s="336" t="s">
        <v>89</v>
      </c>
      <c r="D150" s="337" t="s">
        <v>30</v>
      </c>
      <c r="E150" s="104"/>
      <c r="F150" s="104"/>
      <c r="G150" s="103"/>
      <c r="H150" s="26"/>
      <c r="I150" s="27"/>
      <c r="J150" s="27"/>
      <c r="K150" s="27"/>
      <c r="L150" s="79"/>
      <c r="M150" s="83"/>
      <c r="N150" s="390"/>
      <c r="O150" s="391"/>
      <c r="P150" s="222"/>
      <c r="Q150" s="274"/>
      <c r="R150" s="394">
        <v>1965</v>
      </c>
      <c r="S150" s="395">
        <v>0</v>
      </c>
      <c r="T150" s="221">
        <f t="shared" si="144"/>
        <v>1965</v>
      </c>
      <c r="U150" s="269">
        <f t="shared" si="145"/>
        <v>0</v>
      </c>
      <c r="V150" s="345">
        <f t="shared" si="146"/>
        <v>218.33333333333334</v>
      </c>
      <c r="W150" s="404"/>
      <c r="X150" s="405"/>
      <c r="Y150" s="408"/>
      <c r="Z150" s="409"/>
      <c r="AA150" s="414"/>
      <c r="AB150" s="415"/>
      <c r="AC150" s="414"/>
      <c r="AD150" s="416"/>
      <c r="AE150" s="420"/>
      <c r="AF150" s="391"/>
      <c r="AG150" s="71"/>
      <c r="AH150" s="222"/>
      <c r="AI150" s="274"/>
      <c r="AJ150" s="222"/>
      <c r="AK150" s="274"/>
      <c r="AL150" s="221"/>
      <c r="AM150" s="269"/>
      <c r="AN150" s="404"/>
      <c r="AO150" s="405"/>
      <c r="AP150" s="408"/>
      <c r="AQ150" s="409"/>
      <c r="AR150" s="26"/>
      <c r="AS150" s="27"/>
    </row>
    <row r="151" spans="2:45" s="117" customFormat="1" x14ac:dyDescent="0.2">
      <c r="B151" s="335" t="s">
        <v>88</v>
      </c>
      <c r="C151" s="336" t="s">
        <v>89</v>
      </c>
      <c r="D151" s="337" t="s">
        <v>16</v>
      </c>
      <c r="E151" s="104"/>
      <c r="F151" s="104"/>
      <c r="G151" s="103"/>
      <c r="H151" s="26"/>
      <c r="I151" s="27"/>
      <c r="J151" s="27"/>
      <c r="K151" s="27"/>
      <c r="L151" s="79"/>
      <c r="M151" s="83"/>
      <c r="N151" s="390"/>
      <c r="O151" s="391"/>
      <c r="P151" s="222"/>
      <c r="Q151" s="274"/>
      <c r="R151" s="394">
        <v>10377</v>
      </c>
      <c r="S151" s="395">
        <v>0</v>
      </c>
      <c r="T151" s="221">
        <f t="shared" si="144"/>
        <v>10377</v>
      </c>
      <c r="U151" s="269">
        <f t="shared" si="145"/>
        <v>0</v>
      </c>
      <c r="V151" s="345">
        <f t="shared" si="146"/>
        <v>1153</v>
      </c>
      <c r="W151" s="404"/>
      <c r="X151" s="405"/>
      <c r="Y151" s="408"/>
      <c r="Z151" s="409"/>
      <c r="AA151" s="414"/>
      <c r="AB151" s="415"/>
      <c r="AC151" s="414"/>
      <c r="AD151" s="416"/>
      <c r="AE151" s="420"/>
      <c r="AF151" s="391"/>
      <c r="AG151" s="71"/>
      <c r="AH151" s="222"/>
      <c r="AI151" s="274"/>
      <c r="AJ151" s="222"/>
      <c r="AK151" s="274"/>
      <c r="AL151" s="221"/>
      <c r="AM151" s="269"/>
      <c r="AN151" s="404"/>
      <c r="AO151" s="405"/>
      <c r="AP151" s="408"/>
      <c r="AQ151" s="409"/>
      <c r="AR151" s="26"/>
      <c r="AS151" s="27"/>
    </row>
    <row r="152" spans="2:45" s="117" customFormat="1" x14ac:dyDescent="0.2">
      <c r="B152" s="335" t="s">
        <v>86</v>
      </c>
      <c r="C152" s="336" t="s">
        <v>87</v>
      </c>
      <c r="D152" s="337" t="s">
        <v>30</v>
      </c>
      <c r="E152" s="104"/>
      <c r="F152" s="104"/>
      <c r="G152" s="103"/>
      <c r="H152" s="26"/>
      <c r="I152" s="27"/>
      <c r="J152" s="27"/>
      <c r="K152" s="27"/>
      <c r="L152" s="79"/>
      <c r="M152" s="83"/>
      <c r="N152" s="390"/>
      <c r="O152" s="391"/>
      <c r="P152" s="222"/>
      <c r="Q152" s="274"/>
      <c r="R152" s="394">
        <v>46233</v>
      </c>
      <c r="S152" s="395">
        <v>0</v>
      </c>
      <c r="T152" s="221">
        <f t="shared" si="144"/>
        <v>46233</v>
      </c>
      <c r="U152" s="269">
        <f t="shared" si="145"/>
        <v>0</v>
      </c>
      <c r="V152" s="345">
        <f t="shared" si="146"/>
        <v>5137</v>
      </c>
      <c r="W152" s="404"/>
      <c r="X152" s="405"/>
      <c r="Y152" s="408"/>
      <c r="Z152" s="409"/>
      <c r="AA152" s="414"/>
      <c r="AB152" s="415"/>
      <c r="AC152" s="414"/>
      <c r="AD152" s="416"/>
      <c r="AE152" s="420"/>
      <c r="AF152" s="391"/>
      <c r="AG152" s="71"/>
      <c r="AH152" s="222"/>
      <c r="AI152" s="274"/>
      <c r="AJ152" s="222"/>
      <c r="AK152" s="274"/>
      <c r="AL152" s="221"/>
      <c r="AM152" s="269"/>
      <c r="AN152" s="404"/>
      <c r="AO152" s="405"/>
      <c r="AP152" s="408"/>
      <c r="AQ152" s="409"/>
      <c r="AR152" s="26"/>
      <c r="AS152" s="27"/>
    </row>
    <row r="153" spans="2:45" s="117" customFormat="1" x14ac:dyDescent="0.2">
      <c r="B153" s="335" t="s">
        <v>86</v>
      </c>
      <c r="C153" s="336" t="s">
        <v>87</v>
      </c>
      <c r="D153" s="337" t="s">
        <v>30</v>
      </c>
      <c r="E153" s="104"/>
      <c r="F153" s="104"/>
      <c r="G153" s="103"/>
      <c r="H153" s="26"/>
      <c r="I153" s="27"/>
      <c r="J153" s="27"/>
      <c r="K153" s="27"/>
      <c r="L153" s="79"/>
      <c r="M153" s="83"/>
      <c r="N153" s="390"/>
      <c r="O153" s="391"/>
      <c r="P153" s="222"/>
      <c r="Q153" s="274"/>
      <c r="R153" s="394">
        <v>12726</v>
      </c>
      <c r="S153" s="395">
        <v>0</v>
      </c>
      <c r="T153" s="221">
        <f t="shared" si="144"/>
        <v>12726</v>
      </c>
      <c r="U153" s="269">
        <f t="shared" si="145"/>
        <v>0</v>
      </c>
      <c r="V153" s="345">
        <f t="shared" si="146"/>
        <v>1414</v>
      </c>
      <c r="W153" s="404"/>
      <c r="X153" s="405"/>
      <c r="Y153" s="408"/>
      <c r="Z153" s="409"/>
      <c r="AA153" s="414"/>
      <c r="AB153" s="415"/>
      <c r="AC153" s="414"/>
      <c r="AD153" s="416"/>
      <c r="AE153" s="420"/>
      <c r="AF153" s="391"/>
      <c r="AG153" s="71"/>
      <c r="AH153" s="222"/>
      <c r="AI153" s="274"/>
      <c r="AJ153" s="222"/>
      <c r="AK153" s="274"/>
      <c r="AL153" s="221"/>
      <c r="AM153" s="269"/>
      <c r="AN153" s="404"/>
      <c r="AO153" s="405"/>
      <c r="AP153" s="408"/>
      <c r="AQ153" s="409"/>
      <c r="AR153" s="26"/>
      <c r="AS153" s="27"/>
    </row>
    <row r="154" spans="2:45" s="117" customFormat="1" x14ac:dyDescent="0.2">
      <c r="B154" s="335" t="s">
        <v>86</v>
      </c>
      <c r="C154" s="336" t="s">
        <v>87</v>
      </c>
      <c r="D154" s="337" t="s">
        <v>16</v>
      </c>
      <c r="E154" s="104"/>
      <c r="F154" s="104"/>
      <c r="G154" s="103"/>
      <c r="H154" s="26"/>
      <c r="I154" s="27"/>
      <c r="J154" s="27"/>
      <c r="K154" s="27"/>
      <c r="L154" s="79"/>
      <c r="M154" s="83"/>
      <c r="N154" s="390"/>
      <c r="O154" s="391"/>
      <c r="P154" s="222"/>
      <c r="Q154" s="274"/>
      <c r="R154" s="394">
        <v>6831</v>
      </c>
      <c r="S154" s="395">
        <v>0</v>
      </c>
      <c r="T154" s="221">
        <f t="shared" si="144"/>
        <v>6831</v>
      </c>
      <c r="U154" s="269">
        <f t="shared" si="145"/>
        <v>0</v>
      </c>
      <c r="V154" s="345">
        <f t="shared" si="146"/>
        <v>759</v>
      </c>
      <c r="W154" s="404"/>
      <c r="X154" s="405"/>
      <c r="Y154" s="408"/>
      <c r="Z154" s="409"/>
      <c r="AA154" s="414"/>
      <c r="AB154" s="415"/>
      <c r="AC154" s="414"/>
      <c r="AD154" s="416"/>
      <c r="AE154" s="420"/>
      <c r="AF154" s="391"/>
      <c r="AG154" s="71"/>
      <c r="AH154" s="222"/>
      <c r="AI154" s="274"/>
      <c r="AJ154" s="222"/>
      <c r="AK154" s="274"/>
      <c r="AL154" s="221"/>
      <c r="AM154" s="269"/>
      <c r="AN154" s="404"/>
      <c r="AO154" s="405"/>
      <c r="AP154" s="408"/>
      <c r="AQ154" s="409"/>
      <c r="AR154" s="26"/>
      <c r="AS154" s="27"/>
    </row>
    <row r="155" spans="2:45" s="117" customFormat="1" x14ac:dyDescent="0.2">
      <c r="B155" s="335" t="s">
        <v>85</v>
      </c>
      <c r="C155" s="336" t="s">
        <v>83</v>
      </c>
      <c r="D155" s="337" t="s">
        <v>30</v>
      </c>
      <c r="E155" s="104"/>
      <c r="F155" s="104"/>
      <c r="G155" s="103"/>
      <c r="H155" s="26"/>
      <c r="I155" s="27"/>
      <c r="J155" s="27"/>
      <c r="K155" s="27"/>
      <c r="L155" s="79"/>
      <c r="M155" s="83"/>
      <c r="N155" s="390"/>
      <c r="O155" s="391"/>
      <c r="P155" s="222"/>
      <c r="Q155" s="274"/>
      <c r="R155" s="394">
        <v>451386</v>
      </c>
      <c r="S155" s="395">
        <v>0</v>
      </c>
      <c r="T155" s="221">
        <f t="shared" si="144"/>
        <v>451386</v>
      </c>
      <c r="U155" s="269">
        <f t="shared" si="145"/>
        <v>0</v>
      </c>
      <c r="V155" s="345">
        <f t="shared" si="146"/>
        <v>50154</v>
      </c>
      <c r="W155" s="404"/>
      <c r="X155" s="405"/>
      <c r="Y155" s="408"/>
      <c r="Z155" s="409"/>
      <c r="AA155" s="414"/>
      <c r="AB155" s="415"/>
      <c r="AC155" s="414"/>
      <c r="AD155" s="416"/>
      <c r="AE155" s="420"/>
      <c r="AF155" s="391"/>
      <c r="AG155" s="71"/>
      <c r="AH155" s="222"/>
      <c r="AI155" s="274"/>
      <c r="AJ155" s="222"/>
      <c r="AK155" s="274"/>
      <c r="AL155" s="221"/>
      <c r="AM155" s="269"/>
      <c r="AN155" s="404"/>
      <c r="AO155" s="405"/>
      <c r="AP155" s="408"/>
      <c r="AQ155" s="409"/>
      <c r="AR155" s="26"/>
      <c r="AS155" s="27"/>
    </row>
    <row r="156" spans="2:45" s="117" customFormat="1" x14ac:dyDescent="0.2">
      <c r="B156" s="335" t="s">
        <v>85</v>
      </c>
      <c r="C156" s="336" t="s">
        <v>83</v>
      </c>
      <c r="D156" s="337" t="s">
        <v>30</v>
      </c>
      <c r="E156" s="104"/>
      <c r="F156" s="104"/>
      <c r="G156" s="103"/>
      <c r="H156" s="26"/>
      <c r="I156" s="27"/>
      <c r="J156" s="27"/>
      <c r="K156" s="27"/>
      <c r="L156" s="79"/>
      <c r="M156" s="83"/>
      <c r="N156" s="390"/>
      <c r="O156" s="391"/>
      <c r="P156" s="222"/>
      <c r="Q156" s="274"/>
      <c r="R156" s="394">
        <v>126783</v>
      </c>
      <c r="S156" s="395">
        <v>0</v>
      </c>
      <c r="T156" s="221">
        <f t="shared" si="144"/>
        <v>126783</v>
      </c>
      <c r="U156" s="269">
        <f t="shared" si="145"/>
        <v>0</v>
      </c>
      <c r="V156" s="345">
        <f t="shared" si="146"/>
        <v>14087</v>
      </c>
      <c r="W156" s="404"/>
      <c r="X156" s="405"/>
      <c r="Y156" s="408"/>
      <c r="Z156" s="409"/>
      <c r="AA156" s="414"/>
      <c r="AB156" s="415"/>
      <c r="AC156" s="414"/>
      <c r="AD156" s="416"/>
      <c r="AE156" s="420"/>
      <c r="AF156" s="391"/>
      <c r="AG156" s="71"/>
      <c r="AH156" s="222"/>
      <c r="AI156" s="274"/>
      <c r="AJ156" s="222"/>
      <c r="AK156" s="274"/>
      <c r="AL156" s="221"/>
      <c r="AM156" s="269"/>
      <c r="AN156" s="404"/>
      <c r="AO156" s="405"/>
      <c r="AP156" s="408"/>
      <c r="AQ156" s="409"/>
      <c r="AR156" s="26"/>
      <c r="AS156" s="27"/>
    </row>
    <row r="157" spans="2:45" s="117" customFormat="1" x14ac:dyDescent="0.2">
      <c r="B157" s="335" t="s">
        <v>85</v>
      </c>
      <c r="C157" s="336" t="s">
        <v>83</v>
      </c>
      <c r="D157" s="337" t="s">
        <v>30</v>
      </c>
      <c r="E157" s="104"/>
      <c r="F157" s="104"/>
      <c r="G157" s="103"/>
      <c r="H157" s="26"/>
      <c r="I157" s="27"/>
      <c r="J157" s="27"/>
      <c r="K157" s="27"/>
      <c r="L157" s="79"/>
      <c r="M157" s="83"/>
      <c r="N157" s="390"/>
      <c r="O157" s="391"/>
      <c r="P157" s="222"/>
      <c r="Q157" s="274"/>
      <c r="R157" s="394">
        <v>67059</v>
      </c>
      <c r="S157" s="395">
        <v>0</v>
      </c>
      <c r="T157" s="221">
        <f t="shared" si="144"/>
        <v>67059</v>
      </c>
      <c r="U157" s="269">
        <f t="shared" si="145"/>
        <v>0</v>
      </c>
      <c r="V157" s="345">
        <f t="shared" si="146"/>
        <v>7451</v>
      </c>
      <c r="W157" s="404"/>
      <c r="X157" s="405"/>
      <c r="Y157" s="408"/>
      <c r="Z157" s="409"/>
      <c r="AA157" s="414"/>
      <c r="AB157" s="415"/>
      <c r="AC157" s="414"/>
      <c r="AD157" s="416"/>
      <c r="AE157" s="420"/>
      <c r="AF157" s="391"/>
      <c r="AG157" s="71"/>
      <c r="AH157" s="222"/>
      <c r="AI157" s="274"/>
      <c r="AJ157" s="222"/>
      <c r="AK157" s="274"/>
      <c r="AL157" s="221"/>
      <c r="AM157" s="269"/>
      <c r="AN157" s="404"/>
      <c r="AO157" s="405"/>
      <c r="AP157" s="408"/>
      <c r="AQ157" s="409"/>
      <c r="AR157" s="26"/>
      <c r="AS157" s="27"/>
    </row>
    <row r="158" spans="2:45" s="117" customFormat="1" x14ac:dyDescent="0.2">
      <c r="B158" s="335" t="s">
        <v>83</v>
      </c>
      <c r="C158" s="336" t="s">
        <v>84</v>
      </c>
      <c r="D158" s="337" t="s">
        <v>30</v>
      </c>
      <c r="E158" s="104"/>
      <c r="F158" s="104"/>
      <c r="G158" s="103"/>
      <c r="H158" s="26"/>
      <c r="I158" s="27"/>
      <c r="J158" s="27"/>
      <c r="K158" s="27"/>
      <c r="L158" s="79"/>
      <c r="M158" s="83"/>
      <c r="N158" s="390"/>
      <c r="O158" s="391"/>
      <c r="P158" s="222"/>
      <c r="Q158" s="274"/>
      <c r="R158" s="394">
        <v>54918</v>
      </c>
      <c r="S158" s="395">
        <v>0</v>
      </c>
      <c r="T158" s="221">
        <f t="shared" si="144"/>
        <v>54918</v>
      </c>
      <c r="U158" s="269">
        <f t="shared" si="145"/>
        <v>0</v>
      </c>
      <c r="V158" s="345">
        <f t="shared" si="146"/>
        <v>6102</v>
      </c>
      <c r="W158" s="404"/>
      <c r="X158" s="405"/>
      <c r="Y158" s="408"/>
      <c r="Z158" s="409"/>
      <c r="AA158" s="414"/>
      <c r="AB158" s="415"/>
      <c r="AC158" s="414"/>
      <c r="AD158" s="416"/>
      <c r="AE158" s="420"/>
      <c r="AF158" s="391"/>
      <c r="AG158" s="71"/>
      <c r="AH158" s="222"/>
      <c r="AI158" s="274"/>
      <c r="AJ158" s="222"/>
      <c r="AK158" s="274"/>
      <c r="AL158" s="221"/>
      <c r="AM158" s="269"/>
      <c r="AN158" s="404"/>
      <c r="AO158" s="405"/>
      <c r="AP158" s="408"/>
      <c r="AQ158" s="409"/>
      <c r="AR158" s="26"/>
      <c r="AS158" s="27"/>
    </row>
    <row r="159" spans="2:45" s="117" customFormat="1" x14ac:dyDescent="0.2">
      <c r="B159" s="335" t="s">
        <v>83</v>
      </c>
      <c r="C159" s="336" t="s">
        <v>84</v>
      </c>
      <c r="D159" s="337" t="s">
        <v>30</v>
      </c>
      <c r="E159" s="104"/>
      <c r="F159" s="104"/>
      <c r="G159" s="103"/>
      <c r="H159" s="26"/>
      <c r="I159" s="27"/>
      <c r="J159" s="27"/>
      <c r="K159" s="27"/>
      <c r="L159" s="79"/>
      <c r="M159" s="83"/>
      <c r="N159" s="390"/>
      <c r="O159" s="391"/>
      <c r="P159" s="222"/>
      <c r="Q159" s="274"/>
      <c r="R159" s="394">
        <v>19125</v>
      </c>
      <c r="S159" s="395">
        <v>0</v>
      </c>
      <c r="T159" s="221">
        <f t="shared" si="144"/>
        <v>19125</v>
      </c>
      <c r="U159" s="269">
        <f t="shared" si="145"/>
        <v>0</v>
      </c>
      <c r="V159" s="345">
        <f t="shared" si="146"/>
        <v>2125</v>
      </c>
      <c r="W159" s="404"/>
      <c r="X159" s="405"/>
      <c r="Y159" s="408"/>
      <c r="Z159" s="409"/>
      <c r="AA159" s="414"/>
      <c r="AB159" s="415"/>
      <c r="AC159" s="414"/>
      <c r="AD159" s="416"/>
      <c r="AE159" s="420"/>
      <c r="AF159" s="391"/>
      <c r="AG159" s="71"/>
      <c r="AH159" s="222"/>
      <c r="AI159" s="274"/>
      <c r="AJ159" s="222"/>
      <c r="AK159" s="274"/>
      <c r="AL159" s="221"/>
      <c r="AM159" s="269"/>
      <c r="AN159" s="404"/>
      <c r="AO159" s="405"/>
      <c r="AP159" s="408"/>
      <c r="AQ159" s="409"/>
      <c r="AR159" s="26"/>
      <c r="AS159" s="27"/>
    </row>
    <row r="160" spans="2:45" s="117" customFormat="1" x14ac:dyDescent="0.2">
      <c r="B160" s="335" t="s">
        <v>83</v>
      </c>
      <c r="C160" s="336" t="s">
        <v>84</v>
      </c>
      <c r="D160" s="337" t="s">
        <v>16</v>
      </c>
      <c r="E160" s="104"/>
      <c r="F160" s="104"/>
      <c r="G160" s="103"/>
      <c r="H160" s="26"/>
      <c r="I160" s="27"/>
      <c r="J160" s="27"/>
      <c r="K160" s="27"/>
      <c r="L160" s="79"/>
      <c r="M160" s="83"/>
      <c r="N160" s="390"/>
      <c r="O160" s="391"/>
      <c r="P160" s="222"/>
      <c r="Q160" s="274"/>
      <c r="R160" s="394">
        <v>10917</v>
      </c>
      <c r="S160" s="395">
        <v>0</v>
      </c>
      <c r="T160" s="221">
        <f t="shared" si="144"/>
        <v>10917</v>
      </c>
      <c r="U160" s="269">
        <f t="shared" si="145"/>
        <v>0</v>
      </c>
      <c r="V160" s="345">
        <f t="shared" si="146"/>
        <v>1213</v>
      </c>
      <c r="W160" s="404"/>
      <c r="X160" s="405"/>
      <c r="Y160" s="408"/>
      <c r="Z160" s="409"/>
      <c r="AA160" s="414"/>
      <c r="AB160" s="415"/>
      <c r="AC160" s="414"/>
      <c r="AD160" s="416"/>
      <c r="AE160" s="420"/>
      <c r="AF160" s="391"/>
      <c r="AG160" s="71"/>
      <c r="AH160" s="222"/>
      <c r="AI160" s="274"/>
      <c r="AJ160" s="222"/>
      <c r="AK160" s="274"/>
      <c r="AL160" s="221"/>
      <c r="AM160" s="269"/>
      <c r="AN160" s="404"/>
      <c r="AO160" s="405"/>
      <c r="AP160" s="408"/>
      <c r="AQ160" s="409"/>
      <c r="AR160" s="26"/>
      <c r="AS160" s="27"/>
    </row>
    <row r="161" spans="2:45" s="117" customFormat="1" x14ac:dyDescent="0.2">
      <c r="B161" s="335" t="s">
        <v>81</v>
      </c>
      <c r="C161" s="336" t="s">
        <v>82</v>
      </c>
      <c r="D161" s="337" t="s">
        <v>30</v>
      </c>
      <c r="E161" s="104"/>
      <c r="F161" s="104"/>
      <c r="G161" s="103"/>
      <c r="H161" s="26"/>
      <c r="I161" s="27"/>
      <c r="J161" s="27"/>
      <c r="K161" s="27"/>
      <c r="L161" s="79"/>
      <c r="M161" s="83"/>
      <c r="N161" s="390"/>
      <c r="O161" s="391"/>
      <c r="P161" s="222"/>
      <c r="Q161" s="274"/>
      <c r="R161" s="394">
        <v>15498</v>
      </c>
      <c r="S161" s="395">
        <v>0</v>
      </c>
      <c r="T161" s="221">
        <f t="shared" si="144"/>
        <v>15498</v>
      </c>
      <c r="U161" s="269">
        <f t="shared" si="145"/>
        <v>0</v>
      </c>
      <c r="V161" s="345">
        <f t="shared" si="146"/>
        <v>1722</v>
      </c>
      <c r="W161" s="404"/>
      <c r="X161" s="405"/>
      <c r="Y161" s="408"/>
      <c r="Z161" s="409"/>
      <c r="AA161" s="414"/>
      <c r="AB161" s="415"/>
      <c r="AC161" s="414"/>
      <c r="AD161" s="416"/>
      <c r="AE161" s="420"/>
      <c r="AF161" s="391"/>
      <c r="AG161" s="71"/>
      <c r="AH161" s="222"/>
      <c r="AI161" s="274"/>
      <c r="AJ161" s="222"/>
      <c r="AK161" s="274"/>
      <c r="AL161" s="221"/>
      <c r="AM161" s="269"/>
      <c r="AN161" s="404"/>
      <c r="AO161" s="405"/>
      <c r="AP161" s="408"/>
      <c r="AQ161" s="409"/>
      <c r="AR161" s="26"/>
      <c r="AS161" s="27"/>
    </row>
    <row r="162" spans="2:45" s="117" customFormat="1" x14ac:dyDescent="0.2">
      <c r="B162" s="335" t="s">
        <v>81</v>
      </c>
      <c r="C162" s="336" t="s">
        <v>82</v>
      </c>
      <c r="D162" s="337" t="s">
        <v>30</v>
      </c>
      <c r="E162" s="104"/>
      <c r="F162" s="104"/>
      <c r="G162" s="103"/>
      <c r="H162" s="26"/>
      <c r="I162" s="27"/>
      <c r="J162" s="27"/>
      <c r="K162" s="27"/>
      <c r="L162" s="79"/>
      <c r="M162" s="83"/>
      <c r="N162" s="390"/>
      <c r="O162" s="391"/>
      <c r="P162" s="222"/>
      <c r="Q162" s="274"/>
      <c r="R162" s="394">
        <v>5517</v>
      </c>
      <c r="S162" s="395">
        <v>0</v>
      </c>
      <c r="T162" s="221">
        <f t="shared" si="144"/>
        <v>5517</v>
      </c>
      <c r="U162" s="269">
        <f t="shared" si="145"/>
        <v>0</v>
      </c>
      <c r="V162" s="345">
        <f t="shared" si="146"/>
        <v>613</v>
      </c>
      <c r="W162" s="404"/>
      <c r="X162" s="405"/>
      <c r="Y162" s="408"/>
      <c r="Z162" s="409"/>
      <c r="AA162" s="414"/>
      <c r="AB162" s="415"/>
      <c r="AC162" s="414"/>
      <c r="AD162" s="416"/>
      <c r="AE162" s="420"/>
      <c r="AF162" s="391"/>
      <c r="AG162" s="71"/>
      <c r="AH162" s="222"/>
      <c r="AI162" s="274"/>
      <c r="AJ162" s="222"/>
      <c r="AK162" s="274"/>
      <c r="AL162" s="221"/>
      <c r="AM162" s="269"/>
      <c r="AN162" s="404"/>
      <c r="AO162" s="405"/>
      <c r="AP162" s="408"/>
      <c r="AQ162" s="409"/>
      <c r="AR162" s="26"/>
      <c r="AS162" s="27"/>
    </row>
    <row r="163" spans="2:45" s="117" customFormat="1" x14ac:dyDescent="0.2">
      <c r="B163" s="335" t="s">
        <v>81</v>
      </c>
      <c r="C163" s="336" t="s">
        <v>82</v>
      </c>
      <c r="D163" s="337" t="s">
        <v>30</v>
      </c>
      <c r="E163" s="104"/>
      <c r="F163" s="104"/>
      <c r="G163" s="103"/>
      <c r="H163" s="26"/>
      <c r="I163" s="27"/>
      <c r="J163" s="27"/>
      <c r="K163" s="27"/>
      <c r="L163" s="79"/>
      <c r="M163" s="83"/>
      <c r="N163" s="390"/>
      <c r="O163" s="391"/>
      <c r="P163" s="222"/>
      <c r="Q163" s="274"/>
      <c r="R163" s="394">
        <v>3672</v>
      </c>
      <c r="S163" s="395">
        <v>0</v>
      </c>
      <c r="T163" s="221">
        <f t="shared" si="144"/>
        <v>3672</v>
      </c>
      <c r="U163" s="269">
        <f t="shared" si="145"/>
        <v>0</v>
      </c>
      <c r="V163" s="345">
        <f t="shared" si="146"/>
        <v>408</v>
      </c>
      <c r="W163" s="404"/>
      <c r="X163" s="405"/>
      <c r="Y163" s="408"/>
      <c r="Z163" s="409"/>
      <c r="AA163" s="414"/>
      <c r="AB163" s="415"/>
      <c r="AC163" s="414"/>
      <c r="AD163" s="416"/>
      <c r="AE163" s="420"/>
      <c r="AF163" s="391"/>
      <c r="AG163" s="71"/>
      <c r="AH163" s="222"/>
      <c r="AI163" s="274"/>
      <c r="AJ163" s="222"/>
      <c r="AK163" s="274"/>
      <c r="AL163" s="221"/>
      <c r="AM163" s="269"/>
      <c r="AN163" s="404"/>
      <c r="AO163" s="405"/>
      <c r="AP163" s="408"/>
      <c r="AQ163" s="409"/>
      <c r="AR163" s="26"/>
      <c r="AS163" s="27"/>
    </row>
    <row r="164" spans="2:45" s="117" customFormat="1" x14ac:dyDescent="0.2">
      <c r="B164" s="335" t="s">
        <v>79</v>
      </c>
      <c r="C164" s="336" t="s">
        <v>76</v>
      </c>
      <c r="D164" s="337" t="s">
        <v>30</v>
      </c>
      <c r="E164" s="104"/>
      <c r="F164" s="104"/>
      <c r="G164" s="103"/>
      <c r="H164" s="26"/>
      <c r="I164" s="27"/>
      <c r="J164" s="27"/>
      <c r="K164" s="27"/>
      <c r="L164" s="79"/>
      <c r="M164" s="83"/>
      <c r="N164" s="390"/>
      <c r="O164" s="391"/>
      <c r="P164" s="222"/>
      <c r="Q164" s="274"/>
      <c r="R164" s="394">
        <v>96372</v>
      </c>
      <c r="S164" s="395">
        <v>0</v>
      </c>
      <c r="T164" s="221">
        <f t="shared" si="144"/>
        <v>96372</v>
      </c>
      <c r="U164" s="269">
        <f t="shared" si="145"/>
        <v>0</v>
      </c>
      <c r="V164" s="345">
        <f t="shared" si="146"/>
        <v>10708</v>
      </c>
      <c r="W164" s="404"/>
      <c r="X164" s="405"/>
      <c r="Y164" s="408"/>
      <c r="Z164" s="409"/>
      <c r="AA164" s="414"/>
      <c r="AB164" s="415"/>
      <c r="AC164" s="414"/>
      <c r="AD164" s="416"/>
      <c r="AE164" s="420"/>
      <c r="AF164" s="391"/>
      <c r="AG164" s="71"/>
      <c r="AH164" s="222"/>
      <c r="AI164" s="274"/>
      <c r="AJ164" s="222"/>
      <c r="AK164" s="274"/>
      <c r="AL164" s="221"/>
      <c r="AM164" s="269"/>
      <c r="AN164" s="404"/>
      <c r="AO164" s="405"/>
      <c r="AP164" s="408"/>
      <c r="AQ164" s="409"/>
      <c r="AR164" s="26"/>
      <c r="AS164" s="27"/>
    </row>
    <row r="165" spans="2:45" s="117" customFormat="1" x14ac:dyDescent="0.2">
      <c r="B165" s="335" t="s">
        <v>79</v>
      </c>
      <c r="C165" s="336" t="s">
        <v>76</v>
      </c>
      <c r="D165" s="337" t="s">
        <v>30</v>
      </c>
      <c r="E165" s="104"/>
      <c r="F165" s="104"/>
      <c r="G165" s="103"/>
      <c r="H165" s="26"/>
      <c r="I165" s="27"/>
      <c r="J165" s="27"/>
      <c r="K165" s="27"/>
      <c r="L165" s="79"/>
      <c r="M165" s="83"/>
      <c r="N165" s="390"/>
      <c r="O165" s="391"/>
      <c r="P165" s="222"/>
      <c r="Q165" s="274"/>
      <c r="R165" s="394">
        <v>2088</v>
      </c>
      <c r="S165" s="395">
        <v>0</v>
      </c>
      <c r="T165" s="221">
        <f t="shared" si="144"/>
        <v>2088</v>
      </c>
      <c r="U165" s="269">
        <f t="shared" si="145"/>
        <v>0</v>
      </c>
      <c r="V165" s="345">
        <f t="shared" si="146"/>
        <v>232</v>
      </c>
      <c r="W165" s="404"/>
      <c r="X165" s="405"/>
      <c r="Y165" s="408"/>
      <c r="Z165" s="409"/>
      <c r="AA165" s="414"/>
      <c r="AB165" s="415"/>
      <c r="AC165" s="414"/>
      <c r="AD165" s="416"/>
      <c r="AE165" s="420"/>
      <c r="AF165" s="391"/>
      <c r="AG165" s="71"/>
      <c r="AH165" s="222"/>
      <c r="AI165" s="274"/>
      <c r="AJ165" s="222"/>
      <c r="AK165" s="274"/>
      <c r="AL165" s="221"/>
      <c r="AM165" s="269"/>
      <c r="AN165" s="404"/>
      <c r="AO165" s="405"/>
      <c r="AP165" s="408"/>
      <c r="AQ165" s="409"/>
      <c r="AR165" s="26"/>
      <c r="AS165" s="27"/>
    </row>
    <row r="166" spans="2:45" s="117" customFormat="1" x14ac:dyDescent="0.2">
      <c r="B166" s="335" t="s">
        <v>79</v>
      </c>
      <c r="C166" s="336" t="s">
        <v>76</v>
      </c>
      <c r="D166" s="337" t="s">
        <v>30</v>
      </c>
      <c r="E166" s="104"/>
      <c r="F166" s="104"/>
      <c r="G166" s="103"/>
      <c r="H166" s="26"/>
      <c r="I166" s="27"/>
      <c r="J166" s="27"/>
      <c r="K166" s="27"/>
      <c r="L166" s="79"/>
      <c r="M166" s="83"/>
      <c r="N166" s="390"/>
      <c r="O166" s="391"/>
      <c r="P166" s="222"/>
      <c r="Q166" s="274"/>
      <c r="R166" s="394">
        <v>21411</v>
      </c>
      <c r="S166" s="395">
        <v>0</v>
      </c>
      <c r="T166" s="221">
        <f t="shared" si="144"/>
        <v>21411</v>
      </c>
      <c r="U166" s="269">
        <f t="shared" si="145"/>
        <v>0</v>
      </c>
      <c r="V166" s="345">
        <f t="shared" si="146"/>
        <v>2379</v>
      </c>
      <c r="W166" s="404"/>
      <c r="X166" s="405"/>
      <c r="Y166" s="408"/>
      <c r="Z166" s="409"/>
      <c r="AA166" s="414"/>
      <c r="AB166" s="415"/>
      <c r="AC166" s="414"/>
      <c r="AD166" s="416"/>
      <c r="AE166" s="420"/>
      <c r="AF166" s="391"/>
      <c r="AG166" s="71"/>
      <c r="AH166" s="222"/>
      <c r="AI166" s="274"/>
      <c r="AJ166" s="222"/>
      <c r="AK166" s="274"/>
      <c r="AL166" s="221"/>
      <c r="AM166" s="269"/>
      <c r="AN166" s="404"/>
      <c r="AO166" s="405"/>
      <c r="AP166" s="408"/>
      <c r="AQ166" s="409"/>
      <c r="AR166" s="26"/>
      <c r="AS166" s="27"/>
    </row>
    <row r="167" spans="2:45" s="117" customFormat="1" x14ac:dyDescent="0.2">
      <c r="B167" s="335" t="s">
        <v>80</v>
      </c>
      <c r="C167" s="336" t="s">
        <v>76</v>
      </c>
      <c r="D167" s="337" t="s">
        <v>16</v>
      </c>
      <c r="E167" s="104"/>
      <c r="F167" s="104"/>
      <c r="G167" s="103"/>
      <c r="H167" s="26"/>
      <c r="I167" s="27"/>
      <c r="J167" s="27"/>
      <c r="K167" s="27"/>
      <c r="L167" s="79"/>
      <c r="M167" s="83"/>
      <c r="N167" s="390"/>
      <c r="O167" s="391"/>
      <c r="P167" s="222"/>
      <c r="Q167" s="274"/>
      <c r="R167" s="394">
        <v>11394</v>
      </c>
      <c r="S167" s="395">
        <v>0</v>
      </c>
      <c r="T167" s="221">
        <f t="shared" si="144"/>
        <v>11394</v>
      </c>
      <c r="U167" s="269">
        <f t="shared" si="145"/>
        <v>0</v>
      </c>
      <c r="V167" s="345">
        <f t="shared" si="146"/>
        <v>1266</v>
      </c>
      <c r="W167" s="404"/>
      <c r="X167" s="405"/>
      <c r="Y167" s="408"/>
      <c r="Z167" s="409"/>
      <c r="AA167" s="414"/>
      <c r="AB167" s="415"/>
      <c r="AC167" s="414"/>
      <c r="AD167" s="416"/>
      <c r="AE167" s="420"/>
      <c r="AF167" s="391"/>
      <c r="AG167" s="71"/>
      <c r="AH167" s="222"/>
      <c r="AI167" s="274"/>
      <c r="AJ167" s="222"/>
      <c r="AK167" s="274"/>
      <c r="AL167" s="221"/>
      <c r="AM167" s="269"/>
      <c r="AN167" s="404"/>
      <c r="AO167" s="405"/>
      <c r="AP167" s="408"/>
      <c r="AQ167" s="409"/>
      <c r="AR167" s="26"/>
      <c r="AS167" s="27"/>
    </row>
    <row r="168" spans="2:45" s="117" customFormat="1" x14ac:dyDescent="0.2">
      <c r="B168" s="335" t="s">
        <v>76</v>
      </c>
      <c r="C168" s="336" t="s">
        <v>77</v>
      </c>
      <c r="D168" s="337" t="s">
        <v>30</v>
      </c>
      <c r="E168" s="104"/>
      <c r="F168" s="104"/>
      <c r="G168" s="103"/>
      <c r="H168" s="26"/>
      <c r="I168" s="27"/>
      <c r="J168" s="27"/>
      <c r="K168" s="27"/>
      <c r="L168" s="483"/>
      <c r="M168" s="479"/>
      <c r="N168" s="390"/>
      <c r="O168" s="391"/>
      <c r="P168" s="222"/>
      <c r="Q168" s="274"/>
      <c r="R168" s="394">
        <v>283067</v>
      </c>
      <c r="S168" s="395">
        <v>0</v>
      </c>
      <c r="T168" s="221">
        <f t="shared" si="144"/>
        <v>283067</v>
      </c>
      <c r="U168" s="269">
        <f t="shared" si="145"/>
        <v>0</v>
      </c>
      <c r="V168" s="345">
        <f t="shared" si="146"/>
        <v>31451.888888888891</v>
      </c>
      <c r="W168" s="404"/>
      <c r="X168" s="405"/>
      <c r="Y168" s="408"/>
      <c r="Z168" s="409"/>
      <c r="AA168" s="414"/>
      <c r="AB168" s="415"/>
      <c r="AC168" s="414"/>
      <c r="AD168" s="416"/>
      <c r="AE168" s="420"/>
      <c r="AF168" s="391"/>
      <c r="AG168" s="71"/>
      <c r="AH168" s="222"/>
      <c r="AI168" s="274"/>
      <c r="AJ168" s="222"/>
      <c r="AK168" s="274"/>
      <c r="AL168" s="221"/>
      <c r="AM168" s="269"/>
      <c r="AN168" s="404"/>
      <c r="AO168" s="405"/>
      <c r="AP168" s="408"/>
      <c r="AQ168" s="409"/>
      <c r="AR168" s="26"/>
      <c r="AS168" s="27"/>
    </row>
    <row r="169" spans="2:45" s="117" customFormat="1" x14ac:dyDescent="0.2">
      <c r="B169" s="335" t="s">
        <v>76</v>
      </c>
      <c r="C169" s="336" t="s">
        <v>77</v>
      </c>
      <c r="D169" s="337" t="s">
        <v>30</v>
      </c>
      <c r="E169" s="104"/>
      <c r="F169" s="104"/>
      <c r="G169" s="103"/>
      <c r="H169" s="26"/>
      <c r="I169" s="27"/>
      <c r="J169" s="27"/>
      <c r="K169" s="27"/>
      <c r="L169" s="483"/>
      <c r="M169" s="479"/>
      <c r="N169" s="390"/>
      <c r="O169" s="391"/>
      <c r="P169" s="222"/>
      <c r="Q169" s="274"/>
      <c r="R169" s="394">
        <v>53173</v>
      </c>
      <c r="S169" s="395">
        <v>0</v>
      </c>
      <c r="T169" s="221">
        <f t="shared" si="144"/>
        <v>53173</v>
      </c>
      <c r="U169" s="269">
        <f t="shared" si="145"/>
        <v>0</v>
      </c>
      <c r="V169" s="345">
        <f t="shared" si="146"/>
        <v>5908.1111111111113</v>
      </c>
      <c r="W169" s="404"/>
      <c r="X169" s="405"/>
      <c r="Y169" s="408"/>
      <c r="Z169" s="409"/>
      <c r="AA169" s="414"/>
      <c r="AB169" s="415"/>
      <c r="AC169" s="414"/>
      <c r="AD169" s="416"/>
      <c r="AE169" s="420"/>
      <c r="AF169" s="391"/>
      <c r="AG169" s="71"/>
      <c r="AH169" s="222"/>
      <c r="AI169" s="274"/>
      <c r="AJ169" s="222"/>
      <c r="AK169" s="274"/>
      <c r="AL169" s="221"/>
      <c r="AM169" s="269"/>
      <c r="AN169" s="404"/>
      <c r="AO169" s="405"/>
      <c r="AP169" s="408"/>
      <c r="AQ169" s="409"/>
      <c r="AR169" s="26"/>
      <c r="AS169" s="27"/>
    </row>
    <row r="170" spans="2:45" s="117" customFormat="1" x14ac:dyDescent="0.2">
      <c r="B170" s="335" t="s">
        <v>76</v>
      </c>
      <c r="C170" s="336" t="s">
        <v>77</v>
      </c>
      <c r="D170" s="337" t="s">
        <v>30</v>
      </c>
      <c r="E170" s="104"/>
      <c r="F170" s="104"/>
      <c r="G170" s="103"/>
      <c r="H170" s="26"/>
      <c r="I170" s="27"/>
      <c r="J170" s="27"/>
      <c r="K170" s="27"/>
      <c r="L170" s="483"/>
      <c r="M170" s="479"/>
      <c r="N170" s="390"/>
      <c r="O170" s="391"/>
      <c r="P170" s="222"/>
      <c r="Q170" s="274"/>
      <c r="R170" s="394">
        <v>89695</v>
      </c>
      <c r="S170" s="395">
        <v>0</v>
      </c>
      <c r="T170" s="221">
        <f t="shared" si="144"/>
        <v>89695</v>
      </c>
      <c r="U170" s="269">
        <f t="shared" si="145"/>
        <v>0</v>
      </c>
      <c r="V170" s="345">
        <f t="shared" si="146"/>
        <v>9966.1111111111113</v>
      </c>
      <c r="W170" s="404"/>
      <c r="X170" s="405"/>
      <c r="Y170" s="408"/>
      <c r="Z170" s="409"/>
      <c r="AA170" s="414"/>
      <c r="AB170" s="415"/>
      <c r="AC170" s="414"/>
      <c r="AD170" s="416"/>
      <c r="AE170" s="420"/>
      <c r="AF170" s="391"/>
      <c r="AG170" s="71"/>
      <c r="AH170" s="222"/>
      <c r="AI170" s="274"/>
      <c r="AJ170" s="222"/>
      <c r="AK170" s="274"/>
      <c r="AL170" s="221"/>
      <c r="AM170" s="269"/>
      <c r="AN170" s="404"/>
      <c r="AO170" s="405"/>
      <c r="AP170" s="408"/>
      <c r="AQ170" s="409"/>
      <c r="AR170" s="26"/>
      <c r="AS170" s="27"/>
    </row>
    <row r="171" spans="2:45" s="117" customFormat="1" x14ac:dyDescent="0.2">
      <c r="B171" s="335" t="s">
        <v>77</v>
      </c>
      <c r="C171" s="336" t="s">
        <v>78</v>
      </c>
      <c r="D171" s="337" t="s">
        <v>30</v>
      </c>
      <c r="E171" s="104"/>
      <c r="F171" s="104"/>
      <c r="G171" s="103"/>
      <c r="H171" s="26"/>
      <c r="I171" s="27"/>
      <c r="J171" s="27"/>
      <c r="K171" s="27"/>
      <c r="L171" s="79"/>
      <c r="M171" s="83"/>
      <c r="N171" s="390"/>
      <c r="O171" s="391"/>
      <c r="P171" s="222"/>
      <c r="Q171" s="274"/>
      <c r="R171" s="394">
        <v>85122</v>
      </c>
      <c r="S171" s="395">
        <v>0</v>
      </c>
      <c r="T171" s="221">
        <f t="shared" si="144"/>
        <v>85122</v>
      </c>
      <c r="U171" s="269">
        <f t="shared" si="145"/>
        <v>0</v>
      </c>
      <c r="V171" s="345">
        <f t="shared" si="146"/>
        <v>9458</v>
      </c>
      <c r="W171" s="404"/>
      <c r="X171" s="405"/>
      <c r="Y171" s="408"/>
      <c r="Z171" s="409"/>
      <c r="AA171" s="414"/>
      <c r="AB171" s="415"/>
      <c r="AC171" s="414"/>
      <c r="AD171" s="416"/>
      <c r="AE171" s="420"/>
      <c r="AF171" s="391"/>
      <c r="AG171" s="71"/>
      <c r="AH171" s="222"/>
      <c r="AI171" s="274"/>
      <c r="AJ171" s="222"/>
      <c r="AK171" s="274"/>
      <c r="AL171" s="221"/>
      <c r="AM171" s="269"/>
      <c r="AN171" s="404"/>
      <c r="AO171" s="405"/>
      <c r="AP171" s="408"/>
      <c r="AQ171" s="409"/>
      <c r="AR171" s="26"/>
      <c r="AS171" s="27"/>
    </row>
    <row r="172" spans="2:45" s="117" customFormat="1" x14ac:dyDescent="0.2">
      <c r="B172" s="335" t="s">
        <v>77</v>
      </c>
      <c r="C172" s="336" t="s">
        <v>78</v>
      </c>
      <c r="D172" s="337" t="s">
        <v>30</v>
      </c>
      <c r="E172" s="104"/>
      <c r="F172" s="104"/>
      <c r="G172" s="103"/>
      <c r="H172" s="26"/>
      <c r="I172" s="27"/>
      <c r="J172" s="27"/>
      <c r="K172" s="27"/>
      <c r="L172" s="79"/>
      <c r="M172" s="83"/>
      <c r="N172" s="390"/>
      <c r="O172" s="391"/>
      <c r="P172" s="222"/>
      <c r="Q172" s="274"/>
      <c r="R172" s="394">
        <v>13518</v>
      </c>
      <c r="S172" s="395">
        <v>0</v>
      </c>
      <c r="T172" s="221">
        <f t="shared" si="144"/>
        <v>13518</v>
      </c>
      <c r="U172" s="269">
        <f t="shared" si="145"/>
        <v>0</v>
      </c>
      <c r="V172" s="345">
        <f t="shared" si="146"/>
        <v>1502</v>
      </c>
      <c r="W172" s="404"/>
      <c r="X172" s="405"/>
      <c r="Y172" s="408"/>
      <c r="Z172" s="409"/>
      <c r="AA172" s="414"/>
      <c r="AB172" s="415"/>
      <c r="AC172" s="414"/>
      <c r="AD172" s="416"/>
      <c r="AE172" s="420"/>
      <c r="AF172" s="391"/>
      <c r="AG172" s="71"/>
      <c r="AH172" s="222"/>
      <c r="AI172" s="274"/>
      <c r="AJ172" s="222"/>
      <c r="AK172" s="274"/>
      <c r="AL172" s="221"/>
      <c r="AM172" s="269"/>
      <c r="AN172" s="404"/>
      <c r="AO172" s="405"/>
      <c r="AP172" s="408"/>
      <c r="AQ172" s="409"/>
      <c r="AR172" s="26"/>
      <c r="AS172" s="27"/>
    </row>
    <row r="173" spans="2:45" s="117" customFormat="1" x14ac:dyDescent="0.2">
      <c r="B173" s="335" t="s">
        <v>77</v>
      </c>
      <c r="C173" s="336" t="s">
        <v>78</v>
      </c>
      <c r="D173" s="337" t="s">
        <v>30</v>
      </c>
      <c r="E173" s="104"/>
      <c r="F173" s="104"/>
      <c r="G173" s="103"/>
      <c r="H173" s="26"/>
      <c r="I173" s="27"/>
      <c r="J173" s="27"/>
      <c r="K173" s="27"/>
      <c r="L173" s="79"/>
      <c r="M173" s="83"/>
      <c r="N173" s="390"/>
      <c r="O173" s="391"/>
      <c r="P173" s="222"/>
      <c r="Q173" s="274"/>
      <c r="R173" s="394">
        <v>36288</v>
      </c>
      <c r="S173" s="395">
        <v>0</v>
      </c>
      <c r="T173" s="221">
        <f t="shared" si="144"/>
        <v>36288</v>
      </c>
      <c r="U173" s="269">
        <f t="shared" si="145"/>
        <v>0</v>
      </c>
      <c r="V173" s="345">
        <f t="shared" si="146"/>
        <v>4032</v>
      </c>
      <c r="W173" s="404"/>
      <c r="X173" s="405"/>
      <c r="Y173" s="408"/>
      <c r="Z173" s="409"/>
      <c r="AA173" s="414"/>
      <c r="AB173" s="415"/>
      <c r="AC173" s="414"/>
      <c r="AD173" s="416"/>
      <c r="AE173" s="420"/>
      <c r="AF173" s="391"/>
      <c r="AG173" s="71"/>
      <c r="AH173" s="222"/>
      <c r="AI173" s="274"/>
      <c r="AJ173" s="222"/>
      <c r="AK173" s="274"/>
      <c r="AL173" s="221"/>
      <c r="AM173" s="269"/>
      <c r="AN173" s="404"/>
      <c r="AO173" s="405"/>
      <c r="AP173" s="408"/>
      <c r="AQ173" s="409"/>
      <c r="AR173" s="26"/>
      <c r="AS173" s="27"/>
    </row>
    <row r="174" spans="2:45" s="117" customFormat="1" x14ac:dyDescent="0.2">
      <c r="B174" s="335" t="s">
        <v>78</v>
      </c>
      <c r="C174" s="336" t="s">
        <v>49</v>
      </c>
      <c r="D174" s="337" t="s">
        <v>30</v>
      </c>
      <c r="E174" s="104"/>
      <c r="F174" s="104"/>
      <c r="G174" s="103"/>
      <c r="H174" s="26"/>
      <c r="I174" s="27"/>
      <c r="J174" s="27"/>
      <c r="K174" s="27"/>
      <c r="L174" s="79"/>
      <c r="M174" s="83"/>
      <c r="N174" s="390"/>
      <c r="O174" s="391"/>
      <c r="P174" s="222"/>
      <c r="Q174" s="274"/>
      <c r="R174" s="394">
        <v>64377</v>
      </c>
      <c r="S174" s="395">
        <v>0</v>
      </c>
      <c r="T174" s="221">
        <f t="shared" si="144"/>
        <v>64377</v>
      </c>
      <c r="U174" s="269">
        <f t="shared" si="145"/>
        <v>0</v>
      </c>
      <c r="V174" s="345">
        <f t="shared" si="146"/>
        <v>7153</v>
      </c>
      <c r="W174" s="404"/>
      <c r="X174" s="405"/>
      <c r="Y174" s="408"/>
      <c r="Z174" s="409"/>
      <c r="AA174" s="414"/>
      <c r="AB174" s="415"/>
      <c r="AC174" s="414"/>
      <c r="AD174" s="416"/>
      <c r="AE174" s="420"/>
      <c r="AF174" s="391"/>
      <c r="AG174" s="71"/>
      <c r="AH174" s="222"/>
      <c r="AI174" s="274"/>
      <c r="AJ174" s="222"/>
      <c r="AK174" s="274"/>
      <c r="AL174" s="221"/>
      <c r="AM174" s="269"/>
      <c r="AN174" s="404"/>
      <c r="AO174" s="405"/>
      <c r="AP174" s="408"/>
      <c r="AQ174" s="409"/>
      <c r="AR174" s="26"/>
      <c r="AS174" s="27"/>
    </row>
    <row r="175" spans="2:45" s="117" customFormat="1" x14ac:dyDescent="0.2">
      <c r="B175" s="335" t="s">
        <v>78</v>
      </c>
      <c r="C175" s="336" t="s">
        <v>49</v>
      </c>
      <c r="D175" s="337" t="s">
        <v>30</v>
      </c>
      <c r="E175" s="104"/>
      <c r="F175" s="104"/>
      <c r="G175" s="103"/>
      <c r="H175" s="26"/>
      <c r="I175" s="27"/>
      <c r="J175" s="27"/>
      <c r="K175" s="27"/>
      <c r="L175" s="79"/>
      <c r="M175" s="83"/>
      <c r="N175" s="390"/>
      <c r="O175" s="391"/>
      <c r="P175" s="222"/>
      <c r="Q175" s="274"/>
      <c r="R175" s="394">
        <v>10179</v>
      </c>
      <c r="S175" s="395">
        <v>0</v>
      </c>
      <c r="T175" s="221">
        <f t="shared" si="144"/>
        <v>10179</v>
      </c>
      <c r="U175" s="269">
        <f t="shared" si="145"/>
        <v>0</v>
      </c>
      <c r="V175" s="345">
        <f t="shared" si="146"/>
        <v>1131</v>
      </c>
      <c r="W175" s="404"/>
      <c r="X175" s="405"/>
      <c r="Y175" s="408"/>
      <c r="Z175" s="409"/>
      <c r="AA175" s="414"/>
      <c r="AB175" s="415"/>
      <c r="AC175" s="414"/>
      <c r="AD175" s="416"/>
      <c r="AE175" s="420"/>
      <c r="AF175" s="391"/>
      <c r="AG175" s="71"/>
      <c r="AH175" s="222"/>
      <c r="AI175" s="274"/>
      <c r="AJ175" s="222"/>
      <c r="AK175" s="274"/>
      <c r="AL175" s="221"/>
      <c r="AM175" s="269"/>
      <c r="AN175" s="404"/>
      <c r="AO175" s="405"/>
      <c r="AP175" s="408"/>
      <c r="AQ175" s="409"/>
      <c r="AR175" s="26"/>
      <c r="AS175" s="27"/>
    </row>
    <row r="176" spans="2:45" s="117" customFormat="1" x14ac:dyDescent="0.2">
      <c r="B176" s="335" t="s">
        <v>78</v>
      </c>
      <c r="C176" s="336" t="s">
        <v>49</v>
      </c>
      <c r="D176" s="340" t="s">
        <v>30</v>
      </c>
      <c r="E176" s="104"/>
      <c r="F176" s="104"/>
      <c r="G176" s="103"/>
      <c r="H176" s="26"/>
      <c r="I176" s="27"/>
      <c r="J176" s="27"/>
      <c r="K176" s="27"/>
      <c r="L176" s="79"/>
      <c r="M176" s="83"/>
      <c r="N176" s="390"/>
      <c r="O176" s="391"/>
      <c r="P176" s="222"/>
      <c r="Q176" s="274"/>
      <c r="R176" s="394">
        <v>27468</v>
      </c>
      <c r="S176" s="395">
        <v>0</v>
      </c>
      <c r="T176" s="221">
        <f t="shared" si="144"/>
        <v>27468</v>
      </c>
      <c r="U176" s="269">
        <f t="shared" si="145"/>
        <v>0</v>
      </c>
      <c r="V176" s="345">
        <f t="shared" si="146"/>
        <v>3052</v>
      </c>
      <c r="W176" s="404"/>
      <c r="X176" s="405"/>
      <c r="Y176" s="408"/>
      <c r="Z176" s="409"/>
      <c r="AA176" s="414"/>
      <c r="AB176" s="415"/>
      <c r="AC176" s="414"/>
      <c r="AD176" s="416"/>
      <c r="AE176" s="420"/>
      <c r="AF176" s="391"/>
      <c r="AG176" s="71"/>
      <c r="AH176" s="222"/>
      <c r="AI176" s="274"/>
      <c r="AJ176" s="222"/>
      <c r="AK176" s="274"/>
      <c r="AL176" s="221"/>
      <c r="AM176" s="269"/>
      <c r="AN176" s="404"/>
      <c r="AO176" s="405"/>
      <c r="AP176" s="408"/>
      <c r="AQ176" s="409"/>
      <c r="AR176" s="26"/>
      <c r="AS176" s="27"/>
    </row>
    <row r="177" spans="1:61" s="117" customFormat="1" ht="13.5" thickBot="1" x14ac:dyDescent="0.25">
      <c r="B177" s="257"/>
      <c r="C177" s="197"/>
      <c r="D177" s="238"/>
      <c r="E177" s="32"/>
      <c r="F177" s="32"/>
      <c r="G177" s="32"/>
      <c r="H177" s="26"/>
      <c r="I177" s="27"/>
      <c r="J177" s="27"/>
      <c r="K177" s="27"/>
      <c r="L177" s="27"/>
      <c r="M177" s="83"/>
      <c r="N177" s="386"/>
      <c r="O177" s="387"/>
      <c r="P177" s="392"/>
      <c r="Q177" s="393"/>
      <c r="R177" s="223"/>
      <c r="S177" s="280"/>
      <c r="T177" s="223"/>
      <c r="U177" s="280"/>
      <c r="V177" s="123"/>
      <c r="W177" s="221"/>
      <c r="X177" s="269"/>
      <c r="Y177" s="398"/>
      <c r="Z177" s="399"/>
      <c r="AA177" s="398"/>
      <c r="AB177" s="399"/>
      <c r="AC177" s="398"/>
      <c r="AD177" s="399"/>
      <c r="AE177" s="398"/>
      <c r="AF177" s="399"/>
      <c r="AG177" s="70"/>
      <c r="AH177" s="421"/>
      <c r="AI177" s="422"/>
      <c r="AJ177" s="420"/>
      <c r="AK177" s="425"/>
      <c r="AL177" s="398"/>
      <c r="AM177" s="399"/>
      <c r="AN177" s="420"/>
      <c r="AO177" s="425"/>
      <c r="AP177" s="420"/>
      <c r="AQ177" s="426"/>
      <c r="AR177" s="457"/>
      <c r="AS177" s="19"/>
    </row>
    <row r="178" spans="1:61" s="81" customFormat="1" ht="12.75" customHeight="1" x14ac:dyDescent="0.2">
      <c r="B178" s="590" t="s">
        <v>254</v>
      </c>
      <c r="C178" s="591"/>
      <c r="D178" s="596" t="s">
        <v>267</v>
      </c>
      <c r="E178" s="597"/>
      <c r="F178" s="597"/>
      <c r="G178" s="597"/>
      <c r="H178" s="597"/>
      <c r="I178" s="597"/>
      <c r="J178" s="597"/>
      <c r="K178" s="597"/>
      <c r="L178" s="597"/>
      <c r="M178" s="597"/>
      <c r="N178" s="597"/>
      <c r="O178" s="597"/>
      <c r="P178" s="597"/>
      <c r="Q178" s="597"/>
      <c r="R178" s="597"/>
      <c r="S178" s="597"/>
      <c r="T178" s="597"/>
      <c r="U178" s="598"/>
      <c r="V178" s="610">
        <f t="shared" ref="V178:AS178" si="147">ROUNDUP(SUM(V139:V176),0)</f>
        <v>226876</v>
      </c>
      <c r="W178" s="612">
        <f t="shared" si="147"/>
        <v>0</v>
      </c>
      <c r="X178" s="614">
        <f t="shared" si="147"/>
        <v>0</v>
      </c>
      <c r="Y178" s="612">
        <f t="shared" si="147"/>
        <v>0</v>
      </c>
      <c r="Z178" s="614">
        <f t="shared" si="147"/>
        <v>0</v>
      </c>
      <c r="AA178" s="612">
        <f t="shared" si="147"/>
        <v>0</v>
      </c>
      <c r="AB178" s="614">
        <f t="shared" si="147"/>
        <v>0</v>
      </c>
      <c r="AC178" s="612">
        <f t="shared" si="147"/>
        <v>0</v>
      </c>
      <c r="AD178" s="614">
        <f t="shared" si="147"/>
        <v>0</v>
      </c>
      <c r="AE178" s="612">
        <f t="shared" si="147"/>
        <v>0</v>
      </c>
      <c r="AF178" s="614">
        <f t="shared" si="147"/>
        <v>0</v>
      </c>
      <c r="AG178" s="610">
        <f t="shared" si="147"/>
        <v>207</v>
      </c>
      <c r="AH178" s="612">
        <f t="shared" si="147"/>
        <v>0</v>
      </c>
      <c r="AI178" s="614">
        <f t="shared" si="147"/>
        <v>0</v>
      </c>
      <c r="AJ178" s="612">
        <f t="shared" si="147"/>
        <v>0</v>
      </c>
      <c r="AK178" s="614">
        <f t="shared" si="147"/>
        <v>0</v>
      </c>
      <c r="AL178" s="612">
        <f t="shared" si="147"/>
        <v>1438</v>
      </c>
      <c r="AM178" s="614">
        <f t="shared" si="147"/>
        <v>0</v>
      </c>
      <c r="AN178" s="612">
        <f t="shared" si="147"/>
        <v>1090</v>
      </c>
      <c r="AO178" s="614">
        <f t="shared" si="147"/>
        <v>0</v>
      </c>
      <c r="AP178" s="612">
        <f t="shared" si="147"/>
        <v>0</v>
      </c>
      <c r="AQ178" s="614">
        <f t="shared" si="147"/>
        <v>0</v>
      </c>
      <c r="AR178" s="610">
        <f t="shared" si="147"/>
        <v>0</v>
      </c>
      <c r="AS178" s="610">
        <f t="shared" si="147"/>
        <v>0</v>
      </c>
    </row>
    <row r="179" spans="1:61" s="81" customFormat="1" ht="12.75" customHeight="1" thickBot="1" x14ac:dyDescent="0.25">
      <c r="B179" s="592"/>
      <c r="C179" s="593"/>
      <c r="D179" s="599"/>
      <c r="E179" s="600"/>
      <c r="F179" s="600"/>
      <c r="G179" s="600"/>
      <c r="H179" s="600"/>
      <c r="I179" s="600"/>
      <c r="J179" s="600"/>
      <c r="K179" s="600"/>
      <c r="L179" s="600"/>
      <c r="M179" s="600"/>
      <c r="N179" s="600"/>
      <c r="O179" s="600"/>
      <c r="P179" s="600"/>
      <c r="Q179" s="600"/>
      <c r="R179" s="600"/>
      <c r="S179" s="600"/>
      <c r="T179" s="600"/>
      <c r="U179" s="601"/>
      <c r="V179" s="611"/>
      <c r="W179" s="613"/>
      <c r="X179" s="615"/>
      <c r="Y179" s="613"/>
      <c r="Z179" s="615"/>
      <c r="AA179" s="613"/>
      <c r="AB179" s="615"/>
      <c r="AC179" s="613"/>
      <c r="AD179" s="615"/>
      <c r="AE179" s="613"/>
      <c r="AF179" s="615"/>
      <c r="AG179" s="611"/>
      <c r="AH179" s="613"/>
      <c r="AI179" s="615"/>
      <c r="AJ179" s="613"/>
      <c r="AK179" s="615"/>
      <c r="AL179" s="613"/>
      <c r="AM179" s="615"/>
      <c r="AN179" s="613"/>
      <c r="AO179" s="615"/>
      <c r="AP179" s="613"/>
      <c r="AQ179" s="615"/>
      <c r="AR179" s="611"/>
      <c r="AS179" s="611"/>
    </row>
    <row r="180" spans="1:61" s="20" customFormat="1" ht="12.75" customHeight="1" x14ac:dyDescent="0.2">
      <c r="A180" s="1"/>
      <c r="B180" s="592"/>
      <c r="C180" s="593"/>
      <c r="D180" s="596" t="s">
        <v>268</v>
      </c>
      <c r="E180" s="597"/>
      <c r="F180" s="597"/>
      <c r="G180" s="597"/>
      <c r="H180" s="597"/>
      <c r="I180" s="597"/>
      <c r="J180" s="597"/>
      <c r="K180" s="597"/>
      <c r="L180" s="597"/>
      <c r="M180" s="597"/>
      <c r="N180" s="597"/>
      <c r="O180" s="597"/>
      <c r="P180" s="597"/>
      <c r="Q180" s="597"/>
      <c r="R180" s="597"/>
      <c r="S180" s="597"/>
      <c r="T180" s="597"/>
      <c r="U180" s="598"/>
      <c r="V180" s="610">
        <f t="shared" ref="V180:AS180" si="148">V73+V136</f>
        <v>0</v>
      </c>
      <c r="W180" s="612">
        <f>W73+W136</f>
        <v>38838</v>
      </c>
      <c r="X180" s="614">
        <f t="shared" si="148"/>
        <v>12835</v>
      </c>
      <c r="Y180" s="612">
        <f t="shared" si="148"/>
        <v>140</v>
      </c>
      <c r="Z180" s="614">
        <f t="shared" si="148"/>
        <v>57</v>
      </c>
      <c r="AA180" s="612">
        <f t="shared" si="148"/>
        <v>237987</v>
      </c>
      <c r="AB180" s="614">
        <f t="shared" si="148"/>
        <v>99213</v>
      </c>
      <c r="AC180" s="612">
        <f t="shared" si="148"/>
        <v>237987</v>
      </c>
      <c r="AD180" s="614">
        <f t="shared" si="148"/>
        <v>99213</v>
      </c>
      <c r="AE180" s="612">
        <f t="shared" si="148"/>
        <v>7069</v>
      </c>
      <c r="AF180" s="614">
        <f t="shared" si="148"/>
        <v>2947</v>
      </c>
      <c r="AG180" s="610">
        <f t="shared" si="148"/>
        <v>1529</v>
      </c>
      <c r="AH180" s="612">
        <f t="shared" si="148"/>
        <v>85834</v>
      </c>
      <c r="AI180" s="614">
        <f t="shared" si="148"/>
        <v>35630</v>
      </c>
      <c r="AJ180" s="612">
        <f t="shared" si="148"/>
        <v>46084</v>
      </c>
      <c r="AK180" s="614">
        <f t="shared" si="148"/>
        <v>18716</v>
      </c>
      <c r="AL180" s="612">
        <f t="shared" si="148"/>
        <v>14575</v>
      </c>
      <c r="AM180" s="614">
        <f t="shared" si="148"/>
        <v>6135</v>
      </c>
      <c r="AN180" s="612">
        <f t="shared" si="148"/>
        <v>10701</v>
      </c>
      <c r="AO180" s="614">
        <f t="shared" si="148"/>
        <v>4648</v>
      </c>
      <c r="AP180" s="612">
        <f t="shared" si="148"/>
        <v>12914</v>
      </c>
      <c r="AQ180" s="614">
        <f t="shared" si="148"/>
        <v>5423</v>
      </c>
      <c r="AR180" s="610">
        <f>AR73+AR136</f>
        <v>1494</v>
      </c>
      <c r="AS180" s="610">
        <f t="shared" si="148"/>
        <v>108098</v>
      </c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</row>
    <row r="181" spans="1:61" s="20" customFormat="1" ht="12.75" customHeight="1" thickBot="1" x14ac:dyDescent="0.25">
      <c r="A181" s="1"/>
      <c r="B181" s="592"/>
      <c r="C181" s="593"/>
      <c r="D181" s="599"/>
      <c r="E181" s="600"/>
      <c r="F181" s="600"/>
      <c r="G181" s="600"/>
      <c r="H181" s="600"/>
      <c r="I181" s="600"/>
      <c r="J181" s="600"/>
      <c r="K181" s="600"/>
      <c r="L181" s="600"/>
      <c r="M181" s="600"/>
      <c r="N181" s="600"/>
      <c r="O181" s="600"/>
      <c r="P181" s="600"/>
      <c r="Q181" s="600"/>
      <c r="R181" s="600"/>
      <c r="S181" s="600"/>
      <c r="T181" s="600"/>
      <c r="U181" s="601"/>
      <c r="V181" s="611"/>
      <c r="W181" s="613"/>
      <c r="X181" s="615"/>
      <c r="Y181" s="613"/>
      <c r="Z181" s="615"/>
      <c r="AA181" s="613"/>
      <c r="AB181" s="615"/>
      <c r="AC181" s="613"/>
      <c r="AD181" s="615"/>
      <c r="AE181" s="613"/>
      <c r="AF181" s="615"/>
      <c r="AG181" s="611"/>
      <c r="AH181" s="613"/>
      <c r="AI181" s="615"/>
      <c r="AJ181" s="613"/>
      <c r="AK181" s="615"/>
      <c r="AL181" s="613"/>
      <c r="AM181" s="615"/>
      <c r="AN181" s="613"/>
      <c r="AO181" s="615"/>
      <c r="AP181" s="613"/>
      <c r="AQ181" s="615"/>
      <c r="AR181" s="611"/>
      <c r="AS181" s="61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</row>
    <row r="182" spans="1:61" x14ac:dyDescent="0.2">
      <c r="A182" s="20"/>
      <c r="B182" s="592"/>
      <c r="C182" s="593"/>
      <c r="D182" s="602" t="s">
        <v>269</v>
      </c>
      <c r="E182" s="603"/>
      <c r="F182" s="603"/>
      <c r="G182" s="603"/>
      <c r="H182" s="603"/>
      <c r="I182" s="603"/>
      <c r="J182" s="603"/>
      <c r="K182" s="603"/>
      <c r="L182" s="603"/>
      <c r="M182" s="603"/>
      <c r="N182" s="603"/>
      <c r="O182" s="603"/>
      <c r="P182" s="603"/>
      <c r="Q182" s="603"/>
      <c r="R182" s="603"/>
      <c r="S182" s="603"/>
      <c r="T182" s="603"/>
      <c r="U182" s="604"/>
      <c r="V182" s="610">
        <f>V178+V180</f>
        <v>226876</v>
      </c>
      <c r="W182" s="620">
        <f>W180+X180+W178+X178</f>
        <v>51673</v>
      </c>
      <c r="X182" s="621"/>
      <c r="Y182" s="620">
        <f>Y180+Z180+Y178+Z178</f>
        <v>197</v>
      </c>
      <c r="Z182" s="621"/>
      <c r="AA182" s="620">
        <f>AA180+AB180+AA178+AB178</f>
        <v>337200</v>
      </c>
      <c r="AB182" s="621"/>
      <c r="AC182" s="620">
        <f>AC180+AD180+AC178+AD178</f>
        <v>337200</v>
      </c>
      <c r="AD182" s="621"/>
      <c r="AE182" s="620">
        <f>AE180+AF180+AE178+AF178</f>
        <v>10016</v>
      </c>
      <c r="AF182" s="621"/>
      <c r="AG182" s="610">
        <f>AG180+AG178</f>
        <v>1736</v>
      </c>
      <c r="AH182" s="620">
        <f>AH180+AI180+AH178+AI178</f>
        <v>121464</v>
      </c>
      <c r="AI182" s="621"/>
      <c r="AJ182" s="620">
        <f>AJ180+AK180+AJ178+AK178</f>
        <v>64800</v>
      </c>
      <c r="AK182" s="621"/>
      <c r="AL182" s="620">
        <f>AL180+AM180+AL178+AM178</f>
        <v>22148</v>
      </c>
      <c r="AM182" s="621"/>
      <c r="AN182" s="620">
        <f>AN180+AO180+AN178+AO178</f>
        <v>16439</v>
      </c>
      <c r="AO182" s="621"/>
      <c r="AP182" s="620">
        <f>AP180+AQ180+AP178+AQ178</f>
        <v>18337</v>
      </c>
      <c r="AQ182" s="621"/>
      <c r="AR182" s="610">
        <f>AR180+AR178</f>
        <v>1494</v>
      </c>
      <c r="AS182" s="610">
        <f>AS180+AS178</f>
        <v>108098</v>
      </c>
    </row>
    <row r="183" spans="1:61" ht="13.5" thickBot="1" x14ac:dyDescent="0.25">
      <c r="A183" s="20"/>
      <c r="B183" s="594"/>
      <c r="C183" s="595"/>
      <c r="D183" s="605"/>
      <c r="E183" s="606"/>
      <c r="F183" s="606"/>
      <c r="G183" s="606"/>
      <c r="H183" s="606"/>
      <c r="I183" s="606"/>
      <c r="J183" s="606"/>
      <c r="K183" s="606"/>
      <c r="L183" s="606"/>
      <c r="M183" s="606"/>
      <c r="N183" s="606"/>
      <c r="O183" s="606"/>
      <c r="P183" s="606"/>
      <c r="Q183" s="606"/>
      <c r="R183" s="606"/>
      <c r="S183" s="606"/>
      <c r="T183" s="606"/>
      <c r="U183" s="607"/>
      <c r="V183" s="611"/>
      <c r="W183" s="622"/>
      <c r="X183" s="623"/>
      <c r="Y183" s="622"/>
      <c r="Z183" s="623"/>
      <c r="AA183" s="622"/>
      <c r="AB183" s="623"/>
      <c r="AC183" s="622"/>
      <c r="AD183" s="623"/>
      <c r="AE183" s="622"/>
      <c r="AF183" s="623"/>
      <c r="AG183" s="611"/>
      <c r="AH183" s="622"/>
      <c r="AI183" s="623"/>
      <c r="AJ183" s="622"/>
      <c r="AK183" s="623"/>
      <c r="AL183" s="622"/>
      <c r="AM183" s="623"/>
      <c r="AN183" s="622"/>
      <c r="AO183" s="623"/>
      <c r="AP183" s="622"/>
      <c r="AQ183" s="623"/>
      <c r="AR183" s="611"/>
      <c r="AS183" s="611"/>
    </row>
    <row r="184" spans="1:61" x14ac:dyDescent="0.2">
      <c r="C184" s="22"/>
    </row>
    <row r="185" spans="1:61" ht="15" x14ac:dyDescent="0.25">
      <c r="C185" s="22"/>
      <c r="S185" s="190" t="s">
        <v>174</v>
      </c>
      <c r="T185" s="183">
        <f>SUM(T19:T133)</f>
        <v>2391987</v>
      </c>
      <c r="U185" s="184">
        <f>SUM(U19:U133)</f>
        <v>1010621</v>
      </c>
      <c r="V185" s="179" t="s">
        <v>175</v>
      </c>
      <c r="AL185" s="1"/>
      <c r="AM185" s="1"/>
      <c r="AP185" s="181">
        <f>AP180/$AP$182</f>
        <v>0.70425914817036595</v>
      </c>
      <c r="AQ185" s="181">
        <f>AQ180/$AP$182</f>
        <v>0.29574085182963405</v>
      </c>
      <c r="AR185" s="181"/>
    </row>
    <row r="186" spans="1:61" ht="15" x14ac:dyDescent="0.25">
      <c r="S186" s="182"/>
      <c r="T186" s="619">
        <f>SUM(T19:U133)</f>
        <v>3402608</v>
      </c>
      <c r="U186" s="619"/>
      <c r="V186" s="179" t="s">
        <v>172</v>
      </c>
    </row>
  </sheetData>
  <customSheetViews>
    <customSheetView guid="{221143F3-72E3-4C4A-9811-2F859DD19779}" scale="75" showPageBreaks="1" printArea="1" hiddenColumns="1" view="pageBreakPreview">
      <pane xSplit="4" ySplit="14" topLeftCell="M105" activePane="bottomRight" state="frozen"/>
      <selection pane="bottomRight" activeCell="AA137" sqref="AA137:AF140"/>
      <rowBreaks count="1" manualBreakCount="1">
        <brk id="69" min="1" max="42" man="1"/>
      </rowBreaks>
      <pageMargins left="0.73" right="0.25" top="0.66" bottom="0.4" header="0.65" footer="0.25"/>
      <printOptions horizontalCentered="1" verticalCentered="1"/>
      <pageSetup paperSize="17" scale="55" orientation="landscape" r:id="rId1"/>
      <headerFooter alignWithMargins="0">
        <oddFooter>&amp;L&amp;D&amp;R&amp;F, &amp;A</oddFooter>
      </headerFooter>
    </customSheetView>
  </customSheetViews>
  <mergeCells count="221">
    <mergeCell ref="B4:C4"/>
    <mergeCell ref="BF16:BH16"/>
    <mergeCell ref="AZ13:BB13"/>
    <mergeCell ref="AW14:AY14"/>
    <mergeCell ref="BC14:BE14"/>
    <mergeCell ref="BF17:BH17"/>
    <mergeCell ref="AF178:AF179"/>
    <mergeCell ref="B2:C2"/>
    <mergeCell ref="B3:C3"/>
    <mergeCell ref="B5:C5"/>
    <mergeCell ref="B144:C144"/>
    <mergeCell ref="AW11:AY11"/>
    <mergeCell ref="AZ11:BB11"/>
    <mergeCell ref="BC11:BE11"/>
    <mergeCell ref="X178:X179"/>
    <mergeCell ref="Y178:Y179"/>
    <mergeCell ref="Z178:Z179"/>
    <mergeCell ref="AA178:AA179"/>
    <mergeCell ref="AB178:AB179"/>
    <mergeCell ref="AC178:AC179"/>
    <mergeCell ref="AD178:AD179"/>
    <mergeCell ref="J17:J18"/>
    <mergeCell ref="K17:K18"/>
    <mergeCell ref="L17:L18"/>
    <mergeCell ref="AZ16:BB16"/>
    <mergeCell ref="BC16:BE16"/>
    <mergeCell ref="AW16:AY16"/>
    <mergeCell ref="AZ17:BB17"/>
    <mergeCell ref="BC17:BE17"/>
    <mergeCell ref="AS7:AS16"/>
    <mergeCell ref="AN7:AO16"/>
    <mergeCell ref="AN17:AO17"/>
    <mergeCell ref="AP7:AQ16"/>
    <mergeCell ref="AU10:BH10"/>
    <mergeCell ref="BF11:BH11"/>
    <mergeCell ref="AW12:AY12"/>
    <mergeCell ref="AZ12:BB12"/>
    <mergeCell ref="BC12:BE12"/>
    <mergeCell ref="BF12:BH12"/>
    <mergeCell ref="AW15:AY15"/>
    <mergeCell ref="AZ14:BB14"/>
    <mergeCell ref="AZ15:BB15"/>
    <mergeCell ref="BC15:BE15"/>
    <mergeCell ref="BF13:BH13"/>
    <mergeCell ref="BF14:BH14"/>
    <mergeCell ref="BF15:BH15"/>
    <mergeCell ref="AW13:AY13"/>
    <mergeCell ref="AE182:AF183"/>
    <mergeCell ref="AH182:AI183"/>
    <mergeCell ref="X180:X181"/>
    <mergeCell ref="Z180:Z181"/>
    <mergeCell ref="AN182:AO183"/>
    <mergeCell ref="AP182:AQ183"/>
    <mergeCell ref="AK136:AK137"/>
    <mergeCell ref="AL136:AL137"/>
    <mergeCell ref="AM136:AM137"/>
    <mergeCell ref="AI178:AI179"/>
    <mergeCell ref="AJ178:AJ179"/>
    <mergeCell ref="AK178:AK179"/>
    <mergeCell ref="AL178:AL179"/>
    <mergeCell ref="AG182:AG183"/>
    <mergeCell ref="AP180:AP181"/>
    <mergeCell ref="AG180:AG181"/>
    <mergeCell ref="AL180:AL181"/>
    <mergeCell ref="AJ180:AJ181"/>
    <mergeCell ref="AN178:AN179"/>
    <mergeCell ref="AO178:AO179"/>
    <mergeCell ref="AP178:AP179"/>
    <mergeCell ref="AE178:AE179"/>
    <mergeCell ref="W182:X183"/>
    <mergeCell ref="Y182:Z183"/>
    <mergeCell ref="AS182:AS183"/>
    <mergeCell ref="AW17:AY17"/>
    <mergeCell ref="AN136:AN137"/>
    <mergeCell ref="AO136:AO137"/>
    <mergeCell ref="AP136:AP137"/>
    <mergeCell ref="AQ136:AQ137"/>
    <mergeCell ref="AS136:AS137"/>
    <mergeCell ref="AG178:AG179"/>
    <mergeCell ref="AH178:AH179"/>
    <mergeCell ref="AJ182:AK183"/>
    <mergeCell ref="AM178:AM179"/>
    <mergeCell ref="AH180:AH181"/>
    <mergeCell ref="AK180:AK181"/>
    <mergeCell ref="AI136:AI137"/>
    <mergeCell ref="AJ136:AJ137"/>
    <mergeCell ref="AH136:AH137"/>
    <mergeCell ref="AR180:AR181"/>
    <mergeCell ref="AR182:AR183"/>
    <mergeCell ref="AS180:AS181"/>
    <mergeCell ref="AQ180:AQ181"/>
    <mergeCell ref="AM180:AM181"/>
    <mergeCell ref="AO180:AO181"/>
    <mergeCell ref="AL17:AM17"/>
    <mergeCell ref="AN180:AN181"/>
    <mergeCell ref="AU11:AU12"/>
    <mergeCell ref="AV11:AV12"/>
    <mergeCell ref="AQ178:AQ179"/>
    <mergeCell ref="AS178:AS179"/>
    <mergeCell ref="AR7:AR16"/>
    <mergeCell ref="AR73:AR74"/>
    <mergeCell ref="AR136:AR137"/>
    <mergeCell ref="AR178:AR179"/>
    <mergeCell ref="H6:H16"/>
    <mergeCell ref="AN6:AQ6"/>
    <mergeCell ref="AP17:AQ17"/>
    <mergeCell ref="AL6:AM6"/>
    <mergeCell ref="M17:M18"/>
    <mergeCell ref="B138:C138"/>
    <mergeCell ref="B17:B18"/>
    <mergeCell ref="C17:C18"/>
    <mergeCell ref="D6:D18"/>
    <mergeCell ref="N17:O17"/>
    <mergeCell ref="N6:O16"/>
    <mergeCell ref="R17:S17"/>
    <mergeCell ref="T17:U17"/>
    <mergeCell ref="B73:C74"/>
    <mergeCell ref="D73:U74"/>
    <mergeCell ref="B136:C137"/>
    <mergeCell ref="D136:U137"/>
    <mergeCell ref="B75:C75"/>
    <mergeCell ref="B6:C16"/>
    <mergeCell ref="B19:C19"/>
    <mergeCell ref="M6:M16"/>
    <mergeCell ref="J6:J16"/>
    <mergeCell ref="I6:I16"/>
    <mergeCell ref="E6:E18"/>
    <mergeCell ref="F6:F18"/>
    <mergeCell ref="G6:G18"/>
    <mergeCell ref="H17:H18"/>
    <mergeCell ref="I17:I18"/>
    <mergeCell ref="K6:K16"/>
    <mergeCell ref="AC180:AC181"/>
    <mergeCell ref="W178:W179"/>
    <mergeCell ref="W180:W181"/>
    <mergeCell ref="V180:V181"/>
    <mergeCell ref="V182:V183"/>
    <mergeCell ref="AA182:AB183"/>
    <mergeCell ref="AC182:AD183"/>
    <mergeCell ref="Y136:Y137"/>
    <mergeCell ref="Z136:Z137"/>
    <mergeCell ref="AA136:AA137"/>
    <mergeCell ref="AB136:AB137"/>
    <mergeCell ref="AC136:AC137"/>
    <mergeCell ref="AD136:AD137"/>
    <mergeCell ref="Y180:Y181"/>
    <mergeCell ref="P17:Q17"/>
    <mergeCell ref="P6:Q16"/>
    <mergeCell ref="R6:S16"/>
    <mergeCell ref="T6:U16"/>
    <mergeCell ref="L6:L16"/>
    <mergeCell ref="AE136:AE137"/>
    <mergeCell ref="AF136:AF137"/>
    <mergeCell ref="V7:V16"/>
    <mergeCell ref="V178:V179"/>
    <mergeCell ref="W6:Z6"/>
    <mergeCell ref="W7:X16"/>
    <mergeCell ref="W17:X17"/>
    <mergeCell ref="AC1:AD1"/>
    <mergeCell ref="AH6:AI6"/>
    <mergeCell ref="AH7:AI16"/>
    <mergeCell ref="AH17:AI17"/>
    <mergeCell ref="AH1:AI1"/>
    <mergeCell ref="AJ6:AK6"/>
    <mergeCell ref="AJ7:AK16"/>
    <mergeCell ref="AJ17:AK17"/>
    <mergeCell ref="AJ1:AK1"/>
    <mergeCell ref="AC7:AD16"/>
    <mergeCell ref="AC17:AD17"/>
    <mergeCell ref="AE7:AF16"/>
    <mergeCell ref="AE17:AF17"/>
    <mergeCell ref="AA6:AF6"/>
    <mergeCell ref="AG7:AG16"/>
    <mergeCell ref="BC13:BE13"/>
    <mergeCell ref="T186:U186"/>
    <mergeCell ref="AL182:AM183"/>
    <mergeCell ref="AB180:AB181"/>
    <mergeCell ref="AD180:AD181"/>
    <mergeCell ref="AF180:AF181"/>
    <mergeCell ref="AI180:AI181"/>
    <mergeCell ref="AM73:AM74"/>
    <mergeCell ref="AN73:AN74"/>
    <mergeCell ref="AO73:AO74"/>
    <mergeCell ref="AP73:AP74"/>
    <mergeCell ref="AQ73:AQ74"/>
    <mergeCell ref="AS73:AS74"/>
    <mergeCell ref="V136:V137"/>
    <mergeCell ref="W136:W137"/>
    <mergeCell ref="X136:X137"/>
    <mergeCell ref="AL7:AM16"/>
    <mergeCell ref="Y7:Z16"/>
    <mergeCell ref="Y17:Z17"/>
    <mergeCell ref="AA7:AB16"/>
    <mergeCell ref="AA17:AB17"/>
    <mergeCell ref="AE180:AE181"/>
    <mergeCell ref="AG136:AG137"/>
    <mergeCell ref="AA180:AA181"/>
    <mergeCell ref="B178:C183"/>
    <mergeCell ref="D178:U179"/>
    <mergeCell ref="D180:U181"/>
    <mergeCell ref="D182:U183"/>
    <mergeCell ref="AL1:AM1"/>
    <mergeCell ref="AN1:AO1"/>
    <mergeCell ref="AP1:AQ1"/>
    <mergeCell ref="V73:V74"/>
    <mergeCell ref="W73:W74"/>
    <mergeCell ref="X73:X74"/>
    <mergeCell ref="Y73:Y74"/>
    <mergeCell ref="Z73:Z74"/>
    <mergeCell ref="AA73:AA74"/>
    <mergeCell ref="AB73:AB74"/>
    <mergeCell ref="AC73:AC74"/>
    <mergeCell ref="AD73:AD74"/>
    <mergeCell ref="AE73:AE74"/>
    <mergeCell ref="AF73:AF74"/>
    <mergeCell ref="AG73:AG74"/>
    <mergeCell ref="AH73:AH74"/>
    <mergeCell ref="AI73:AI74"/>
    <mergeCell ref="AJ73:AJ74"/>
    <mergeCell ref="AK73:AK74"/>
    <mergeCell ref="AL73:AL74"/>
  </mergeCells>
  <phoneticPr fontId="0" type="noConversion"/>
  <dataValidations count="1">
    <dataValidation type="list" allowBlank="1" showInputMessage="1" showErrorMessage="1" sqref="E139:F142 E76:F134 E20:F72">
      <formula1>$AU$2:$AU$7</formula1>
    </dataValidation>
  </dataValidations>
  <printOptions horizontalCentered="1" verticalCentered="1"/>
  <pageMargins left="0.73" right="0.25" top="0.66" bottom="0.4" header="0.65" footer="0.25"/>
  <pageSetup paperSize="17" scale="42" orientation="landscape" r:id="rId2"/>
  <headerFooter scaleWithDoc="0" alignWithMargins="0">
    <oddHeader>&amp;LHAN-75-14.39</oddHeader>
    <oddFooter>&amp;R&amp;A</oddFooter>
  </headerFooter>
  <rowBreaks count="2" manualBreakCount="2">
    <brk id="74" min="1" max="43" man="1"/>
    <brk id="137" min="1" max="4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55"/>
  <sheetViews>
    <sheetView view="pageBreakPreview" topLeftCell="N1" zoomScaleNormal="80" zoomScaleSheetLayoutView="100" workbookViewId="0">
      <pane ySplit="17" topLeftCell="A56" activePane="bottomLeft" state="frozen"/>
      <selection pane="bottomLeft" activeCell="AF18" sqref="AF18"/>
    </sheetView>
  </sheetViews>
  <sheetFormatPr defaultRowHeight="12.75" x14ac:dyDescent="0.2"/>
  <cols>
    <col min="1" max="1" width="10.42578125" style="1" bestFit="1" customWidth="1"/>
    <col min="2" max="3" width="17.7109375" style="21" customWidth="1"/>
    <col min="4" max="4" width="8.5703125" style="1" customWidth="1"/>
    <col min="5" max="7" width="9.7109375" style="1" hidden="1" customWidth="1"/>
    <col min="8" max="12" width="8.5703125" style="1" hidden="1" customWidth="1"/>
    <col min="13" max="14" width="9.28515625" style="8" customWidth="1"/>
    <col min="15" max="15" width="10.7109375" style="20" customWidth="1"/>
    <col min="16" max="16" width="10" style="20" customWidth="1"/>
    <col min="17" max="17" width="12.42578125" style="20" customWidth="1"/>
    <col min="18" max="18" width="10.7109375" style="94" customWidth="1"/>
    <col min="19" max="21" width="9.28515625" style="11" customWidth="1"/>
    <col min="22" max="23" width="9.28515625" style="13" customWidth="1"/>
    <col min="24" max="27" width="9.28515625" style="8" customWidth="1"/>
    <col min="28" max="28" width="9.7109375" style="8" customWidth="1"/>
    <col min="29" max="29" width="9.28515625" style="8" customWidth="1"/>
    <col min="30" max="30" width="9.140625" style="15"/>
    <col min="31" max="32" width="9.140625" style="90"/>
    <col min="33" max="33" width="11.85546875" style="90" bestFit="1" customWidth="1"/>
    <col min="34" max="34" width="9.7109375" style="90" customWidth="1"/>
    <col min="35" max="47" width="9.7109375" style="1" customWidth="1"/>
    <col min="48" max="16384" width="9.140625" style="1"/>
  </cols>
  <sheetData>
    <row r="1" spans="2:56" s="15" customFormat="1" ht="13.5" thickBot="1" x14ac:dyDescent="0.25">
      <c r="B1" s="23"/>
      <c r="C1" s="23"/>
      <c r="M1" s="11"/>
      <c r="N1" s="11"/>
      <c r="O1" s="43"/>
      <c r="P1" s="43"/>
      <c r="Q1" s="43"/>
      <c r="R1" s="105"/>
      <c r="S1" s="105"/>
      <c r="T1" s="11"/>
      <c r="U1" s="11"/>
      <c r="V1" s="11">
        <v>12</v>
      </c>
      <c r="W1" s="11"/>
      <c r="X1" s="10"/>
      <c r="Y1" s="10"/>
      <c r="Z1" s="11">
        <v>11.5</v>
      </c>
      <c r="AA1" s="11">
        <v>6</v>
      </c>
      <c r="AB1" s="31">
        <v>5.5E-2</v>
      </c>
      <c r="AC1" s="31">
        <v>5.5E-2</v>
      </c>
      <c r="AD1" s="11">
        <v>1.5</v>
      </c>
      <c r="AE1" s="11">
        <v>1.75</v>
      </c>
      <c r="AF1" s="88">
        <v>6</v>
      </c>
      <c r="AH1" s="90"/>
      <c r="AI1" s="90"/>
      <c r="AJ1" s="90"/>
    </row>
    <row r="2" spans="2:56" s="90" customFormat="1" x14ac:dyDescent="0.2">
      <c r="H2" s="10"/>
      <c r="I2" s="10"/>
      <c r="J2" s="10"/>
      <c r="K2" s="10"/>
      <c r="L2" s="10"/>
      <c r="M2" s="10"/>
      <c r="N2" s="10"/>
      <c r="O2" s="10"/>
      <c r="P2" s="10"/>
      <c r="W2" s="10"/>
      <c r="X2" s="10"/>
      <c r="Y2" s="10"/>
      <c r="AA2" s="146"/>
      <c r="AB2" s="145" t="s">
        <v>35</v>
      </c>
      <c r="AC2" s="168" t="s">
        <v>144</v>
      </c>
      <c r="AD2" s="168"/>
      <c r="AE2" s="170"/>
      <c r="AF2" s="170" t="s">
        <v>34</v>
      </c>
      <c r="AG2" s="211">
        <v>41920</v>
      </c>
      <c r="AI2" s="224" t="s">
        <v>101</v>
      </c>
      <c r="AJ2" s="141"/>
      <c r="AK2" s="224" t="s">
        <v>103</v>
      </c>
      <c r="AL2" s="219" t="s">
        <v>202</v>
      </c>
    </row>
    <row r="3" spans="2:56" s="90" customFormat="1" x14ac:dyDescent="0.2">
      <c r="H3" s="10"/>
      <c r="I3" s="10"/>
      <c r="J3" s="10"/>
      <c r="K3" s="10"/>
      <c r="L3" s="10"/>
      <c r="M3" s="10"/>
      <c r="N3" s="10"/>
      <c r="O3" s="10"/>
      <c r="P3" s="10"/>
      <c r="W3" s="10"/>
      <c r="X3" s="10"/>
      <c r="Y3" s="10"/>
      <c r="AA3" s="517"/>
      <c r="AB3" s="518" t="s">
        <v>36</v>
      </c>
      <c r="AC3" s="519" t="s">
        <v>266</v>
      </c>
      <c r="AD3" s="519"/>
      <c r="AE3" s="520"/>
      <c r="AF3" s="520" t="s">
        <v>34</v>
      </c>
      <c r="AG3" s="521">
        <v>41926</v>
      </c>
      <c r="AI3" s="225" t="s">
        <v>102</v>
      </c>
      <c r="AJ3" s="166"/>
      <c r="AK3" s="225" t="s">
        <v>104</v>
      </c>
      <c r="AL3" s="106" t="s">
        <v>203</v>
      </c>
    </row>
    <row r="4" spans="2:56" s="90" customFormat="1" ht="13.5" thickBot="1" x14ac:dyDescent="0.25">
      <c r="H4" s="10"/>
      <c r="I4" s="10"/>
      <c r="J4" s="10"/>
      <c r="K4" s="10"/>
      <c r="L4" s="10"/>
      <c r="M4" s="10"/>
      <c r="N4" s="10"/>
      <c r="O4" s="10"/>
      <c r="P4" s="10"/>
      <c r="W4" s="10"/>
      <c r="X4" s="10"/>
      <c r="Y4" s="10"/>
      <c r="AA4" s="522"/>
      <c r="AB4" s="523" t="s">
        <v>280</v>
      </c>
      <c r="AC4" s="216" t="s">
        <v>266</v>
      </c>
      <c r="AD4" s="216"/>
      <c r="AE4" s="217"/>
      <c r="AF4" s="217" t="s">
        <v>34</v>
      </c>
      <c r="AG4" s="459">
        <v>42598</v>
      </c>
      <c r="AI4" s="225"/>
      <c r="AJ4" s="166"/>
      <c r="AK4" s="225"/>
      <c r="AL4" s="106"/>
    </row>
    <row r="5" spans="2:56" s="90" customFormat="1" ht="13.5" thickBot="1" x14ac:dyDescent="0.25">
      <c r="B5" s="260"/>
      <c r="C5" s="52"/>
      <c r="D5" s="52"/>
      <c r="E5" s="52"/>
      <c r="F5" s="52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225" t="s">
        <v>107</v>
      </c>
      <c r="AJ5" s="142"/>
      <c r="AK5" s="225" t="s">
        <v>109</v>
      </c>
      <c r="AL5" s="106" t="s">
        <v>204</v>
      </c>
    </row>
    <row r="6" spans="2:56" s="16" customFormat="1" ht="12.75" customHeight="1" x14ac:dyDescent="0.2">
      <c r="B6" s="657" t="s">
        <v>1</v>
      </c>
      <c r="C6" s="658"/>
      <c r="D6" s="653" t="s">
        <v>0</v>
      </c>
      <c r="E6" s="667" t="s">
        <v>99</v>
      </c>
      <c r="F6" s="667" t="s">
        <v>100</v>
      </c>
      <c r="G6" s="667" t="s">
        <v>106</v>
      </c>
      <c r="H6" s="667" t="s">
        <v>190</v>
      </c>
      <c r="I6" s="709" t="s">
        <v>31</v>
      </c>
      <c r="J6" s="667" t="s">
        <v>46</v>
      </c>
      <c r="K6" s="667" t="s">
        <v>111</v>
      </c>
      <c r="L6" s="667" t="s">
        <v>47</v>
      </c>
      <c r="M6" s="663" t="s">
        <v>4</v>
      </c>
      <c r="N6" s="663" t="s">
        <v>21</v>
      </c>
      <c r="O6" s="717" t="s">
        <v>17</v>
      </c>
      <c r="P6" s="717" t="s">
        <v>20</v>
      </c>
      <c r="Q6" s="717" t="s">
        <v>14</v>
      </c>
      <c r="R6" s="62">
        <v>202</v>
      </c>
      <c r="S6" s="642">
        <v>204</v>
      </c>
      <c r="T6" s="644"/>
      <c r="U6" s="542">
        <v>206</v>
      </c>
      <c r="V6" s="543"/>
      <c r="W6" s="543"/>
      <c r="X6" s="2">
        <v>252</v>
      </c>
      <c r="Y6" s="2">
        <v>254</v>
      </c>
      <c r="Z6" s="2">
        <v>302</v>
      </c>
      <c r="AA6" s="57">
        <v>304</v>
      </c>
      <c r="AB6" s="542">
        <v>407</v>
      </c>
      <c r="AC6" s="544"/>
      <c r="AD6" s="542">
        <v>442</v>
      </c>
      <c r="AE6" s="544"/>
      <c r="AF6" s="49">
        <v>617</v>
      </c>
      <c r="AG6" s="49">
        <v>618</v>
      </c>
      <c r="AH6" s="141"/>
      <c r="AI6" s="225" t="s">
        <v>108</v>
      </c>
      <c r="AJ6" s="142"/>
      <c r="AK6" s="225" t="s">
        <v>110</v>
      </c>
      <c r="AL6" s="106" t="s">
        <v>205</v>
      </c>
    </row>
    <row r="7" spans="2:56" ht="12.75" customHeight="1" thickBot="1" x14ac:dyDescent="0.25">
      <c r="B7" s="659"/>
      <c r="C7" s="660"/>
      <c r="D7" s="654"/>
      <c r="E7" s="712"/>
      <c r="F7" s="714"/>
      <c r="G7" s="714"/>
      <c r="H7" s="710"/>
      <c r="I7" s="710"/>
      <c r="J7" s="710"/>
      <c r="K7" s="710"/>
      <c r="L7" s="710"/>
      <c r="M7" s="664"/>
      <c r="N7" s="664"/>
      <c r="O7" s="718"/>
      <c r="P7" s="718"/>
      <c r="Q7" s="718"/>
      <c r="R7" s="640" t="s">
        <v>40</v>
      </c>
      <c r="S7" s="675" t="s">
        <v>185</v>
      </c>
      <c r="T7" s="676" t="s">
        <v>7</v>
      </c>
      <c r="U7" s="676" t="s">
        <v>18</v>
      </c>
      <c r="V7" s="545" t="s">
        <v>19</v>
      </c>
      <c r="W7" s="553" t="s">
        <v>23</v>
      </c>
      <c r="X7" s="553" t="s">
        <v>24</v>
      </c>
      <c r="Y7" s="545" t="s">
        <v>43</v>
      </c>
      <c r="Z7" s="675" t="s">
        <v>186</v>
      </c>
      <c r="AA7" s="676" t="s">
        <v>9</v>
      </c>
      <c r="AB7" s="675" t="s">
        <v>279</v>
      </c>
      <c r="AC7" s="675" t="s">
        <v>278</v>
      </c>
      <c r="AD7" s="559" t="s">
        <v>188</v>
      </c>
      <c r="AE7" s="559" t="s">
        <v>187</v>
      </c>
      <c r="AF7" s="675" t="s">
        <v>282</v>
      </c>
      <c r="AG7" s="675" t="s">
        <v>275</v>
      </c>
      <c r="AH7" s="166"/>
      <c r="AI7" s="226" t="s">
        <v>97</v>
      </c>
      <c r="AJ7" s="142"/>
      <c r="AK7" s="225" t="s">
        <v>105</v>
      </c>
      <c r="AL7" s="220" t="s">
        <v>206</v>
      </c>
    </row>
    <row r="8" spans="2:56" ht="12.75" customHeight="1" thickBot="1" x14ac:dyDescent="0.25">
      <c r="B8" s="659"/>
      <c r="C8" s="660"/>
      <c r="D8" s="654"/>
      <c r="E8" s="712"/>
      <c r="F8" s="714"/>
      <c r="G8" s="714"/>
      <c r="H8" s="710"/>
      <c r="I8" s="710"/>
      <c r="J8" s="710"/>
      <c r="K8" s="710"/>
      <c r="L8" s="710"/>
      <c r="M8" s="664"/>
      <c r="N8" s="664"/>
      <c r="O8" s="718"/>
      <c r="P8" s="718"/>
      <c r="Q8" s="718"/>
      <c r="R8" s="641"/>
      <c r="S8" s="676"/>
      <c r="T8" s="676"/>
      <c r="U8" s="676"/>
      <c r="V8" s="720"/>
      <c r="W8" s="720"/>
      <c r="X8" s="720"/>
      <c r="Y8" s="720"/>
      <c r="Z8" s="676"/>
      <c r="AA8" s="676"/>
      <c r="AB8" s="676"/>
      <c r="AC8" s="676"/>
      <c r="AD8" s="560"/>
      <c r="AE8" s="560"/>
      <c r="AF8" s="676"/>
      <c r="AG8" s="676"/>
      <c r="AH8" s="142"/>
      <c r="AI8" s="142"/>
      <c r="AJ8" s="142"/>
      <c r="AK8" s="226" t="s">
        <v>112</v>
      </c>
      <c r="AL8" s="220" t="s">
        <v>207</v>
      </c>
    </row>
    <row r="9" spans="2:56" ht="12.75" customHeight="1" thickBot="1" x14ac:dyDescent="0.25">
      <c r="B9" s="659"/>
      <c r="C9" s="660"/>
      <c r="D9" s="654"/>
      <c r="E9" s="712"/>
      <c r="F9" s="714"/>
      <c r="G9" s="714"/>
      <c r="H9" s="710"/>
      <c r="I9" s="710"/>
      <c r="J9" s="710"/>
      <c r="K9" s="710"/>
      <c r="L9" s="710"/>
      <c r="M9" s="664"/>
      <c r="N9" s="664"/>
      <c r="O9" s="718"/>
      <c r="P9" s="718"/>
      <c r="Q9" s="718"/>
      <c r="R9" s="641"/>
      <c r="S9" s="676"/>
      <c r="T9" s="676"/>
      <c r="U9" s="676"/>
      <c r="V9" s="720"/>
      <c r="W9" s="720"/>
      <c r="X9" s="720"/>
      <c r="Y9" s="720"/>
      <c r="Z9" s="676"/>
      <c r="AA9" s="676"/>
      <c r="AB9" s="676"/>
      <c r="AC9" s="676"/>
      <c r="AD9" s="560"/>
      <c r="AE9" s="560"/>
      <c r="AF9" s="676"/>
      <c r="AG9" s="676"/>
      <c r="AH9" s="142"/>
      <c r="AI9" s="90"/>
      <c r="AJ9" s="90"/>
    </row>
    <row r="10" spans="2:56" ht="12.75" customHeight="1" thickBot="1" x14ac:dyDescent="0.25">
      <c r="B10" s="659"/>
      <c r="C10" s="660"/>
      <c r="D10" s="654"/>
      <c r="E10" s="712"/>
      <c r="F10" s="714"/>
      <c r="G10" s="714"/>
      <c r="H10" s="710"/>
      <c r="I10" s="710"/>
      <c r="J10" s="710"/>
      <c r="K10" s="710"/>
      <c r="L10" s="710"/>
      <c r="M10" s="664"/>
      <c r="N10" s="664"/>
      <c r="O10" s="718"/>
      <c r="P10" s="718"/>
      <c r="Q10" s="718"/>
      <c r="R10" s="641"/>
      <c r="S10" s="676"/>
      <c r="T10" s="676"/>
      <c r="U10" s="676"/>
      <c r="V10" s="720"/>
      <c r="W10" s="720"/>
      <c r="X10" s="720"/>
      <c r="Y10" s="720"/>
      <c r="Z10" s="676"/>
      <c r="AA10" s="676"/>
      <c r="AB10" s="676"/>
      <c r="AC10" s="676"/>
      <c r="AD10" s="560"/>
      <c r="AE10" s="560"/>
      <c r="AF10" s="676"/>
      <c r="AG10" s="676"/>
      <c r="AH10" s="142"/>
      <c r="AI10" s="697" t="s">
        <v>201</v>
      </c>
      <c r="AJ10" s="698"/>
      <c r="AK10" s="698"/>
      <c r="AL10" s="698"/>
      <c r="AM10" s="698"/>
      <c r="AN10" s="698"/>
      <c r="AO10" s="698"/>
      <c r="AP10" s="698"/>
      <c r="AQ10" s="698"/>
      <c r="AR10" s="698"/>
      <c r="AS10" s="698"/>
      <c r="AT10" s="698"/>
      <c r="AU10" s="698"/>
      <c r="AV10" s="699"/>
    </row>
    <row r="11" spans="2:56" ht="12.75" customHeight="1" x14ac:dyDescent="0.2">
      <c r="B11" s="659"/>
      <c r="C11" s="660"/>
      <c r="D11" s="654"/>
      <c r="E11" s="712"/>
      <c r="F11" s="714"/>
      <c r="G11" s="714"/>
      <c r="H11" s="710"/>
      <c r="I11" s="710"/>
      <c r="J11" s="710"/>
      <c r="K11" s="710"/>
      <c r="L11" s="710"/>
      <c r="M11" s="664"/>
      <c r="N11" s="664"/>
      <c r="O11" s="718"/>
      <c r="P11" s="718"/>
      <c r="Q11" s="718"/>
      <c r="R11" s="641"/>
      <c r="S11" s="676"/>
      <c r="T11" s="676"/>
      <c r="U11" s="676"/>
      <c r="V11" s="720"/>
      <c r="W11" s="720"/>
      <c r="X11" s="720"/>
      <c r="Y11" s="720"/>
      <c r="Z11" s="676"/>
      <c r="AA11" s="676"/>
      <c r="AB11" s="676"/>
      <c r="AC11" s="676"/>
      <c r="AD11" s="560"/>
      <c r="AE11" s="560"/>
      <c r="AF11" s="676"/>
      <c r="AG11" s="676"/>
      <c r="AH11" s="142"/>
      <c r="AI11" s="671" t="s">
        <v>208</v>
      </c>
      <c r="AJ11" s="673" t="s">
        <v>214</v>
      </c>
      <c r="AK11" s="704" t="s">
        <v>189</v>
      </c>
      <c r="AL11" s="681"/>
      <c r="AM11" s="705"/>
      <c r="AN11" s="680" t="s">
        <v>44</v>
      </c>
      <c r="AO11" s="681"/>
      <c r="AP11" s="705"/>
      <c r="AQ11" s="680" t="s">
        <v>45</v>
      </c>
      <c r="AR11" s="681"/>
      <c r="AS11" s="705"/>
      <c r="AT11" s="680" t="s">
        <v>48</v>
      </c>
      <c r="AU11" s="681"/>
      <c r="AV11" s="682"/>
    </row>
    <row r="12" spans="2:56" ht="12.75" customHeight="1" thickBot="1" x14ac:dyDescent="0.25">
      <c r="B12" s="659"/>
      <c r="C12" s="660"/>
      <c r="D12" s="654"/>
      <c r="E12" s="712"/>
      <c r="F12" s="714"/>
      <c r="G12" s="714"/>
      <c r="H12" s="710"/>
      <c r="I12" s="710"/>
      <c r="J12" s="710"/>
      <c r="K12" s="710"/>
      <c r="L12" s="710"/>
      <c r="M12" s="664"/>
      <c r="N12" s="664"/>
      <c r="O12" s="718"/>
      <c r="P12" s="718"/>
      <c r="Q12" s="718"/>
      <c r="R12" s="641"/>
      <c r="S12" s="676"/>
      <c r="T12" s="676"/>
      <c r="U12" s="676"/>
      <c r="V12" s="720"/>
      <c r="W12" s="720"/>
      <c r="X12" s="720"/>
      <c r="Y12" s="720"/>
      <c r="Z12" s="676"/>
      <c r="AA12" s="676"/>
      <c r="AB12" s="676"/>
      <c r="AC12" s="676"/>
      <c r="AD12" s="560"/>
      <c r="AE12" s="560"/>
      <c r="AF12" s="676"/>
      <c r="AG12" s="676"/>
      <c r="AH12" s="142"/>
      <c r="AI12" s="672"/>
      <c r="AJ12" s="674"/>
      <c r="AK12" s="683" t="s">
        <v>209</v>
      </c>
      <c r="AL12" s="684"/>
      <c r="AM12" s="685"/>
      <c r="AN12" s="686" t="s">
        <v>210</v>
      </c>
      <c r="AO12" s="684"/>
      <c r="AP12" s="685"/>
      <c r="AQ12" s="686" t="s">
        <v>210</v>
      </c>
      <c r="AR12" s="684"/>
      <c r="AS12" s="685"/>
      <c r="AT12" s="686" t="s">
        <v>210</v>
      </c>
      <c r="AU12" s="684"/>
      <c r="AV12" s="687"/>
    </row>
    <row r="13" spans="2:56" ht="12.75" customHeight="1" x14ac:dyDescent="0.2">
      <c r="B13" s="659"/>
      <c r="C13" s="660"/>
      <c r="D13" s="654"/>
      <c r="E13" s="712"/>
      <c r="F13" s="714"/>
      <c r="G13" s="714"/>
      <c r="H13" s="710"/>
      <c r="I13" s="710"/>
      <c r="J13" s="710"/>
      <c r="K13" s="710"/>
      <c r="L13" s="710"/>
      <c r="M13" s="664"/>
      <c r="N13" s="664"/>
      <c r="O13" s="718"/>
      <c r="P13" s="718"/>
      <c r="Q13" s="718"/>
      <c r="R13" s="641"/>
      <c r="S13" s="676"/>
      <c r="T13" s="676"/>
      <c r="U13" s="676"/>
      <c r="V13" s="720"/>
      <c r="W13" s="720"/>
      <c r="X13" s="720"/>
      <c r="Y13" s="720"/>
      <c r="Z13" s="676"/>
      <c r="AA13" s="676"/>
      <c r="AB13" s="676"/>
      <c r="AC13" s="676"/>
      <c r="AD13" s="560"/>
      <c r="AE13" s="560"/>
      <c r="AF13" s="676"/>
      <c r="AG13" s="676"/>
      <c r="AH13" s="142"/>
      <c r="AI13" s="222" t="s">
        <v>101</v>
      </c>
      <c r="AJ13" s="104" t="s">
        <v>211</v>
      </c>
      <c r="AK13" s="695">
        <v>1.5</v>
      </c>
      <c r="AL13" s="617"/>
      <c r="AM13" s="618"/>
      <c r="AN13" s="616">
        <v>0.56999999999999995</v>
      </c>
      <c r="AO13" s="617"/>
      <c r="AP13" s="618"/>
      <c r="AQ13" s="616">
        <v>0.67</v>
      </c>
      <c r="AR13" s="617"/>
      <c r="AS13" s="618"/>
      <c r="AT13" s="616" t="s">
        <v>97</v>
      </c>
      <c r="AU13" s="617"/>
      <c r="AV13" s="694"/>
    </row>
    <row r="14" spans="2:56" ht="12.75" customHeight="1" x14ac:dyDescent="0.2">
      <c r="B14" s="659"/>
      <c r="C14" s="660"/>
      <c r="D14" s="654"/>
      <c r="E14" s="712"/>
      <c r="F14" s="714"/>
      <c r="G14" s="714"/>
      <c r="H14" s="710"/>
      <c r="I14" s="710"/>
      <c r="J14" s="710"/>
      <c r="K14" s="710"/>
      <c r="L14" s="710"/>
      <c r="M14" s="664"/>
      <c r="N14" s="664"/>
      <c r="O14" s="718"/>
      <c r="P14" s="718"/>
      <c r="Q14" s="718"/>
      <c r="R14" s="641"/>
      <c r="S14" s="676"/>
      <c r="T14" s="676"/>
      <c r="U14" s="676"/>
      <c r="V14" s="720"/>
      <c r="W14" s="720"/>
      <c r="X14" s="720"/>
      <c r="Y14" s="720"/>
      <c r="Z14" s="676"/>
      <c r="AA14" s="676"/>
      <c r="AB14" s="676"/>
      <c r="AC14" s="676"/>
      <c r="AD14" s="560"/>
      <c r="AE14" s="560"/>
      <c r="AF14" s="676"/>
      <c r="AG14" s="676"/>
      <c r="AH14" s="142"/>
      <c r="AI14" s="221" t="s">
        <v>102</v>
      </c>
      <c r="AJ14" s="103" t="s">
        <v>212</v>
      </c>
      <c r="AK14" s="688">
        <v>2</v>
      </c>
      <c r="AL14" s="689"/>
      <c r="AM14" s="690"/>
      <c r="AN14" s="691"/>
      <c r="AO14" s="692"/>
      <c r="AP14" s="693"/>
      <c r="AQ14" s="691">
        <v>0.98</v>
      </c>
      <c r="AR14" s="692"/>
      <c r="AS14" s="693"/>
      <c r="AT14" s="616" t="s">
        <v>97</v>
      </c>
      <c r="AU14" s="617"/>
      <c r="AV14" s="694"/>
      <c r="AW14" s="81"/>
      <c r="AX14" s="81"/>
      <c r="AY14" s="81"/>
      <c r="AZ14" s="81"/>
      <c r="BA14" s="81"/>
      <c r="BB14" s="81"/>
      <c r="BC14" s="81"/>
      <c r="BD14" s="81"/>
    </row>
    <row r="15" spans="2:56" ht="12.75" customHeight="1" x14ac:dyDescent="0.2">
      <c r="B15" s="659"/>
      <c r="C15" s="660"/>
      <c r="D15" s="654"/>
      <c r="E15" s="712"/>
      <c r="F15" s="714"/>
      <c r="G15" s="714"/>
      <c r="H15" s="710"/>
      <c r="I15" s="710"/>
      <c r="J15" s="710"/>
      <c r="K15" s="710"/>
      <c r="L15" s="710"/>
      <c r="M15" s="664"/>
      <c r="N15" s="664"/>
      <c r="O15" s="718"/>
      <c r="P15" s="718"/>
      <c r="Q15" s="718"/>
      <c r="R15" s="641"/>
      <c r="S15" s="676"/>
      <c r="T15" s="676"/>
      <c r="U15" s="676"/>
      <c r="V15" s="720"/>
      <c r="W15" s="720"/>
      <c r="X15" s="720"/>
      <c r="Y15" s="720"/>
      <c r="Z15" s="676"/>
      <c r="AA15" s="676"/>
      <c r="AB15" s="676"/>
      <c r="AC15" s="676"/>
      <c r="AD15" s="560"/>
      <c r="AE15" s="560"/>
      <c r="AF15" s="676"/>
      <c r="AG15" s="676"/>
      <c r="AH15" s="142"/>
      <c r="AI15" s="221" t="s">
        <v>107</v>
      </c>
      <c r="AJ15" s="103" t="s">
        <v>213</v>
      </c>
      <c r="AK15" s="688" t="s">
        <v>97</v>
      </c>
      <c r="AL15" s="689"/>
      <c r="AM15" s="690"/>
      <c r="AN15" s="691" t="s">
        <v>97</v>
      </c>
      <c r="AO15" s="692"/>
      <c r="AP15" s="693"/>
      <c r="AQ15" s="691" t="s">
        <v>97</v>
      </c>
      <c r="AR15" s="692"/>
      <c r="AS15" s="693"/>
      <c r="AT15" s="616">
        <v>-0.18</v>
      </c>
      <c r="AU15" s="617"/>
      <c r="AV15" s="694"/>
      <c r="AW15" s="81"/>
      <c r="AX15" s="81"/>
      <c r="AY15" s="81"/>
      <c r="AZ15" s="81"/>
      <c r="BA15" s="81"/>
      <c r="BB15" s="81"/>
      <c r="BC15" s="81"/>
      <c r="BD15" s="81"/>
    </row>
    <row r="16" spans="2:56" ht="12.75" customHeight="1" x14ac:dyDescent="0.2">
      <c r="B16" s="659"/>
      <c r="C16" s="660"/>
      <c r="D16" s="654"/>
      <c r="E16" s="712"/>
      <c r="F16" s="714"/>
      <c r="G16" s="714"/>
      <c r="H16" s="710"/>
      <c r="I16" s="710"/>
      <c r="J16" s="710"/>
      <c r="K16" s="710"/>
      <c r="L16" s="710"/>
      <c r="M16" s="665"/>
      <c r="N16" s="665"/>
      <c r="O16" s="719"/>
      <c r="P16" s="719"/>
      <c r="Q16" s="719"/>
      <c r="R16" s="641"/>
      <c r="S16" s="676"/>
      <c r="T16" s="676"/>
      <c r="U16" s="676"/>
      <c r="V16" s="721"/>
      <c r="W16" s="721"/>
      <c r="X16" s="721"/>
      <c r="Y16" s="721"/>
      <c r="Z16" s="676"/>
      <c r="AA16" s="676"/>
      <c r="AB16" s="676"/>
      <c r="AC16" s="676"/>
      <c r="AD16" s="561"/>
      <c r="AE16" s="561"/>
      <c r="AF16" s="676"/>
      <c r="AG16" s="676"/>
      <c r="AH16" s="142"/>
      <c r="AI16" s="221" t="s">
        <v>215</v>
      </c>
      <c r="AJ16" s="103" t="s">
        <v>211</v>
      </c>
      <c r="AK16" s="695">
        <v>4.33</v>
      </c>
      <c r="AL16" s="617"/>
      <c r="AM16" s="618"/>
      <c r="AN16" s="616">
        <v>3.29</v>
      </c>
      <c r="AO16" s="617"/>
      <c r="AP16" s="618"/>
      <c r="AQ16" s="616">
        <v>2.09</v>
      </c>
      <c r="AR16" s="617"/>
      <c r="AS16" s="618"/>
      <c r="AT16" s="616">
        <v>0.42</v>
      </c>
      <c r="AU16" s="617"/>
      <c r="AV16" s="694"/>
      <c r="AW16" s="81"/>
      <c r="AX16" s="81"/>
      <c r="AY16" s="81"/>
      <c r="AZ16" s="81"/>
      <c r="BA16" s="81"/>
      <c r="BB16" s="81"/>
      <c r="BC16" s="81"/>
      <c r="BD16" s="81"/>
    </row>
    <row r="17" spans="1:56" ht="12.75" customHeight="1" thickBot="1" x14ac:dyDescent="0.25">
      <c r="B17" s="24" t="s">
        <v>2</v>
      </c>
      <c r="C17" s="25" t="s">
        <v>3</v>
      </c>
      <c r="D17" s="711"/>
      <c r="E17" s="713"/>
      <c r="F17" s="715"/>
      <c r="G17" s="715"/>
      <c r="H17" s="5" t="s">
        <v>5</v>
      </c>
      <c r="I17" s="5" t="s">
        <v>12</v>
      </c>
      <c r="J17" s="5" t="s">
        <v>12</v>
      </c>
      <c r="K17" s="9" t="s">
        <v>12</v>
      </c>
      <c r="L17" s="9" t="s">
        <v>12</v>
      </c>
      <c r="M17" s="5" t="s">
        <v>5</v>
      </c>
      <c r="N17" s="5" t="s">
        <v>5</v>
      </c>
      <c r="O17" s="73" t="s">
        <v>6</v>
      </c>
      <c r="P17" s="73" t="s">
        <v>6</v>
      </c>
      <c r="Q17" s="73" t="s">
        <v>6</v>
      </c>
      <c r="R17" s="119" t="s">
        <v>10</v>
      </c>
      <c r="S17" s="84" t="s">
        <v>10</v>
      </c>
      <c r="T17" s="5" t="s">
        <v>11</v>
      </c>
      <c r="U17" s="5" t="s">
        <v>10</v>
      </c>
      <c r="V17" s="5" t="s">
        <v>10</v>
      </c>
      <c r="W17" s="5" t="s">
        <v>22</v>
      </c>
      <c r="X17" s="5" t="s">
        <v>5</v>
      </c>
      <c r="Y17" s="9" t="s">
        <v>10</v>
      </c>
      <c r="Z17" s="5" t="s">
        <v>12</v>
      </c>
      <c r="AA17" s="5" t="s">
        <v>12</v>
      </c>
      <c r="AB17" s="5" t="s">
        <v>13</v>
      </c>
      <c r="AC17" s="5" t="s">
        <v>13</v>
      </c>
      <c r="AD17" s="5" t="s">
        <v>12</v>
      </c>
      <c r="AE17" s="5" t="s">
        <v>12</v>
      </c>
      <c r="AF17" s="458" t="s">
        <v>12</v>
      </c>
      <c r="AG17" s="5" t="s">
        <v>5</v>
      </c>
      <c r="AH17" s="143"/>
      <c r="AI17" s="223" t="s">
        <v>216</v>
      </c>
      <c r="AJ17" s="158" t="s">
        <v>211</v>
      </c>
      <c r="AK17" s="677">
        <v>3.67</v>
      </c>
      <c r="AL17" s="678"/>
      <c r="AM17" s="679"/>
      <c r="AN17" s="696">
        <v>2.65</v>
      </c>
      <c r="AO17" s="678"/>
      <c r="AP17" s="679"/>
      <c r="AQ17" s="696">
        <v>1.75</v>
      </c>
      <c r="AR17" s="678"/>
      <c r="AS17" s="679"/>
      <c r="AT17" s="696">
        <v>0.32</v>
      </c>
      <c r="AU17" s="678"/>
      <c r="AV17" s="701"/>
      <c r="AW17" s="81"/>
      <c r="AX17" s="81"/>
      <c r="AY17" s="81"/>
      <c r="AZ17" s="81"/>
      <c r="BA17" s="81"/>
      <c r="BB17" s="81"/>
      <c r="BC17" s="81"/>
      <c r="BD17" s="81"/>
    </row>
    <row r="18" spans="1:56" ht="12.75" customHeight="1" x14ac:dyDescent="0.2">
      <c r="A18" s="48"/>
      <c r="B18" s="661" t="s">
        <v>63</v>
      </c>
      <c r="C18" s="662"/>
      <c r="D18" s="100"/>
      <c r="E18" s="100"/>
      <c r="F18" s="100"/>
      <c r="G18" s="100"/>
      <c r="H18" s="192"/>
      <c r="I18" s="193"/>
      <c r="J18" s="193"/>
      <c r="K18" s="193"/>
      <c r="L18" s="194"/>
      <c r="M18" s="101"/>
      <c r="N18" s="101"/>
      <c r="O18" s="118"/>
      <c r="P18" s="118"/>
      <c r="Q18" s="118"/>
      <c r="R18" s="118"/>
      <c r="S18" s="118"/>
      <c r="T18" s="173"/>
      <c r="U18" s="173"/>
      <c r="V18" s="173"/>
      <c r="W18" s="173"/>
      <c r="X18" s="64"/>
      <c r="Y18" s="101"/>
      <c r="Z18" s="195"/>
      <c r="AA18" s="101"/>
      <c r="AB18" s="173"/>
      <c r="AC18" s="173"/>
      <c r="AD18" s="101"/>
      <c r="AE18" s="101"/>
      <c r="AF18" s="101"/>
      <c r="AG18" s="173"/>
      <c r="AH18" s="10"/>
      <c r="AI18" s="81"/>
      <c r="AJ18" s="81"/>
      <c r="AK18" s="81"/>
      <c r="AL18" s="81"/>
      <c r="AM18" s="81"/>
      <c r="AN18" s="81"/>
      <c r="AO18" s="81"/>
      <c r="AP18" s="81"/>
      <c r="AQ18" s="81"/>
    </row>
    <row r="19" spans="1:56" ht="12.75" customHeight="1" x14ac:dyDescent="0.2">
      <c r="B19" s="335">
        <v>73445</v>
      </c>
      <c r="C19" s="336">
        <v>74144.14</v>
      </c>
      <c r="D19" s="337" t="s">
        <v>16</v>
      </c>
      <c r="E19" s="337" t="s">
        <v>107</v>
      </c>
      <c r="F19" s="337" t="s">
        <v>101</v>
      </c>
      <c r="G19" s="47" t="str">
        <f t="shared" ref="G19:G35" si="0">IF(AND($E19=$AI$2,$F19=$AI$2),$AK$2,IF(OR(AND($E19=$AI$2,$F19=$AI$3),AND($E19=$AI$3,$F19=$AI$2)),$AK$3,IF(OR(AND($E19=$AI$2,$F19=$AI$5),AND($E19=$AI$5,$F19=$AI$2)),$AK$5,IF(OR(AND($E19=$AI$3,$F19=$AI$5),AND($E19=$AI$5,$F19=$AI$3)),$AK$6,IF(AND($E19=$AI$3,$F19=$AI$3),$AK$7,IF(AND($E19=$AI$5,$F19=$AI$5),$AK$8,"-"))))))</f>
        <v>E/S - C/B</v>
      </c>
      <c r="H19" s="26">
        <f t="shared" ref="H19:H27" si="1">IF(AND($E19=$AI$2,$F19=$AI$2),2*$AK$13,IF(OR(AND($E19=$AI$2, $F19=$AI$3),AND($E19=$AI$3,$F19=$AI$2)),$AK$13+$AK$14,IF(OR(AND($E19=$AI$2,$F19=$AI$5),AND($E19=$AI$5,$F19=$AI$2)),$AK$13,IF(OR(AND($E19=$AI$3,$F19=$AI$5),AND($E19=$AI$5,$F19=$AI$3)),$AK$14,IF(AND($E19=$AI$3,$F19=$AI$3),2*$AK$14,0)))))</f>
        <v>1.5</v>
      </c>
      <c r="I19" s="27">
        <f t="shared" ref="I19:I27" si="2">IF(AND($E19=$AI$2,$F19=$AI$2),2*$AN$13*$M19/27,IF(OR(AND($E19=$AI$2,$F19=$AI$3),AND($E19=$AI$3,$F19=$AI$2)),$AN$13*$M19/27,IF(OR(AND($E19=$AI$2,$F19=$AI$5),AND($E19=$AI$5,$F19=$AI$2)),$AN$13*$M19/27,0)))</f>
        <v>14.759622222222209</v>
      </c>
      <c r="J19" s="27">
        <f t="shared" ref="J19:J27" si="3">IF(AND($E19=$AI$2,$F19=$AI$2),2*$AQ$13*$M19/27,IF(OR(AND($E19=$AI$2,$F19=$AI$3),AND($E19=$AI$3,$F19=$AI$2)),($AQ$13+$AQ$14)*$M19/27,IF(OR(AND($E19=$AI$2,$F19=$AI$5),AND($E19=$AI$5,$F19=$AI$2)),$AQ$13*$M19/27,IF(OR(AND($E19=$AI$3,$F19=$AI$5),AND($E19=$AI$5,$F19=$AI$3)),$AQ$14*$M19/27,IF(AND($E19=$AI$3,$F19=$AI$3),2*$AQ$14*$M19/27,0)))))</f>
        <v>17.349029629629616</v>
      </c>
      <c r="K19" s="27">
        <f t="shared" ref="K19:K27" si="4">IF(AND($E19=$AI$5,$F19=$AI$5),2*$AT$15*$M19/27,IF(OR($E19=$AI$5,$F19=$AI$5),$AT$15*$M19/27,0))</f>
        <v>-4.6609333333333289</v>
      </c>
      <c r="L19" s="338">
        <v>0</v>
      </c>
      <c r="M19" s="83">
        <f t="shared" ref="M19:M35" si="5">C19-B19</f>
        <v>699.13999999999942</v>
      </c>
      <c r="N19" s="342">
        <v>42.18</v>
      </c>
      <c r="O19" s="76">
        <f t="shared" ref="O19:O55" si="6">IF(N19="-",0,ROUNDUP($M19*N19,0))</f>
        <v>29490</v>
      </c>
      <c r="P19" s="344">
        <v>0</v>
      </c>
      <c r="Q19" s="75">
        <f t="shared" ref="Q19:Q35" si="7">SUM(O19:P19)</f>
        <v>29490</v>
      </c>
      <c r="R19" s="350">
        <v>0</v>
      </c>
      <c r="S19" s="85">
        <f>IF(OR($A19="APP SLAB",Q19=0),0,($Q19+$H19*$M19)/9)</f>
        <v>3393.19</v>
      </c>
      <c r="T19" s="210">
        <f>IF(AND(S19=0,V19=0),0,IF(V19=0,S19/2000,V19/2000))</f>
        <v>1.6965950000000001</v>
      </c>
      <c r="U19" s="135">
        <f t="shared" ref="U19:U35" si="8">IF(OR(A19="APP SLAB",S19&lt;&gt;0),0,V19)</f>
        <v>0</v>
      </c>
      <c r="V19" s="135">
        <f t="shared" ref="V19:V35" si="9">IF(OR(A19="APP SLAB",S19&lt;&gt;0),0,(Q19+H19*M19)/9)</f>
        <v>0</v>
      </c>
      <c r="W19" s="135">
        <f t="shared" ref="W19:W35" si="10">IF(OR(A19="APP SLAB",S19&lt;&gt;0),0,$V$1*V19*110*0.06*0.75/2000)</f>
        <v>0</v>
      </c>
      <c r="X19" s="348">
        <v>0</v>
      </c>
      <c r="Y19" s="342">
        <v>0</v>
      </c>
      <c r="Z19" s="34">
        <f t="shared" ref="Z19:Z35" si="11">IF(A19="APP SLAB",0,(Q19*$Z$1/12)/27+I19)</f>
        <v>1061.4725851851852</v>
      </c>
      <c r="AA19" s="4">
        <f t="shared" ref="AA19:AA35" si="12">(Q19*$AA$1/12)/27+J19</f>
        <v>563.46014074074071</v>
      </c>
      <c r="AB19" s="347">
        <v>0</v>
      </c>
      <c r="AC19" s="6">
        <f t="shared" ref="AC19:AC35" si="13">IF(A19="APP SLAB",0,(Q19/9)*$AC$1)</f>
        <v>180.21666666666667</v>
      </c>
      <c r="AD19" s="4">
        <f t="shared" ref="AD19:AD35" si="14">IF(A19="APP SLAB",0,(Q19*($AD$1/12))/27+K19)</f>
        <v>131.86684444444444</v>
      </c>
      <c r="AE19" s="4">
        <f t="shared" ref="AE19:AE35" si="15">IF(A19="APP SLAB",0,(Q19*$AE$1/12)/27+L19)</f>
        <v>159.28240740740742</v>
      </c>
      <c r="AF19" s="454">
        <f>IF(AND($E19=$F19="Uncurbed"),(2*$M19*2*$AF$1/12)/27,IF(OR($E19="Uncurbed",$F19="Uncurbed"),($M19*2*$AF$1/12)/27,IF(OR(AND($E19="Med. Barr.",$F19="Curbed"),AND($E19="Curbed",$F19="Med. Barr."),$E19=$F19,$E19="Unique",$F19="Unique",$E19="-",$F19="-"),0,"?")))</f>
        <v>25.894074074074052</v>
      </c>
      <c r="AG19" s="85">
        <f t="shared" ref="AG19:AG35" si="16">IF(A19="APP SLAB",0,(M19*2))</f>
        <v>1398.2799999999988</v>
      </c>
      <c r="AH19" s="10"/>
      <c r="AI19" s="81"/>
      <c r="AJ19" s="81"/>
      <c r="AK19" s="81"/>
      <c r="AL19" s="81"/>
      <c r="AM19" s="81"/>
      <c r="AN19" s="81"/>
      <c r="AO19" s="81"/>
      <c r="AP19" s="81"/>
      <c r="AQ19" s="81"/>
    </row>
    <row r="20" spans="1:56" ht="12.75" customHeight="1" x14ac:dyDescent="0.2">
      <c r="B20" s="335">
        <v>74144.14</v>
      </c>
      <c r="C20" s="336">
        <v>74242.990000000005</v>
      </c>
      <c r="D20" s="337" t="s">
        <v>16</v>
      </c>
      <c r="E20" s="337" t="s">
        <v>107</v>
      </c>
      <c r="F20" s="337" t="s">
        <v>101</v>
      </c>
      <c r="G20" s="47" t="str">
        <f t="shared" si="0"/>
        <v>E/S - C/B</v>
      </c>
      <c r="H20" s="26">
        <f t="shared" si="1"/>
        <v>1.5</v>
      </c>
      <c r="I20" s="27">
        <f t="shared" si="2"/>
        <v>2.0868333333334559</v>
      </c>
      <c r="J20" s="27">
        <f t="shared" si="3"/>
        <v>2.4529444444445891</v>
      </c>
      <c r="K20" s="27">
        <f t="shared" si="4"/>
        <v>-0.65900000000003878</v>
      </c>
      <c r="L20" s="338">
        <v>0</v>
      </c>
      <c r="M20" s="83">
        <f t="shared" si="5"/>
        <v>98.850000000005821</v>
      </c>
      <c r="N20" s="342">
        <v>45.15</v>
      </c>
      <c r="O20" s="76">
        <f t="shared" si="6"/>
        <v>4464</v>
      </c>
      <c r="P20" s="344">
        <v>0</v>
      </c>
      <c r="Q20" s="75">
        <f t="shared" si="7"/>
        <v>4464</v>
      </c>
      <c r="R20" s="350">
        <v>0</v>
      </c>
      <c r="S20" s="85">
        <f>IF(OR($A20="APP SLAB",Q20=0),0,($Q20+$H20*$M20)/9)</f>
        <v>512.47500000000093</v>
      </c>
      <c r="T20" s="210">
        <f t="shared" ref="T20:T35" si="17">IF(AND(S20=0,V20=0),0,IF(V20=0,S20/2000,V20/2000))</f>
        <v>0.25623750000000045</v>
      </c>
      <c r="U20" s="135">
        <f t="shared" si="8"/>
        <v>0</v>
      </c>
      <c r="V20" s="135">
        <f t="shared" si="9"/>
        <v>0</v>
      </c>
      <c r="W20" s="135">
        <f t="shared" si="10"/>
        <v>0</v>
      </c>
      <c r="X20" s="348">
        <v>0</v>
      </c>
      <c r="Y20" s="342">
        <v>0</v>
      </c>
      <c r="Z20" s="34">
        <f t="shared" si="11"/>
        <v>160.53127777777792</v>
      </c>
      <c r="AA20" s="4">
        <f t="shared" si="12"/>
        <v>85.119611111111254</v>
      </c>
      <c r="AB20" s="347">
        <v>0</v>
      </c>
      <c r="AC20" s="6">
        <f t="shared" si="13"/>
        <v>27.28</v>
      </c>
      <c r="AD20" s="4">
        <f t="shared" si="14"/>
        <v>20.00766666666663</v>
      </c>
      <c r="AE20" s="4">
        <f t="shared" si="15"/>
        <v>24.111111111111111</v>
      </c>
      <c r="AF20" s="454">
        <f t="shared" ref="AF20:AF35" si="18">IF(AND($E20=$F20="Uncurbed"),(2*$M20*2*$AF$1/12)/27,IF(OR($E20="Uncurbed",$F20="Uncurbed"),($M20*2*$AF$1/12)/27,IF(OR(AND($E20="Med. Barr.",$F20="Curbed"),AND($E20="Curbed",$F20="Med. Barr."),$E20=$F20,$E20="Unique",$F20="Unique",$E20="-",$F20="-"),0,"?")))</f>
        <v>3.6611111111113268</v>
      </c>
      <c r="AG20" s="85">
        <f t="shared" si="16"/>
        <v>197.70000000001164</v>
      </c>
      <c r="AH20" s="10"/>
      <c r="AI20" s="81"/>
      <c r="AJ20" s="81"/>
      <c r="AK20" s="81"/>
      <c r="AL20" s="81"/>
      <c r="AM20" s="81"/>
      <c r="AN20" s="81"/>
      <c r="AO20" s="81"/>
      <c r="AP20" s="81"/>
      <c r="AQ20" s="81"/>
    </row>
    <row r="21" spans="1:56" ht="12.75" customHeight="1" x14ac:dyDescent="0.2">
      <c r="B21" s="335">
        <v>74242.990000000005</v>
      </c>
      <c r="C21" s="336">
        <v>74499.11</v>
      </c>
      <c r="D21" s="337" t="s">
        <v>16</v>
      </c>
      <c r="E21" s="337" t="s">
        <v>107</v>
      </c>
      <c r="F21" s="337" t="s">
        <v>101</v>
      </c>
      <c r="G21" s="47" t="str">
        <f t="shared" si="0"/>
        <v>E/S - C/B</v>
      </c>
      <c r="H21" s="26">
        <f t="shared" si="1"/>
        <v>1.5</v>
      </c>
      <c r="I21" s="27">
        <f t="shared" si="2"/>
        <v>5.4069777777776791</v>
      </c>
      <c r="J21" s="27">
        <f t="shared" si="3"/>
        <v>6.3555703703702546</v>
      </c>
      <c r="K21" s="27">
        <f t="shared" si="4"/>
        <v>-1.7074666666666356</v>
      </c>
      <c r="L21" s="338">
        <v>0</v>
      </c>
      <c r="M21" s="83">
        <f t="shared" si="5"/>
        <v>256.11999999999534</v>
      </c>
      <c r="N21" s="342">
        <v>50.87</v>
      </c>
      <c r="O21" s="76">
        <f t="shared" si="6"/>
        <v>13029</v>
      </c>
      <c r="P21" s="344">
        <v>0</v>
      </c>
      <c r="Q21" s="75">
        <f t="shared" si="7"/>
        <v>13029</v>
      </c>
      <c r="R21" s="350">
        <v>0</v>
      </c>
      <c r="S21" s="85">
        <f>IF(OR($A21="APP SLAB",Q21=0),0,($Q21+$H21*$M21)/9)</f>
        <v>1490.3533333333326</v>
      </c>
      <c r="T21" s="210">
        <f t="shared" si="17"/>
        <v>0.74517666666666627</v>
      </c>
      <c r="U21" s="135">
        <f t="shared" si="8"/>
        <v>0</v>
      </c>
      <c r="V21" s="135">
        <f t="shared" si="9"/>
        <v>0</v>
      </c>
      <c r="W21" s="135">
        <f t="shared" si="10"/>
        <v>0</v>
      </c>
      <c r="X21" s="348">
        <v>0</v>
      </c>
      <c r="Y21" s="342">
        <v>0</v>
      </c>
      <c r="Z21" s="34">
        <f t="shared" si="11"/>
        <v>467.85605185185176</v>
      </c>
      <c r="AA21" s="4">
        <f t="shared" si="12"/>
        <v>247.63334814814803</v>
      </c>
      <c r="AB21" s="347">
        <v>0</v>
      </c>
      <c r="AC21" s="6">
        <f t="shared" si="13"/>
        <v>79.62166666666667</v>
      </c>
      <c r="AD21" s="4">
        <f t="shared" si="14"/>
        <v>58.61197777777781</v>
      </c>
      <c r="AE21" s="4">
        <f t="shared" si="15"/>
        <v>70.37268518518519</v>
      </c>
      <c r="AF21" s="454">
        <f t="shared" si="18"/>
        <v>9.4859259259257538</v>
      </c>
      <c r="AG21" s="85">
        <f t="shared" si="16"/>
        <v>512.23999999999069</v>
      </c>
      <c r="AH21" s="10"/>
      <c r="AI21" s="81"/>
      <c r="AJ21" s="81"/>
      <c r="AK21" s="81"/>
      <c r="AL21" s="81"/>
      <c r="AM21" s="81"/>
      <c r="AN21" s="81"/>
      <c r="AO21" s="81"/>
      <c r="AP21" s="81"/>
      <c r="AQ21" s="81"/>
    </row>
    <row r="22" spans="1:56" ht="12.75" customHeight="1" x14ac:dyDescent="0.2">
      <c r="B22" s="335">
        <v>74499.11</v>
      </c>
      <c r="C22" s="336">
        <v>74584.929999999993</v>
      </c>
      <c r="D22" s="337" t="s">
        <v>16</v>
      </c>
      <c r="E22" s="337" t="s">
        <v>107</v>
      </c>
      <c r="F22" s="337" t="s">
        <v>101</v>
      </c>
      <c r="G22" s="103" t="str">
        <f t="shared" si="0"/>
        <v>E/S - C/B</v>
      </c>
      <c r="H22" s="26">
        <f t="shared" si="1"/>
        <v>1.5</v>
      </c>
      <c r="I22" s="27">
        <f t="shared" si="2"/>
        <v>1.8117555555553955</v>
      </c>
      <c r="J22" s="27">
        <f t="shared" si="3"/>
        <v>2.12960740740722</v>
      </c>
      <c r="K22" s="27">
        <f t="shared" si="4"/>
        <v>-0.57213333333328287</v>
      </c>
      <c r="L22" s="338">
        <v>0</v>
      </c>
      <c r="M22" s="83">
        <f t="shared" si="5"/>
        <v>85.819999999992433</v>
      </c>
      <c r="N22" s="342">
        <v>50.42</v>
      </c>
      <c r="O22" s="124">
        <f t="shared" si="6"/>
        <v>4328</v>
      </c>
      <c r="P22" s="344">
        <v>0</v>
      </c>
      <c r="Q22" s="123">
        <f t="shared" si="7"/>
        <v>4328</v>
      </c>
      <c r="R22" s="350">
        <v>0</v>
      </c>
      <c r="S22" s="85">
        <f>IF(OR($A22="APP SLAB",Q22=0),0,($Q22+$H22*$M22)/9)</f>
        <v>495.19222222222095</v>
      </c>
      <c r="T22" s="210">
        <f t="shared" si="17"/>
        <v>0.24759611111111046</v>
      </c>
      <c r="U22" s="135">
        <f t="shared" si="8"/>
        <v>0</v>
      </c>
      <c r="V22" s="135">
        <f t="shared" si="9"/>
        <v>0</v>
      </c>
      <c r="W22" s="135">
        <f t="shared" si="10"/>
        <v>0</v>
      </c>
      <c r="X22" s="348">
        <v>0</v>
      </c>
      <c r="Y22" s="342">
        <v>0</v>
      </c>
      <c r="Z22" s="34">
        <f t="shared" si="11"/>
        <v>155.4290395061727</v>
      </c>
      <c r="AA22" s="83">
        <f t="shared" si="12"/>
        <v>82.277755555555373</v>
      </c>
      <c r="AB22" s="347">
        <v>0</v>
      </c>
      <c r="AC22" s="85">
        <f t="shared" si="13"/>
        <v>26.448888888888892</v>
      </c>
      <c r="AD22" s="83">
        <f t="shared" si="14"/>
        <v>19.464903703703754</v>
      </c>
      <c r="AE22" s="83">
        <f t="shared" si="15"/>
        <v>23.376543209876541</v>
      </c>
      <c r="AF22" s="454">
        <f t="shared" si="18"/>
        <v>3.1785185185182381</v>
      </c>
      <c r="AG22" s="85">
        <f t="shared" si="16"/>
        <v>171.63999999998487</v>
      </c>
      <c r="AH22" s="10"/>
      <c r="AI22" s="81"/>
      <c r="AJ22" s="81"/>
      <c r="AK22" s="81"/>
      <c r="AL22" s="81"/>
      <c r="AM22" s="81"/>
      <c r="AN22" s="81"/>
      <c r="AO22" s="81"/>
      <c r="AP22" s="81"/>
      <c r="AQ22" s="81"/>
    </row>
    <row r="23" spans="1:56" ht="12.75" customHeight="1" x14ac:dyDescent="0.2">
      <c r="B23" s="335">
        <v>74584.929999999993</v>
      </c>
      <c r="C23" s="336">
        <v>74587</v>
      </c>
      <c r="D23" s="337" t="s">
        <v>16</v>
      </c>
      <c r="E23" s="337" t="s">
        <v>107</v>
      </c>
      <c r="F23" s="337" t="s">
        <v>101</v>
      </c>
      <c r="G23" s="103" t="str">
        <f t="shared" si="0"/>
        <v>E/S - C/B</v>
      </c>
      <c r="H23" s="26">
        <f t="shared" si="1"/>
        <v>1.5</v>
      </c>
      <c r="I23" s="27">
        <f t="shared" si="2"/>
        <v>4.3700000000147454E-2</v>
      </c>
      <c r="J23" s="27">
        <f t="shared" si="3"/>
        <v>5.1366666666840005E-2</v>
      </c>
      <c r="K23" s="27">
        <f t="shared" si="4"/>
        <v>-1.3800000000046565E-2</v>
      </c>
      <c r="L23" s="338">
        <v>0</v>
      </c>
      <c r="M23" s="83">
        <f t="shared" si="5"/>
        <v>2.0700000000069849</v>
      </c>
      <c r="N23" s="342" t="s">
        <v>97</v>
      </c>
      <c r="O23" s="124">
        <f t="shared" si="6"/>
        <v>0</v>
      </c>
      <c r="P23" s="344">
        <v>104</v>
      </c>
      <c r="Q23" s="123">
        <f t="shared" si="7"/>
        <v>104</v>
      </c>
      <c r="R23" s="350">
        <v>0</v>
      </c>
      <c r="S23" s="85">
        <f>IF(OR($A23="APP SLAB",Q23=0),0,($Q23+$H23*$M23)/9)</f>
        <v>11.90055555555672</v>
      </c>
      <c r="T23" s="210">
        <f t="shared" si="17"/>
        <v>5.9502777777783594E-3</v>
      </c>
      <c r="U23" s="135">
        <f t="shared" si="8"/>
        <v>0</v>
      </c>
      <c r="V23" s="135">
        <f t="shared" si="9"/>
        <v>0</v>
      </c>
      <c r="W23" s="135">
        <f t="shared" si="10"/>
        <v>0</v>
      </c>
      <c r="X23" s="348">
        <v>0</v>
      </c>
      <c r="Y23" s="342">
        <v>0</v>
      </c>
      <c r="Z23" s="34">
        <f t="shared" si="11"/>
        <v>3.7350580246915053</v>
      </c>
      <c r="AA23" s="83">
        <f t="shared" si="12"/>
        <v>1.9772925925927658</v>
      </c>
      <c r="AB23" s="347">
        <v>0</v>
      </c>
      <c r="AC23" s="85">
        <f t="shared" si="13"/>
        <v>0.63555555555555554</v>
      </c>
      <c r="AD23" s="83">
        <f t="shared" si="14"/>
        <v>0.4676814814814349</v>
      </c>
      <c r="AE23" s="83">
        <f t="shared" si="15"/>
        <v>0.56172839506172834</v>
      </c>
      <c r="AF23" s="454">
        <f t="shared" si="18"/>
        <v>7.666666666692537E-2</v>
      </c>
      <c r="AG23" s="85">
        <f t="shared" si="16"/>
        <v>4.1400000000139698</v>
      </c>
      <c r="AH23" s="10"/>
      <c r="AI23" s="81"/>
      <c r="AJ23" s="81"/>
      <c r="AK23" s="81"/>
      <c r="AL23" s="81"/>
      <c r="AM23" s="81"/>
      <c r="AN23" s="81"/>
      <c r="AO23" s="81"/>
      <c r="AP23" s="81"/>
      <c r="AQ23" s="81"/>
    </row>
    <row r="24" spans="1:56" s="81" customFormat="1" ht="12.75" customHeight="1" x14ac:dyDescent="0.2">
      <c r="B24" s="353">
        <v>74587</v>
      </c>
      <c r="C24" s="354">
        <v>75039.25</v>
      </c>
      <c r="D24" s="337" t="s">
        <v>16</v>
      </c>
      <c r="E24" s="337" t="s">
        <v>107</v>
      </c>
      <c r="F24" s="337" t="s">
        <v>101</v>
      </c>
      <c r="G24" s="103" t="str">
        <f t="shared" si="0"/>
        <v>E/S - C/B</v>
      </c>
      <c r="H24" s="26">
        <f t="shared" si="1"/>
        <v>1.5</v>
      </c>
      <c r="I24" s="27">
        <f t="shared" si="2"/>
        <v>9.5474999999999994</v>
      </c>
      <c r="J24" s="27">
        <f t="shared" si="3"/>
        <v>11.2225</v>
      </c>
      <c r="K24" s="27">
        <f t="shared" si="4"/>
        <v>-3.0150000000000001</v>
      </c>
      <c r="L24" s="358">
        <v>0</v>
      </c>
      <c r="M24" s="89">
        <f t="shared" si="5"/>
        <v>452.25</v>
      </c>
      <c r="N24" s="342" t="s">
        <v>97</v>
      </c>
      <c r="O24" s="124">
        <f t="shared" si="6"/>
        <v>0</v>
      </c>
      <c r="P24" s="344">
        <v>26866</v>
      </c>
      <c r="Q24" s="124">
        <f t="shared" si="7"/>
        <v>26866</v>
      </c>
      <c r="R24" s="350">
        <v>0</v>
      </c>
      <c r="S24" s="349">
        <v>0</v>
      </c>
      <c r="T24" s="210">
        <f t="shared" si="17"/>
        <v>1.5302430555555557</v>
      </c>
      <c r="U24" s="135">
        <f t="shared" si="8"/>
        <v>3060.4861111111113</v>
      </c>
      <c r="V24" s="135">
        <f t="shared" si="9"/>
        <v>3060.4861111111113</v>
      </c>
      <c r="W24" s="135">
        <f t="shared" si="10"/>
        <v>90.896437500000005</v>
      </c>
      <c r="X24" s="348">
        <v>0</v>
      </c>
      <c r="Y24" s="342">
        <v>0</v>
      </c>
      <c r="Z24" s="139">
        <f t="shared" si="11"/>
        <v>963.12466049382715</v>
      </c>
      <c r="AA24" s="89">
        <f t="shared" si="12"/>
        <v>508.74101851851856</v>
      </c>
      <c r="AB24" s="352">
        <v>0</v>
      </c>
      <c r="AC24" s="135">
        <f t="shared" si="13"/>
        <v>164.18111111111114</v>
      </c>
      <c r="AD24" s="89">
        <f t="shared" si="14"/>
        <v>121.36462962962963</v>
      </c>
      <c r="AE24" s="89">
        <f t="shared" si="15"/>
        <v>145.10956790123458</v>
      </c>
      <c r="AF24" s="454">
        <f t="shared" si="18"/>
        <v>16.75</v>
      </c>
      <c r="AG24" s="135">
        <f t="shared" si="16"/>
        <v>904.5</v>
      </c>
      <c r="AH24" s="10"/>
    </row>
    <row r="25" spans="1:56" ht="12.75" customHeight="1" x14ac:dyDescent="0.2">
      <c r="B25" s="353">
        <v>75039.25</v>
      </c>
      <c r="C25" s="354">
        <v>75100</v>
      </c>
      <c r="D25" s="337" t="s">
        <v>16</v>
      </c>
      <c r="E25" s="337" t="s">
        <v>107</v>
      </c>
      <c r="F25" s="337" t="s">
        <v>101</v>
      </c>
      <c r="G25" s="104" t="str">
        <f t="shared" si="0"/>
        <v>E/S - C/B</v>
      </c>
      <c r="H25" s="26">
        <f t="shared" si="1"/>
        <v>1.5</v>
      </c>
      <c r="I25" s="27">
        <f t="shared" si="2"/>
        <v>1.2825</v>
      </c>
      <c r="J25" s="27">
        <f t="shared" si="3"/>
        <v>1.5075000000000001</v>
      </c>
      <c r="K25" s="27">
        <f t="shared" si="4"/>
        <v>-0.40499999999999997</v>
      </c>
      <c r="L25" s="358">
        <v>0</v>
      </c>
      <c r="M25" s="89">
        <f t="shared" si="5"/>
        <v>60.75</v>
      </c>
      <c r="N25" s="342">
        <v>42.42</v>
      </c>
      <c r="O25" s="76">
        <f t="shared" si="6"/>
        <v>2578</v>
      </c>
      <c r="P25" s="344">
        <v>0</v>
      </c>
      <c r="Q25" s="124">
        <f t="shared" si="7"/>
        <v>2578</v>
      </c>
      <c r="R25" s="350">
        <v>0</v>
      </c>
      <c r="S25" s="349">
        <v>0</v>
      </c>
      <c r="T25" s="210">
        <f t="shared" si="17"/>
        <v>0.14828472222222222</v>
      </c>
      <c r="U25" s="135">
        <f t="shared" si="8"/>
        <v>296.56944444444446</v>
      </c>
      <c r="V25" s="135">
        <f t="shared" si="9"/>
        <v>296.56944444444446</v>
      </c>
      <c r="W25" s="135">
        <f t="shared" si="10"/>
        <v>8.8081125</v>
      </c>
      <c r="X25" s="348">
        <v>0</v>
      </c>
      <c r="Y25" s="342">
        <v>0</v>
      </c>
      <c r="Z25" s="139">
        <f t="shared" si="11"/>
        <v>92.785586419753088</v>
      </c>
      <c r="AA25" s="89">
        <f t="shared" si="12"/>
        <v>49.248240740740741</v>
      </c>
      <c r="AB25" s="352">
        <v>0</v>
      </c>
      <c r="AC25" s="135">
        <f t="shared" si="13"/>
        <v>15.754444444444445</v>
      </c>
      <c r="AD25" s="89">
        <f t="shared" si="14"/>
        <v>11.530185185185186</v>
      </c>
      <c r="AE25" s="89">
        <f t="shared" si="15"/>
        <v>13.924382716049381</v>
      </c>
      <c r="AF25" s="454">
        <f t="shared" si="18"/>
        <v>2.25</v>
      </c>
      <c r="AG25" s="135">
        <f t="shared" si="16"/>
        <v>121.5</v>
      </c>
      <c r="AH25" s="10"/>
      <c r="AI25" s="81"/>
      <c r="AJ25" s="81"/>
      <c r="AK25" s="81"/>
      <c r="AL25" s="81"/>
      <c r="AM25" s="81"/>
      <c r="AN25" s="81"/>
      <c r="AO25" s="81"/>
      <c r="AP25" s="81"/>
      <c r="AQ25" s="81"/>
    </row>
    <row r="26" spans="1:56" s="81" customFormat="1" ht="12.75" customHeight="1" x14ac:dyDescent="0.2">
      <c r="B26" s="353">
        <v>75100</v>
      </c>
      <c r="C26" s="354">
        <v>75140</v>
      </c>
      <c r="D26" s="337" t="s">
        <v>16</v>
      </c>
      <c r="E26" s="337" t="s">
        <v>107</v>
      </c>
      <c r="F26" s="337" t="s">
        <v>101</v>
      </c>
      <c r="G26" s="104" t="str">
        <f t="shared" si="0"/>
        <v>E/S - C/B</v>
      </c>
      <c r="H26" s="26">
        <f t="shared" si="1"/>
        <v>1.5</v>
      </c>
      <c r="I26" s="27">
        <f t="shared" si="2"/>
        <v>0.84444444444444433</v>
      </c>
      <c r="J26" s="27">
        <f t="shared" si="3"/>
        <v>0.99259259259259258</v>
      </c>
      <c r="K26" s="27">
        <f t="shared" si="4"/>
        <v>-0.26666666666666666</v>
      </c>
      <c r="L26" s="358">
        <v>1</v>
      </c>
      <c r="M26" s="482">
        <f t="shared" ref="M26" si="19">C26-B26</f>
        <v>40</v>
      </c>
      <c r="N26" s="342">
        <v>42.42</v>
      </c>
      <c r="O26" s="124">
        <f t="shared" ref="O26" si="20">IF(N26="-",0,ROUNDUP($M26*N26,0))</f>
        <v>1697</v>
      </c>
      <c r="P26" s="344">
        <v>0</v>
      </c>
      <c r="Q26" s="124">
        <f t="shared" ref="Q26" si="21">SUM(O26:P26)</f>
        <v>1697</v>
      </c>
      <c r="R26" s="350">
        <v>0</v>
      </c>
      <c r="S26" s="480">
        <f>IF(OR($A26="APP SLAB",Q26=0),0,($Q26+$H26*$M26)/9)</f>
        <v>195.22222222222223</v>
      </c>
      <c r="T26" s="210">
        <f t="shared" ref="T26" si="22">IF(AND(S26=0,V26=0),0,IF(V26=0,S26/2000,V26/2000))</f>
        <v>9.7611111111111121E-2</v>
      </c>
      <c r="U26" s="135">
        <f t="shared" ref="U26" si="23">IF(OR(A26="APP SLAB",S26&lt;&gt;0),0,V26)</f>
        <v>0</v>
      </c>
      <c r="V26" s="135">
        <f t="shared" ref="V26" si="24">IF(OR(A26="APP SLAB",S26&lt;&gt;0),0,(Q26+H26*M26)/9)</f>
        <v>0</v>
      </c>
      <c r="W26" s="135">
        <f t="shared" ref="W26" si="25">IF(OR(A26="APP SLAB",S26&lt;&gt;0),0,$V$1*V26*110*0.06*0.75/2000)</f>
        <v>0</v>
      </c>
      <c r="X26" s="348">
        <v>0</v>
      </c>
      <c r="Y26" s="342">
        <v>0</v>
      </c>
      <c r="Z26" s="139">
        <f t="shared" ref="Z26" si="26">IF(A26="APP SLAB",0,(Q26*$Z$1/12)/27+I26)</f>
        <v>61.077469135802467</v>
      </c>
      <c r="AA26" s="482">
        <f t="shared" ref="AA26" si="27">(Q26*$AA$1/12)/27+J26</f>
        <v>32.418518518518518</v>
      </c>
      <c r="AB26" s="352">
        <v>0</v>
      </c>
      <c r="AC26" s="135">
        <f t="shared" ref="AC26" si="28">IF(A26="APP SLAB",0,(Q26/9)*$AC$1)</f>
        <v>10.370555555555555</v>
      </c>
      <c r="AD26" s="482">
        <f t="shared" ref="AD26" si="29">IF(A26="APP SLAB",0,(Q26*($AD$1/12))/27+K26)</f>
        <v>7.5898148148148152</v>
      </c>
      <c r="AE26" s="482">
        <f t="shared" ref="AE26" si="30">IF(A26="APP SLAB",0,(Q26*$AE$1/12)/27+L26)</f>
        <v>10.165895061728394</v>
      </c>
      <c r="AF26" s="498">
        <f t="shared" si="18"/>
        <v>1.4814814814814814</v>
      </c>
      <c r="AG26" s="135">
        <f t="shared" ref="AG26" si="31">IF(A26="APP SLAB",0,(M26*2))</f>
        <v>80</v>
      </c>
      <c r="AH26" s="10"/>
    </row>
    <row r="27" spans="1:56" ht="12.75" customHeight="1" x14ac:dyDescent="0.2">
      <c r="B27" s="335">
        <v>75140</v>
      </c>
      <c r="C27" s="336">
        <v>75778.14</v>
      </c>
      <c r="D27" s="337" t="s">
        <v>16</v>
      </c>
      <c r="E27" s="337" t="s">
        <v>107</v>
      </c>
      <c r="F27" s="337" t="s">
        <v>102</v>
      </c>
      <c r="G27" s="47" t="str">
        <f t="shared" si="0"/>
        <v>F/C - C/B</v>
      </c>
      <c r="H27" s="26">
        <f t="shared" si="1"/>
        <v>2</v>
      </c>
      <c r="I27" s="27">
        <f t="shared" si="2"/>
        <v>0</v>
      </c>
      <c r="J27" s="27">
        <f t="shared" si="3"/>
        <v>23.162118518518497</v>
      </c>
      <c r="K27" s="27">
        <f t="shared" si="4"/>
        <v>-4.2542666666666626</v>
      </c>
      <c r="L27" s="338">
        <v>0</v>
      </c>
      <c r="M27" s="83">
        <f t="shared" si="5"/>
        <v>638.13999999999942</v>
      </c>
      <c r="N27" s="342">
        <v>44.42</v>
      </c>
      <c r="O27" s="76">
        <f t="shared" si="6"/>
        <v>28347</v>
      </c>
      <c r="P27" s="344">
        <v>0</v>
      </c>
      <c r="Q27" s="75">
        <f t="shared" si="7"/>
        <v>28347</v>
      </c>
      <c r="R27" s="350">
        <v>0</v>
      </c>
      <c r="S27" s="480">
        <f t="shared" ref="S27:S33" si="32">IF(OR($A27="APP SLAB",Q27=0),0,($Q27+$H27*$M27)/9)</f>
        <v>3291.4755555555553</v>
      </c>
      <c r="T27" s="210">
        <f t="shared" si="17"/>
        <v>1.6457377777777777</v>
      </c>
      <c r="U27" s="135">
        <f t="shared" si="8"/>
        <v>0</v>
      </c>
      <c r="V27" s="135">
        <f t="shared" si="9"/>
        <v>0</v>
      </c>
      <c r="W27" s="135">
        <f t="shared" si="10"/>
        <v>0</v>
      </c>
      <c r="X27" s="348">
        <v>0</v>
      </c>
      <c r="Y27" s="342">
        <v>0</v>
      </c>
      <c r="Z27" s="34">
        <f t="shared" si="11"/>
        <v>1006.1435185185185</v>
      </c>
      <c r="AA27" s="4">
        <f t="shared" si="12"/>
        <v>548.10656296296293</v>
      </c>
      <c r="AB27" s="347">
        <v>0</v>
      </c>
      <c r="AC27" s="6">
        <f t="shared" si="13"/>
        <v>173.23166666666665</v>
      </c>
      <c r="AD27" s="4">
        <f t="shared" si="14"/>
        <v>126.98184444444445</v>
      </c>
      <c r="AE27" s="4">
        <f t="shared" si="15"/>
        <v>153.1087962962963</v>
      </c>
      <c r="AF27" s="454">
        <f t="shared" si="18"/>
        <v>0</v>
      </c>
      <c r="AG27" s="85">
        <f t="shared" si="16"/>
        <v>1276.2799999999988</v>
      </c>
      <c r="AH27" s="10"/>
      <c r="AI27" s="81"/>
      <c r="AJ27" s="81"/>
      <c r="AK27" s="81"/>
      <c r="AL27" s="81"/>
      <c r="AM27" s="81"/>
      <c r="AN27" s="81"/>
      <c r="AO27" s="81"/>
      <c r="AP27" s="81"/>
      <c r="AQ27" s="81"/>
    </row>
    <row r="28" spans="1:56" ht="12.75" customHeight="1" x14ac:dyDescent="0.2">
      <c r="B28" s="335">
        <v>75778.14</v>
      </c>
      <c r="C28" s="336">
        <v>75788.42</v>
      </c>
      <c r="D28" s="337" t="s">
        <v>16</v>
      </c>
      <c r="E28" s="337" t="s">
        <v>107</v>
      </c>
      <c r="F28" s="337" t="s">
        <v>97</v>
      </c>
      <c r="G28" s="47" t="str">
        <f t="shared" si="0"/>
        <v>-</v>
      </c>
      <c r="H28" s="339">
        <v>0</v>
      </c>
      <c r="I28" s="338">
        <v>0</v>
      </c>
      <c r="J28" s="338">
        <v>0</v>
      </c>
      <c r="K28" s="338">
        <v>-7.0000000000000007E-2</v>
      </c>
      <c r="L28" s="338">
        <v>0</v>
      </c>
      <c r="M28" s="83">
        <f t="shared" si="5"/>
        <v>10.279999999998836</v>
      </c>
      <c r="N28" s="342" t="s">
        <v>97</v>
      </c>
      <c r="O28" s="76">
        <f t="shared" si="6"/>
        <v>0</v>
      </c>
      <c r="P28" s="344">
        <v>229</v>
      </c>
      <c r="Q28" s="75">
        <f t="shared" si="7"/>
        <v>229</v>
      </c>
      <c r="R28" s="350">
        <v>0</v>
      </c>
      <c r="S28" s="480">
        <f t="shared" si="32"/>
        <v>25.444444444444443</v>
      </c>
      <c r="T28" s="210">
        <f t="shared" si="17"/>
        <v>1.2722222222222222E-2</v>
      </c>
      <c r="U28" s="135">
        <f t="shared" si="8"/>
        <v>0</v>
      </c>
      <c r="V28" s="135">
        <f t="shared" si="9"/>
        <v>0</v>
      </c>
      <c r="W28" s="135">
        <f t="shared" si="10"/>
        <v>0</v>
      </c>
      <c r="X28" s="348">
        <v>0</v>
      </c>
      <c r="Y28" s="342">
        <v>0</v>
      </c>
      <c r="Z28" s="34">
        <f t="shared" si="11"/>
        <v>8.1280864197530871</v>
      </c>
      <c r="AA28" s="4">
        <f t="shared" si="12"/>
        <v>4.2407407407407405</v>
      </c>
      <c r="AB28" s="347">
        <v>0</v>
      </c>
      <c r="AC28" s="6">
        <f t="shared" si="13"/>
        <v>1.3994444444444443</v>
      </c>
      <c r="AD28" s="4">
        <f t="shared" si="14"/>
        <v>0.99018518518518506</v>
      </c>
      <c r="AE28" s="4">
        <f t="shared" si="15"/>
        <v>1.2368827160493827</v>
      </c>
      <c r="AF28" s="454">
        <f t="shared" si="18"/>
        <v>0</v>
      </c>
      <c r="AG28" s="85">
        <f t="shared" si="16"/>
        <v>20.559999999997672</v>
      </c>
      <c r="AH28" s="10"/>
      <c r="AI28" s="81"/>
      <c r="AJ28" s="81"/>
      <c r="AK28" s="81"/>
      <c r="AL28" s="81"/>
      <c r="AM28" s="81"/>
      <c r="AN28" s="81"/>
      <c r="AO28" s="81"/>
      <c r="AP28" s="81"/>
      <c r="AQ28" s="81"/>
    </row>
    <row r="29" spans="1:56" ht="12.75" customHeight="1" x14ac:dyDescent="0.2">
      <c r="A29" s="1" t="s">
        <v>28</v>
      </c>
      <c r="B29" s="335">
        <v>75788.42</v>
      </c>
      <c r="C29" s="336">
        <v>75818.42</v>
      </c>
      <c r="D29" s="337" t="s">
        <v>16</v>
      </c>
      <c r="E29" s="337" t="s">
        <v>97</v>
      </c>
      <c r="F29" s="337" t="s">
        <v>97</v>
      </c>
      <c r="G29" s="47" t="str">
        <f t="shared" si="0"/>
        <v>-</v>
      </c>
      <c r="H29" s="26">
        <v>4</v>
      </c>
      <c r="I29" s="27">
        <f>IF(AND($E29=$AI$2,$F29=$AI$2),2*$AN$13*$M29/27,IF(OR(AND($E29=$AI$2,$F29=$AI$3),AND($E29=$AI$3,$F29=$AI$2)),$AN$13*$M29/27,IF(OR(AND($E29=$AI$2,$F29=$AI$5),AND($E29=$AI$5,$F29=$AI$2)),$AN$13*$M29/27,0)))</f>
        <v>0</v>
      </c>
      <c r="J29" s="27">
        <f>IF(AND($E29=$AI$2,$F29=$AI$2),2*$AQ$13*$M29/27,IF(OR(AND($E29=$AI$2,$F29=$AI$3),AND($E29=$AI$3,$F29=$AI$2)),($AQ$13+$AQ$14)*$M29/27,IF(OR(AND($E29=$AI$2,$F29=$AI$5),AND($E29=$AI$5,$F29=$AI$2)),$AQ$13*$M29/27,IF(OR(AND($E29=$AI$3,$F29=$AI$5),AND($E29=$AI$5,$F29=$AI$3)),$AQ$14*$M29/27,IF(AND($E29=$AI$3,$F29=$AI$3),2*$AQ$14*$M29/27,0)))))</f>
        <v>0</v>
      </c>
      <c r="K29" s="27">
        <f>IF(AND($E29=$AI$5,$F29=$AI$5),2*$AT$15*$M29/27,IF(OR($E29=$AI$5,$F29=$AI$5),$AT$15*$M29/27,0))</f>
        <v>0</v>
      </c>
      <c r="L29" s="338">
        <v>0</v>
      </c>
      <c r="M29" s="83">
        <f t="shared" si="5"/>
        <v>30</v>
      </c>
      <c r="N29" s="342" t="s">
        <v>97</v>
      </c>
      <c r="O29" s="76">
        <f t="shared" si="6"/>
        <v>0</v>
      </c>
      <c r="P29" s="344">
        <v>1413</v>
      </c>
      <c r="Q29" s="75">
        <f t="shared" si="7"/>
        <v>1413</v>
      </c>
      <c r="R29" s="350">
        <v>0</v>
      </c>
      <c r="S29" s="480">
        <f>IF(OR(Q29=0),0,($Q29+$H29*$M29)/9)</f>
        <v>170.33333333333334</v>
      </c>
      <c r="T29" s="210">
        <f t="shared" si="17"/>
        <v>8.5166666666666668E-2</v>
      </c>
      <c r="U29" s="135">
        <f t="shared" si="8"/>
        <v>0</v>
      </c>
      <c r="V29" s="135">
        <f t="shared" si="9"/>
        <v>0</v>
      </c>
      <c r="W29" s="135">
        <f t="shared" si="10"/>
        <v>0</v>
      </c>
      <c r="X29" s="348">
        <v>0</v>
      </c>
      <c r="Y29" s="342">
        <v>0</v>
      </c>
      <c r="Z29" s="34">
        <f t="shared" si="11"/>
        <v>0</v>
      </c>
      <c r="AA29" s="4">
        <f t="shared" si="12"/>
        <v>26.166666666666668</v>
      </c>
      <c r="AB29" s="347">
        <v>0</v>
      </c>
      <c r="AC29" s="6">
        <f t="shared" si="13"/>
        <v>0</v>
      </c>
      <c r="AD29" s="4">
        <f t="shared" si="14"/>
        <v>0</v>
      </c>
      <c r="AE29" s="4">
        <f t="shared" si="15"/>
        <v>0</v>
      </c>
      <c r="AF29" s="454">
        <f t="shared" si="18"/>
        <v>0</v>
      </c>
      <c r="AG29" s="85">
        <f t="shared" si="16"/>
        <v>0</v>
      </c>
      <c r="AH29" s="10"/>
      <c r="AI29" s="81"/>
      <c r="AJ29" s="81"/>
      <c r="AK29" s="81"/>
      <c r="AL29" s="81"/>
      <c r="AM29" s="81"/>
      <c r="AN29" s="81"/>
      <c r="AO29" s="81"/>
      <c r="AP29" s="81"/>
      <c r="AQ29" s="81"/>
    </row>
    <row r="30" spans="1:56" ht="12.75" customHeight="1" x14ac:dyDescent="0.2">
      <c r="A30" s="1" t="s">
        <v>28</v>
      </c>
      <c r="B30" s="335">
        <v>75914.84</v>
      </c>
      <c r="C30" s="336">
        <v>75944.84</v>
      </c>
      <c r="D30" s="337" t="s">
        <v>16</v>
      </c>
      <c r="E30" s="337" t="s">
        <v>97</v>
      </c>
      <c r="F30" s="337" t="s">
        <v>97</v>
      </c>
      <c r="G30" s="47" t="str">
        <f t="shared" si="0"/>
        <v>-</v>
      </c>
      <c r="H30" s="26">
        <v>4</v>
      </c>
      <c r="I30" s="27">
        <f>IF(AND($E30=$AI$2,$F30=$AI$2),2*$AN$13*$M30/27,IF(OR(AND($E30=$AI$2,$F30=$AI$3),AND($E30=$AI$3,$F30=$AI$2)),$AN$13*$M30/27,IF(OR(AND($E30=$AI$2,$F30=$AI$5),AND($E30=$AI$5,$F30=$AI$2)),$AN$13*$M30/27,0)))</f>
        <v>0</v>
      </c>
      <c r="J30" s="27">
        <f>IF(AND($E30=$AI$2,$F30=$AI$2),2*$AQ$13*$M30/27,IF(OR(AND($E30=$AI$2,$F30=$AI$3),AND($E30=$AI$3,$F30=$AI$2)),($AQ$13+$AQ$14)*$M30/27,IF(OR(AND($E30=$AI$2,$F30=$AI$5),AND($E30=$AI$5,$F30=$AI$2)),$AQ$13*$M30/27,IF(OR(AND($E30=$AI$3,$F30=$AI$5),AND($E30=$AI$5,$F30=$AI$3)),$AQ$14*$M30/27,IF(AND($E30=$AI$3,$F30=$AI$3),2*$AQ$14*$M30/27,0)))))</f>
        <v>0</v>
      </c>
      <c r="K30" s="27">
        <f>IF(AND($E30=$AI$5,$F30=$AI$5),2*$AT$15*$M30/27,IF(OR($E30=$AI$5,$F30=$AI$5),$AT$15*$M30/27,0))</f>
        <v>0</v>
      </c>
      <c r="L30" s="338">
        <v>0</v>
      </c>
      <c r="M30" s="83">
        <f t="shared" si="5"/>
        <v>30</v>
      </c>
      <c r="N30" s="342" t="s">
        <v>97</v>
      </c>
      <c r="O30" s="76">
        <f t="shared" si="6"/>
        <v>0</v>
      </c>
      <c r="P30" s="344">
        <v>1413</v>
      </c>
      <c r="Q30" s="75">
        <f t="shared" si="7"/>
        <v>1413</v>
      </c>
      <c r="R30" s="350">
        <v>0</v>
      </c>
      <c r="S30" s="480">
        <f>IF(OR(Q30=0),0,($Q30+$H30*$M30)/9)</f>
        <v>170.33333333333334</v>
      </c>
      <c r="T30" s="210">
        <f t="shared" si="17"/>
        <v>8.5166666666666668E-2</v>
      </c>
      <c r="U30" s="135">
        <f t="shared" si="8"/>
        <v>0</v>
      </c>
      <c r="V30" s="135">
        <f t="shared" si="9"/>
        <v>0</v>
      </c>
      <c r="W30" s="135">
        <f t="shared" si="10"/>
        <v>0</v>
      </c>
      <c r="X30" s="348">
        <v>0</v>
      </c>
      <c r="Y30" s="342">
        <v>0</v>
      </c>
      <c r="Z30" s="34">
        <f t="shared" si="11"/>
        <v>0</v>
      </c>
      <c r="AA30" s="4">
        <f t="shared" si="12"/>
        <v>26.166666666666668</v>
      </c>
      <c r="AB30" s="347">
        <v>0</v>
      </c>
      <c r="AC30" s="6">
        <f t="shared" si="13"/>
        <v>0</v>
      </c>
      <c r="AD30" s="4">
        <f t="shared" si="14"/>
        <v>0</v>
      </c>
      <c r="AE30" s="4">
        <f t="shared" si="15"/>
        <v>0</v>
      </c>
      <c r="AF30" s="454">
        <f t="shared" si="18"/>
        <v>0</v>
      </c>
      <c r="AG30" s="85">
        <f t="shared" si="16"/>
        <v>0</v>
      </c>
      <c r="AH30" s="10"/>
      <c r="AI30" s="81"/>
      <c r="AJ30" s="81"/>
      <c r="AK30" s="81"/>
      <c r="AL30" s="81"/>
      <c r="AM30" s="81"/>
      <c r="AN30" s="81"/>
      <c r="AO30" s="81"/>
      <c r="AP30" s="81"/>
      <c r="AQ30" s="81"/>
    </row>
    <row r="31" spans="1:56" ht="12.75" customHeight="1" x14ac:dyDescent="0.2">
      <c r="B31" s="335">
        <v>75934.570000000007</v>
      </c>
      <c r="C31" s="336">
        <v>75944.84</v>
      </c>
      <c r="D31" s="337" t="s">
        <v>16</v>
      </c>
      <c r="E31" s="337" t="s">
        <v>97</v>
      </c>
      <c r="F31" s="337" t="s">
        <v>102</v>
      </c>
      <c r="G31" s="47" t="str">
        <f t="shared" si="0"/>
        <v>-</v>
      </c>
      <c r="H31" s="339">
        <v>2</v>
      </c>
      <c r="I31" s="338">
        <v>0</v>
      </c>
      <c r="J31" s="338">
        <v>0.37</v>
      </c>
      <c r="K31" s="338">
        <v>0</v>
      </c>
      <c r="L31" s="338">
        <v>0</v>
      </c>
      <c r="M31" s="83">
        <f t="shared" si="5"/>
        <v>10.269999999989523</v>
      </c>
      <c r="N31" s="342" t="s">
        <v>97</v>
      </c>
      <c r="O31" s="76">
        <f t="shared" si="6"/>
        <v>0</v>
      </c>
      <c r="P31" s="344">
        <v>229</v>
      </c>
      <c r="Q31" s="75">
        <f t="shared" si="7"/>
        <v>229</v>
      </c>
      <c r="R31" s="350">
        <v>0</v>
      </c>
      <c r="S31" s="480">
        <f t="shared" si="32"/>
        <v>27.72666666666434</v>
      </c>
      <c r="T31" s="210">
        <f t="shared" si="17"/>
        <v>1.3863333333332169E-2</v>
      </c>
      <c r="U31" s="135">
        <f t="shared" si="8"/>
        <v>0</v>
      </c>
      <c r="V31" s="135">
        <f t="shared" si="9"/>
        <v>0</v>
      </c>
      <c r="W31" s="135">
        <f t="shared" si="10"/>
        <v>0</v>
      </c>
      <c r="X31" s="348">
        <v>0</v>
      </c>
      <c r="Y31" s="342">
        <v>0</v>
      </c>
      <c r="Z31" s="34">
        <f t="shared" si="11"/>
        <v>8.1280864197530871</v>
      </c>
      <c r="AA31" s="4">
        <f t="shared" si="12"/>
        <v>4.6107407407407406</v>
      </c>
      <c r="AB31" s="347">
        <v>0</v>
      </c>
      <c r="AC31" s="6">
        <f t="shared" si="13"/>
        <v>1.3994444444444443</v>
      </c>
      <c r="AD31" s="4">
        <f t="shared" si="14"/>
        <v>1.0601851851851851</v>
      </c>
      <c r="AE31" s="4">
        <f t="shared" si="15"/>
        <v>1.2368827160493827</v>
      </c>
      <c r="AF31" s="454">
        <f t="shared" si="18"/>
        <v>0</v>
      </c>
      <c r="AG31" s="85">
        <f t="shared" si="16"/>
        <v>20.539999999979045</v>
      </c>
      <c r="AH31" s="10"/>
      <c r="AI31" s="81"/>
      <c r="AJ31" s="81"/>
      <c r="AK31" s="81"/>
      <c r="AL31" s="81"/>
      <c r="AM31" s="81"/>
      <c r="AN31" s="81"/>
      <c r="AO31" s="81"/>
      <c r="AP31" s="81"/>
      <c r="AQ31" s="81"/>
    </row>
    <row r="32" spans="1:56" ht="12.75" customHeight="1" x14ac:dyDescent="0.2">
      <c r="B32" s="335">
        <v>75944.84</v>
      </c>
      <c r="C32" s="336">
        <v>76085.570000000007</v>
      </c>
      <c r="D32" s="337" t="s">
        <v>16</v>
      </c>
      <c r="E32" s="337" t="s">
        <v>107</v>
      </c>
      <c r="F32" s="337" t="s">
        <v>102</v>
      </c>
      <c r="G32" s="47" t="str">
        <f t="shared" si="0"/>
        <v>F/C - C/B</v>
      </c>
      <c r="H32" s="26">
        <f>IF(AND($E32=$AI$2,$F32=$AI$2),2*$AK$13,IF(OR(AND($E32=$AI$2, $F32=$AI$3),AND($E32=$AI$3,$F32=$AI$2)),$AK$13+$AK$14,IF(OR(AND($E32=$AI$2,$F32=$AI$5),AND($E32=$AI$5,$F32=$AI$2)),$AK$13,IF(OR(AND($E32=$AI$3,$F32=$AI$5),AND($E32=$AI$5,$F32=$AI$3)),$AK$14,IF(AND($E32=$AI$3,$F32=$AI$3),2*$AK$14,0)))))</f>
        <v>2</v>
      </c>
      <c r="I32" s="27">
        <f>IF(AND($E32=$AI$2,$F32=$AI$2),2*$AN$13*$M32/27,IF(OR(AND($E32=$AI$2,$F32=$AI$3),AND($E32=$AI$3,$F32=$AI$2)),$AN$13*$M32/27,IF(OR(AND($E32=$AI$2,$F32=$AI$5),AND($E32=$AI$5,$F32=$AI$2)),$AN$13*$M32/27,0)))</f>
        <v>0</v>
      </c>
      <c r="J32" s="27">
        <f>IF(AND($E32=$AI$2,$F32=$AI$2),2*$AQ$13*$M32/27,IF(OR(AND($E32=$AI$2,$F32=$AI$3),AND($E32=$AI$3,$F32=$AI$2)),($AQ$13+$AQ$14)*$M32/27,IF(OR(AND($E32=$AI$2,$F32=$AI$5),AND($E32=$AI$5,$F32=$AI$2)),$AQ$13*$M32/27,IF(OR(AND($E32=$AI$3,$F32=$AI$5),AND($E32=$AI$5,$F32=$AI$3)),$AQ$14*$M32/27,IF(AND($E32=$AI$3,$F32=$AI$3),2*$AQ$14*$M32/27,0)))))</f>
        <v>5.1079777777781583</v>
      </c>
      <c r="K32" s="27">
        <f>IF(AND($E32=$AI$5,$F32=$AI$5),2*$AT$15*$M32/27,IF(OR($E32=$AI$5,$F32=$AI$5),$AT$15*$M32/27,0))</f>
        <v>-0.93820000000006987</v>
      </c>
      <c r="L32" s="338">
        <v>0</v>
      </c>
      <c r="M32" s="83">
        <f t="shared" si="5"/>
        <v>140.73000000001048</v>
      </c>
      <c r="N32" s="342">
        <v>44.42</v>
      </c>
      <c r="O32" s="76">
        <f t="shared" si="6"/>
        <v>6252</v>
      </c>
      <c r="P32" s="344">
        <v>0</v>
      </c>
      <c r="Q32" s="75">
        <f t="shared" si="7"/>
        <v>6252</v>
      </c>
      <c r="R32" s="350">
        <v>0</v>
      </c>
      <c r="S32" s="480">
        <f t="shared" si="32"/>
        <v>725.94000000000233</v>
      </c>
      <c r="T32" s="210">
        <f t="shared" si="17"/>
        <v>0.36297000000000118</v>
      </c>
      <c r="U32" s="135">
        <f t="shared" si="8"/>
        <v>0</v>
      </c>
      <c r="V32" s="135">
        <f t="shared" si="9"/>
        <v>0</v>
      </c>
      <c r="W32" s="135">
        <f t="shared" si="10"/>
        <v>0</v>
      </c>
      <c r="X32" s="348">
        <v>0</v>
      </c>
      <c r="Y32" s="342">
        <v>0</v>
      </c>
      <c r="Z32" s="34">
        <f t="shared" si="11"/>
        <v>221.90740740740742</v>
      </c>
      <c r="AA32" s="4">
        <f t="shared" si="12"/>
        <v>120.88575555555593</v>
      </c>
      <c r="AB32" s="347">
        <v>0</v>
      </c>
      <c r="AC32" s="6">
        <f t="shared" si="13"/>
        <v>38.206666666666663</v>
      </c>
      <c r="AD32" s="4">
        <f t="shared" si="14"/>
        <v>28.006244444444373</v>
      </c>
      <c r="AE32" s="4">
        <f t="shared" si="15"/>
        <v>33.768518518518519</v>
      </c>
      <c r="AF32" s="454">
        <f t="shared" si="18"/>
        <v>0</v>
      </c>
      <c r="AG32" s="85">
        <f t="shared" si="16"/>
        <v>281.46000000002095</v>
      </c>
      <c r="AH32" s="10"/>
      <c r="AI32" s="81"/>
      <c r="AJ32" s="81"/>
      <c r="AK32" s="81"/>
      <c r="AL32" s="81"/>
      <c r="AM32" s="81"/>
      <c r="AN32" s="81"/>
      <c r="AO32" s="81"/>
      <c r="AP32" s="81"/>
      <c r="AQ32" s="81"/>
    </row>
    <row r="33" spans="1:56" ht="12.75" customHeight="1" x14ac:dyDescent="0.2">
      <c r="B33" s="335">
        <v>76085.570000000007</v>
      </c>
      <c r="C33" s="336">
        <v>76300</v>
      </c>
      <c r="D33" s="337" t="s">
        <v>16</v>
      </c>
      <c r="E33" s="337" t="s">
        <v>107</v>
      </c>
      <c r="F33" s="337" t="s">
        <v>102</v>
      </c>
      <c r="G33" s="47" t="str">
        <f t="shared" si="0"/>
        <v>F/C - C/B</v>
      </c>
      <c r="H33" s="26">
        <f>IF(AND($E33=$AI$2,$F33=$AI$2),2*$AK$13,IF(OR(AND($E33=$AI$2, $F33=$AI$3),AND($E33=$AI$3,$F33=$AI$2)),$AK$13+$AK$14,IF(OR(AND($E33=$AI$2,$F33=$AI$5),AND($E33=$AI$5,$F33=$AI$2)),$AK$13,IF(OR(AND($E33=$AI$3,$F33=$AI$5),AND($E33=$AI$5,$F33=$AI$3)),$AK$14,IF(AND($E33=$AI$3,$F33=$AI$3),2*$AK$14,0)))))</f>
        <v>2</v>
      </c>
      <c r="I33" s="27">
        <f>IF(AND($E33=$AI$2,$F33=$AI$2),2*$AN$13*$M33/27,IF(OR(AND($E33=$AI$2,$F33=$AI$3),AND($E33=$AI$3,$F33=$AI$2)),$AN$13*$M33/27,IF(OR(AND($E33=$AI$2,$F33=$AI$5),AND($E33=$AI$5,$F33=$AI$2)),$AN$13*$M33/27,0)))</f>
        <v>0</v>
      </c>
      <c r="J33" s="27">
        <f>IF(AND($E33=$AI$2,$F33=$AI$2),2*$AQ$13*$M33/27,IF(OR(AND($E33=$AI$2,$F33=$AI$3),AND($E33=$AI$3,$F33=$AI$2)),($AQ$13+$AQ$14)*$M33/27,IF(OR(AND($E33=$AI$2,$F33=$AI$5),AND($E33=$AI$5,$F33=$AI$2)),$AQ$13*$M33/27,IF(OR(AND($E33=$AI$3,$F33=$AI$5),AND($E33=$AI$5,$F33=$AI$3)),$AQ$14*$M33/27,IF(AND($E33=$AI$3,$F33=$AI$3),2*$AQ$14*$M33/27,0)))))</f>
        <v>7.7830148148145613</v>
      </c>
      <c r="K33" s="27">
        <f>IF(AND($E33=$AI$5,$F33=$AI$5),2*$AT$15*$M33/27,IF(OR($E33=$AI$5,$F33=$AI$5),$AT$15*$M33/27,0))</f>
        <v>-1.4295333333332867</v>
      </c>
      <c r="L33" s="338">
        <v>0</v>
      </c>
      <c r="M33" s="83">
        <f t="shared" si="5"/>
        <v>214.42999999999302</v>
      </c>
      <c r="N33" s="342" t="s">
        <v>97</v>
      </c>
      <c r="O33" s="76">
        <f t="shared" si="6"/>
        <v>0</v>
      </c>
      <c r="P33" s="344">
        <v>9812</v>
      </c>
      <c r="Q33" s="75">
        <f t="shared" si="7"/>
        <v>9812</v>
      </c>
      <c r="R33" s="350">
        <v>0</v>
      </c>
      <c r="S33" s="480">
        <f t="shared" si="32"/>
        <v>1137.8733333333319</v>
      </c>
      <c r="T33" s="210">
        <f t="shared" si="17"/>
        <v>0.56893666666666598</v>
      </c>
      <c r="U33" s="135">
        <f t="shared" si="8"/>
        <v>0</v>
      </c>
      <c r="V33" s="135">
        <f t="shared" si="9"/>
        <v>0</v>
      </c>
      <c r="W33" s="135">
        <f t="shared" si="10"/>
        <v>0</v>
      </c>
      <c r="X33" s="348">
        <v>0</v>
      </c>
      <c r="Y33" s="342">
        <v>0</v>
      </c>
      <c r="Z33" s="34">
        <f t="shared" si="11"/>
        <v>348.26543209876542</v>
      </c>
      <c r="AA33" s="4">
        <f t="shared" si="12"/>
        <v>189.48671851851824</v>
      </c>
      <c r="AB33" s="347">
        <v>0</v>
      </c>
      <c r="AC33" s="6">
        <f t="shared" si="13"/>
        <v>59.962222222222216</v>
      </c>
      <c r="AD33" s="4">
        <f t="shared" si="14"/>
        <v>43.996392592592635</v>
      </c>
      <c r="AE33" s="4">
        <f t="shared" si="15"/>
        <v>52.996913580246918</v>
      </c>
      <c r="AF33" s="454">
        <f t="shared" si="18"/>
        <v>0</v>
      </c>
      <c r="AG33" s="85">
        <f t="shared" si="16"/>
        <v>428.85999999998603</v>
      </c>
      <c r="AH33" s="10"/>
      <c r="AI33" s="81"/>
      <c r="AJ33" s="81"/>
      <c r="AK33" s="81"/>
      <c r="AL33" s="81"/>
      <c r="AM33" s="81"/>
      <c r="AN33" s="81"/>
      <c r="AO33" s="81"/>
      <c r="AP33" s="81"/>
      <c r="AQ33" s="81"/>
    </row>
    <row r="34" spans="1:56" s="81" customFormat="1" ht="12.75" customHeight="1" x14ac:dyDescent="0.2">
      <c r="B34" s="335">
        <v>76300</v>
      </c>
      <c r="C34" s="336">
        <v>76681.61</v>
      </c>
      <c r="D34" s="337" t="s">
        <v>16</v>
      </c>
      <c r="E34" s="337" t="s">
        <v>107</v>
      </c>
      <c r="F34" s="337" t="s">
        <v>102</v>
      </c>
      <c r="G34" s="103" t="str">
        <f t="shared" si="0"/>
        <v>F/C - C/B</v>
      </c>
      <c r="H34" s="26">
        <f>IF(AND($E34=$AI$2,$F34=$AI$2),2*$AK$13,IF(OR(AND($E34=$AI$2, $F34=$AI$3),AND($E34=$AI$3,$F34=$AI$2)),$AK$13+$AK$14,IF(OR(AND($E34=$AI$2,$F34=$AI$5),AND($E34=$AI$5,$F34=$AI$2)),$AK$13,IF(OR(AND($E34=$AI$3,$F34=$AI$5),AND($E34=$AI$5,$F34=$AI$3)),$AK$14,IF(AND($E34=$AI$3,$F34=$AI$3),2*$AK$14,0)))))</f>
        <v>2</v>
      </c>
      <c r="I34" s="27">
        <f>IF(AND($E34=$AI$2,$F34=$AI$2),2*$AN$13*$M34/27,IF(OR(AND($E34=$AI$2,$F34=$AI$3),AND($E34=$AI$3,$F34=$AI$2)),$AN$13*$M34/27,IF(OR(AND($E34=$AI$2,$F34=$AI$5),AND($E34=$AI$5,$F34=$AI$2)),$AN$13*$M34/27,0)))</f>
        <v>0</v>
      </c>
      <c r="J34" s="27">
        <f>IF(AND($E34=$AI$2,$F34=$AI$2),2*$AQ$13*$M34/27,IF(OR(AND($E34=$AI$2,$F34=$AI$3),AND($E34=$AI$3,$F34=$AI$2)),($AQ$13+$AQ$14)*$M34/27,IF(OR(AND($E34=$AI$2,$F34=$AI$5),AND($E34=$AI$5,$F34=$AI$2)),$AQ$13*$M34/27,IF(OR(AND($E34=$AI$3,$F34=$AI$5),AND($E34=$AI$5,$F34=$AI$3)),$AQ$14*$M34/27,IF(AND($E34=$AI$3,$F34=$AI$3),2*$AQ$14*$M34/27,0)))))</f>
        <v>13.85102962962965</v>
      </c>
      <c r="K34" s="27">
        <f>IF(AND($E34=$AI$5,$F34=$AI$5),2*$AT$15*$M34/27,IF(OR($E34=$AI$5,$F34=$AI$5),$AT$15*$M34/27,0))</f>
        <v>-2.5440666666666707</v>
      </c>
      <c r="L34" s="338">
        <v>1</v>
      </c>
      <c r="M34" s="479">
        <f t="shared" ref="M34" si="33">C34-B34</f>
        <v>381.61000000000058</v>
      </c>
      <c r="N34" s="342" t="s">
        <v>97</v>
      </c>
      <c r="O34" s="124">
        <f t="shared" ref="O34" si="34">IF(N34="-",0,ROUNDUP($M34*N34,0))</f>
        <v>0</v>
      </c>
      <c r="P34" s="344">
        <v>22175</v>
      </c>
      <c r="Q34" s="123">
        <f t="shared" ref="Q34" si="35">SUM(O34:P34)</f>
        <v>22175</v>
      </c>
      <c r="R34" s="350">
        <v>0</v>
      </c>
      <c r="S34" s="349">
        <v>0</v>
      </c>
      <c r="T34" s="210">
        <f t="shared" ref="T34" si="36">IF(AND(S34=0,V34=0),0,IF(V34=0,S34/2000,V34/2000))</f>
        <v>1.2743455555555556</v>
      </c>
      <c r="U34" s="135">
        <f t="shared" ref="U34" si="37">IF(OR(A34="APP SLAB",S34&lt;&gt;0),0,V34)</f>
        <v>2548.6911111111112</v>
      </c>
      <c r="V34" s="135">
        <f t="shared" ref="V34" si="38">IF(OR(A34="APP SLAB",S34&lt;&gt;0),0,(Q34+H34*M34)/9)</f>
        <v>2548.6911111111112</v>
      </c>
      <c r="W34" s="135">
        <f t="shared" ref="W34" si="39">IF(OR(A34="APP SLAB",S34&lt;&gt;0),0,$V$1*V34*110*0.06*0.75/2000)</f>
        <v>75.696125999999992</v>
      </c>
      <c r="X34" s="348">
        <v>0</v>
      </c>
      <c r="Y34" s="342">
        <v>0</v>
      </c>
      <c r="Z34" s="34">
        <f t="shared" ref="Z34" si="40">IF(A34="APP SLAB",0,(Q34*$Z$1/12)/27+I34)</f>
        <v>787.07561728395069</v>
      </c>
      <c r="AA34" s="479">
        <f t="shared" ref="AA34" si="41">(Q34*$AA$1/12)/27+J34</f>
        <v>424.49917777777779</v>
      </c>
      <c r="AB34" s="347">
        <v>0</v>
      </c>
      <c r="AC34" s="480">
        <f t="shared" ref="AC34" si="42">IF(A34="APP SLAB",0,(Q34/9)*$AC$1)</f>
        <v>135.51388888888889</v>
      </c>
      <c r="AD34" s="479">
        <f t="shared" ref="AD34" si="43">IF(A34="APP SLAB",0,(Q34*($AD$1/12))/27+K34)</f>
        <v>100.11797037037037</v>
      </c>
      <c r="AE34" s="479">
        <f t="shared" ref="AE34" si="44">IF(A34="APP SLAB",0,(Q34*$AE$1/12)/27+L34)</f>
        <v>120.77237654320987</v>
      </c>
      <c r="AF34" s="498">
        <f t="shared" si="18"/>
        <v>0</v>
      </c>
      <c r="AG34" s="480">
        <f t="shared" ref="AG34" si="45">IF(A34="APP SLAB",0,(M34*2))</f>
        <v>763.22000000000116</v>
      </c>
      <c r="AH34" s="10"/>
    </row>
    <row r="35" spans="1:56" ht="12.75" customHeight="1" x14ac:dyDescent="0.2">
      <c r="B35" s="335">
        <v>76681.61</v>
      </c>
      <c r="C35" s="336">
        <v>76998.59</v>
      </c>
      <c r="D35" s="337" t="s">
        <v>16</v>
      </c>
      <c r="E35" s="337" t="s">
        <v>107</v>
      </c>
      <c r="F35" s="337" t="s">
        <v>101</v>
      </c>
      <c r="G35" s="47" t="str">
        <f t="shared" si="0"/>
        <v>E/S - C/B</v>
      </c>
      <c r="H35" s="26">
        <f>IF(AND($E35=$AI$2,$F35=$AI$2),2*$AK$13,IF(OR(AND($E35=$AI$2, $F35=$AI$3),AND($E35=$AI$3,$F35=$AI$2)),$AK$13+$AK$14,IF(OR(AND($E35=$AI$2,$F35=$AI$5),AND($E35=$AI$5,$F35=$AI$2)),$AK$13,IF(OR(AND($E35=$AI$3,$F35=$AI$5),AND($E35=$AI$5,$F35=$AI$3)),$AK$14,IF(AND($E35=$AI$3,$F35=$AI$3),2*$AK$14,0)))))</f>
        <v>1.5</v>
      </c>
      <c r="I35" s="27">
        <f>IF(AND($E35=$AI$2,$F35=$AI$2),2*$AN$13*$M35/27,IF(OR(AND($E35=$AI$2,$F35=$AI$3),AND($E35=$AI$3,$F35=$AI$2)),$AN$13*$M35/27,IF(OR(AND($E35=$AI$2,$F35=$AI$5),AND($E35=$AI$5,$F35=$AI$2)),$AN$13*$M35/27,0)))</f>
        <v>6.6917999999999136</v>
      </c>
      <c r="J35" s="27">
        <f>IF(AND($E35=$AI$2,$F35=$AI$2),2*$AQ$13*$M35/27,IF(OR(AND($E35=$AI$2,$F35=$AI$3),AND($E35=$AI$3,$F35=$AI$2)),($AQ$13+$AQ$14)*$M35/27,IF(OR(AND($E35=$AI$2,$F35=$AI$5),AND($E35=$AI$5,$F35=$AI$2)),$AQ$13*$M35/27,IF(OR(AND($E35=$AI$3,$F35=$AI$5),AND($E35=$AI$5,$F35=$AI$3)),$AQ$14*$M35/27,IF(AND($E35=$AI$3,$F35=$AI$3),2*$AQ$14*$M35/27,0)))))</f>
        <v>7.8657999999998998</v>
      </c>
      <c r="K35" s="27">
        <f>IF(AND($E35=$AI$5,$F35=$AI$5),2*$AT$15*$M35/27,IF(OR($E35=$AI$5,$F35=$AI$5),$AT$15*$M35/27,0))</f>
        <v>-2.1131999999999729</v>
      </c>
      <c r="L35" s="338">
        <v>0</v>
      </c>
      <c r="M35" s="83">
        <f t="shared" si="5"/>
        <v>316.97999999999593</v>
      </c>
      <c r="N35" s="342">
        <v>28.42</v>
      </c>
      <c r="O35" s="76">
        <f t="shared" si="6"/>
        <v>9009</v>
      </c>
      <c r="P35" s="344">
        <v>0</v>
      </c>
      <c r="Q35" s="75">
        <f t="shared" si="7"/>
        <v>9009</v>
      </c>
      <c r="R35" s="350">
        <v>0</v>
      </c>
      <c r="S35" s="349">
        <v>0</v>
      </c>
      <c r="T35" s="210">
        <f t="shared" si="17"/>
        <v>0.52691499999999958</v>
      </c>
      <c r="U35" s="135">
        <f t="shared" si="8"/>
        <v>1053.8299999999992</v>
      </c>
      <c r="V35" s="135">
        <f t="shared" si="9"/>
        <v>1053.8299999999992</v>
      </c>
      <c r="W35" s="135">
        <f t="shared" si="10"/>
        <v>31.298750999999982</v>
      </c>
      <c r="X35" s="348">
        <v>0</v>
      </c>
      <c r="Y35" s="342">
        <v>0</v>
      </c>
      <c r="Z35" s="34">
        <f t="shared" si="11"/>
        <v>326.4556888888888</v>
      </c>
      <c r="AA35" s="4">
        <f t="shared" si="12"/>
        <v>174.69913333333324</v>
      </c>
      <c r="AB35" s="347">
        <v>0</v>
      </c>
      <c r="AC35" s="6">
        <f t="shared" si="13"/>
        <v>55.055</v>
      </c>
      <c r="AD35" s="4">
        <f t="shared" si="14"/>
        <v>39.595133333333365</v>
      </c>
      <c r="AE35" s="4">
        <f t="shared" si="15"/>
        <v>48.659722222222221</v>
      </c>
      <c r="AF35" s="454">
        <f t="shared" si="18"/>
        <v>11.739999999999849</v>
      </c>
      <c r="AG35" s="85">
        <f t="shared" si="16"/>
        <v>633.95999999999185</v>
      </c>
      <c r="AH35" s="10"/>
      <c r="AI35" s="81"/>
      <c r="AJ35" s="81"/>
      <c r="AK35" s="81"/>
      <c r="AL35" s="81"/>
      <c r="AM35" s="81"/>
      <c r="AN35" s="81"/>
      <c r="AO35" s="81"/>
      <c r="AP35" s="81"/>
      <c r="AQ35" s="81"/>
    </row>
    <row r="36" spans="1:56" ht="12.75" customHeight="1" thickBot="1" x14ac:dyDescent="0.25">
      <c r="B36" s="54"/>
      <c r="C36" s="3"/>
      <c r="D36" s="133"/>
      <c r="E36" s="158"/>
      <c r="F36" s="158"/>
      <c r="G36" s="158"/>
      <c r="H36" s="159"/>
      <c r="I36" s="160"/>
      <c r="J36" s="160"/>
      <c r="K36" s="160"/>
      <c r="L36" s="161"/>
      <c r="M36" s="84"/>
      <c r="N36" s="84"/>
      <c r="O36" s="119"/>
      <c r="P36" s="119"/>
      <c r="Q36" s="119"/>
      <c r="R36" s="119"/>
      <c r="S36" s="119"/>
      <c r="T36" s="19"/>
      <c r="U36" s="19"/>
      <c r="V36" s="19"/>
      <c r="W36" s="19"/>
      <c r="X36" s="128"/>
      <c r="Y36" s="84"/>
      <c r="Z36" s="162"/>
      <c r="AA36" s="84"/>
      <c r="AB36" s="19"/>
      <c r="AC36" s="19"/>
      <c r="AD36" s="84"/>
      <c r="AE36" s="84"/>
      <c r="AF36" s="84"/>
      <c r="AG36" s="19"/>
      <c r="AH36" s="10"/>
      <c r="AI36" s="90"/>
      <c r="AJ36" s="90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</row>
    <row r="37" spans="1:56" ht="12.75" customHeight="1" x14ac:dyDescent="0.2">
      <c r="B37" s="661" t="s">
        <v>64</v>
      </c>
      <c r="C37" s="662"/>
      <c r="D37" s="33"/>
      <c r="E37" s="33"/>
      <c r="F37" s="33"/>
      <c r="G37" s="104"/>
      <c r="H37" s="138"/>
      <c r="I37" s="78"/>
      <c r="J37" s="78"/>
      <c r="K37" s="78"/>
      <c r="L37" s="157"/>
      <c r="M37" s="89"/>
      <c r="N37" s="14"/>
      <c r="O37" s="76"/>
      <c r="P37" s="76"/>
      <c r="Q37" s="124"/>
      <c r="R37" s="124"/>
      <c r="S37" s="124"/>
      <c r="T37" s="135"/>
      <c r="U37" s="135"/>
      <c r="V37" s="135"/>
      <c r="W37" s="135"/>
      <c r="X37" s="71"/>
      <c r="Y37" s="14"/>
      <c r="Z37" s="139"/>
      <c r="AA37" s="89"/>
      <c r="AB37" s="135"/>
      <c r="AC37" s="135"/>
      <c r="AD37" s="89"/>
      <c r="AE37" s="89"/>
      <c r="AF37" s="89"/>
      <c r="AG37" s="135"/>
      <c r="AH37" s="10"/>
      <c r="AI37" s="90"/>
      <c r="AJ37" s="90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</row>
    <row r="38" spans="1:56" ht="12.75" customHeight="1" x14ac:dyDescent="0.2">
      <c r="B38" s="335">
        <v>73445</v>
      </c>
      <c r="C38" s="336">
        <v>74518.080000000002</v>
      </c>
      <c r="D38" s="337" t="s">
        <v>15</v>
      </c>
      <c r="E38" s="337" t="s">
        <v>101</v>
      </c>
      <c r="F38" s="337" t="s">
        <v>107</v>
      </c>
      <c r="G38" s="103" t="str">
        <f t="shared" ref="G38:G55" si="46">IF(AND($E38=$AI$2,$F38=$AI$2),$AK$2,IF(OR(AND($E38=$AI$2,$F38=$AI$3),AND($E38=$AI$3,$F38=$AI$2)),$AK$3,IF(OR(AND($E38=$AI$2,$F38=$AI$5),AND($E38=$AI$5,$F38=$AI$2)),$AK$5,IF(OR(AND($E38=$AI$3,$F38=$AI$5),AND($E38=$AI$5,$F38=$AI$3)),$AK$6,IF(AND($E38=$AI$3,$F38=$AI$3),$AK$7,IF(AND($E38=$AI$5,$F38=$AI$5),$AK$8,"-"))))))</f>
        <v>E/S - C/B</v>
      </c>
      <c r="H38" s="26">
        <f>IF(AND($E38=$AI$2,$F38=$AI$2),2*$AK$13,IF(OR(AND($E38=$AI$2, $F38=$AI$3),AND($E38=$AI$3,$F38=$AI$2)),$AK$13+$AK$14,IF(OR(AND($E38=$AI$2,$F38=$AI$5),AND($E38=$AI$5,$F38=$AI$2)),$AK$13,IF(OR(AND($E38=$AI$3,$F38=$AI$5),AND($E38=$AI$5,$F38=$AI$3)),$AK$14,IF(AND($E38=$AI$3,$F38=$AI$3),2*$AK$14,0)))))</f>
        <v>1.5</v>
      </c>
      <c r="I38" s="27">
        <f>IF(AND($E38=$AI$2,$F38=$AI$2),2*$AN$13*$M38/27,IF(OR(AND($E38=$AI$2,$F38=$AI$3),AND($E38=$AI$3,$F38=$AI$2)),$AN$13*$M38/27,IF(OR(AND($E38=$AI$2,$F38=$AI$5),AND($E38=$AI$5,$F38=$AI$2)),$AN$13*$M38/27,0)))</f>
        <v>22.653911111111146</v>
      </c>
      <c r="J38" s="27">
        <f>IF(AND($E38=$AI$2,$F38=$AI$2),2*$AQ$13*$M38/27,IF(OR(AND($E38=$AI$2,$F38=$AI$3),AND($E38=$AI$3,$F38=$AI$2)),($AQ$13+$AQ$14)*$M38/27,IF(OR(AND($E38=$AI$2,$F38=$AI$5),AND($E38=$AI$5,$F38=$AI$2)),$AQ$13*$M38/27,IF(OR(AND($E38=$AI$3,$F38=$AI$5),AND($E38=$AI$5,$F38=$AI$3)),$AQ$14*$M38/27,IF(AND($E38=$AI$3,$F38=$AI$3),2*$AQ$14*$M38/27,0)))))</f>
        <v>26.628281481481526</v>
      </c>
      <c r="K38" s="27">
        <f>IF(AND($E38=$AI$5,$F38=$AI$5),2*$AT$15*$M38/27,IF(OR($E38=$AI$5,$F38=$AI$5),$AT$15*$M38/27,0))</f>
        <v>-7.1538666666666773</v>
      </c>
      <c r="L38" s="338">
        <v>0</v>
      </c>
      <c r="M38" s="83">
        <f t="shared" ref="M38:M55" si="47">C38-B38</f>
        <v>1073.0800000000017</v>
      </c>
      <c r="N38" s="342">
        <v>54.1</v>
      </c>
      <c r="O38" s="124">
        <f t="shared" si="6"/>
        <v>58054</v>
      </c>
      <c r="P38" s="344">
        <v>0</v>
      </c>
      <c r="Q38" s="123">
        <f t="shared" ref="Q38:Q55" si="48">SUM(O38:P38)</f>
        <v>58054</v>
      </c>
      <c r="R38" s="350">
        <v>0</v>
      </c>
      <c r="S38" s="85">
        <f>IF(OR($A38="APP SLAB",Q38=0),0,($Q38+$H38*$M38)/9)</f>
        <v>6629.2911111111116</v>
      </c>
      <c r="T38" s="210">
        <f t="shared" ref="T38:T55" si="49">IF(AND(S38=0,V38=0),0,IF(V38=0,S38/2000,V38/2000))</f>
        <v>3.3146455555555558</v>
      </c>
      <c r="U38" s="135">
        <f t="shared" ref="U38:U55" si="50">IF(OR(A38="APP SLAB",S38&lt;&gt;0),0,V38)</f>
        <v>0</v>
      </c>
      <c r="V38" s="135">
        <f t="shared" ref="V38:V55" si="51">IF(OR(A38="APP SLAB",S38&lt;&gt;0),0,(Q38+H38*M38)/9)</f>
        <v>0</v>
      </c>
      <c r="W38" s="135">
        <f t="shared" ref="W38:W55" si="52">IF(OR(A38="APP SLAB",S38&lt;&gt;0),0,$V$1*V38*110*0.06*0.75/2000)</f>
        <v>0</v>
      </c>
      <c r="X38" s="348">
        <v>0</v>
      </c>
      <c r="Y38" s="342">
        <v>0</v>
      </c>
      <c r="Z38" s="34">
        <f t="shared" ref="Z38:Z55" si="53">IF(A38="APP SLAB",0,(Q38*$Z$1/12)/27+I38)</f>
        <v>2083.2125530864196</v>
      </c>
      <c r="AA38" s="83">
        <f t="shared" ref="AA38:AA55" si="54">(Q38*$AA$1/12)/27+J38</f>
        <v>1101.7023555555556</v>
      </c>
      <c r="AB38" s="347">
        <v>0</v>
      </c>
      <c r="AC38" s="85">
        <f t="shared" ref="AC38:AC55" si="55">IF(A38="APP SLAB",0,(Q38/9)*$AC$1)</f>
        <v>354.77444444444444</v>
      </c>
      <c r="AD38" s="83">
        <f t="shared" ref="AD38:AD55" si="56">IF(A38="APP SLAB",0,(Q38*($AD$1/12))/27+K38)</f>
        <v>261.61465185185187</v>
      </c>
      <c r="AE38" s="83">
        <f t="shared" ref="AE38:AE55" si="57">IF(A38="APP SLAB",0,(Q38*$AE$1/12)/27+L38)</f>
        <v>313.56327160493828</v>
      </c>
      <c r="AF38" s="454">
        <f t="shared" ref="AF38:AF55" si="58">IF(AND($E38=$F38="Uncurbed"),(2*$M38*2*$AF$1/12)/27,IF(OR($E38="Uncurbed",$F38="Uncurbed"),($M38*2*$AF$1/12)/27,IF(OR(AND($E38="Med. Barr.",$F38="Curbed"),AND($E38="Curbed",$F38="Med. Barr."),$E38=$F38,$E38="Unique",$F38="Unique",$E38="-",$F38="-"),0,"?")))</f>
        <v>39.743703703703765</v>
      </c>
      <c r="AG38" s="85">
        <f t="shared" ref="AG38:AG55" si="59">IF(A38="APP SLAB",0,(M38*2))</f>
        <v>2146.1600000000035</v>
      </c>
      <c r="AH38" s="189"/>
      <c r="AI38" s="90"/>
      <c r="AJ38" s="90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</row>
    <row r="39" spans="1:56" ht="12.75" customHeight="1" x14ac:dyDescent="0.2">
      <c r="B39" s="335">
        <v>74518.080000000002</v>
      </c>
      <c r="C39" s="336">
        <v>74587</v>
      </c>
      <c r="D39" s="337" t="s">
        <v>15</v>
      </c>
      <c r="E39" s="337" t="s">
        <v>101</v>
      </c>
      <c r="F39" s="337" t="s">
        <v>107</v>
      </c>
      <c r="G39" s="103" t="str">
        <f t="shared" si="46"/>
        <v>E/S - C/B</v>
      </c>
      <c r="H39" s="26">
        <f>IF(AND($E39=$AI$2,$F39=$AI$2),2*$AK$13,IF(OR(AND($E39=$AI$2, $F39=$AI$3),AND($E39=$AI$3,$F39=$AI$2)),$AK$13+$AK$14,IF(OR(AND($E39=$AI$2,$F39=$AI$5),AND($E39=$AI$5,$F39=$AI$2)),$AK$13,IF(OR(AND($E39=$AI$3,$F39=$AI$5),AND($E39=$AI$5,$F39=$AI$3)),$AK$14,IF(AND($E39=$AI$3,$F39=$AI$3),2*$AK$14,0)))))</f>
        <v>1.5</v>
      </c>
      <c r="I39" s="27">
        <f>IF(AND($E39=$AI$2,$F39=$AI$2),2*$AN$13*$M39/27,IF(OR(AND($E39=$AI$2,$F39=$AI$3),AND($E39=$AI$3,$F39=$AI$2)),$AN$13*$M39/27,IF(OR(AND($E39=$AI$2,$F39=$AI$5),AND($E39=$AI$5,$F39=$AI$2)),$AN$13*$M39/27,0)))</f>
        <v>1.4549777777777408</v>
      </c>
      <c r="J39" s="27">
        <f>IF(AND($E39=$AI$2,$F39=$AI$2),2*$AQ$13*$M39/27,IF(OR(AND($E39=$AI$2,$F39=$AI$3),AND($E39=$AI$3,$F39=$AI$2)),($AQ$13+$AQ$14)*$M39/27,IF(OR(AND($E39=$AI$2,$F39=$AI$5),AND($E39=$AI$5,$F39=$AI$2)),$AQ$13*$M39/27,IF(OR(AND($E39=$AI$3,$F39=$AI$5),AND($E39=$AI$5,$F39=$AI$3)),$AQ$14*$M39/27,IF(AND($E39=$AI$3,$F39=$AI$3),2*$AQ$14*$M39/27,0)))))</f>
        <v>1.7102370370369939</v>
      </c>
      <c r="K39" s="27">
        <f>IF(AND($E39=$AI$5,$F39=$AI$5),2*$AT$15*$M39/27,IF(OR($E39=$AI$5,$F39=$AI$5),$AT$15*$M39/27,0))</f>
        <v>-0.45946666666665503</v>
      </c>
      <c r="L39" s="338">
        <v>0</v>
      </c>
      <c r="M39" s="83">
        <f t="shared" si="47"/>
        <v>68.919999999998254</v>
      </c>
      <c r="N39" s="342" t="s">
        <v>97</v>
      </c>
      <c r="O39" s="124">
        <f t="shared" si="6"/>
        <v>0</v>
      </c>
      <c r="P39" s="344">
        <v>4518</v>
      </c>
      <c r="Q39" s="123">
        <f t="shared" si="48"/>
        <v>4518</v>
      </c>
      <c r="R39" s="350">
        <v>0</v>
      </c>
      <c r="S39" s="85">
        <f>IF(OR($A39="APP SLAB",Q39=0),0,($Q39+$H39*$M39)/9)</f>
        <v>513.48666666666634</v>
      </c>
      <c r="T39" s="210">
        <f t="shared" si="49"/>
        <v>0.25674333333333316</v>
      </c>
      <c r="U39" s="135">
        <f t="shared" si="50"/>
        <v>0</v>
      </c>
      <c r="V39" s="135">
        <f t="shared" si="51"/>
        <v>0</v>
      </c>
      <c r="W39" s="135">
        <f t="shared" si="52"/>
        <v>0</v>
      </c>
      <c r="X39" s="348">
        <v>0</v>
      </c>
      <c r="Y39" s="342">
        <v>0</v>
      </c>
      <c r="Z39" s="34">
        <f t="shared" si="53"/>
        <v>161.81608888888886</v>
      </c>
      <c r="AA39" s="83">
        <f t="shared" si="54"/>
        <v>85.376903703703661</v>
      </c>
      <c r="AB39" s="347">
        <v>0</v>
      </c>
      <c r="AC39" s="85">
        <f t="shared" si="55"/>
        <v>27.61</v>
      </c>
      <c r="AD39" s="83">
        <f t="shared" si="56"/>
        <v>20.457200000000014</v>
      </c>
      <c r="AE39" s="83">
        <f t="shared" si="57"/>
        <v>24.402777777777779</v>
      </c>
      <c r="AF39" s="454">
        <f t="shared" si="58"/>
        <v>2.5525925925925281</v>
      </c>
      <c r="AG39" s="85">
        <f t="shared" si="59"/>
        <v>137.83999999999651</v>
      </c>
      <c r="AH39" s="189"/>
      <c r="AI39" s="90"/>
      <c r="AJ39" s="90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</row>
    <row r="40" spans="1:56" s="81" customFormat="1" ht="12.75" customHeight="1" x14ac:dyDescent="0.2">
      <c r="B40" s="353">
        <v>74587</v>
      </c>
      <c r="C40" s="354">
        <v>75050</v>
      </c>
      <c r="D40" s="337" t="s">
        <v>15</v>
      </c>
      <c r="E40" s="337" t="s">
        <v>101</v>
      </c>
      <c r="F40" s="337" t="s">
        <v>107</v>
      </c>
      <c r="G40" s="103" t="str">
        <f t="shared" si="46"/>
        <v>E/S - C/B</v>
      </c>
      <c r="H40" s="26">
        <f>IF(AND($E40=$AI$2,$F40=$AI$2),2*$AK$13,IF(OR(AND($E40=$AI$2, $F40=$AI$3),AND($E40=$AI$3,$F40=$AI$2)),$AK$13+$AK$14,IF(OR(AND($E40=$AI$2,$F40=$AI$5),AND($E40=$AI$5,$F40=$AI$2)),$AK$13,IF(OR(AND($E40=$AI$3,$F40=$AI$5),AND($E40=$AI$5,$F40=$AI$3)),$AK$14,IF(AND($E40=$AI$3,$F40=$AI$3),2*$AK$14,0)))))</f>
        <v>1.5</v>
      </c>
      <c r="I40" s="27">
        <f>IF(AND($E40=$AI$2,$F40=$AI$2),2*$AN$13*$M40/27,IF(OR(AND($E40=$AI$2,$F40=$AI$3),AND($E40=$AI$3,$F40=$AI$2)),$AN$13*$M40/27,IF(OR(AND($E40=$AI$2,$F40=$AI$5),AND($E40=$AI$5,$F40=$AI$2)),$AN$13*$M40/27,0)))</f>
        <v>9.7744444444444429</v>
      </c>
      <c r="J40" s="27">
        <f>IF(AND($E40=$AI$2,$F40=$AI$2),2*$AQ$13*$M40/27,IF(OR(AND($E40=$AI$2,$F40=$AI$3),AND($E40=$AI$3,$F40=$AI$2)),($AQ$13+$AQ$14)*$M40/27,IF(OR(AND($E40=$AI$2,$F40=$AI$5),AND($E40=$AI$5,$F40=$AI$2)),$AQ$13*$M40/27,IF(OR(AND($E40=$AI$3,$F40=$AI$5),AND($E40=$AI$5,$F40=$AI$3)),$AQ$14*$M40/27,IF(AND($E40=$AI$3,$F40=$AI$3),2*$AQ$14*$M40/27,0)))))</f>
        <v>11.48925925925926</v>
      </c>
      <c r="K40" s="27">
        <f>IF(AND($E40=$AI$5,$F40=$AI$5),2*$AT$15*$M40/27,IF(OR($E40=$AI$5,$F40=$AI$5),$AT$15*$M40/27,0))</f>
        <v>-3.0866666666666669</v>
      </c>
      <c r="L40" s="358">
        <v>0</v>
      </c>
      <c r="M40" s="83">
        <f t="shared" si="47"/>
        <v>463</v>
      </c>
      <c r="N40" s="342" t="s">
        <v>97</v>
      </c>
      <c r="O40" s="124">
        <f t="shared" si="6"/>
        <v>0</v>
      </c>
      <c r="P40" s="344">
        <v>32775</v>
      </c>
      <c r="Q40" s="123">
        <f t="shared" si="48"/>
        <v>32775</v>
      </c>
      <c r="R40" s="350">
        <v>0</v>
      </c>
      <c r="S40" s="349">
        <v>0</v>
      </c>
      <c r="T40" s="210">
        <f t="shared" si="49"/>
        <v>1.8594166666666667</v>
      </c>
      <c r="U40" s="135">
        <f t="shared" si="50"/>
        <v>3718.8333333333335</v>
      </c>
      <c r="V40" s="135">
        <f t="shared" si="51"/>
        <v>3718.8333333333335</v>
      </c>
      <c r="W40" s="135">
        <f t="shared" si="52"/>
        <v>110.44935</v>
      </c>
      <c r="X40" s="348">
        <v>0</v>
      </c>
      <c r="Y40" s="342">
        <v>0</v>
      </c>
      <c r="Z40" s="34">
        <f t="shared" si="53"/>
        <v>1173.0846296296297</v>
      </c>
      <c r="AA40" s="83">
        <f t="shared" si="54"/>
        <v>618.43370370370371</v>
      </c>
      <c r="AB40" s="352">
        <v>0</v>
      </c>
      <c r="AC40" s="85">
        <f t="shared" si="55"/>
        <v>200.29166666666666</v>
      </c>
      <c r="AD40" s="83">
        <f t="shared" si="56"/>
        <v>148.64944444444444</v>
      </c>
      <c r="AE40" s="83">
        <f t="shared" si="57"/>
        <v>177.02546296296296</v>
      </c>
      <c r="AF40" s="454">
        <f t="shared" si="58"/>
        <v>17.148148148148149</v>
      </c>
      <c r="AG40" s="85">
        <f t="shared" si="59"/>
        <v>926</v>
      </c>
      <c r="AH40" s="189"/>
    </row>
    <row r="41" spans="1:56" ht="12.75" customHeight="1" x14ac:dyDescent="0.2">
      <c r="B41" s="353">
        <v>75050</v>
      </c>
      <c r="C41" s="354">
        <v>75100</v>
      </c>
      <c r="D41" s="337" t="s">
        <v>15</v>
      </c>
      <c r="E41" s="337" t="s">
        <v>107</v>
      </c>
      <c r="F41" s="337" t="s">
        <v>107</v>
      </c>
      <c r="G41" s="104" t="str">
        <f t="shared" si="46"/>
        <v>C/B - C/B</v>
      </c>
      <c r="H41" s="26">
        <f>IF(AND($E41=$AI$2,$F41=$AI$2),2*$AK$13,IF(OR(AND($E41=$AI$2, $F41=$AI$3),AND($E41=$AI$3,$F41=$AI$2)),$AK$13+$AK$14,IF(OR(AND($E41=$AI$2,$F41=$AI$5),AND($E41=$AI$5,$F41=$AI$2)),$AK$13,IF(OR(AND($E41=$AI$3,$F41=$AI$5),AND($E41=$AI$5,$F41=$AI$3)),$AK$14,IF(AND($E41=$AI$3,$F41=$AI$3),2*$AK$14,0)))))</f>
        <v>0</v>
      </c>
      <c r="I41" s="27">
        <f>IF(AND($E41=$AI$2,$F41=$AI$2),2*$AN$13*$M41/27,IF(OR(AND($E41=$AI$2,$F41=$AI$3),AND($E41=$AI$3,$F41=$AI$2)),$AN$13*$M41/27,IF(OR(AND($E41=$AI$2,$F41=$AI$5),AND($E41=$AI$5,$F41=$AI$2)),$AN$13*$M41/27,0)))</f>
        <v>0</v>
      </c>
      <c r="J41" s="27">
        <f>IF(AND($E41=$AI$2,$F41=$AI$2),2*$AQ$13*$M41/27,IF(OR(AND($E41=$AI$2,$F41=$AI$3),AND($E41=$AI$3,$F41=$AI$2)),($AQ$13+$AQ$14)*$M41/27,IF(OR(AND($E41=$AI$2,$F41=$AI$5),AND($E41=$AI$5,$F41=$AI$2)),$AQ$13*$M41/27,IF(OR(AND($E41=$AI$3,$F41=$AI$5),AND($E41=$AI$5,$F41=$AI$3)),$AQ$14*$M41/27,IF(AND($E41=$AI$3,$F41=$AI$3),2*$AQ$14*$M41/27,0)))))</f>
        <v>0</v>
      </c>
      <c r="K41" s="27">
        <f>IF(AND($E41=$AI$5,$F41=$AI$5),2*$AT$15*$M41/27,IF(OR($E41=$AI$5,$F41=$AI$5),$AT$15*$M41/27,0))</f>
        <v>-0.66666666666666663</v>
      </c>
      <c r="L41" s="358">
        <v>0</v>
      </c>
      <c r="M41" s="89">
        <f t="shared" si="47"/>
        <v>50</v>
      </c>
      <c r="N41" s="342">
        <v>42.42</v>
      </c>
      <c r="O41" s="76">
        <f t="shared" si="6"/>
        <v>2121</v>
      </c>
      <c r="P41" s="344">
        <v>0</v>
      </c>
      <c r="Q41" s="124">
        <f t="shared" si="48"/>
        <v>2121</v>
      </c>
      <c r="R41" s="350">
        <v>0</v>
      </c>
      <c r="S41" s="349">
        <v>0</v>
      </c>
      <c r="T41" s="210">
        <f t="shared" si="49"/>
        <v>0.11783333333333333</v>
      </c>
      <c r="U41" s="135">
        <f t="shared" si="50"/>
        <v>235.66666666666666</v>
      </c>
      <c r="V41" s="135">
        <f t="shared" si="51"/>
        <v>235.66666666666666</v>
      </c>
      <c r="W41" s="135">
        <f t="shared" si="52"/>
        <v>6.999299999999999</v>
      </c>
      <c r="X41" s="348">
        <v>0</v>
      </c>
      <c r="Y41" s="342">
        <v>0</v>
      </c>
      <c r="Z41" s="34">
        <f t="shared" si="53"/>
        <v>75.282407407407405</v>
      </c>
      <c r="AA41" s="83">
        <f t="shared" si="54"/>
        <v>39.277777777777779</v>
      </c>
      <c r="AB41" s="352">
        <v>0</v>
      </c>
      <c r="AC41" s="85">
        <f t="shared" si="55"/>
        <v>12.961666666666666</v>
      </c>
      <c r="AD41" s="83">
        <f t="shared" si="56"/>
        <v>9.1527777777777786</v>
      </c>
      <c r="AE41" s="83">
        <f t="shared" si="57"/>
        <v>11.456018518518519</v>
      </c>
      <c r="AF41" s="454">
        <f t="shared" si="58"/>
        <v>0</v>
      </c>
      <c r="AG41" s="85">
        <f t="shared" si="59"/>
        <v>100</v>
      </c>
      <c r="AH41" s="10"/>
      <c r="AI41" s="90"/>
      <c r="AJ41" s="90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</row>
    <row r="42" spans="1:56" s="81" customFormat="1" ht="12.75" customHeight="1" x14ac:dyDescent="0.2">
      <c r="B42" s="353">
        <v>75100</v>
      </c>
      <c r="C42" s="354">
        <v>75150</v>
      </c>
      <c r="D42" s="337" t="s">
        <v>15</v>
      </c>
      <c r="E42" s="337" t="s">
        <v>107</v>
      </c>
      <c r="F42" s="337" t="s">
        <v>107</v>
      </c>
      <c r="G42" s="104" t="str">
        <f t="shared" si="46"/>
        <v>C/B - C/B</v>
      </c>
      <c r="H42" s="26">
        <f>IF(AND($E42=$AI$2,$F42=$AI$2),2*$AK$13,IF(OR(AND($E42=$AI$2, $F42=$AI$3),AND($E42=$AI$3,$F42=$AI$2)),$AK$13+$AK$14,IF(OR(AND($E42=$AI$2,$F42=$AI$5),AND($E42=$AI$5,$F42=$AI$2)),$AK$13,IF(OR(AND($E42=$AI$3,$F42=$AI$5),AND($E42=$AI$5,$F42=$AI$3)),$AK$14,IF(AND($E42=$AI$3,$F42=$AI$3),2*$AK$14,0)))))</f>
        <v>0</v>
      </c>
      <c r="I42" s="27">
        <f>IF(AND($E42=$AI$2,$F42=$AI$2),2*$AN$13*$M42/27,IF(OR(AND($E42=$AI$2,$F42=$AI$3),AND($E42=$AI$3,$F42=$AI$2)),$AN$13*$M42/27,IF(OR(AND($E42=$AI$2,$F42=$AI$5),AND($E42=$AI$5,$F42=$AI$2)),$AN$13*$M42/27,0)))</f>
        <v>0</v>
      </c>
      <c r="J42" s="27">
        <f>IF(AND($E42=$AI$2,$F42=$AI$2),2*$AQ$13*$M42/27,IF(OR(AND($E42=$AI$2,$F42=$AI$3),AND($E42=$AI$3,$F42=$AI$2)),($AQ$13+$AQ$14)*$M42/27,IF(OR(AND($E42=$AI$2,$F42=$AI$5),AND($E42=$AI$5,$F42=$AI$2)),$AQ$13*$M42/27,IF(OR(AND($E42=$AI$3,$F42=$AI$5),AND($E42=$AI$5,$F42=$AI$3)),$AQ$14*$M42/27,IF(AND($E42=$AI$3,$F42=$AI$3),2*$AQ$14*$M42/27,0)))))</f>
        <v>0</v>
      </c>
      <c r="K42" s="27">
        <f>IF(AND($E42=$AI$5,$F42=$AI$5),2*$AT$15*$M42/27,IF(OR($E42=$AI$5,$F42=$AI$5),$AT$15*$M42/27,0))</f>
        <v>-0.66666666666666663</v>
      </c>
      <c r="L42" s="358">
        <v>1</v>
      </c>
      <c r="M42" s="482">
        <f t="shared" ref="M42" si="60">C42-B42</f>
        <v>50</v>
      </c>
      <c r="N42" s="342">
        <v>42.42</v>
      </c>
      <c r="O42" s="124">
        <f t="shared" ref="O42" si="61">IF(N42="-",0,ROUNDUP($M42*N42,0))</f>
        <v>2121</v>
      </c>
      <c r="P42" s="344">
        <v>0</v>
      </c>
      <c r="Q42" s="124">
        <f t="shared" ref="Q42" si="62">SUM(O42:P42)</f>
        <v>2121</v>
      </c>
      <c r="R42" s="350">
        <v>0</v>
      </c>
      <c r="S42" s="480">
        <f>IF(OR($A42="APP SLAB",Q42=0),0,($Q42+$H42*$M42)/9)</f>
        <v>235.66666666666666</v>
      </c>
      <c r="T42" s="210">
        <f t="shared" ref="T42" si="63">IF(AND(S42=0,V42=0),0,IF(V42=0,S42/2000,V42/2000))</f>
        <v>0.11783333333333333</v>
      </c>
      <c r="U42" s="135">
        <f t="shared" ref="U42" si="64">IF(OR(A42="APP SLAB",S42&lt;&gt;0),0,V42)</f>
        <v>0</v>
      </c>
      <c r="V42" s="135">
        <f t="shared" ref="V42" si="65">IF(OR(A42="APP SLAB",S42&lt;&gt;0),0,(Q42+H42*M42)/9)</f>
        <v>0</v>
      </c>
      <c r="W42" s="135">
        <f t="shared" ref="W42" si="66">IF(OR(A42="APP SLAB",S42&lt;&gt;0),0,$V$1*V42*110*0.06*0.75/2000)</f>
        <v>0</v>
      </c>
      <c r="X42" s="348">
        <v>0</v>
      </c>
      <c r="Y42" s="342">
        <v>0</v>
      </c>
      <c r="Z42" s="34">
        <f t="shared" ref="Z42" si="67">IF(A42="APP SLAB",0,(Q42*$Z$1/12)/27+I42)</f>
        <v>75.282407407407405</v>
      </c>
      <c r="AA42" s="479">
        <f t="shared" ref="AA42" si="68">(Q42*$AA$1/12)/27+J42</f>
        <v>39.277777777777779</v>
      </c>
      <c r="AB42" s="352">
        <v>0</v>
      </c>
      <c r="AC42" s="480">
        <f t="shared" ref="AC42" si="69">IF(A42="APP SLAB",0,(Q42/9)*$AC$1)</f>
        <v>12.961666666666666</v>
      </c>
      <c r="AD42" s="479">
        <f t="shared" ref="AD42" si="70">IF(A42="APP SLAB",0,(Q42*($AD$1/12))/27+K42)</f>
        <v>9.1527777777777786</v>
      </c>
      <c r="AE42" s="479">
        <f t="shared" ref="AE42" si="71">IF(A42="APP SLAB",0,(Q42*$AE$1/12)/27+L42)</f>
        <v>12.456018518518519</v>
      </c>
      <c r="AF42" s="498">
        <f t="shared" si="58"/>
        <v>0</v>
      </c>
      <c r="AG42" s="480">
        <f t="shared" ref="AG42" si="72">IF(A42="APP SLAB",0,(M42*2))</f>
        <v>100</v>
      </c>
      <c r="AH42" s="10"/>
      <c r="AI42" s="90"/>
      <c r="AJ42" s="90"/>
    </row>
    <row r="43" spans="1:56" ht="12.75" customHeight="1" x14ac:dyDescent="0.2">
      <c r="B43" s="335">
        <v>75150</v>
      </c>
      <c r="C43" s="336">
        <v>75500</v>
      </c>
      <c r="D43" s="337" t="s">
        <v>15</v>
      </c>
      <c r="E43" s="337" t="s">
        <v>108</v>
      </c>
      <c r="F43" s="337" t="s">
        <v>107</v>
      </c>
      <c r="G43" s="47" t="str">
        <f t="shared" si="46"/>
        <v>-</v>
      </c>
      <c r="H43" s="339">
        <v>0</v>
      </c>
      <c r="I43" s="338">
        <v>0</v>
      </c>
      <c r="J43" s="338">
        <v>0</v>
      </c>
      <c r="K43" s="338">
        <v>-2.33</v>
      </c>
      <c r="L43" s="338">
        <v>0</v>
      </c>
      <c r="M43" s="83">
        <f t="shared" si="47"/>
        <v>350</v>
      </c>
      <c r="N43" s="342">
        <v>42.42</v>
      </c>
      <c r="O43" s="76">
        <f t="shared" si="6"/>
        <v>14847</v>
      </c>
      <c r="P43" s="344">
        <v>0</v>
      </c>
      <c r="Q43" s="75">
        <f t="shared" si="48"/>
        <v>14847</v>
      </c>
      <c r="R43" s="350">
        <v>0</v>
      </c>
      <c r="S43" s="480">
        <f t="shared" ref="S43:S52" si="73">IF(OR($A43="APP SLAB",Q43=0),0,($Q43+$H43*$M43)/9)</f>
        <v>1649.6666666666667</v>
      </c>
      <c r="T43" s="210">
        <f t="shared" si="49"/>
        <v>0.82483333333333342</v>
      </c>
      <c r="U43" s="135">
        <f t="shared" si="50"/>
        <v>0</v>
      </c>
      <c r="V43" s="135">
        <f t="shared" si="51"/>
        <v>0</v>
      </c>
      <c r="W43" s="135">
        <f t="shared" si="52"/>
        <v>0</v>
      </c>
      <c r="X43" s="348">
        <v>0</v>
      </c>
      <c r="Y43" s="342">
        <v>0</v>
      </c>
      <c r="Z43" s="34">
        <f t="shared" si="53"/>
        <v>526.97685185185185</v>
      </c>
      <c r="AA43" s="83">
        <f t="shared" si="54"/>
        <v>274.94444444444446</v>
      </c>
      <c r="AB43" s="347">
        <v>0</v>
      </c>
      <c r="AC43" s="85">
        <f t="shared" si="55"/>
        <v>90.731666666666669</v>
      </c>
      <c r="AD43" s="83">
        <f t="shared" si="56"/>
        <v>66.406111111111116</v>
      </c>
      <c r="AE43" s="83">
        <f t="shared" si="57"/>
        <v>80.192129629629633</v>
      </c>
      <c r="AF43" s="454">
        <f t="shared" si="58"/>
        <v>0</v>
      </c>
      <c r="AG43" s="85">
        <f t="shared" si="59"/>
        <v>700</v>
      </c>
      <c r="AH43" s="10"/>
      <c r="AI43" s="90"/>
      <c r="AJ43" s="90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</row>
    <row r="44" spans="1:56" ht="12.75" customHeight="1" x14ac:dyDescent="0.2">
      <c r="B44" s="335">
        <v>75500</v>
      </c>
      <c r="C44" s="336">
        <v>75725</v>
      </c>
      <c r="D44" s="337" t="s">
        <v>15</v>
      </c>
      <c r="E44" s="337" t="s">
        <v>108</v>
      </c>
      <c r="F44" s="337" t="s">
        <v>107</v>
      </c>
      <c r="G44" s="47" t="str">
        <f t="shared" si="46"/>
        <v>-</v>
      </c>
      <c r="H44" s="339">
        <v>3.67</v>
      </c>
      <c r="I44" s="338">
        <v>22.08</v>
      </c>
      <c r="J44" s="338">
        <v>14.58</v>
      </c>
      <c r="K44" s="338">
        <v>-1.5</v>
      </c>
      <c r="L44" s="338">
        <v>2.67</v>
      </c>
      <c r="M44" s="83">
        <f t="shared" si="47"/>
        <v>225</v>
      </c>
      <c r="N44" s="342">
        <v>42.42</v>
      </c>
      <c r="O44" s="76">
        <f t="shared" si="6"/>
        <v>9545</v>
      </c>
      <c r="P44" s="344">
        <v>0</v>
      </c>
      <c r="Q44" s="75">
        <f t="shared" si="48"/>
        <v>9545</v>
      </c>
      <c r="R44" s="350">
        <v>0</v>
      </c>
      <c r="S44" s="480">
        <f t="shared" si="73"/>
        <v>1152.3055555555557</v>
      </c>
      <c r="T44" s="210">
        <f t="shared" si="49"/>
        <v>0.57615277777777785</v>
      </c>
      <c r="U44" s="135">
        <f t="shared" si="50"/>
        <v>0</v>
      </c>
      <c r="V44" s="135">
        <f t="shared" si="51"/>
        <v>0</v>
      </c>
      <c r="W44" s="135">
        <f t="shared" si="52"/>
        <v>0</v>
      </c>
      <c r="X44" s="348">
        <v>0</v>
      </c>
      <c r="Y44" s="342">
        <v>0</v>
      </c>
      <c r="Z44" s="34">
        <f t="shared" si="53"/>
        <v>360.86858024691355</v>
      </c>
      <c r="AA44" s="83">
        <f t="shared" si="54"/>
        <v>191.33925925925928</v>
      </c>
      <c r="AB44" s="347">
        <v>0</v>
      </c>
      <c r="AC44" s="85">
        <f t="shared" si="55"/>
        <v>58.330555555555563</v>
      </c>
      <c r="AD44" s="83">
        <f t="shared" si="56"/>
        <v>42.689814814814817</v>
      </c>
      <c r="AE44" s="83">
        <f t="shared" si="57"/>
        <v>54.224783950617287</v>
      </c>
      <c r="AF44" s="454">
        <f t="shared" si="58"/>
        <v>0</v>
      </c>
      <c r="AG44" s="85">
        <f t="shared" si="59"/>
        <v>450</v>
      </c>
      <c r="AH44" s="10"/>
      <c r="AI44" s="90"/>
      <c r="AJ44" s="90"/>
    </row>
    <row r="45" spans="1:56" ht="12.75" customHeight="1" x14ac:dyDescent="0.2">
      <c r="B45" s="335">
        <v>75725</v>
      </c>
      <c r="C45" s="336">
        <v>75775</v>
      </c>
      <c r="D45" s="337" t="s">
        <v>15</v>
      </c>
      <c r="E45" s="337" t="s">
        <v>108</v>
      </c>
      <c r="F45" s="337" t="s">
        <v>107</v>
      </c>
      <c r="G45" s="47" t="str">
        <f t="shared" si="46"/>
        <v>-</v>
      </c>
      <c r="H45" s="339">
        <v>3.67</v>
      </c>
      <c r="I45" s="338">
        <v>4.91</v>
      </c>
      <c r="J45" s="338">
        <v>3.24</v>
      </c>
      <c r="K45" s="338">
        <v>-0.33</v>
      </c>
      <c r="L45" s="338">
        <v>0.59</v>
      </c>
      <c r="M45" s="83">
        <f t="shared" si="47"/>
        <v>50</v>
      </c>
      <c r="N45" s="342">
        <v>43.42</v>
      </c>
      <c r="O45" s="76">
        <f t="shared" si="6"/>
        <v>2171</v>
      </c>
      <c r="P45" s="344">
        <v>0</v>
      </c>
      <c r="Q45" s="75">
        <f t="shared" si="48"/>
        <v>2171</v>
      </c>
      <c r="R45" s="350">
        <v>0</v>
      </c>
      <c r="S45" s="480">
        <f t="shared" si="73"/>
        <v>261.61111111111109</v>
      </c>
      <c r="T45" s="210">
        <f t="shared" si="49"/>
        <v>0.13080555555555554</v>
      </c>
      <c r="U45" s="135">
        <f t="shared" si="50"/>
        <v>0</v>
      </c>
      <c r="V45" s="135">
        <f t="shared" si="51"/>
        <v>0</v>
      </c>
      <c r="W45" s="135">
        <f t="shared" si="52"/>
        <v>0</v>
      </c>
      <c r="X45" s="348">
        <v>0</v>
      </c>
      <c r="Y45" s="342">
        <v>0</v>
      </c>
      <c r="Z45" s="34">
        <f t="shared" si="53"/>
        <v>81.967098765432084</v>
      </c>
      <c r="AA45" s="83">
        <f t="shared" si="54"/>
        <v>43.443703703703704</v>
      </c>
      <c r="AB45" s="347">
        <v>0</v>
      </c>
      <c r="AC45" s="85">
        <f t="shared" si="55"/>
        <v>13.267222222222223</v>
      </c>
      <c r="AD45" s="83">
        <f t="shared" si="56"/>
        <v>9.7209259259259255</v>
      </c>
      <c r="AE45" s="83">
        <f t="shared" si="57"/>
        <v>12.316080246913581</v>
      </c>
      <c r="AF45" s="454">
        <f t="shared" si="58"/>
        <v>0</v>
      </c>
      <c r="AG45" s="85">
        <f t="shared" si="59"/>
        <v>100</v>
      </c>
      <c r="AH45" s="10"/>
      <c r="AI45" s="90"/>
      <c r="AJ45" s="90"/>
    </row>
    <row r="46" spans="1:56" ht="12.75" customHeight="1" x14ac:dyDescent="0.2">
      <c r="B46" s="335">
        <v>75775</v>
      </c>
      <c r="C46" s="336">
        <v>75788.42</v>
      </c>
      <c r="D46" s="337" t="s">
        <v>15</v>
      </c>
      <c r="E46" s="337" t="s">
        <v>108</v>
      </c>
      <c r="F46" s="337" t="s">
        <v>107</v>
      </c>
      <c r="G46" s="47" t="str">
        <f t="shared" si="46"/>
        <v>-</v>
      </c>
      <c r="H46" s="339">
        <v>3.67</v>
      </c>
      <c r="I46" s="338">
        <v>1.32</v>
      </c>
      <c r="J46" s="338">
        <v>0.87</v>
      </c>
      <c r="K46" s="338">
        <v>-0.09</v>
      </c>
      <c r="L46" s="338">
        <v>0.16</v>
      </c>
      <c r="M46" s="83">
        <f t="shared" si="47"/>
        <v>13.419999999998254</v>
      </c>
      <c r="N46" s="342">
        <v>44.42</v>
      </c>
      <c r="O46" s="76">
        <f t="shared" si="6"/>
        <v>597</v>
      </c>
      <c r="P46" s="344">
        <v>0</v>
      </c>
      <c r="Q46" s="75">
        <f t="shared" si="48"/>
        <v>597</v>
      </c>
      <c r="R46" s="350">
        <v>0</v>
      </c>
      <c r="S46" s="480">
        <f t="shared" si="73"/>
        <v>71.805711111110398</v>
      </c>
      <c r="T46" s="210">
        <f t="shared" si="49"/>
        <v>3.5902855555555196E-2</v>
      </c>
      <c r="U46" s="135">
        <f t="shared" si="50"/>
        <v>0</v>
      </c>
      <c r="V46" s="135">
        <f t="shared" si="51"/>
        <v>0</v>
      </c>
      <c r="W46" s="135">
        <f t="shared" si="52"/>
        <v>0</v>
      </c>
      <c r="X46" s="348">
        <v>0</v>
      </c>
      <c r="Y46" s="342">
        <v>0</v>
      </c>
      <c r="Z46" s="34">
        <f t="shared" si="53"/>
        <v>22.509814814814813</v>
      </c>
      <c r="AA46" s="83">
        <f t="shared" si="54"/>
        <v>11.925555555555555</v>
      </c>
      <c r="AB46" s="347">
        <v>0</v>
      </c>
      <c r="AC46" s="85">
        <f t="shared" si="55"/>
        <v>3.648333333333333</v>
      </c>
      <c r="AD46" s="83">
        <f t="shared" si="56"/>
        <v>2.673888888888889</v>
      </c>
      <c r="AE46" s="83">
        <f t="shared" si="57"/>
        <v>3.3845370370370373</v>
      </c>
      <c r="AF46" s="454">
        <f t="shared" si="58"/>
        <v>0</v>
      </c>
      <c r="AG46" s="85">
        <f t="shared" si="59"/>
        <v>26.839999999996508</v>
      </c>
      <c r="AH46" s="10"/>
      <c r="AI46" s="90"/>
      <c r="AJ46" s="90"/>
    </row>
    <row r="47" spans="1:56" ht="12.75" customHeight="1" x14ac:dyDescent="0.2">
      <c r="B47" s="335">
        <v>75788.42</v>
      </c>
      <c r="C47" s="336">
        <v>75798.7</v>
      </c>
      <c r="D47" s="337" t="s">
        <v>15</v>
      </c>
      <c r="E47" s="337" t="s">
        <v>108</v>
      </c>
      <c r="F47" s="337" t="s">
        <v>97</v>
      </c>
      <c r="G47" s="47" t="str">
        <f t="shared" si="46"/>
        <v>-</v>
      </c>
      <c r="H47" s="339">
        <v>3.67</v>
      </c>
      <c r="I47" s="338">
        <v>1.01</v>
      </c>
      <c r="J47" s="338">
        <v>0.67</v>
      </c>
      <c r="K47" s="338">
        <v>0</v>
      </c>
      <c r="L47" s="338">
        <v>0.12</v>
      </c>
      <c r="M47" s="83">
        <f t="shared" si="47"/>
        <v>10.279999999998836</v>
      </c>
      <c r="N47" s="342" t="s">
        <v>97</v>
      </c>
      <c r="O47" s="76">
        <f t="shared" si="6"/>
        <v>0</v>
      </c>
      <c r="P47" s="344">
        <v>229</v>
      </c>
      <c r="Q47" s="75">
        <f t="shared" si="48"/>
        <v>229</v>
      </c>
      <c r="R47" s="350">
        <v>0</v>
      </c>
      <c r="S47" s="480">
        <f t="shared" si="73"/>
        <v>29.636399999999526</v>
      </c>
      <c r="T47" s="210">
        <f t="shared" si="49"/>
        <v>1.4818199999999762E-2</v>
      </c>
      <c r="U47" s="135">
        <f t="shared" si="50"/>
        <v>0</v>
      </c>
      <c r="V47" s="135">
        <f t="shared" si="51"/>
        <v>0</v>
      </c>
      <c r="W47" s="135">
        <f t="shared" si="52"/>
        <v>0</v>
      </c>
      <c r="X47" s="348">
        <v>0</v>
      </c>
      <c r="Y47" s="342">
        <v>0</v>
      </c>
      <c r="Z47" s="34">
        <f t="shared" si="53"/>
        <v>9.1380864197530869</v>
      </c>
      <c r="AA47" s="83">
        <f t="shared" si="54"/>
        <v>4.9107407407407404</v>
      </c>
      <c r="AB47" s="347">
        <v>0</v>
      </c>
      <c r="AC47" s="85">
        <f t="shared" si="55"/>
        <v>1.3994444444444443</v>
      </c>
      <c r="AD47" s="83">
        <f t="shared" si="56"/>
        <v>1.0601851851851851</v>
      </c>
      <c r="AE47" s="83">
        <f t="shared" si="57"/>
        <v>1.3568827160493826</v>
      </c>
      <c r="AF47" s="454">
        <f t="shared" si="58"/>
        <v>0</v>
      </c>
      <c r="AG47" s="85">
        <f t="shared" si="59"/>
        <v>20.559999999997672</v>
      </c>
      <c r="AH47" s="10"/>
      <c r="AI47" s="90"/>
      <c r="AJ47" s="90"/>
    </row>
    <row r="48" spans="1:56" ht="12.75" customHeight="1" x14ac:dyDescent="0.2">
      <c r="A48" s="198" t="s">
        <v>28</v>
      </c>
      <c r="B48" s="335">
        <v>75788.42</v>
      </c>
      <c r="C48" s="336">
        <v>75818.42</v>
      </c>
      <c r="D48" s="337" t="s">
        <v>15</v>
      </c>
      <c r="E48" s="337" t="s">
        <v>97</v>
      </c>
      <c r="F48" s="337" t="s">
        <v>97</v>
      </c>
      <c r="G48" s="47" t="str">
        <f t="shared" si="46"/>
        <v>-</v>
      </c>
      <c r="H48" s="26">
        <v>4</v>
      </c>
      <c r="I48" s="27">
        <f>IF(AND($E48=$AI$2,$F48=$AI$2),2*$AN$13*$M48/27,IF(OR(AND($E48=$AI$2,$F48=$AI$3),AND($E48=$AI$3,$F48=$AI$2)),$AN$13*$M48/27,IF(OR(AND($E48=$AI$2,$F48=$AI$5),AND($E48=$AI$5,$F48=$AI$2)),$AN$13*$M48/27,0)))</f>
        <v>0</v>
      </c>
      <c r="J48" s="27">
        <f>IF(AND($E48=$AI$2,$F48=$AI$2),2*$AQ$13*$M48/27,IF(OR(AND($E48=$AI$2,$F48=$AI$3),AND($E48=$AI$3,$F48=$AI$2)),($AQ$13+$AQ$14)*$M48/27,IF(OR(AND($E48=$AI$2,$F48=$AI$5),AND($E48=$AI$5,$F48=$AI$2)),$AQ$13*$M48/27,IF(OR(AND($E48=$AI$3,$F48=$AI$5),AND($E48=$AI$5,$F48=$AI$3)),$AQ$14*$M48/27,IF(AND($E48=$AI$3,$F48=$AI$3),2*$AQ$14*$M48/27,0)))))</f>
        <v>0</v>
      </c>
      <c r="K48" s="27">
        <f>IF(AND($E48=$AI$5,$F48=$AI$5),2*$AT$15*$M48/27,IF(OR($E48=$AI$5,$F48=$AI$5),$AT$15*$M48/27,0))</f>
        <v>0</v>
      </c>
      <c r="L48" s="338">
        <v>0</v>
      </c>
      <c r="M48" s="83">
        <f t="shared" si="47"/>
        <v>30</v>
      </c>
      <c r="N48" s="342" t="s">
        <v>97</v>
      </c>
      <c r="O48" s="76">
        <f t="shared" si="6"/>
        <v>0</v>
      </c>
      <c r="P48" s="344">
        <v>1413</v>
      </c>
      <c r="Q48" s="75">
        <f t="shared" si="48"/>
        <v>1413</v>
      </c>
      <c r="R48" s="350">
        <v>0</v>
      </c>
      <c r="S48" s="480">
        <f>IF(OR(Q48=0),0,($Q48+$H48*$M48)/9)</f>
        <v>170.33333333333334</v>
      </c>
      <c r="T48" s="210">
        <f t="shared" si="49"/>
        <v>8.5166666666666668E-2</v>
      </c>
      <c r="U48" s="135">
        <f t="shared" si="50"/>
        <v>0</v>
      </c>
      <c r="V48" s="135">
        <f t="shared" si="51"/>
        <v>0</v>
      </c>
      <c r="W48" s="135">
        <f t="shared" si="52"/>
        <v>0</v>
      </c>
      <c r="X48" s="348">
        <v>0</v>
      </c>
      <c r="Y48" s="342">
        <v>0</v>
      </c>
      <c r="Z48" s="34">
        <f t="shared" si="53"/>
        <v>0</v>
      </c>
      <c r="AA48" s="83">
        <f t="shared" si="54"/>
        <v>26.166666666666668</v>
      </c>
      <c r="AB48" s="347">
        <v>0</v>
      </c>
      <c r="AC48" s="85">
        <f t="shared" si="55"/>
        <v>0</v>
      </c>
      <c r="AD48" s="83">
        <f t="shared" si="56"/>
        <v>0</v>
      </c>
      <c r="AE48" s="83">
        <f t="shared" si="57"/>
        <v>0</v>
      </c>
      <c r="AF48" s="454">
        <f t="shared" si="58"/>
        <v>0</v>
      </c>
      <c r="AG48" s="85">
        <f t="shared" si="59"/>
        <v>0</v>
      </c>
      <c r="AH48" s="10"/>
      <c r="AI48" s="90"/>
      <c r="AJ48" s="90"/>
    </row>
    <row r="49" spans="1:43" ht="12.75" customHeight="1" x14ac:dyDescent="0.2">
      <c r="A49" s="198" t="s">
        <v>28</v>
      </c>
      <c r="B49" s="335">
        <v>75914.84</v>
      </c>
      <c r="C49" s="336">
        <v>75944.84</v>
      </c>
      <c r="D49" s="337" t="s">
        <v>15</v>
      </c>
      <c r="E49" s="337" t="s">
        <v>97</v>
      </c>
      <c r="F49" s="337" t="s">
        <v>97</v>
      </c>
      <c r="G49" s="47" t="str">
        <f t="shared" si="46"/>
        <v>-</v>
      </c>
      <c r="H49" s="26">
        <v>4</v>
      </c>
      <c r="I49" s="27">
        <f>IF(AND($E49=$AI$2,$F49=$AI$2),2*$AN$13*$M49/27,IF(OR(AND($E49=$AI$2,$F49=$AI$3),AND($E49=$AI$3,$F49=$AI$2)),$AN$13*$M49/27,IF(OR(AND($E49=$AI$2,$F49=$AI$5),AND($E49=$AI$5,$F49=$AI$2)),$AN$13*$M49/27,0)))</f>
        <v>0</v>
      </c>
      <c r="J49" s="27">
        <f>IF(AND($E49=$AI$2,$F49=$AI$2),2*$AQ$13*$M49/27,IF(OR(AND($E49=$AI$2,$F49=$AI$3),AND($E49=$AI$3,$F49=$AI$2)),($AQ$13+$AQ$14)*$M49/27,IF(OR(AND($E49=$AI$2,$F49=$AI$5),AND($E49=$AI$5,$F49=$AI$2)),$AQ$13*$M49/27,IF(OR(AND($E49=$AI$3,$F49=$AI$5),AND($E49=$AI$5,$F49=$AI$3)),$AQ$14*$M49/27,IF(AND($E49=$AI$3,$F49=$AI$3),2*$AQ$14*$M49/27,0)))))</f>
        <v>0</v>
      </c>
      <c r="K49" s="27">
        <f>IF(AND($E49=$AI$5,$F49=$AI$5),2*$AT$15*$M49/27,IF(OR($E49=$AI$5,$F49=$AI$5),$AT$15*$M49/27,0))</f>
        <v>0</v>
      </c>
      <c r="L49" s="338">
        <v>0</v>
      </c>
      <c r="M49" s="83">
        <f t="shared" si="47"/>
        <v>30</v>
      </c>
      <c r="N49" s="342" t="s">
        <v>97</v>
      </c>
      <c r="O49" s="76">
        <f t="shared" si="6"/>
        <v>0</v>
      </c>
      <c r="P49" s="344">
        <v>1413</v>
      </c>
      <c r="Q49" s="75">
        <f t="shared" si="48"/>
        <v>1413</v>
      </c>
      <c r="R49" s="350">
        <v>0</v>
      </c>
      <c r="S49" s="480">
        <f>IF(OR(Q49=0),0,($Q49+$H49*$M49)/9)</f>
        <v>170.33333333333334</v>
      </c>
      <c r="T49" s="210">
        <f t="shared" si="49"/>
        <v>8.5166666666666668E-2</v>
      </c>
      <c r="U49" s="135">
        <f t="shared" si="50"/>
        <v>0</v>
      </c>
      <c r="V49" s="135">
        <f t="shared" si="51"/>
        <v>0</v>
      </c>
      <c r="W49" s="135">
        <f t="shared" si="52"/>
        <v>0</v>
      </c>
      <c r="X49" s="348">
        <v>0</v>
      </c>
      <c r="Y49" s="342">
        <v>0</v>
      </c>
      <c r="Z49" s="34">
        <f t="shared" si="53"/>
        <v>0</v>
      </c>
      <c r="AA49" s="83">
        <f t="shared" si="54"/>
        <v>26.166666666666668</v>
      </c>
      <c r="AB49" s="347">
        <v>0</v>
      </c>
      <c r="AC49" s="85">
        <f t="shared" si="55"/>
        <v>0</v>
      </c>
      <c r="AD49" s="83">
        <f t="shared" si="56"/>
        <v>0</v>
      </c>
      <c r="AE49" s="83">
        <f t="shared" si="57"/>
        <v>0</v>
      </c>
      <c r="AF49" s="454">
        <f t="shared" si="58"/>
        <v>0</v>
      </c>
      <c r="AG49" s="85">
        <f t="shared" si="59"/>
        <v>0</v>
      </c>
      <c r="AH49" s="10"/>
      <c r="AI49" s="90"/>
      <c r="AJ49" s="90"/>
    </row>
    <row r="50" spans="1:43" ht="12.75" customHeight="1" x14ac:dyDescent="0.2">
      <c r="B50" s="335">
        <v>75944.84</v>
      </c>
      <c r="C50" s="336">
        <v>75955.12</v>
      </c>
      <c r="D50" s="337" t="s">
        <v>15</v>
      </c>
      <c r="E50" s="337" t="s">
        <v>97</v>
      </c>
      <c r="F50" s="337" t="s">
        <v>107</v>
      </c>
      <c r="G50" s="47" t="str">
        <f t="shared" si="46"/>
        <v>-</v>
      </c>
      <c r="H50" s="339">
        <v>0</v>
      </c>
      <c r="I50" s="338">
        <v>0</v>
      </c>
      <c r="J50" s="338">
        <v>0</v>
      </c>
      <c r="K50" s="338">
        <v>-7.0000000000000007E-2</v>
      </c>
      <c r="L50" s="338">
        <v>0</v>
      </c>
      <c r="M50" s="83">
        <f t="shared" si="47"/>
        <v>10.279999999998836</v>
      </c>
      <c r="N50" s="342" t="s">
        <v>97</v>
      </c>
      <c r="O50" s="76">
        <f t="shared" si="6"/>
        <v>0</v>
      </c>
      <c r="P50" s="344">
        <v>229</v>
      </c>
      <c r="Q50" s="75">
        <f t="shared" si="48"/>
        <v>229</v>
      </c>
      <c r="R50" s="350">
        <v>0</v>
      </c>
      <c r="S50" s="480">
        <f t="shared" si="73"/>
        <v>25.444444444444443</v>
      </c>
      <c r="T50" s="210">
        <f t="shared" si="49"/>
        <v>1.2722222222222222E-2</v>
      </c>
      <c r="U50" s="135">
        <f t="shared" si="50"/>
        <v>0</v>
      </c>
      <c r="V50" s="135">
        <f t="shared" si="51"/>
        <v>0</v>
      </c>
      <c r="W50" s="135">
        <f t="shared" si="52"/>
        <v>0</v>
      </c>
      <c r="X50" s="348">
        <v>0</v>
      </c>
      <c r="Y50" s="342">
        <v>0</v>
      </c>
      <c r="Z50" s="34">
        <f t="shared" si="53"/>
        <v>8.1280864197530871</v>
      </c>
      <c r="AA50" s="83">
        <f t="shared" si="54"/>
        <v>4.2407407407407405</v>
      </c>
      <c r="AB50" s="347">
        <v>0</v>
      </c>
      <c r="AC50" s="85">
        <f t="shared" si="55"/>
        <v>1.3994444444444443</v>
      </c>
      <c r="AD50" s="83">
        <f t="shared" si="56"/>
        <v>0.99018518518518506</v>
      </c>
      <c r="AE50" s="83">
        <f t="shared" si="57"/>
        <v>1.2368827160493827</v>
      </c>
      <c r="AF50" s="454">
        <f t="shared" si="58"/>
        <v>0</v>
      </c>
      <c r="AG50" s="85">
        <f t="shared" si="59"/>
        <v>20.559999999997672</v>
      </c>
      <c r="AH50" s="10"/>
      <c r="AI50" s="90"/>
      <c r="AJ50" s="90"/>
    </row>
    <row r="51" spans="1:43" ht="12.75" customHeight="1" x14ac:dyDescent="0.2">
      <c r="B51" s="335">
        <v>75955.12</v>
      </c>
      <c r="C51" s="336">
        <v>76176.61</v>
      </c>
      <c r="D51" s="337" t="s">
        <v>15</v>
      </c>
      <c r="E51" s="337" t="s">
        <v>102</v>
      </c>
      <c r="F51" s="337" t="s">
        <v>107</v>
      </c>
      <c r="G51" s="47" t="str">
        <f t="shared" si="46"/>
        <v>F/C - C/B</v>
      </c>
      <c r="H51" s="26">
        <f>IF(AND($E51=$AI$2,$F51=$AI$2),2*$AK$13,IF(OR(AND($E51=$AI$2, $F51=$AI$3),AND($E51=$AI$3,$F51=$AI$2)),$AK$13+$AK$14,IF(OR(AND($E51=$AI$2,$F51=$AI$5),AND($E51=$AI$5,$F51=$AI$2)),$AK$13,IF(OR(AND($E51=$AI$3,$F51=$AI$5),AND($E51=$AI$5,$F51=$AI$3)),$AK$14,IF(AND($E51=$AI$3,$F51=$AI$3),2*$AK$14,0)))))</f>
        <v>2</v>
      </c>
      <c r="I51" s="27">
        <f>IF(AND($E51=$AI$2,$F51=$AI$2),2*$AN$13*$M51/27,IF(OR(AND($E51=$AI$2,$F51=$AI$3),AND($E51=$AI$3,$F51=$AI$2)),$AN$13*$M51/27,IF(OR(AND($E51=$AI$2,$F51=$AI$5),AND($E51=$AI$5,$F51=$AI$2)),$AN$13*$M51/27,0)))</f>
        <v>0</v>
      </c>
      <c r="J51" s="27">
        <f>IF(AND($E51=$AI$2,$F51=$AI$2),2*$AQ$13*$M51/27,IF(OR(AND($E51=$AI$2,$F51=$AI$3),AND($E51=$AI$3,$F51=$AI$2)),($AQ$13+$AQ$14)*$M51/27,IF(OR(AND($E51=$AI$2,$F51=$AI$5),AND($E51=$AI$5,$F51=$AI$2)),$AQ$13*$M51/27,IF(OR(AND($E51=$AI$3,$F51=$AI$5),AND($E51=$AI$5,$F51=$AI$3)),$AQ$14*$M51/27,IF(AND($E51=$AI$3,$F51=$AI$3),2*$AQ$14*$M51/27,0)))))</f>
        <v>8.0392666666668564</v>
      </c>
      <c r="K51" s="27">
        <f>IF(AND($E51=$AI$5,$F51=$AI$5),2*$AT$15*$M51/27,IF(OR($E51=$AI$5,$F51=$AI$5),$AT$15*$M51/27,0))</f>
        <v>-1.4766000000000348</v>
      </c>
      <c r="L51" s="338">
        <v>0</v>
      </c>
      <c r="M51" s="83">
        <f t="shared" si="47"/>
        <v>221.49000000000524</v>
      </c>
      <c r="N51" s="342">
        <v>44.42</v>
      </c>
      <c r="O51" s="76">
        <f t="shared" si="6"/>
        <v>9839</v>
      </c>
      <c r="P51" s="344">
        <v>0</v>
      </c>
      <c r="Q51" s="75">
        <f t="shared" si="48"/>
        <v>9839</v>
      </c>
      <c r="R51" s="350">
        <v>0</v>
      </c>
      <c r="S51" s="480">
        <f t="shared" si="73"/>
        <v>1142.4422222222233</v>
      </c>
      <c r="T51" s="210">
        <f t="shared" si="49"/>
        <v>0.57122111111111162</v>
      </c>
      <c r="U51" s="135">
        <f t="shared" si="50"/>
        <v>0</v>
      </c>
      <c r="V51" s="135">
        <f t="shared" si="51"/>
        <v>0</v>
      </c>
      <c r="W51" s="135">
        <f t="shared" si="52"/>
        <v>0</v>
      </c>
      <c r="X51" s="348">
        <v>0</v>
      </c>
      <c r="Y51" s="342">
        <v>0</v>
      </c>
      <c r="Z51" s="34">
        <f t="shared" si="53"/>
        <v>349.22376543209873</v>
      </c>
      <c r="AA51" s="83">
        <f t="shared" si="54"/>
        <v>190.24297037037056</v>
      </c>
      <c r="AB51" s="347">
        <v>0</v>
      </c>
      <c r="AC51" s="85">
        <f t="shared" si="55"/>
        <v>60.127222222222223</v>
      </c>
      <c r="AD51" s="83">
        <f t="shared" si="56"/>
        <v>44.074325925925891</v>
      </c>
      <c r="AE51" s="83">
        <f t="shared" si="57"/>
        <v>53.142746913580247</v>
      </c>
      <c r="AF51" s="454">
        <f t="shared" si="58"/>
        <v>0</v>
      </c>
      <c r="AG51" s="85">
        <f t="shared" si="59"/>
        <v>442.98000000001048</v>
      </c>
      <c r="AH51" s="10"/>
      <c r="AI51" s="90"/>
      <c r="AJ51" s="90"/>
    </row>
    <row r="52" spans="1:43" ht="12.75" customHeight="1" x14ac:dyDescent="0.2">
      <c r="B52" s="335">
        <v>76176.61</v>
      </c>
      <c r="C52" s="336">
        <v>76300</v>
      </c>
      <c r="D52" s="337" t="s">
        <v>15</v>
      </c>
      <c r="E52" s="337" t="s">
        <v>102</v>
      </c>
      <c r="F52" s="337" t="s">
        <v>107</v>
      </c>
      <c r="G52" s="47" t="str">
        <f t="shared" si="46"/>
        <v>F/C - C/B</v>
      </c>
      <c r="H52" s="26">
        <f>IF(AND($E52=$AI$2,$F52=$AI$2),2*$AK$13,IF(OR(AND($E52=$AI$2, $F52=$AI$3),AND($E52=$AI$3,$F52=$AI$2)),$AK$13+$AK$14,IF(OR(AND($E52=$AI$2,$F52=$AI$5),AND($E52=$AI$5,$F52=$AI$2)),$AK$13,IF(OR(AND($E52=$AI$3,$F52=$AI$5),AND($E52=$AI$5,$F52=$AI$3)),$AK$14,IF(AND($E52=$AI$3,$F52=$AI$3),2*$AK$14,0)))))</f>
        <v>2</v>
      </c>
      <c r="I52" s="27">
        <f>IF(AND($E52=$AI$2,$F52=$AI$2),2*$AN$13*$M52/27,IF(OR(AND($E52=$AI$2,$F52=$AI$3),AND($E52=$AI$3,$F52=$AI$2)),$AN$13*$M52/27,IF(OR(AND($E52=$AI$2,$F52=$AI$5),AND($E52=$AI$5,$F52=$AI$2)),$AN$13*$M52/27,0)))</f>
        <v>0</v>
      </c>
      <c r="J52" s="27">
        <f>IF(AND($E52=$AI$2,$F52=$AI$2),2*$AQ$13*$M52/27,IF(OR(AND($E52=$AI$2,$F52=$AI$3),AND($E52=$AI$3,$F52=$AI$2)),($AQ$13+$AQ$14)*$M52/27,IF(OR(AND($E52=$AI$2,$F52=$AI$5),AND($E52=$AI$5,$F52=$AI$2)),$AQ$13*$M52/27,IF(OR(AND($E52=$AI$3,$F52=$AI$5),AND($E52=$AI$5,$F52=$AI$3)),$AQ$14*$M52/27,IF(AND($E52=$AI$3,$F52=$AI$3),2*$AQ$14*$M52/27,0)))))</f>
        <v>4.4785999999999788</v>
      </c>
      <c r="K52" s="27">
        <f>IF(AND($E52=$AI$5,$F52=$AI$5),2*$AT$15*$M52/27,IF(OR($E52=$AI$5,$F52=$AI$5),$AT$15*$M52/27,0))</f>
        <v>-0.82259999999999611</v>
      </c>
      <c r="L52" s="338">
        <v>0</v>
      </c>
      <c r="M52" s="83">
        <f t="shared" si="47"/>
        <v>123.38999999999942</v>
      </c>
      <c r="N52" s="342">
        <v>45.3</v>
      </c>
      <c r="O52" s="76">
        <f t="shared" si="6"/>
        <v>5590</v>
      </c>
      <c r="P52" s="344">
        <v>0</v>
      </c>
      <c r="Q52" s="75">
        <f t="shared" si="48"/>
        <v>5590</v>
      </c>
      <c r="R52" s="350">
        <v>0</v>
      </c>
      <c r="S52" s="480">
        <f t="shared" si="73"/>
        <v>648.53111111111093</v>
      </c>
      <c r="T52" s="210">
        <f t="shared" si="49"/>
        <v>0.32426555555555547</v>
      </c>
      <c r="U52" s="135">
        <f t="shared" si="50"/>
        <v>0</v>
      </c>
      <c r="V52" s="135">
        <f t="shared" si="51"/>
        <v>0</v>
      </c>
      <c r="W52" s="135">
        <f t="shared" si="52"/>
        <v>0</v>
      </c>
      <c r="X52" s="348">
        <v>0</v>
      </c>
      <c r="Y52" s="342">
        <v>0</v>
      </c>
      <c r="Z52" s="34">
        <f t="shared" si="53"/>
        <v>198.41049382716048</v>
      </c>
      <c r="AA52" s="83">
        <f t="shared" si="54"/>
        <v>107.9971185185185</v>
      </c>
      <c r="AB52" s="347">
        <v>0</v>
      </c>
      <c r="AC52" s="85">
        <f t="shared" si="55"/>
        <v>34.161111111111111</v>
      </c>
      <c r="AD52" s="83">
        <f t="shared" si="56"/>
        <v>25.057029629629632</v>
      </c>
      <c r="AE52" s="83">
        <f t="shared" si="57"/>
        <v>30.192901234567902</v>
      </c>
      <c r="AF52" s="454">
        <f t="shared" si="58"/>
        <v>0</v>
      </c>
      <c r="AG52" s="85">
        <f t="shared" si="59"/>
        <v>246.77999999999884</v>
      </c>
      <c r="AH52" s="10"/>
      <c r="AI52" s="10"/>
      <c r="AJ52" s="10"/>
    </row>
    <row r="53" spans="1:43" s="81" customFormat="1" ht="12.75" customHeight="1" x14ac:dyDescent="0.2">
      <c r="B53" s="335">
        <v>76300</v>
      </c>
      <c r="C53" s="336">
        <v>76736.5</v>
      </c>
      <c r="D53" s="337" t="s">
        <v>15</v>
      </c>
      <c r="E53" s="337" t="s">
        <v>102</v>
      </c>
      <c r="F53" s="337" t="s">
        <v>107</v>
      </c>
      <c r="G53" s="103" t="str">
        <f t="shared" si="46"/>
        <v>F/C - C/B</v>
      </c>
      <c r="H53" s="26">
        <f>IF(AND($E53=$AI$2,$F53=$AI$2),2*$AK$13,IF(OR(AND($E53=$AI$2, $F53=$AI$3),AND($E53=$AI$3,$F53=$AI$2)),$AK$13+$AK$14,IF(OR(AND($E53=$AI$2,$F53=$AI$5),AND($E53=$AI$5,$F53=$AI$2)),$AK$13,IF(OR(AND($E53=$AI$3,$F53=$AI$5),AND($E53=$AI$5,$F53=$AI$3)),$AK$14,IF(AND($E53=$AI$3,$F53=$AI$3),2*$AK$14,0)))))</f>
        <v>2</v>
      </c>
      <c r="I53" s="27">
        <f>IF(AND($E53=$AI$2,$F53=$AI$2),2*$AN$13*$M53/27,IF(OR(AND($E53=$AI$2,$F53=$AI$3),AND($E53=$AI$3,$F53=$AI$2)),$AN$13*$M53/27,IF(OR(AND($E53=$AI$2,$F53=$AI$5),AND($E53=$AI$5,$F53=$AI$2)),$AN$13*$M53/27,0)))</f>
        <v>0</v>
      </c>
      <c r="J53" s="27">
        <f>IF(AND($E53=$AI$2,$F53=$AI$2),2*$AQ$13*$M53/27,IF(OR(AND($E53=$AI$2,$F53=$AI$3),AND($E53=$AI$3,$F53=$AI$2)),($AQ$13+$AQ$14)*$M53/27,IF(OR(AND($E53=$AI$2,$F53=$AI$5),AND($E53=$AI$5,$F53=$AI$2)),$AQ$13*$M53/27,IF(OR(AND($E53=$AI$3,$F53=$AI$5),AND($E53=$AI$5,$F53=$AI$3)),$AQ$14*$M53/27,IF(AND($E53=$AI$3,$F53=$AI$3),2*$AQ$14*$M53/27,0)))))</f>
        <v>15.843333333333332</v>
      </c>
      <c r="K53" s="27">
        <f>IF(AND($E53=$AI$5,$F53=$AI$5),2*$AT$15*$M53/27,IF(OR($E53=$AI$5,$F53=$AI$5),$AT$15*$M53/27,0))</f>
        <v>-2.9099999999999997</v>
      </c>
      <c r="L53" s="338">
        <v>1</v>
      </c>
      <c r="M53" s="479">
        <f t="shared" ref="M53" si="74">C53-B53</f>
        <v>436.5</v>
      </c>
      <c r="N53" s="342">
        <v>49.3</v>
      </c>
      <c r="O53" s="124">
        <f t="shared" ref="O53" si="75">IF(N53="-",0,ROUNDUP($M53*N53,0))</f>
        <v>21520</v>
      </c>
      <c r="P53" s="344">
        <v>0</v>
      </c>
      <c r="Q53" s="123">
        <f t="shared" ref="Q53" si="76">SUM(O53:P53)</f>
        <v>21520</v>
      </c>
      <c r="R53" s="350">
        <v>0</v>
      </c>
      <c r="S53" s="349">
        <v>0</v>
      </c>
      <c r="T53" s="210">
        <f t="shared" ref="T53" si="77">IF(AND(S53=0,V53=0),0,IF(V53=0,S53/2000,V53/2000))</f>
        <v>1.2440555555555557</v>
      </c>
      <c r="U53" s="135">
        <f t="shared" ref="U53" si="78">IF(OR(A53="APP SLAB",S53&lt;&gt;0),0,V53)</f>
        <v>2488.1111111111113</v>
      </c>
      <c r="V53" s="135">
        <f t="shared" ref="V53" si="79">IF(OR(A53="APP SLAB",S53&lt;&gt;0),0,(Q53+H53*M53)/9)</f>
        <v>2488.1111111111113</v>
      </c>
      <c r="W53" s="135">
        <f t="shared" ref="W53" si="80">IF(OR(A53="APP SLAB",S53&lt;&gt;0),0,$V$1*V53*110*0.06*0.75/2000)</f>
        <v>73.896900000000002</v>
      </c>
      <c r="X53" s="348">
        <v>0</v>
      </c>
      <c r="Y53" s="342">
        <v>0</v>
      </c>
      <c r="Z53" s="34">
        <f t="shared" ref="Z53" si="81">IF(A53="APP SLAB",0,(Q53*$Z$1/12)/27+I53)</f>
        <v>763.82716049382714</v>
      </c>
      <c r="AA53" s="479">
        <f t="shared" ref="AA53" si="82">(Q53*$AA$1/12)/27+J53</f>
        <v>414.36185185185184</v>
      </c>
      <c r="AB53" s="347">
        <v>0</v>
      </c>
      <c r="AC53" s="480">
        <f t="shared" ref="AC53" si="83">IF(A53="APP SLAB",0,(Q53/9)*$AC$1)</f>
        <v>131.51111111111112</v>
      </c>
      <c r="AD53" s="479">
        <f t="shared" ref="AD53" si="84">IF(A53="APP SLAB",0,(Q53*($AD$1/12))/27+K53)</f>
        <v>96.719629629629637</v>
      </c>
      <c r="AE53" s="479">
        <f t="shared" ref="AE53" si="85">IF(A53="APP SLAB",0,(Q53*$AE$1/12)/27+L53)</f>
        <v>117.23456790123457</v>
      </c>
      <c r="AF53" s="498">
        <f t="shared" si="58"/>
        <v>0</v>
      </c>
      <c r="AG53" s="480">
        <f t="shared" ref="AG53" si="86">IF(A53="APP SLAB",0,(M53*2))</f>
        <v>873</v>
      </c>
      <c r="AH53" s="10"/>
      <c r="AI53" s="10"/>
      <c r="AJ53" s="10"/>
    </row>
    <row r="54" spans="1:43" ht="12.75" customHeight="1" x14ac:dyDescent="0.2">
      <c r="B54" s="335">
        <v>76736.5</v>
      </c>
      <c r="C54" s="336">
        <v>77000</v>
      </c>
      <c r="D54" s="337" t="s">
        <v>15</v>
      </c>
      <c r="E54" s="337" t="s">
        <v>102</v>
      </c>
      <c r="F54" s="337" t="s">
        <v>107</v>
      </c>
      <c r="G54" s="47" t="str">
        <f t="shared" si="46"/>
        <v>F/C - C/B</v>
      </c>
      <c r="H54" s="26">
        <f>IF(AND($E54=$AI$2,$F54=$AI$2),2*$AK$13,IF(OR(AND($E54=$AI$2, $F54=$AI$3),AND($E54=$AI$3,$F54=$AI$2)),$AK$13+$AK$14,IF(OR(AND($E54=$AI$2,$F54=$AI$5),AND($E54=$AI$5,$F54=$AI$2)),$AK$13,IF(OR(AND($E54=$AI$3,$F54=$AI$5),AND($E54=$AI$5,$F54=$AI$3)),$AK$14,IF(AND($E54=$AI$3,$F54=$AI$3),2*$AK$14,0)))))</f>
        <v>2</v>
      </c>
      <c r="I54" s="27">
        <f>IF(AND($E54=$AI$2,$F54=$AI$2),2*$AN$13*$M54/27,IF(OR(AND($E54=$AI$2,$F54=$AI$3),AND($E54=$AI$3,$F54=$AI$2)),$AN$13*$M54/27,IF(OR(AND($E54=$AI$2,$F54=$AI$5),AND($E54=$AI$5,$F54=$AI$2)),$AN$13*$M54/27,0)))</f>
        <v>0</v>
      </c>
      <c r="J54" s="27">
        <f>IF(AND($E54=$AI$2,$F54=$AI$2),2*$AQ$13*$M54/27,IF(OR(AND($E54=$AI$2,$F54=$AI$3),AND($E54=$AI$3,$F54=$AI$2)),($AQ$13+$AQ$14)*$M54/27,IF(OR(AND($E54=$AI$2,$F54=$AI$5),AND($E54=$AI$5,$F54=$AI$2)),$AQ$13*$M54/27,IF(OR(AND($E54=$AI$3,$F54=$AI$5),AND($E54=$AI$5,$F54=$AI$3)),$AQ$14*$M54/27,IF(AND($E54=$AI$3,$F54=$AI$3),2*$AQ$14*$M54/27,0)))))</f>
        <v>9.5640740740740746</v>
      </c>
      <c r="K54" s="27">
        <f>IF(AND($E54=$AI$5,$F54=$AI$5),2*$AT$15*$M54/27,IF(OR($E54=$AI$5,$F54=$AI$5),$AT$15*$M54/27,0))</f>
        <v>-1.7566666666666666</v>
      </c>
      <c r="L54" s="338">
        <v>0</v>
      </c>
      <c r="M54" s="83">
        <f t="shared" si="47"/>
        <v>263.5</v>
      </c>
      <c r="N54" s="342" t="s">
        <v>97</v>
      </c>
      <c r="O54" s="76">
        <f t="shared" si="6"/>
        <v>0</v>
      </c>
      <c r="P54" s="344">
        <v>15141</v>
      </c>
      <c r="Q54" s="75">
        <f t="shared" si="48"/>
        <v>15141</v>
      </c>
      <c r="R54" s="350">
        <v>0</v>
      </c>
      <c r="S54" s="349">
        <v>0</v>
      </c>
      <c r="T54" s="210">
        <f t="shared" si="49"/>
        <v>0.87044444444444447</v>
      </c>
      <c r="U54" s="135">
        <f t="shared" si="50"/>
        <v>1740.8888888888889</v>
      </c>
      <c r="V54" s="135">
        <f t="shared" si="51"/>
        <v>1740.8888888888889</v>
      </c>
      <c r="W54" s="135">
        <f t="shared" si="52"/>
        <v>51.704399999999993</v>
      </c>
      <c r="X54" s="348">
        <v>0</v>
      </c>
      <c r="Y54" s="342">
        <v>0</v>
      </c>
      <c r="Z54" s="34">
        <f t="shared" si="53"/>
        <v>537.41203703703707</v>
      </c>
      <c r="AA54" s="83">
        <f t="shared" si="54"/>
        <v>289.952962962963</v>
      </c>
      <c r="AB54" s="347">
        <v>0</v>
      </c>
      <c r="AC54" s="85">
        <f t="shared" si="55"/>
        <v>92.528333333333336</v>
      </c>
      <c r="AD54" s="83">
        <f t="shared" si="56"/>
        <v>68.340555555555568</v>
      </c>
      <c r="AE54" s="83">
        <f t="shared" si="57"/>
        <v>81.780092592592595</v>
      </c>
      <c r="AF54" s="454">
        <f t="shared" si="58"/>
        <v>0</v>
      </c>
      <c r="AG54" s="85">
        <f t="shared" si="59"/>
        <v>527</v>
      </c>
      <c r="AH54" s="10"/>
      <c r="AI54" s="10"/>
      <c r="AJ54" s="10"/>
    </row>
    <row r="55" spans="1:43" ht="12.75" customHeight="1" x14ac:dyDescent="0.2">
      <c r="B55" s="335">
        <v>77000</v>
      </c>
      <c r="C55" s="336">
        <v>77021.960000000006</v>
      </c>
      <c r="D55" s="337" t="s">
        <v>15</v>
      </c>
      <c r="E55" s="337" t="s">
        <v>102</v>
      </c>
      <c r="F55" s="337" t="s">
        <v>101</v>
      </c>
      <c r="G55" s="47" t="str">
        <f t="shared" si="46"/>
        <v>E/S - F/C</v>
      </c>
      <c r="H55" s="26">
        <f>IF(AND($E55=$AI$2,$F55=$AI$2),2*$AK$13,IF(OR(AND($E55=$AI$2, $F55=$AI$3),AND($E55=$AI$3,$F55=$AI$2)),$AK$13+$AK$14,IF(OR(AND($E55=$AI$2,$F55=$AI$5),AND($E55=$AI$5,$F55=$AI$2)),$AK$13,IF(OR(AND($E55=$AI$3,$F55=$AI$5),AND($E55=$AI$5,$F55=$AI$3)),$AK$14,IF(AND($E55=$AI$3,$F55=$AI$3),2*$AK$14,0)))))</f>
        <v>3.5</v>
      </c>
      <c r="I55" s="27">
        <f>IF(AND($E55=$AI$2,$F55=$AI$2),2*$AN$13*$M55/27,IF(OR(AND($E55=$AI$2,$F55=$AI$3),AND($E55=$AI$3,$F55=$AI$2)),$AN$13*$M55/27,IF(OR(AND($E55=$AI$2,$F55=$AI$5),AND($E55=$AI$5,$F55=$AI$2)),$AN$13*$M55/27,0)))</f>
        <v>0.46360000000013518</v>
      </c>
      <c r="J55" s="27">
        <f>IF(AND($E55=$AI$2,$F55=$AI$2),2*$AQ$13*$M55/27,IF(OR(AND($E55=$AI$2,$F55=$AI$3),AND($E55=$AI$3,$F55=$AI$2)),($AQ$13+$AQ$14)*$M55/27,IF(OR(AND($E55=$AI$2,$F55=$AI$5),AND($E55=$AI$5,$F55=$AI$2)),$AQ$13*$M55/27,IF(OR(AND($E55=$AI$3,$F55=$AI$5),AND($E55=$AI$5,$F55=$AI$3)),$AQ$14*$M55/27,IF(AND($E55=$AI$3,$F55=$AI$3),2*$AQ$14*$M55/27,0)))))</f>
        <v>1.3420000000003911</v>
      </c>
      <c r="K55" s="27">
        <f>IF(AND($E55=$AI$5,$F55=$AI$5),2*$AT$15*$M55/27,IF(OR($E55=$AI$5,$F55=$AI$5),$AT$15*$M55/27,0))</f>
        <v>0</v>
      </c>
      <c r="L55" s="338">
        <v>0</v>
      </c>
      <c r="M55" s="83">
        <f t="shared" si="47"/>
        <v>21.960000000006403</v>
      </c>
      <c r="N55" s="342" t="s">
        <v>97</v>
      </c>
      <c r="O55" s="76">
        <f t="shared" si="6"/>
        <v>0</v>
      </c>
      <c r="P55" s="344">
        <v>1342</v>
      </c>
      <c r="Q55" s="75">
        <f t="shared" si="48"/>
        <v>1342</v>
      </c>
      <c r="R55" s="350">
        <v>0</v>
      </c>
      <c r="S55" s="349">
        <v>0</v>
      </c>
      <c r="T55" s="210">
        <f t="shared" si="49"/>
        <v>7.88255555555568E-2</v>
      </c>
      <c r="U55" s="135">
        <f t="shared" si="50"/>
        <v>157.65111111111361</v>
      </c>
      <c r="V55" s="135">
        <f t="shared" si="51"/>
        <v>157.65111111111361</v>
      </c>
      <c r="W55" s="135">
        <f t="shared" si="52"/>
        <v>4.6822380000000736</v>
      </c>
      <c r="X55" s="348">
        <v>0</v>
      </c>
      <c r="Y55" s="342">
        <v>0</v>
      </c>
      <c r="Z55" s="34">
        <f t="shared" si="53"/>
        <v>48.09631604938285</v>
      </c>
      <c r="AA55" s="83">
        <f t="shared" si="54"/>
        <v>26.193851851852241</v>
      </c>
      <c r="AB55" s="347">
        <v>0</v>
      </c>
      <c r="AC55" s="85">
        <f t="shared" si="55"/>
        <v>8.2011111111111106</v>
      </c>
      <c r="AD55" s="83">
        <f t="shared" si="56"/>
        <v>6.2129629629629628</v>
      </c>
      <c r="AE55" s="83">
        <f t="shared" si="57"/>
        <v>7.2484567901234573</v>
      </c>
      <c r="AF55" s="454">
        <f t="shared" si="58"/>
        <v>0.8133333333335705</v>
      </c>
      <c r="AG55" s="85">
        <f t="shared" si="59"/>
        <v>43.920000000012806</v>
      </c>
      <c r="AH55" s="10"/>
      <c r="AI55" s="10"/>
      <c r="AJ55" s="10"/>
    </row>
    <row r="56" spans="1:43" s="81" customFormat="1" ht="12.75" customHeight="1" thickBot="1" x14ac:dyDescent="0.25">
      <c r="B56" s="355"/>
      <c r="C56" s="356"/>
      <c r="D56" s="357"/>
      <c r="E56" s="357"/>
      <c r="F56" s="357"/>
      <c r="G56" s="196"/>
      <c r="H56" s="461"/>
      <c r="I56" s="258"/>
      <c r="J56" s="258"/>
      <c r="K56" s="258"/>
      <c r="L56" s="360"/>
      <c r="M56" s="458"/>
      <c r="N56" s="361"/>
      <c r="O56" s="165"/>
      <c r="P56" s="362"/>
      <c r="Q56" s="136"/>
      <c r="R56" s="462"/>
      <c r="S56" s="463"/>
      <c r="T56" s="464"/>
      <c r="U56" s="465"/>
      <c r="V56" s="465"/>
      <c r="W56" s="465"/>
      <c r="X56" s="466"/>
      <c r="Y56" s="361"/>
      <c r="Z56" s="467"/>
      <c r="AA56" s="458"/>
      <c r="AB56" s="468"/>
      <c r="AC56" s="469"/>
      <c r="AD56" s="458"/>
      <c r="AE56" s="458"/>
      <c r="AF56" s="458"/>
      <c r="AG56" s="469"/>
      <c r="AH56" s="10"/>
      <c r="AI56" s="10"/>
      <c r="AJ56" s="10"/>
    </row>
    <row r="57" spans="1:43" s="81" customFormat="1" ht="12.75" customHeight="1" x14ac:dyDescent="0.2">
      <c r="B57" s="602" t="s">
        <v>181</v>
      </c>
      <c r="C57" s="603"/>
      <c r="D57" s="603"/>
      <c r="E57" s="603"/>
      <c r="F57" s="603"/>
      <c r="G57" s="603"/>
      <c r="H57" s="603"/>
      <c r="I57" s="603"/>
      <c r="J57" s="603"/>
      <c r="K57" s="603"/>
      <c r="L57" s="603"/>
      <c r="M57" s="603"/>
      <c r="N57" s="603"/>
      <c r="O57" s="603"/>
      <c r="P57" s="603"/>
      <c r="Q57" s="604"/>
      <c r="R57" s="610">
        <f t="shared" ref="R57:AG57" si="87">ROUNDUP(SUM(R19:R55),0)</f>
        <v>0</v>
      </c>
      <c r="S57" s="610">
        <f t="shared" si="87"/>
        <v>24349</v>
      </c>
      <c r="T57" s="610">
        <f t="shared" si="87"/>
        <v>20</v>
      </c>
      <c r="U57" s="610">
        <f t="shared" si="87"/>
        <v>15301</v>
      </c>
      <c r="V57" s="610">
        <f t="shared" si="87"/>
        <v>15301</v>
      </c>
      <c r="W57" s="610">
        <f t="shared" si="87"/>
        <v>455</v>
      </c>
      <c r="X57" s="610">
        <f t="shared" si="87"/>
        <v>0</v>
      </c>
      <c r="Y57" s="610">
        <f t="shared" si="87"/>
        <v>0</v>
      </c>
      <c r="Z57" s="610">
        <f t="shared" si="87"/>
        <v>12148</v>
      </c>
      <c r="AA57" s="610">
        <f t="shared" si="87"/>
        <v>6586</v>
      </c>
      <c r="AB57" s="610">
        <f t="shared" si="87"/>
        <v>0</v>
      </c>
      <c r="AC57" s="610">
        <f t="shared" si="87"/>
        <v>2074</v>
      </c>
      <c r="AD57" s="610">
        <f t="shared" si="87"/>
        <v>1525</v>
      </c>
      <c r="AE57" s="610">
        <f t="shared" si="87"/>
        <v>1840</v>
      </c>
      <c r="AF57" s="610">
        <f t="shared" si="87"/>
        <v>135</v>
      </c>
      <c r="AG57" s="610">
        <f t="shared" si="87"/>
        <v>13677</v>
      </c>
      <c r="AH57" s="10"/>
      <c r="AI57" s="10"/>
      <c r="AJ57" s="10"/>
    </row>
    <row r="58" spans="1:43" s="81" customFormat="1" ht="12.75" customHeight="1" thickBot="1" x14ac:dyDescent="0.25">
      <c r="B58" s="605"/>
      <c r="C58" s="606"/>
      <c r="D58" s="606"/>
      <c r="E58" s="606"/>
      <c r="F58" s="606"/>
      <c r="G58" s="606"/>
      <c r="H58" s="606"/>
      <c r="I58" s="606"/>
      <c r="J58" s="606"/>
      <c r="K58" s="606"/>
      <c r="L58" s="606"/>
      <c r="M58" s="606"/>
      <c r="N58" s="606"/>
      <c r="O58" s="606"/>
      <c r="P58" s="606"/>
      <c r="Q58" s="607"/>
      <c r="R58" s="708"/>
      <c r="S58" s="708"/>
      <c r="T58" s="708"/>
      <c r="U58" s="708"/>
      <c r="V58" s="708"/>
      <c r="W58" s="708"/>
      <c r="X58" s="708"/>
      <c r="Y58" s="708"/>
      <c r="Z58" s="708"/>
      <c r="AA58" s="708"/>
      <c r="AB58" s="708"/>
      <c r="AC58" s="708"/>
      <c r="AD58" s="708"/>
      <c r="AE58" s="708"/>
      <c r="AF58" s="708"/>
      <c r="AG58" s="708"/>
      <c r="AH58" s="10"/>
      <c r="AI58" s="10"/>
      <c r="AJ58" s="10"/>
    </row>
    <row r="59" spans="1:43" s="81" customFormat="1" ht="12.75" customHeight="1" x14ac:dyDescent="0.2">
      <c r="B59" s="661" t="s">
        <v>158</v>
      </c>
      <c r="C59" s="716"/>
      <c r="D59" s="151"/>
      <c r="E59" s="152"/>
      <c r="F59" s="121"/>
      <c r="G59" s="121"/>
      <c r="H59" s="153"/>
      <c r="I59" s="153"/>
      <c r="J59" s="153"/>
      <c r="K59" s="154"/>
      <c r="L59" s="154"/>
      <c r="M59" s="155"/>
      <c r="N59" s="155"/>
      <c r="O59" s="147"/>
      <c r="P59" s="147"/>
      <c r="Q59" s="147"/>
      <c r="R59" s="205"/>
      <c r="S59" s="156"/>
      <c r="T59" s="155"/>
      <c r="U59" s="155"/>
      <c r="V59" s="155"/>
      <c r="W59" s="155"/>
      <c r="X59" s="250"/>
      <c r="Y59" s="156"/>
      <c r="Z59" s="155"/>
      <c r="AA59" s="155"/>
      <c r="AB59" s="155"/>
      <c r="AC59" s="155"/>
      <c r="AD59" s="155"/>
      <c r="AE59" s="155"/>
      <c r="AF59" s="456"/>
      <c r="AG59" s="55"/>
      <c r="AH59" s="143"/>
    </row>
    <row r="60" spans="1:43" s="81" customFormat="1" ht="12.75" customHeight="1" x14ac:dyDescent="0.2">
      <c r="B60" s="335">
        <v>72100</v>
      </c>
      <c r="C60" s="336">
        <v>72500</v>
      </c>
      <c r="D60" s="341" t="s">
        <v>16</v>
      </c>
      <c r="E60" s="341" t="s">
        <v>97</v>
      </c>
      <c r="F60" s="341" t="s">
        <v>97</v>
      </c>
      <c r="G60" s="103" t="str">
        <f>IF(AND($E60=$AI$2,$F60=$AI$2),$AK$2,IF(OR(AND($E60=$AI$2,$F60=$AI$3),AND($E60=$AI$3,$F60=$AI$2)),$AK$3,IF(OR(AND($E60=$AI$2,$F60=$AI$5),AND($E60=$AI$5,$F60=$AI$2)),$AK$5,IF(OR(AND($E60=$AI$3,$F60=$AI$5),AND($E60=$AI$5,$F60=$AI$3)),$AK$6,IF(AND($E60=$AI$3,$F60=$AI$3),$AK$7,IF(AND($E60=$AI$5,$F60=$AI$5),$AK$8,"-"))))))</f>
        <v>-</v>
      </c>
      <c r="H60" s="26">
        <f>IF(AND($E60=$AI$2,$F60=$AI$2),2*$AK$13,IF(OR(AND($E60=$AI$2, $F60=$AI$3),AND($E60=$AI$3,$F60=$AI$2)),$AK$13+$AK$14,IF(OR(AND($E60=$AI$2,$F60=$AI$5),AND($E60=$AI$5,$F60=$AI$2)),$AK$13,IF(OR(AND($E60=$AI$3,$F60=$AI$5),AND($E60=$AI$5,$F60=$AI$3)),$AK$14,IF(AND($E60=$AI$3,$F60=$AI$3),2*$AK$14,0)))))</f>
        <v>0</v>
      </c>
      <c r="I60" s="27">
        <f>IF(AND($E60=$AI$2,$F60=$AI$2),2*$AN$13*$M60/27,IF(OR(AND($E60=$AI$2,$F60=$AI$3),AND($E60=$AI$3,$F60=$AI$2)),$AN$13*$M60/27,IF(OR(AND($E60=$AI$2,$F60=$AI$5),AND($E60=$AI$5,$F60=$AI$2)),$AN$13*$M60/27,0)))</f>
        <v>0</v>
      </c>
      <c r="J60" s="27">
        <f>IF(AND($E60=$AI$2,$F60=$AI$2),2*$AQ$13*$M60/27,IF(OR(AND($E60=$AI$2,$F60=$AI$3),AND($E60=$AI$3,$F60=$AI$2)),($AQ$13+$AQ$14)*$M60/27,IF(OR(AND($E60=$AI$2,$F60=$AI$5),AND($E60=$AI$5,$F60=$AI$2)),$AQ$13*$M60/27,IF(OR(AND($E60=$AI$3,$F60=$AI$5),AND($E60=$AI$5,$F60=$AI$3)),$AQ$14*$M60/27,IF(AND($E60=$AI$3,$F60=$AI$3),2*$AQ$14*$M60/27,0)))))</f>
        <v>0</v>
      </c>
      <c r="K60" s="27">
        <f>IF(AND($E60=$AI$5,$F60=$AI$5),2*$AT$15*$M60/27,IF(OR($E60=$AI$5,$F60=$AI$5),$AT$15*$M60/27,0))</f>
        <v>0</v>
      </c>
      <c r="L60" s="338">
        <v>0</v>
      </c>
      <c r="M60" s="83">
        <f>C60-B60</f>
        <v>400</v>
      </c>
      <c r="N60" s="343" t="s">
        <v>97</v>
      </c>
      <c r="O60" s="123">
        <f>IF(N60="-",0,ROUNDUP($M60*N60,0))</f>
        <v>0</v>
      </c>
      <c r="P60" s="345">
        <v>14229</v>
      </c>
      <c r="Q60" s="123">
        <f>SUM(O60:P60)</f>
        <v>14229</v>
      </c>
      <c r="R60" s="350">
        <v>0</v>
      </c>
      <c r="S60" s="349">
        <v>0</v>
      </c>
      <c r="T60" s="210">
        <f>IF(AND(S60=0,V60=0),0,IF(V60=0,S60/2000,V60/2000))</f>
        <v>0</v>
      </c>
      <c r="U60" s="347">
        <v>0</v>
      </c>
      <c r="V60" s="347">
        <v>0</v>
      </c>
      <c r="W60" s="347">
        <v>0</v>
      </c>
      <c r="X60" s="350">
        <v>0</v>
      </c>
      <c r="Y60" s="343">
        <v>0</v>
      </c>
      <c r="Z60" s="351">
        <v>0</v>
      </c>
      <c r="AA60" s="343">
        <v>0</v>
      </c>
      <c r="AB60" s="347">
        <v>0</v>
      </c>
      <c r="AC60" s="85">
        <f>IF(A60="APP SLAB",0,(Q60/9)*$AC$1)</f>
        <v>86.954999999999998</v>
      </c>
      <c r="AD60" s="83">
        <f>IF(A60="APP SLAB",0,(Q60*($AD$1/12))/27+K60)</f>
        <v>65.875</v>
      </c>
      <c r="AE60" s="343">
        <v>0</v>
      </c>
      <c r="AF60" s="454">
        <f t="shared" ref="AF60:AF61" si="88">IF(AND($E60=$F60="Uncurbed"),(2*$M60*2*$AF$1/12)/27,IF(OR($E60="Uncurbed",$F60="Uncurbed"),($M60*2*$AF$1/12)/27,IF(OR(AND($E60="Med. Barr.",$F60="Curbed"),AND($E60="Curbed",$F60="Med. Barr."),$E60=$F60,$E60="Unique",$F60="Unique",$E60="-",$F60="-"),0,"?")))</f>
        <v>0</v>
      </c>
      <c r="AG60" s="347">
        <v>0</v>
      </c>
      <c r="AH60" s="143"/>
    </row>
    <row r="61" spans="1:43" s="81" customFormat="1" ht="12.75" customHeight="1" x14ac:dyDescent="0.2">
      <c r="B61" s="335">
        <v>72100</v>
      </c>
      <c r="C61" s="336">
        <v>72500</v>
      </c>
      <c r="D61" s="337" t="s">
        <v>15</v>
      </c>
      <c r="E61" s="337" t="s">
        <v>97</v>
      </c>
      <c r="F61" s="337" t="s">
        <v>97</v>
      </c>
      <c r="G61" s="103" t="str">
        <f>IF(AND($E61=$AI$2,$F61=$AI$2),$AK$2,IF(OR(AND($E61=$AI$2,$F61=$AI$3),AND($E61=$AI$3,$F61=$AI$2)),$AK$3,IF(OR(AND($E61=$AI$2,$F61=$AI$5),AND($E61=$AI$5,$F61=$AI$2)),$AK$5,IF(OR(AND($E61=$AI$3,$F61=$AI$5),AND($E61=$AI$5,$F61=$AI$3)),$AK$6,IF(AND($E61=$AI$3,$F61=$AI$3),$AK$7,IF(AND($E61=$AI$5,$F61=$AI$5),$AK$8,"-"))))))</f>
        <v>-</v>
      </c>
      <c r="H61" s="26">
        <f>IF(AND($E61=$AI$2,$F61=$AI$2),2*$AK$13,IF(OR(AND($E61=$AI$2, $F61=$AI$3),AND($E61=$AI$3,$F61=$AI$2)),$AK$13+$AK$14,IF(OR(AND($E61=$AI$2,$F61=$AI$5),AND($E61=$AI$5,$F61=$AI$2)),$AK$13,IF(OR(AND($E61=$AI$3,$F61=$AI$5),AND($E61=$AI$5,$F61=$AI$3)),$AK$14,IF(AND($E61=$AI$3,$F61=$AI$3),2*$AK$14,0)))))</f>
        <v>0</v>
      </c>
      <c r="I61" s="27">
        <f>IF(AND($E61=$AI$2,$F61=$AI$2),2*$AN$13*$M61/27,IF(OR(AND($E61=$AI$2,$F61=$AI$3),AND($E61=$AI$3,$F61=$AI$2)),$AN$13*$M61/27,IF(OR(AND($E61=$AI$2,$F61=$AI$5),AND($E61=$AI$5,$F61=$AI$2)),$AN$13*$M61/27,0)))</f>
        <v>0</v>
      </c>
      <c r="J61" s="27">
        <f>IF(AND($E61=$AI$2,$F61=$AI$2),2*$AQ$13*$M61/27,IF(OR(AND($E61=$AI$2,$F61=$AI$3),AND($E61=$AI$3,$F61=$AI$2)),($AQ$13+$AQ$14)*$M61/27,IF(OR(AND($E61=$AI$2,$F61=$AI$5),AND($E61=$AI$5,$F61=$AI$2)),$AQ$13*$M61/27,IF(OR(AND($E61=$AI$3,$F61=$AI$5),AND($E61=$AI$5,$F61=$AI$3)),$AQ$14*$M61/27,IF(AND($E61=$AI$3,$F61=$AI$3),2*$AQ$14*$M61/27,0)))))</f>
        <v>0</v>
      </c>
      <c r="K61" s="27">
        <f>IF(AND($E61=$AI$5,$F61=$AI$5),2*$AT$15*$M61/27,IF(OR($E61=$AI$5,$F61=$AI$5),$AT$15*$M61/27,0))</f>
        <v>0</v>
      </c>
      <c r="L61" s="338">
        <v>0</v>
      </c>
      <c r="M61" s="83">
        <f>C61-B61</f>
        <v>400</v>
      </c>
      <c r="N61" s="342" t="s">
        <v>97</v>
      </c>
      <c r="O61" s="124">
        <f>IF(N61="-",0,ROUNDUP($M61*N61,0))</f>
        <v>0</v>
      </c>
      <c r="P61" s="344">
        <v>14423</v>
      </c>
      <c r="Q61" s="123">
        <f>SUM(O61:P61)</f>
        <v>14423</v>
      </c>
      <c r="R61" s="350">
        <v>0</v>
      </c>
      <c r="S61" s="349">
        <v>0</v>
      </c>
      <c r="T61" s="210">
        <f>IF(AND(S61=0,V61=0),0,IF(V61=0,S61/2000,V61/2000))</f>
        <v>0</v>
      </c>
      <c r="U61" s="347">
        <v>0</v>
      </c>
      <c r="V61" s="347">
        <v>0</v>
      </c>
      <c r="W61" s="347">
        <v>0</v>
      </c>
      <c r="X61" s="348">
        <v>0</v>
      </c>
      <c r="Y61" s="342">
        <v>0</v>
      </c>
      <c r="Z61" s="351">
        <v>0</v>
      </c>
      <c r="AA61" s="343">
        <v>0</v>
      </c>
      <c r="AB61" s="347">
        <v>0</v>
      </c>
      <c r="AC61" s="85">
        <f>IF(A61="APP SLAB",0,(Q61/9)*$AC$1)</f>
        <v>88.140555555555565</v>
      </c>
      <c r="AD61" s="83">
        <f>IF(A61="APP SLAB",0,(Q61*($AD$1/12))/27+K61)</f>
        <v>66.773148148148152</v>
      </c>
      <c r="AE61" s="343">
        <v>0</v>
      </c>
      <c r="AF61" s="454">
        <f t="shared" si="88"/>
        <v>0</v>
      </c>
      <c r="AG61" s="347">
        <v>0</v>
      </c>
      <c r="AH61" s="143"/>
    </row>
    <row r="62" spans="1:43" s="81" customFormat="1" ht="12.75" customHeight="1" thickBot="1" x14ac:dyDescent="0.25">
      <c r="B62" s="149"/>
      <c r="C62" s="150"/>
      <c r="D62" s="151"/>
      <c r="E62" s="152"/>
      <c r="F62" s="121"/>
      <c r="G62" s="121"/>
      <c r="H62" s="153"/>
      <c r="I62" s="153"/>
      <c r="J62" s="153"/>
      <c r="K62" s="154"/>
      <c r="L62" s="154"/>
      <c r="M62" s="155"/>
      <c r="N62" s="155"/>
      <c r="O62" s="147"/>
      <c r="P62" s="147"/>
      <c r="Q62" s="147"/>
      <c r="R62" s="205"/>
      <c r="S62" s="156"/>
      <c r="T62" s="155"/>
      <c r="U62" s="155"/>
      <c r="V62" s="155"/>
      <c r="W62" s="155"/>
      <c r="X62" s="250"/>
      <c r="Y62" s="156"/>
      <c r="Z62" s="155"/>
      <c r="AA62" s="155"/>
      <c r="AB62" s="155"/>
      <c r="AC62" s="155"/>
      <c r="AD62" s="155"/>
      <c r="AE62" s="155"/>
      <c r="AF62" s="456"/>
      <c r="AG62" s="5"/>
      <c r="AH62" s="143"/>
    </row>
    <row r="63" spans="1:43" ht="12.75" customHeight="1" x14ac:dyDescent="0.2">
      <c r="B63" s="661" t="s">
        <v>182</v>
      </c>
      <c r="C63" s="662"/>
      <c r="D63" s="28"/>
      <c r="E63" s="28"/>
      <c r="F63" s="28"/>
      <c r="G63" s="28"/>
      <c r="H63" s="28"/>
      <c r="I63" s="28"/>
      <c r="J63" s="28"/>
      <c r="K63" s="28"/>
      <c r="L63" s="28"/>
      <c r="M63" s="29"/>
      <c r="N63" s="29"/>
      <c r="O63" s="74"/>
      <c r="P63" s="74"/>
      <c r="Q63" s="74"/>
      <c r="R63" s="118"/>
      <c r="S63" s="118"/>
      <c r="T63" s="29"/>
      <c r="U63" s="29"/>
      <c r="V63" s="29"/>
      <c r="W63" s="30"/>
      <c r="X63" s="49"/>
      <c r="Y63" s="30"/>
      <c r="Z63" s="29"/>
      <c r="AA63" s="29"/>
      <c r="AB63" s="29"/>
      <c r="AC63" s="29"/>
      <c r="AD63" s="29"/>
      <c r="AE63" s="29"/>
      <c r="AF63" s="101"/>
      <c r="AG63" s="148"/>
      <c r="AH63" s="120"/>
      <c r="AI63" s="81"/>
      <c r="AJ63" s="81"/>
      <c r="AK63" s="81"/>
      <c r="AL63" s="81"/>
      <c r="AM63" s="81"/>
      <c r="AN63" s="81"/>
      <c r="AO63" s="81"/>
      <c r="AP63" s="81"/>
      <c r="AQ63" s="81"/>
    </row>
    <row r="64" spans="1:43" ht="12.75" customHeight="1" x14ac:dyDescent="0.2">
      <c r="B64" s="335">
        <v>72500</v>
      </c>
      <c r="C64" s="336">
        <v>73445</v>
      </c>
      <c r="D64" s="337" t="s">
        <v>16</v>
      </c>
      <c r="E64" s="337" t="s">
        <v>97</v>
      </c>
      <c r="F64" s="337" t="s">
        <v>97</v>
      </c>
      <c r="G64" s="47" t="str">
        <f>IF(AND($E64=$AI$2,$F64=$AI$2),$AK$2,IF(OR(AND($E64=$AI$2,$F64=$AI$3),AND($E64=$AI$3,$F64=$AI$2)),$AK$3,IF(OR(AND($E64=$AI$2,$F64=$AI$5),AND($E64=$AI$5,$F64=$AI$2)),$AK$5,IF(OR(AND($E64=$AI$3,$F64=$AI$5),AND($E64=$AI$5,$F64=$AI$3)),$AK$6,IF(AND($E64=$AI$3,$F64=$AI$3),$AK$7,IF(AND($E64=$AI$5,$F64=$AI$5),$AK$8,"-"))))))</f>
        <v>-</v>
      </c>
      <c r="H64" s="26">
        <f>IF(AND($E64=$AI$2,$F64=$AI$2),2*$AK$13,IF(OR(AND($E64=$AI$2, $F64=$AI$3),AND($E64=$AI$3,$F64=$AI$2)),$AK$13+$AK$14,IF(OR(AND($E64=$AI$2,$F64=$AI$5),AND($E64=$AI$5,$F64=$AI$2)),$AK$13,IF(OR(AND($E64=$AI$3,$F64=$AI$5),AND($E64=$AI$5,$F64=$AI$3)),$AK$14,IF(AND($E64=$AI$3,$F64=$AI$3),2*$AK$14,0)))))</f>
        <v>0</v>
      </c>
      <c r="I64" s="27">
        <f>IF(AND($E64=$AI$2,$F64=$AI$2),2*$AN$13*$M64/27,IF(OR(AND($E64=$AI$2,$F64=$AI$3),AND($E64=$AI$3,$F64=$AI$2)),$AN$13*$M64/27,IF(OR(AND($E64=$AI$2,$F64=$AI$5),AND($E64=$AI$5,$F64=$AI$2)),$AN$13*$M64/27,0)))</f>
        <v>0</v>
      </c>
      <c r="J64" s="27">
        <f>IF(AND($E64=$AI$2,$F64=$AI$2),2*$AQ$13*$M64/27,IF(OR(AND($E64=$AI$2,$F64=$AI$3),AND($E64=$AI$3,$F64=$AI$2)),($AQ$13+$AQ$14)*$M64/27,IF(OR(AND($E64=$AI$2,$F64=$AI$5),AND($E64=$AI$5,$F64=$AI$2)),$AQ$13*$M64/27,IF(OR(AND($E64=$AI$3,$F64=$AI$5),AND($E64=$AI$5,$F64=$AI$3)),$AQ$14*$M64/27,IF(AND($E64=$AI$3,$F64=$AI$3),2*$AQ$14*$M64/27,0)))))</f>
        <v>0</v>
      </c>
      <c r="K64" s="27">
        <f>IF(AND($E64=$AI$5,$F64=$AI$5),2*$AT$15*$M64/27,IF(OR($E64=$AI$5,$F64=$AI$5),$AT$15*$M64/27,0))</f>
        <v>0</v>
      </c>
      <c r="L64" s="338">
        <v>0</v>
      </c>
      <c r="M64" s="4">
        <f>C64-B64</f>
        <v>945</v>
      </c>
      <c r="N64" s="342" t="s">
        <v>97</v>
      </c>
      <c r="O64" s="76">
        <f>IF(N64="-",0,ROUNDUP($M64*N64,0))</f>
        <v>0</v>
      </c>
      <c r="P64" s="344">
        <v>33680</v>
      </c>
      <c r="Q64" s="75">
        <f>SUM(O64:P64)</f>
        <v>33680</v>
      </c>
      <c r="R64" s="350">
        <v>0</v>
      </c>
      <c r="S64" s="349">
        <v>0</v>
      </c>
      <c r="T64" s="210">
        <f>IF(AND(S64=0,V64=0),0,IF(V64=0,S64/2000,V64/2000))</f>
        <v>0</v>
      </c>
      <c r="U64" s="347">
        <v>0</v>
      </c>
      <c r="V64" s="347">
        <v>0</v>
      </c>
      <c r="W64" s="347">
        <v>0</v>
      </c>
      <c r="X64" s="348">
        <v>46</v>
      </c>
      <c r="Y64" s="12">
        <f>Q64/9</f>
        <v>3742.2222222222222</v>
      </c>
      <c r="Z64" s="351">
        <v>0</v>
      </c>
      <c r="AA64" s="343">
        <v>0</v>
      </c>
      <c r="AB64" s="6">
        <f>(Q64/9)*$AB$1</f>
        <v>205.82222222222222</v>
      </c>
      <c r="AC64" s="6">
        <f>IF(A64="APP SLAB",0,(Q64/9)*$AC$1)</f>
        <v>205.82222222222222</v>
      </c>
      <c r="AD64" s="4">
        <f>IF(A64="APP SLAB",0,(Q64*($AD$1/12))/27+K64)</f>
        <v>155.92592592592592</v>
      </c>
      <c r="AE64" s="4">
        <f>IF(A64="APP SLAB",0,(Q64*$AE$1/12)/27+L64)</f>
        <v>181.9135802469136</v>
      </c>
      <c r="AF64" s="368">
        <v>37.92</v>
      </c>
      <c r="AG64" s="6">
        <f>IF($A$64="APP SLAB",0,($M$64*2))</f>
        <v>1890</v>
      </c>
      <c r="AH64" s="10"/>
      <c r="AI64" s="81"/>
      <c r="AJ64" s="81"/>
      <c r="AK64" s="81"/>
      <c r="AL64" s="81"/>
      <c r="AM64" s="81"/>
      <c r="AN64" s="81"/>
      <c r="AO64" s="81"/>
      <c r="AP64" s="81"/>
      <c r="AQ64" s="81"/>
    </row>
    <row r="65" spans="1:49" ht="12.75" customHeight="1" x14ac:dyDescent="0.2">
      <c r="B65" s="335">
        <v>72500</v>
      </c>
      <c r="C65" s="336">
        <v>73445</v>
      </c>
      <c r="D65" s="337" t="s">
        <v>15</v>
      </c>
      <c r="E65" s="337" t="s">
        <v>97</v>
      </c>
      <c r="F65" s="337" t="s">
        <v>97</v>
      </c>
      <c r="G65" s="47" t="str">
        <f>IF(AND($E65=$AI$2,$F65=$AI$2),$AK$2,IF(OR(AND($E65=$AI$2,$F65=$AI$3),AND($E65=$AI$3,$F65=$AI$2)),$AK$3,IF(OR(AND($E65=$AI$2,$F65=$AI$5),AND($E65=$AI$5,$F65=$AI$2)),$AK$5,IF(OR(AND($E65=$AI$3,$F65=$AI$5),AND($E65=$AI$5,$F65=$AI$3)),$AK$6,IF(AND($E65=$AI$3,$F65=$AI$3),$AK$7,IF(AND($E65=$AI$5,$F65=$AI$5),$AK$8,"-"))))))</f>
        <v>-</v>
      </c>
      <c r="H65" s="26">
        <f>IF(AND($E65=$AI$2,$F65=$AI$2),2*$AK$13,IF(OR(AND($E65=$AI$2, $F65=$AI$3),AND($E65=$AI$3,$F65=$AI$2)),$AK$13+$AK$14,IF(OR(AND($E65=$AI$2,$F65=$AI$5),AND($E65=$AI$5,$F65=$AI$2)),$AK$13,IF(OR(AND($E65=$AI$3,$F65=$AI$5),AND($E65=$AI$5,$F65=$AI$3)),$AK$14,IF(AND($E65=$AI$3,$F65=$AI$3),2*$AK$14,0)))))</f>
        <v>0</v>
      </c>
      <c r="I65" s="27">
        <f>IF(AND($E65=$AI$2,$F65=$AI$2),2*$AN$13*$M65/27,IF(OR(AND($E65=$AI$2,$F65=$AI$3),AND($E65=$AI$3,$F65=$AI$2)),$AN$13*$M65/27,IF(OR(AND($E65=$AI$2,$F65=$AI$5),AND($E65=$AI$5,$F65=$AI$2)),$AN$13*$M65/27,0)))</f>
        <v>0</v>
      </c>
      <c r="J65" s="27">
        <f>IF(AND($E65=$AI$2,$F65=$AI$2),2*$AQ$13*$M65/27,IF(OR(AND($E65=$AI$2,$F65=$AI$3),AND($E65=$AI$3,$F65=$AI$2)),($AQ$13+$AQ$14)*$M65/27,IF(OR(AND($E65=$AI$2,$F65=$AI$5),AND($E65=$AI$5,$F65=$AI$2)),$AQ$13*$M65/27,IF(OR(AND($E65=$AI$3,$F65=$AI$5),AND($E65=$AI$5,$F65=$AI$3)),$AQ$14*$M65/27,IF(AND($E65=$AI$3,$F65=$AI$3),2*$AQ$14*$M65/27,0)))))</f>
        <v>0</v>
      </c>
      <c r="K65" s="27">
        <f>IF(AND($E65=$AI$5,$F65=$AI$5),2*$AT$15*$M65/27,IF(OR($E65=$AI$5,$F65=$AI$5),$AT$15*$M65/27,0))</f>
        <v>0</v>
      </c>
      <c r="L65" s="338">
        <v>0</v>
      </c>
      <c r="M65" s="83">
        <f>C65-B65</f>
        <v>945</v>
      </c>
      <c r="N65" s="342" t="s">
        <v>97</v>
      </c>
      <c r="O65" s="76">
        <f>IF(N65="-",0,ROUNDUP($M65*N65,0))</f>
        <v>0</v>
      </c>
      <c r="P65" s="344">
        <v>29515</v>
      </c>
      <c r="Q65" s="75">
        <f>SUM(O65:P65)</f>
        <v>29515</v>
      </c>
      <c r="R65" s="350">
        <v>0</v>
      </c>
      <c r="S65" s="349">
        <v>0</v>
      </c>
      <c r="T65" s="210">
        <f>IF(AND(S65=0,V65=0),0,IF(V65=0,S65/2000,V65/2000))</f>
        <v>0</v>
      </c>
      <c r="U65" s="347">
        <v>0</v>
      </c>
      <c r="V65" s="347">
        <v>0</v>
      </c>
      <c r="W65" s="347">
        <v>0</v>
      </c>
      <c r="X65" s="348">
        <v>31</v>
      </c>
      <c r="Y65" s="12">
        <f>Q65/9</f>
        <v>3279.4444444444443</v>
      </c>
      <c r="Z65" s="351">
        <v>0</v>
      </c>
      <c r="AA65" s="343">
        <v>0</v>
      </c>
      <c r="AB65" s="6">
        <f>(Q65/9)*$AB$1</f>
        <v>180.36944444444444</v>
      </c>
      <c r="AC65" s="6">
        <f>IF(A65="APP SLAB",0,(Q65/9)*$AC$1)</f>
        <v>180.36944444444444</v>
      </c>
      <c r="AD65" s="4">
        <f>IF(A65="APP SLAB",0,(Q65*($AD$1/12))/27+K65)</f>
        <v>136.6435185185185</v>
      </c>
      <c r="AE65" s="4">
        <f>IF(A65="APP SLAB",0,(Q65*$AE$1/12)/27+L65)</f>
        <v>159.41743827160494</v>
      </c>
      <c r="AF65" s="368">
        <v>24.07</v>
      </c>
      <c r="AG65" s="85">
        <f>IF(A65="APP SLAB",0,(M65*2))</f>
        <v>1890</v>
      </c>
      <c r="AH65" s="10"/>
      <c r="AI65" s="81"/>
      <c r="AJ65" s="81"/>
      <c r="AK65" s="81"/>
      <c r="AL65" s="81"/>
      <c r="AM65" s="81"/>
      <c r="AN65" s="81"/>
      <c r="AO65" s="81"/>
      <c r="AP65" s="81"/>
      <c r="AQ65" s="81"/>
    </row>
    <row r="66" spans="1:49" s="81" customFormat="1" ht="12.75" customHeight="1" thickBot="1" x14ac:dyDescent="0.25">
      <c r="A66" s="106"/>
      <c r="B66" s="107"/>
      <c r="C66" s="82"/>
      <c r="D66" s="133"/>
      <c r="E66" s="158"/>
      <c r="F66" s="158"/>
      <c r="G66" s="158"/>
      <c r="H66" s="159"/>
      <c r="I66" s="160"/>
      <c r="J66" s="160"/>
      <c r="K66" s="160"/>
      <c r="L66" s="161"/>
      <c r="M66" s="84"/>
      <c r="N66" s="84"/>
      <c r="O66" s="119"/>
      <c r="P66" s="119"/>
      <c r="Q66" s="119"/>
      <c r="R66" s="119"/>
      <c r="S66" s="119"/>
      <c r="T66" s="19"/>
      <c r="U66" s="19"/>
      <c r="V66" s="19"/>
      <c r="W66" s="19"/>
      <c r="X66" s="128"/>
      <c r="Y66" s="84"/>
      <c r="Z66" s="162"/>
      <c r="AA66" s="84"/>
      <c r="AB66" s="19"/>
      <c r="AC66" s="19"/>
      <c r="AD66" s="84"/>
      <c r="AE66" s="84"/>
      <c r="AF66" s="84"/>
      <c r="AG66" s="19"/>
      <c r="AH66" s="10"/>
    </row>
    <row r="67" spans="1:49" s="81" customFormat="1" ht="12.75" customHeight="1" x14ac:dyDescent="0.2">
      <c r="B67" s="661" t="s">
        <v>64</v>
      </c>
      <c r="C67" s="662"/>
      <c r="D67" s="104"/>
      <c r="E67" s="104"/>
      <c r="F67" s="104"/>
      <c r="G67" s="104"/>
      <c r="H67" s="138"/>
      <c r="I67" s="78"/>
      <c r="J67" s="78"/>
      <c r="K67" s="78"/>
      <c r="L67" s="157"/>
      <c r="M67" s="89"/>
      <c r="N67" s="89"/>
      <c r="O67" s="124"/>
      <c r="P67" s="124"/>
      <c r="Q67" s="124"/>
      <c r="R67" s="124"/>
      <c r="S67" s="124"/>
      <c r="T67" s="135"/>
      <c r="U67" s="135"/>
      <c r="V67" s="135"/>
      <c r="W67" s="135"/>
      <c r="X67" s="71"/>
      <c r="Y67" s="89"/>
      <c r="Z67" s="139"/>
      <c r="AA67" s="89"/>
      <c r="AB67" s="135"/>
      <c r="AC67" s="135"/>
      <c r="AD67" s="89"/>
      <c r="AE67" s="89"/>
      <c r="AF67" s="89"/>
      <c r="AG67" s="135"/>
      <c r="AH67" s="10"/>
      <c r="AI67" s="207"/>
      <c r="AJ67" s="207"/>
      <c r="AK67" s="93"/>
      <c r="AL67" s="207"/>
      <c r="AM67" s="207"/>
      <c r="AN67" s="207"/>
      <c r="AO67" s="207"/>
      <c r="AP67" s="207"/>
      <c r="AQ67" s="207"/>
      <c r="AR67" s="722"/>
      <c r="AS67" s="722"/>
      <c r="AT67" s="722"/>
      <c r="AU67" s="722"/>
      <c r="AV67" s="722"/>
      <c r="AW67" s="722"/>
    </row>
    <row r="68" spans="1:49" s="81" customFormat="1" ht="12.75" customHeight="1" x14ac:dyDescent="0.2">
      <c r="B68" s="335">
        <v>72744.350000000006</v>
      </c>
      <c r="C68" s="336">
        <v>73445</v>
      </c>
      <c r="D68" s="337" t="s">
        <v>15</v>
      </c>
      <c r="E68" s="337" t="s">
        <v>108</v>
      </c>
      <c r="F68" s="337" t="s">
        <v>108</v>
      </c>
      <c r="G68" s="103" t="str">
        <f>IF(AND($E68=$AI$2,$F68=$AI$2),$AK$2,IF(OR(AND($E68=$AI$2,$F68=$AI$3),AND($E68=$AI$3,$F68=$AI$2)),$AK$3,IF(OR(AND($E68=$AI$2,$F68=$AI$5),AND($E68=$AI$5,$F68=$AI$2)),$AK$5,IF(OR(AND($E68=$AI$3,$F68=$AI$5),AND($E68=$AI$5,$F68=$AI$3)),$AK$6,IF(AND($E68=$AI$3,$F68=$AI$3),$AK$7,IF(AND($E68=$AI$5,$F68=$AI$5),$AK$8,"-"))))))</f>
        <v>-</v>
      </c>
      <c r="H68" s="339">
        <v>0</v>
      </c>
      <c r="I68" s="338">
        <v>0</v>
      </c>
      <c r="J68" s="338">
        <v>0</v>
      </c>
      <c r="K68" s="338">
        <v>0</v>
      </c>
      <c r="L68" s="338">
        <v>0</v>
      </c>
      <c r="M68" s="83">
        <f t="shared" ref="M68:M69" si="89">C68-B68</f>
        <v>700.64999999999418</v>
      </c>
      <c r="N68" s="342">
        <v>5.01</v>
      </c>
      <c r="O68" s="124">
        <f>IF(N68="-",0,ROUNDUP($M68*N68,0))</f>
        <v>3511</v>
      </c>
      <c r="P68" s="344">
        <v>0</v>
      </c>
      <c r="Q68" s="123">
        <f t="shared" ref="Q68:Q69" si="90">SUM(O68:P68)</f>
        <v>3511</v>
      </c>
      <c r="R68" s="350">
        <v>0</v>
      </c>
      <c r="S68" s="85">
        <f>IF(OR($A68="APP SLAB",Q68=0),0,($Q68+$H68*$M68)/9)</f>
        <v>390.11111111111109</v>
      </c>
      <c r="T68" s="210">
        <f>IF(AND(S68=0,V68=0),0,IF(V68=0,S68/2000,V68/2000))</f>
        <v>0.19505555555555554</v>
      </c>
      <c r="U68" s="347">
        <v>0</v>
      </c>
      <c r="V68" s="347">
        <v>0</v>
      </c>
      <c r="W68" s="347">
        <v>0</v>
      </c>
      <c r="X68" s="348">
        <v>701</v>
      </c>
      <c r="Y68" s="342">
        <v>0</v>
      </c>
      <c r="Z68" s="34">
        <f>IF(A68="APP SLAB",0,(Q68*$Z$1/12)/27+I68)</f>
        <v>124.61882716049384</v>
      </c>
      <c r="AA68" s="83">
        <f>(Q68*$AA$1/12)/27+J68</f>
        <v>65.018518518518519</v>
      </c>
      <c r="AB68" s="347">
        <v>0</v>
      </c>
      <c r="AC68" s="85">
        <f>IF(A68="APP SLAB",0,(Q68/9)*$AC$1)</f>
        <v>21.45611111111111</v>
      </c>
      <c r="AD68" s="83">
        <f>IF(A68="APP SLAB",0,(Q68*($AD$1/12))/27+K68)</f>
        <v>16.25462962962963</v>
      </c>
      <c r="AE68" s="83">
        <f>IF(A68="APP SLAB",0,(Q68*$AE$1/12)/27+L68)</f>
        <v>18.963734567901238</v>
      </c>
      <c r="AF68" s="368">
        <v>0</v>
      </c>
      <c r="AG68" s="85">
        <f>IF(A68="APP SLAB",0,(M68*2))</f>
        <v>1401.2999999999884</v>
      </c>
      <c r="AH68" s="189"/>
      <c r="AI68" s="208"/>
      <c r="AJ68" s="208"/>
      <c r="AK68" s="93"/>
      <c r="AL68" s="208"/>
      <c r="AM68" s="208"/>
      <c r="AN68" s="208"/>
      <c r="AO68" s="208"/>
      <c r="AP68" s="208"/>
      <c r="AQ68" s="208"/>
      <c r="AR68" s="723"/>
      <c r="AS68" s="723"/>
      <c r="AT68" s="723"/>
      <c r="AU68" s="723"/>
      <c r="AV68" s="723"/>
      <c r="AW68" s="723"/>
    </row>
    <row r="69" spans="1:49" s="81" customFormat="1" ht="12.75" customHeight="1" x14ac:dyDescent="0.2">
      <c r="B69" s="355">
        <v>73193.600000000006</v>
      </c>
      <c r="C69" s="356">
        <v>73445</v>
      </c>
      <c r="D69" s="357" t="s">
        <v>15</v>
      </c>
      <c r="E69" s="357" t="s">
        <v>101</v>
      </c>
      <c r="F69" s="357" t="s">
        <v>108</v>
      </c>
      <c r="G69" s="196" t="str">
        <f>IF(AND($E69=$AI$2,$F69=$AI$2),$AK$2,IF(OR(AND($E69=$AI$2,$F69=$AI$3),AND($E69=$AI$3,$F69=$AI$2)),$AK$3,IF(OR(AND($E69=$AI$2,$F69=$AI$5),AND($E69=$AI$5,$F69=$AI$2)),$AK$5,IF(OR(AND($E69=$AI$3,$F69=$AI$5),AND($E69=$AI$5,$F69=$AI$3)),$AK$6,IF(AND($E69=$AI$3,$F69=$AI$3),$AK$7,IF(AND($E69=$AI$5,$F69=$AI$5),$AK$8,"-"))))))</f>
        <v>-</v>
      </c>
      <c r="H69" s="359">
        <v>1.5</v>
      </c>
      <c r="I69" s="360">
        <v>5.31</v>
      </c>
      <c r="J69" s="360">
        <v>6.24</v>
      </c>
      <c r="K69" s="360">
        <v>0</v>
      </c>
      <c r="L69" s="360">
        <v>0</v>
      </c>
      <c r="M69" s="108">
        <f t="shared" si="89"/>
        <v>251.39999999999418</v>
      </c>
      <c r="N69" s="361" t="s">
        <v>97</v>
      </c>
      <c r="O69" s="165">
        <f>IF(N69="-",0,ROUNDUP($M69*N69,0))</f>
        <v>0</v>
      </c>
      <c r="P69" s="362">
        <v>2577</v>
      </c>
      <c r="Q69" s="136">
        <f t="shared" si="90"/>
        <v>2577</v>
      </c>
      <c r="R69" s="350">
        <v>0</v>
      </c>
      <c r="S69" s="85">
        <f>IF(OR($A69="APP SLAB",Q69=0),0,($Q69+$H69*$M69)/9)</f>
        <v>328.23333333333238</v>
      </c>
      <c r="T69" s="210">
        <f>IF(AND(S69=0,V69=0),0,IF(V69=0,S69/2000,V69/2000))</f>
        <v>0.16411666666666619</v>
      </c>
      <c r="U69" s="347">
        <v>0</v>
      </c>
      <c r="V69" s="347">
        <v>0</v>
      </c>
      <c r="W69" s="347">
        <v>0</v>
      </c>
      <c r="X69" s="348">
        <v>251</v>
      </c>
      <c r="Y69" s="342">
        <v>0</v>
      </c>
      <c r="Z69" s="34">
        <f>IF(A69="APP SLAB",0,(Q69*$Z$1/12)/27+I69)</f>
        <v>96.777592592592597</v>
      </c>
      <c r="AA69" s="83">
        <f>(Q69*$AA$1/12)/27+J69</f>
        <v>53.962222222222223</v>
      </c>
      <c r="AB69" s="347">
        <v>0</v>
      </c>
      <c r="AC69" s="85">
        <f>IF(A69="APP SLAB",0,(Q69/9)*$AC$1)</f>
        <v>15.748333333333333</v>
      </c>
      <c r="AD69" s="83">
        <f>IF(A69="APP SLAB",0,(Q69*($AD$1/12))/27+K69)</f>
        <v>11.930555555555555</v>
      </c>
      <c r="AE69" s="83">
        <f>IF(A69="APP SLAB",0,(Q69*$AE$1/12)/27+L69)</f>
        <v>13.918981481481481</v>
      </c>
      <c r="AF69" s="368">
        <v>0</v>
      </c>
      <c r="AG69" s="85">
        <f>IF(A69="APP SLAB",0,(M69*2))</f>
        <v>502.79999999998836</v>
      </c>
      <c r="AH69" s="189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</row>
    <row r="70" spans="1:49" s="81" customFormat="1" ht="12.75" customHeight="1" thickBot="1" x14ac:dyDescent="0.25">
      <c r="B70" s="107"/>
      <c r="C70" s="82"/>
      <c r="D70" s="133"/>
      <c r="E70" s="158"/>
      <c r="F70" s="158"/>
      <c r="G70" s="158"/>
      <c r="H70" s="159"/>
      <c r="I70" s="160"/>
      <c r="J70" s="160"/>
      <c r="K70" s="160"/>
      <c r="L70" s="161"/>
      <c r="M70" s="84"/>
      <c r="N70" s="84"/>
      <c r="O70" s="119"/>
      <c r="P70" s="119"/>
      <c r="Q70" s="119"/>
      <c r="R70" s="119"/>
      <c r="S70" s="119"/>
      <c r="T70" s="19"/>
      <c r="U70" s="19"/>
      <c r="V70" s="19"/>
      <c r="W70" s="19"/>
      <c r="X70" s="128"/>
      <c r="Y70" s="84"/>
      <c r="Z70" s="162"/>
      <c r="AA70" s="84"/>
      <c r="AB70" s="19"/>
      <c r="AC70" s="19"/>
      <c r="AD70" s="84"/>
      <c r="AE70" s="84"/>
      <c r="AF70" s="84"/>
      <c r="AG70" s="19"/>
      <c r="AH70" s="189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</row>
    <row r="71" spans="1:49" s="117" customFormat="1" x14ac:dyDescent="0.2">
      <c r="B71" s="661" t="s">
        <v>233</v>
      </c>
      <c r="C71" s="662"/>
      <c r="D71" s="104"/>
      <c r="E71" s="104"/>
      <c r="F71" s="104"/>
      <c r="G71" s="104"/>
      <c r="H71" s="138"/>
      <c r="I71" s="78"/>
      <c r="J71" s="78"/>
      <c r="K71" s="78"/>
      <c r="L71" s="157"/>
      <c r="M71" s="89"/>
      <c r="N71" s="89"/>
      <c r="O71" s="124"/>
      <c r="P71" s="124"/>
      <c r="Q71" s="124"/>
      <c r="R71" s="124"/>
      <c r="S71" s="124"/>
      <c r="T71" s="135"/>
      <c r="U71" s="135"/>
      <c r="V71" s="135"/>
      <c r="W71" s="135"/>
      <c r="X71" s="71"/>
      <c r="Y71" s="89"/>
      <c r="Z71" s="139"/>
      <c r="AA71" s="89"/>
      <c r="AB71" s="135"/>
      <c r="AC71" s="135"/>
      <c r="AD71" s="89"/>
      <c r="AE71" s="89"/>
      <c r="AF71" s="89"/>
      <c r="AG71" s="135"/>
    </row>
    <row r="72" spans="1:49" s="117" customFormat="1" x14ac:dyDescent="0.2">
      <c r="B72" s="335" t="s">
        <v>92</v>
      </c>
      <c r="C72" s="336" t="s">
        <v>93</v>
      </c>
      <c r="D72" s="337" t="s">
        <v>30</v>
      </c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344">
        <v>14445</v>
      </c>
      <c r="Q72" s="123">
        <f t="shared" ref="Q72:Q74" si="91">SUM(O72:P72)</f>
        <v>14445</v>
      </c>
      <c r="R72" s="345">
        <v>1605</v>
      </c>
      <c r="S72" s="104"/>
      <c r="T72" s="104"/>
      <c r="U72" s="104"/>
      <c r="V72" s="104"/>
      <c r="W72" s="104"/>
      <c r="X72" s="251"/>
      <c r="Y72" s="104"/>
      <c r="Z72" s="104"/>
      <c r="AA72" s="104"/>
      <c r="AB72" s="104"/>
      <c r="AC72" s="104"/>
      <c r="AD72" s="104"/>
      <c r="AE72" s="104"/>
      <c r="AF72" s="104"/>
      <c r="AG72" s="104"/>
    </row>
    <row r="73" spans="1:49" s="117" customFormat="1" x14ac:dyDescent="0.2">
      <c r="B73" s="335" t="s">
        <v>92</v>
      </c>
      <c r="C73" s="336" t="s">
        <v>93</v>
      </c>
      <c r="D73" s="337" t="s">
        <v>16</v>
      </c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344">
        <v>3897</v>
      </c>
      <c r="Q73" s="123">
        <f t="shared" si="91"/>
        <v>3897</v>
      </c>
      <c r="R73" s="345">
        <v>433</v>
      </c>
      <c r="S73" s="104"/>
      <c r="T73" s="104"/>
      <c r="U73" s="104"/>
      <c r="V73" s="104"/>
      <c r="W73" s="104"/>
      <c r="X73" s="251"/>
      <c r="Y73" s="104"/>
      <c r="Z73" s="104"/>
      <c r="AA73" s="104"/>
      <c r="AB73" s="104"/>
      <c r="AC73" s="104"/>
      <c r="AD73" s="104"/>
      <c r="AE73" s="104"/>
      <c r="AF73" s="104"/>
      <c r="AG73" s="104"/>
    </row>
    <row r="74" spans="1:49" s="117" customFormat="1" x14ac:dyDescent="0.2">
      <c r="B74" s="335" t="s">
        <v>92</v>
      </c>
      <c r="C74" s="336" t="s">
        <v>93</v>
      </c>
      <c r="D74" s="341" t="s">
        <v>15</v>
      </c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344">
        <v>4014</v>
      </c>
      <c r="Q74" s="123">
        <f t="shared" si="91"/>
        <v>4014</v>
      </c>
      <c r="R74" s="345">
        <v>446</v>
      </c>
      <c r="S74" s="104"/>
      <c r="T74" s="104"/>
      <c r="U74" s="104"/>
      <c r="V74" s="104"/>
      <c r="W74" s="104"/>
      <c r="X74" s="251"/>
      <c r="Y74" s="104"/>
      <c r="Z74" s="104"/>
      <c r="AA74" s="104"/>
      <c r="AB74" s="104"/>
      <c r="AC74" s="104"/>
      <c r="AD74" s="104"/>
      <c r="AE74" s="104"/>
      <c r="AF74" s="104"/>
      <c r="AG74" s="104"/>
    </row>
    <row r="75" spans="1:49" ht="12.75" customHeight="1" thickBot="1" x14ac:dyDescent="0.25">
      <c r="B75" s="249"/>
      <c r="C75" s="132"/>
      <c r="D75" s="237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32"/>
      <c r="T75" s="32"/>
      <c r="U75" s="32"/>
      <c r="V75" s="32"/>
      <c r="W75" s="32"/>
      <c r="X75" s="252"/>
      <c r="Y75" s="32"/>
      <c r="Z75" s="32"/>
      <c r="AA75" s="32"/>
      <c r="AB75" s="32"/>
      <c r="AC75" s="32"/>
      <c r="AD75" s="32"/>
      <c r="AE75" s="4"/>
      <c r="AF75" s="83"/>
      <c r="AG75" s="6"/>
      <c r="AH75" s="10"/>
      <c r="AI75" s="90"/>
      <c r="AJ75" s="90"/>
    </row>
    <row r="76" spans="1:49" s="81" customFormat="1" ht="12.75" customHeight="1" x14ac:dyDescent="0.2">
      <c r="B76" s="590" t="s">
        <v>255</v>
      </c>
      <c r="C76" s="591"/>
      <c r="D76" s="602" t="s">
        <v>250</v>
      </c>
      <c r="E76" s="603"/>
      <c r="F76" s="603"/>
      <c r="G76" s="603"/>
      <c r="H76" s="603"/>
      <c r="I76" s="603"/>
      <c r="J76" s="603"/>
      <c r="K76" s="603"/>
      <c r="L76" s="603"/>
      <c r="M76" s="603"/>
      <c r="N76" s="603"/>
      <c r="O76" s="603"/>
      <c r="P76" s="603"/>
      <c r="Q76" s="604"/>
      <c r="R76" s="610">
        <f>ROUNDUP(SUM(R60:R74),0)</f>
        <v>2484</v>
      </c>
      <c r="S76" s="610">
        <f t="shared" ref="S76:AG76" si="92">ROUNDUP(SUM(S60:S74),0)</f>
        <v>719</v>
      </c>
      <c r="T76" s="610">
        <f t="shared" si="92"/>
        <v>1</v>
      </c>
      <c r="U76" s="610">
        <f t="shared" si="92"/>
        <v>0</v>
      </c>
      <c r="V76" s="610">
        <f t="shared" si="92"/>
        <v>0</v>
      </c>
      <c r="W76" s="610">
        <f t="shared" si="92"/>
        <v>0</v>
      </c>
      <c r="X76" s="610">
        <f t="shared" si="92"/>
        <v>1029</v>
      </c>
      <c r="Y76" s="610">
        <f t="shared" si="92"/>
        <v>7022</v>
      </c>
      <c r="Z76" s="610">
        <f t="shared" si="92"/>
        <v>222</v>
      </c>
      <c r="AA76" s="610">
        <f t="shared" si="92"/>
        <v>119</v>
      </c>
      <c r="AB76" s="610">
        <f t="shared" si="92"/>
        <v>387</v>
      </c>
      <c r="AC76" s="610">
        <f>ROUNDUP(SUM(AC60:AC74),0)</f>
        <v>599</v>
      </c>
      <c r="AD76" s="610">
        <f t="shared" si="92"/>
        <v>454</v>
      </c>
      <c r="AE76" s="610">
        <f t="shared" si="92"/>
        <v>375</v>
      </c>
      <c r="AF76" s="610">
        <f t="shared" ref="AF76" si="93">ROUNDUP(SUM(AF60:AF74),0)</f>
        <v>62</v>
      </c>
      <c r="AG76" s="610">
        <f t="shared" si="92"/>
        <v>5685</v>
      </c>
      <c r="AH76" s="10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</row>
    <row r="77" spans="1:49" s="81" customFormat="1" ht="12.75" customHeight="1" thickBot="1" x14ac:dyDescent="0.25">
      <c r="B77" s="592"/>
      <c r="C77" s="593"/>
      <c r="D77" s="605"/>
      <c r="E77" s="606"/>
      <c r="F77" s="606"/>
      <c r="G77" s="606"/>
      <c r="H77" s="606"/>
      <c r="I77" s="606"/>
      <c r="J77" s="606"/>
      <c r="K77" s="606"/>
      <c r="L77" s="606"/>
      <c r="M77" s="606"/>
      <c r="N77" s="606"/>
      <c r="O77" s="606"/>
      <c r="P77" s="606"/>
      <c r="Q77" s="607"/>
      <c r="R77" s="611"/>
      <c r="S77" s="611"/>
      <c r="T77" s="611"/>
      <c r="U77" s="611"/>
      <c r="V77" s="611"/>
      <c r="W77" s="611"/>
      <c r="X77" s="611"/>
      <c r="Y77" s="611"/>
      <c r="Z77" s="611"/>
      <c r="AA77" s="611"/>
      <c r="AB77" s="611"/>
      <c r="AC77" s="611"/>
      <c r="AD77" s="611"/>
      <c r="AE77" s="611"/>
      <c r="AF77" s="611"/>
      <c r="AG77" s="611"/>
      <c r="AH77" s="10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</row>
    <row r="78" spans="1:49" ht="12.75" customHeight="1" x14ac:dyDescent="0.2">
      <c r="A78" s="20"/>
      <c r="B78" s="592"/>
      <c r="C78" s="593"/>
      <c r="D78" s="602" t="s">
        <v>164</v>
      </c>
      <c r="E78" s="603"/>
      <c r="F78" s="603"/>
      <c r="G78" s="603"/>
      <c r="H78" s="603"/>
      <c r="I78" s="603"/>
      <c r="J78" s="603"/>
      <c r="K78" s="603"/>
      <c r="L78" s="603"/>
      <c r="M78" s="603"/>
      <c r="N78" s="603"/>
      <c r="O78" s="603"/>
      <c r="P78" s="603"/>
      <c r="Q78" s="604"/>
      <c r="R78" s="610">
        <f t="shared" ref="R78:AG78" si="94">R76+R57</f>
        <v>2484</v>
      </c>
      <c r="S78" s="610">
        <f t="shared" si="94"/>
        <v>25068</v>
      </c>
      <c r="T78" s="610">
        <f t="shared" si="94"/>
        <v>21</v>
      </c>
      <c r="U78" s="610">
        <f t="shared" si="94"/>
        <v>15301</v>
      </c>
      <c r="V78" s="610">
        <f t="shared" si="94"/>
        <v>15301</v>
      </c>
      <c r="W78" s="610">
        <f t="shared" si="94"/>
        <v>455</v>
      </c>
      <c r="X78" s="610">
        <f t="shared" si="94"/>
        <v>1029</v>
      </c>
      <c r="Y78" s="610">
        <f t="shared" si="94"/>
        <v>7022</v>
      </c>
      <c r="Z78" s="610">
        <f t="shared" si="94"/>
        <v>12370</v>
      </c>
      <c r="AA78" s="610">
        <f t="shared" si="94"/>
        <v>6705</v>
      </c>
      <c r="AB78" s="610">
        <f t="shared" si="94"/>
        <v>387</v>
      </c>
      <c r="AC78" s="610">
        <f t="shared" si="94"/>
        <v>2673</v>
      </c>
      <c r="AD78" s="610">
        <f t="shared" si="94"/>
        <v>1979</v>
      </c>
      <c r="AE78" s="610">
        <f t="shared" si="94"/>
        <v>2215</v>
      </c>
      <c r="AF78" s="610">
        <f t="shared" si="94"/>
        <v>197</v>
      </c>
      <c r="AG78" s="610">
        <f t="shared" si="94"/>
        <v>19362</v>
      </c>
      <c r="AI78" s="90"/>
      <c r="AJ78" s="90"/>
    </row>
    <row r="79" spans="1:49" ht="12.75" customHeight="1" thickBot="1" x14ac:dyDescent="0.25">
      <c r="A79" s="20"/>
      <c r="B79" s="594"/>
      <c r="C79" s="595"/>
      <c r="D79" s="605"/>
      <c r="E79" s="606"/>
      <c r="F79" s="606"/>
      <c r="G79" s="606"/>
      <c r="H79" s="606"/>
      <c r="I79" s="606"/>
      <c r="J79" s="606"/>
      <c r="K79" s="606"/>
      <c r="L79" s="606"/>
      <c r="M79" s="606"/>
      <c r="N79" s="606"/>
      <c r="O79" s="606"/>
      <c r="P79" s="606"/>
      <c r="Q79" s="607"/>
      <c r="R79" s="708"/>
      <c r="S79" s="708"/>
      <c r="T79" s="708"/>
      <c r="U79" s="708"/>
      <c r="V79" s="708"/>
      <c r="W79" s="708"/>
      <c r="X79" s="708"/>
      <c r="Y79" s="708"/>
      <c r="Z79" s="708"/>
      <c r="AA79" s="708"/>
      <c r="AB79" s="708"/>
      <c r="AC79" s="708"/>
      <c r="AD79" s="708"/>
      <c r="AE79" s="708"/>
      <c r="AF79" s="708"/>
      <c r="AG79" s="708"/>
      <c r="AI79" s="90"/>
      <c r="AJ79" s="90"/>
    </row>
    <row r="80" spans="1:49" ht="12.75" customHeight="1" x14ac:dyDescent="0.2">
      <c r="C80" s="22"/>
    </row>
    <row r="81" spans="1:29" ht="12.75" customHeight="1" x14ac:dyDescent="0.2">
      <c r="C81" s="22"/>
      <c r="K81" s="179"/>
    </row>
    <row r="82" spans="1:29" ht="12.75" customHeight="1" x14ac:dyDescent="0.2">
      <c r="A82" s="20"/>
      <c r="C82" s="22"/>
      <c r="S82" s="88"/>
      <c r="T82" s="88"/>
      <c r="U82" s="88"/>
      <c r="X82" s="87"/>
      <c r="Y82" s="87"/>
      <c r="Z82" s="87"/>
    </row>
    <row r="83" spans="1:29" ht="12.75" customHeight="1" x14ac:dyDescent="0.2">
      <c r="A83" s="20"/>
      <c r="C83" s="22"/>
      <c r="S83" s="88"/>
      <c r="T83" s="88"/>
      <c r="U83" s="88"/>
      <c r="X83" s="87"/>
      <c r="Y83" s="87"/>
      <c r="Z83" s="87"/>
    </row>
    <row r="84" spans="1:29" ht="12.75" customHeight="1" x14ac:dyDescent="0.2">
      <c r="C84" s="22"/>
    </row>
    <row r="85" spans="1:29" ht="12.75" customHeight="1" x14ac:dyDescent="0.2">
      <c r="C85" s="22"/>
      <c r="AB85" s="163"/>
      <c r="AC85" s="163"/>
    </row>
    <row r="86" spans="1:29" ht="12.75" customHeight="1" x14ac:dyDescent="0.25">
      <c r="C86" s="22"/>
      <c r="Q86" s="184">
        <f>SUM(Q19:Q55)</f>
        <v>344900</v>
      </c>
      <c r="R86" s="179" t="s">
        <v>172</v>
      </c>
      <c r="AB86" s="163"/>
      <c r="AC86" s="163"/>
    </row>
    <row r="87" spans="1:29" ht="12.75" customHeight="1" x14ac:dyDescent="0.2">
      <c r="C87" s="22"/>
    </row>
    <row r="88" spans="1:29" ht="12.75" customHeight="1" x14ac:dyDescent="0.2"/>
    <row r="89" spans="1:29" ht="12.75" customHeight="1" x14ac:dyDescent="0.2"/>
    <row r="90" spans="1:29" ht="12.75" customHeight="1" x14ac:dyDescent="0.2"/>
    <row r="91" spans="1:29" ht="12.75" customHeight="1" x14ac:dyDescent="0.2"/>
    <row r="92" spans="1:29" ht="12.75" customHeight="1" x14ac:dyDescent="0.2"/>
    <row r="93" spans="1:29" ht="12.75" customHeight="1" x14ac:dyDescent="0.2"/>
    <row r="94" spans="1:29" ht="12.75" customHeight="1" x14ac:dyDescent="0.2"/>
    <row r="95" spans="1:29" ht="12.75" customHeight="1" x14ac:dyDescent="0.2"/>
    <row r="96" spans="1:29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spans="1:34" ht="12.75" customHeight="1" x14ac:dyDescent="0.2"/>
    <row r="146" spans="1:34" ht="12.75" customHeight="1" x14ac:dyDescent="0.2"/>
    <row r="147" spans="1:34" ht="12.75" customHeight="1" x14ac:dyDescent="0.2"/>
    <row r="148" spans="1:34" ht="12.75" customHeight="1" x14ac:dyDescent="0.2"/>
    <row r="149" spans="1:34" ht="12.75" customHeight="1" x14ac:dyDescent="0.2"/>
    <row r="150" spans="1:34" ht="12.75" customHeight="1" x14ac:dyDescent="0.2"/>
    <row r="151" spans="1:34" ht="12.75" customHeight="1" x14ac:dyDescent="0.2"/>
    <row r="152" spans="1:34" ht="12.75" customHeight="1" x14ac:dyDescent="0.2"/>
    <row r="153" spans="1:34" ht="12.75" customHeight="1" x14ac:dyDescent="0.2"/>
    <row r="154" spans="1:34" s="20" customFormat="1" ht="12.75" customHeight="1" x14ac:dyDescent="0.2">
      <c r="A154" s="1"/>
      <c r="B154" s="21"/>
      <c r="C154" s="21"/>
      <c r="D154" s="1"/>
      <c r="E154" s="1"/>
      <c r="F154" s="1"/>
      <c r="G154" s="1"/>
      <c r="H154" s="1"/>
      <c r="I154" s="1"/>
      <c r="J154" s="1"/>
      <c r="K154" s="1"/>
      <c r="L154" s="1"/>
      <c r="M154" s="8"/>
      <c r="N154" s="8"/>
      <c r="R154" s="94"/>
      <c r="S154" s="11"/>
      <c r="T154" s="11"/>
      <c r="U154" s="11"/>
      <c r="V154" s="13"/>
      <c r="W154" s="13"/>
      <c r="X154" s="8"/>
      <c r="Y154" s="8"/>
      <c r="Z154" s="8"/>
      <c r="AA154" s="8"/>
      <c r="AB154" s="8"/>
      <c r="AC154" s="8"/>
      <c r="AD154" s="15"/>
      <c r="AE154" s="90"/>
      <c r="AF154" s="90"/>
      <c r="AG154" s="90"/>
      <c r="AH154" s="90"/>
    </row>
    <row r="155" spans="1:34" s="20" customFormat="1" ht="12.75" customHeight="1" x14ac:dyDescent="0.2">
      <c r="A155" s="1"/>
      <c r="B155" s="21"/>
      <c r="C155" s="21"/>
      <c r="D155" s="1"/>
      <c r="E155" s="1"/>
      <c r="F155" s="1"/>
      <c r="G155" s="1"/>
      <c r="H155" s="1"/>
      <c r="I155" s="1"/>
      <c r="J155" s="1"/>
      <c r="K155" s="1"/>
      <c r="L155" s="1"/>
      <c r="M155" s="8"/>
      <c r="N155" s="8"/>
      <c r="R155" s="94"/>
      <c r="S155" s="11"/>
      <c r="T155" s="11"/>
      <c r="U155" s="11"/>
      <c r="V155" s="13"/>
      <c r="W155" s="13"/>
      <c r="X155" s="8"/>
      <c r="Y155" s="8"/>
      <c r="Z155" s="8"/>
      <c r="AA155" s="8"/>
      <c r="AB155" s="8"/>
      <c r="AC155" s="8"/>
      <c r="AD155" s="15"/>
      <c r="AE155" s="90"/>
      <c r="AF155" s="90"/>
      <c r="AG155" s="90"/>
      <c r="AH155" s="90"/>
    </row>
  </sheetData>
  <customSheetViews>
    <customSheetView guid="{221143F3-72E3-4C4A-9811-2F859DD19779}" scale="80" showPageBreaks="1" fitToPage="1" printArea="1" hiddenColumns="1" view="pageBreakPreview">
      <pane ySplit="13" topLeftCell="A17" activePane="bottomLeft" state="frozen"/>
      <selection pane="bottomLeft" activeCell="F32" sqref="F32"/>
      <pageMargins left="0.73" right="0.75" top="0.66" bottom="0.4" header="0.65" footer="0.25"/>
      <printOptions horizontalCentered="1" verticalCentered="1"/>
      <pageSetup paperSize="17" scale="68" orientation="landscape" r:id="rId1"/>
      <headerFooter alignWithMargins="0">
        <oddFooter>&amp;L&amp;D&amp;R&amp;F, &amp;A</oddFooter>
      </headerFooter>
    </customSheetView>
  </customSheetViews>
  <mergeCells count="128">
    <mergeCell ref="B71:C71"/>
    <mergeCell ref="R7:R16"/>
    <mergeCell ref="R57:R58"/>
    <mergeCell ref="R78:R79"/>
    <mergeCell ref="AQ14:AS14"/>
    <mergeCell ref="AT14:AV14"/>
    <mergeCell ref="AK15:AM15"/>
    <mergeCell ref="AN15:AP15"/>
    <mergeCell ref="AQ15:AS15"/>
    <mergeCell ref="AT15:AV15"/>
    <mergeCell ref="AK16:AM16"/>
    <mergeCell ref="AN16:AP16"/>
    <mergeCell ref="AQ16:AS16"/>
    <mergeCell ref="AT16:AV16"/>
    <mergeCell ref="AA78:AA79"/>
    <mergeCell ref="AC78:AC79"/>
    <mergeCell ref="AB78:AB79"/>
    <mergeCell ref="AD78:AD79"/>
    <mergeCell ref="AE78:AE79"/>
    <mergeCell ref="AG78:AG79"/>
    <mergeCell ref="AQ13:AS13"/>
    <mergeCell ref="AT13:AV13"/>
    <mergeCell ref="AK14:AM14"/>
    <mergeCell ref="AN14:AP14"/>
    <mergeCell ref="AE76:AE77"/>
    <mergeCell ref="AG76:AG77"/>
    <mergeCell ref="S6:T6"/>
    <mergeCell ref="AI10:AV10"/>
    <mergeCell ref="AI11:AI12"/>
    <mergeCell ref="AJ11:AJ12"/>
    <mergeCell ref="AK11:AM11"/>
    <mergeCell ref="AN11:AP11"/>
    <mergeCell ref="AQ11:AS11"/>
    <mergeCell ref="AT11:AV11"/>
    <mergeCell ref="AK12:AM12"/>
    <mergeCell ref="AN12:AP12"/>
    <mergeCell ref="AQ12:AS12"/>
    <mergeCell ref="AT12:AV12"/>
    <mergeCell ref="AA76:AA77"/>
    <mergeCell ref="AC76:AC77"/>
    <mergeCell ref="AB76:AB77"/>
    <mergeCell ref="AD7:AD16"/>
    <mergeCell ref="AU68:AW68"/>
    <mergeCell ref="U6:W6"/>
    <mergeCell ref="AD6:AE6"/>
    <mergeCell ref="AE7:AE16"/>
    <mergeCell ref="AG7:AG16"/>
    <mergeCell ref="Y7:Y16"/>
    <mergeCell ref="S78:S79"/>
    <mergeCell ref="T78:T79"/>
    <mergeCell ref="U78:U79"/>
    <mergeCell ref="V78:V79"/>
    <mergeCell ref="W78:W79"/>
    <mergeCell ref="X78:X79"/>
    <mergeCell ref="Y78:Y79"/>
    <mergeCell ref="Z78:Z79"/>
    <mergeCell ref="Z57:Z58"/>
    <mergeCell ref="Y57:Y58"/>
    <mergeCell ref="X57:X58"/>
    <mergeCell ref="T57:T58"/>
    <mergeCell ref="S57:S58"/>
    <mergeCell ref="X76:X77"/>
    <mergeCell ref="Y76:Y77"/>
    <mergeCell ref="Z76:Z77"/>
    <mergeCell ref="V76:V77"/>
    <mergeCell ref="W76:W77"/>
    <mergeCell ref="W57:W58"/>
    <mergeCell ref="V57:V58"/>
    <mergeCell ref="U57:U58"/>
    <mergeCell ref="AK13:AM13"/>
    <mergeCell ref="AN13:AP13"/>
    <mergeCell ref="AG57:AG58"/>
    <mergeCell ref="AE57:AE58"/>
    <mergeCell ref="AQ17:AS17"/>
    <mergeCell ref="AT17:AV17"/>
    <mergeCell ref="AR67:AT67"/>
    <mergeCell ref="AU67:AW67"/>
    <mergeCell ref="AR68:AT68"/>
    <mergeCell ref="AK17:AM17"/>
    <mergeCell ref="AN17:AP17"/>
    <mergeCell ref="H6:H16"/>
    <mergeCell ref="B59:C59"/>
    <mergeCell ref="B18:C18"/>
    <mergeCell ref="D78:Q79"/>
    <mergeCell ref="Q6:Q16"/>
    <mergeCell ref="S7:S16"/>
    <mergeCell ref="S76:S77"/>
    <mergeCell ref="AD76:AD77"/>
    <mergeCell ref="AB7:AB16"/>
    <mergeCell ref="O6:O16"/>
    <mergeCell ref="P6:P16"/>
    <mergeCell ref="U76:U77"/>
    <mergeCell ref="AD57:AD58"/>
    <mergeCell ref="AB57:AB58"/>
    <mergeCell ref="AC57:AC58"/>
    <mergeCell ref="AA57:AA58"/>
    <mergeCell ref="T7:T16"/>
    <mergeCell ref="U7:U16"/>
    <mergeCell ref="V7:V16"/>
    <mergeCell ref="W7:W16"/>
    <mergeCell ref="X7:X16"/>
    <mergeCell ref="Z7:Z16"/>
    <mergeCell ref="AA7:AA16"/>
    <mergeCell ref="AC7:AC16"/>
    <mergeCell ref="B76:C79"/>
    <mergeCell ref="B57:Q58"/>
    <mergeCell ref="AF7:AF16"/>
    <mergeCell ref="AF57:AF58"/>
    <mergeCell ref="AF76:AF77"/>
    <mergeCell ref="AF78:AF79"/>
    <mergeCell ref="D76:Q77"/>
    <mergeCell ref="AB6:AC6"/>
    <mergeCell ref="T76:T77"/>
    <mergeCell ref="B63:C63"/>
    <mergeCell ref="I6:I16"/>
    <mergeCell ref="J6:J16"/>
    <mergeCell ref="K6:K16"/>
    <mergeCell ref="L6:L16"/>
    <mergeCell ref="M6:M16"/>
    <mergeCell ref="N6:N16"/>
    <mergeCell ref="R76:R77"/>
    <mergeCell ref="B67:C67"/>
    <mergeCell ref="B37:C37"/>
    <mergeCell ref="B6:C16"/>
    <mergeCell ref="D6:D17"/>
    <mergeCell ref="E6:E17"/>
    <mergeCell ref="F6:F17"/>
    <mergeCell ref="G6:G17"/>
  </mergeCells>
  <dataValidations count="1">
    <dataValidation type="list" allowBlank="1" showInputMessage="1" showErrorMessage="1" sqref="E60:F61 E18:F56 E64:F70">
      <formula1>$AI$2:$AI$7</formula1>
    </dataValidation>
  </dataValidations>
  <printOptions horizontalCentered="1" verticalCentered="1"/>
  <pageMargins left="0.73" right="0.75" top="0.66" bottom="0.4" header="0.65" footer="0.25"/>
  <pageSetup paperSize="17" scale="53" orientation="landscape" r:id="rId2"/>
  <headerFooter scaleWithDoc="0" alignWithMargins="0">
    <oddHeader>&amp;LHAN-75-14.39</oddHeader>
    <oddFooter>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37"/>
  <sheetViews>
    <sheetView view="pageBreakPreview" zoomScaleNormal="80" zoomScaleSheetLayoutView="100" workbookViewId="0">
      <pane xSplit="4" ySplit="17" topLeftCell="E44" activePane="bottomRight" state="frozen"/>
      <selection pane="topRight" activeCell="E1" sqref="E1"/>
      <selection pane="bottomLeft" activeCell="A14" sqref="A14"/>
      <selection pane="bottomRight" activeCell="AB66" sqref="AB66:AB67"/>
    </sheetView>
  </sheetViews>
  <sheetFormatPr defaultRowHeight="12.75" x14ac:dyDescent="0.2"/>
  <cols>
    <col min="1" max="1" width="10.42578125" style="1" bestFit="1" customWidth="1"/>
    <col min="2" max="3" width="17.7109375" style="21" customWidth="1"/>
    <col min="4" max="4" width="8.5703125" style="1" customWidth="1"/>
    <col min="5" max="7" width="9.7109375" style="1" hidden="1" customWidth="1"/>
    <col min="8" max="12" width="8.5703125" style="1" hidden="1" customWidth="1"/>
    <col min="13" max="14" width="9.28515625" style="8" customWidth="1"/>
    <col min="15" max="15" width="10.7109375" style="20" customWidth="1"/>
    <col min="16" max="16" width="10" style="20" customWidth="1"/>
    <col min="17" max="17" width="10.7109375" style="20" customWidth="1"/>
    <col min="18" max="18" width="10.7109375" style="94" customWidth="1"/>
    <col min="19" max="19" width="9.7109375" style="94" customWidth="1"/>
    <col min="20" max="22" width="9.7109375" style="11" customWidth="1"/>
    <col min="23" max="27" width="9.7109375" style="8" customWidth="1"/>
    <col min="28" max="28" width="9.7109375" style="87" customWidth="1"/>
    <col min="29" max="29" width="9.7109375" style="15" customWidth="1"/>
    <col min="30" max="30" width="9.140625" style="90" customWidth="1"/>
    <col min="31" max="31" width="11.85546875" style="81" bestFit="1" customWidth="1"/>
    <col min="32" max="32" width="9.85546875" style="1" bestFit="1" customWidth="1"/>
    <col min="33" max="37" width="9.140625" style="1"/>
    <col min="38" max="38" width="9.140625" style="1" customWidth="1"/>
    <col min="39" max="16384" width="9.140625" style="1"/>
  </cols>
  <sheetData>
    <row r="1" spans="2:44" s="15" customFormat="1" ht="13.5" thickBot="1" x14ac:dyDescent="0.25">
      <c r="B1" s="23"/>
      <c r="C1" s="23"/>
      <c r="M1" s="11"/>
      <c r="N1" s="11"/>
      <c r="O1" s="43"/>
      <c r="P1" s="43"/>
      <c r="Q1" s="43"/>
      <c r="R1" s="105"/>
      <c r="S1" s="105"/>
      <c r="T1" s="11"/>
      <c r="U1" s="11">
        <v>12</v>
      </c>
      <c r="V1" s="11"/>
      <c r="W1" s="11">
        <v>11.5</v>
      </c>
      <c r="X1" s="11">
        <v>6</v>
      </c>
      <c r="Y1" s="31">
        <v>5.5E-2</v>
      </c>
      <c r="Z1" s="11">
        <v>1.5</v>
      </c>
      <c r="AA1" s="11">
        <v>1.75</v>
      </c>
      <c r="AB1" s="88">
        <v>6</v>
      </c>
      <c r="AD1" s="90"/>
      <c r="AE1" s="90"/>
    </row>
    <row r="2" spans="2:44" s="90" customFormat="1" x14ac:dyDescent="0.2">
      <c r="B2" s="97"/>
      <c r="C2" s="97"/>
      <c r="M2" s="88"/>
      <c r="N2" s="88"/>
      <c r="O2" s="105"/>
      <c r="P2" s="105"/>
      <c r="Q2" s="105"/>
      <c r="R2" s="105"/>
      <c r="S2" s="105"/>
      <c r="W2" s="146"/>
      <c r="X2" s="145" t="s">
        <v>35</v>
      </c>
      <c r="Y2" s="168" t="s">
        <v>144</v>
      </c>
      <c r="Z2" s="168"/>
      <c r="AA2" s="170"/>
      <c r="AB2" s="170" t="s">
        <v>34</v>
      </c>
      <c r="AC2" s="211">
        <v>41920</v>
      </c>
      <c r="AE2" s="224" t="s">
        <v>101</v>
      </c>
      <c r="AF2" s="61"/>
      <c r="AG2" s="224" t="s">
        <v>103</v>
      </c>
      <c r="AH2" s="219" t="s">
        <v>202</v>
      </c>
    </row>
    <row r="3" spans="2:44" s="90" customFormat="1" x14ac:dyDescent="0.2">
      <c r="B3" s="97"/>
      <c r="C3" s="97"/>
      <c r="M3" s="88"/>
      <c r="N3" s="88"/>
      <c r="O3" s="105"/>
      <c r="P3" s="105"/>
      <c r="Q3" s="105"/>
      <c r="R3" s="105"/>
      <c r="S3" s="105"/>
      <c r="W3" s="517"/>
      <c r="X3" s="518" t="s">
        <v>36</v>
      </c>
      <c r="Y3" s="519" t="s">
        <v>266</v>
      </c>
      <c r="Z3" s="519"/>
      <c r="AA3" s="520"/>
      <c r="AB3" s="520" t="s">
        <v>34</v>
      </c>
      <c r="AC3" s="521">
        <v>41926</v>
      </c>
      <c r="AE3" s="225" t="s">
        <v>102</v>
      </c>
      <c r="AF3" s="61"/>
      <c r="AG3" s="225" t="s">
        <v>104</v>
      </c>
      <c r="AH3" s="106" t="s">
        <v>203</v>
      </c>
    </row>
    <row r="4" spans="2:44" s="90" customFormat="1" ht="13.5" thickBot="1" x14ac:dyDescent="0.25">
      <c r="B4" s="97"/>
      <c r="C4" s="97"/>
      <c r="M4" s="88"/>
      <c r="N4" s="88"/>
      <c r="O4" s="105"/>
      <c r="P4" s="105"/>
      <c r="Q4" s="105"/>
      <c r="R4" s="105"/>
      <c r="S4" s="105"/>
      <c r="W4" s="522"/>
      <c r="X4" s="523" t="s">
        <v>280</v>
      </c>
      <c r="Y4" s="216" t="s">
        <v>266</v>
      </c>
      <c r="Z4" s="216"/>
      <c r="AA4" s="217"/>
      <c r="AB4" s="217" t="s">
        <v>34</v>
      </c>
      <c r="AC4" s="459">
        <v>42598</v>
      </c>
      <c r="AE4" s="225"/>
      <c r="AF4" s="116"/>
      <c r="AG4" s="225"/>
      <c r="AH4" s="106"/>
    </row>
    <row r="5" spans="2:44" s="90" customFormat="1" ht="13.5" thickBot="1" x14ac:dyDescent="0.25">
      <c r="B5" s="97"/>
      <c r="C5" s="97"/>
      <c r="M5" s="88"/>
      <c r="N5" s="88"/>
      <c r="O5" s="105"/>
      <c r="P5" s="105"/>
      <c r="Q5" s="105"/>
      <c r="R5" s="105"/>
      <c r="S5" s="105"/>
      <c r="T5" s="88"/>
      <c r="U5" s="88"/>
      <c r="V5" s="88"/>
      <c r="W5" s="88"/>
      <c r="X5" s="88"/>
      <c r="Y5" s="88"/>
      <c r="Z5" s="88"/>
      <c r="AA5" s="88"/>
      <c r="AB5" s="88"/>
      <c r="AE5" s="225" t="s">
        <v>107</v>
      </c>
      <c r="AF5" s="61"/>
      <c r="AG5" s="225" t="s">
        <v>109</v>
      </c>
      <c r="AH5" s="106" t="s">
        <v>204</v>
      </c>
    </row>
    <row r="6" spans="2:44" s="16" customFormat="1" ht="12.75" customHeight="1" x14ac:dyDescent="0.2">
      <c r="B6" s="657" t="s">
        <v>1</v>
      </c>
      <c r="C6" s="658"/>
      <c r="D6" s="653" t="s">
        <v>0</v>
      </c>
      <c r="E6" s="667" t="s">
        <v>99</v>
      </c>
      <c r="F6" s="667" t="s">
        <v>100</v>
      </c>
      <c r="G6" s="667" t="s">
        <v>106</v>
      </c>
      <c r="H6" s="667" t="s">
        <v>190</v>
      </c>
      <c r="I6" s="709" t="s">
        <v>31</v>
      </c>
      <c r="J6" s="667" t="s">
        <v>46</v>
      </c>
      <c r="K6" s="667" t="s">
        <v>111</v>
      </c>
      <c r="L6" s="667" t="s">
        <v>47</v>
      </c>
      <c r="M6" s="663" t="s">
        <v>4</v>
      </c>
      <c r="N6" s="663" t="s">
        <v>21</v>
      </c>
      <c r="O6" s="717" t="s">
        <v>17</v>
      </c>
      <c r="P6" s="717" t="s">
        <v>20</v>
      </c>
      <c r="Q6" s="717" t="s">
        <v>14</v>
      </c>
      <c r="R6" s="500">
        <v>204</v>
      </c>
      <c r="S6" s="203">
        <v>204</v>
      </c>
      <c r="T6" s="542">
        <v>206</v>
      </c>
      <c r="U6" s="543"/>
      <c r="V6" s="543"/>
      <c r="W6" s="2">
        <v>302</v>
      </c>
      <c r="X6" s="57">
        <v>304</v>
      </c>
      <c r="Y6" s="2">
        <v>407</v>
      </c>
      <c r="Z6" s="542">
        <v>442</v>
      </c>
      <c r="AA6" s="544"/>
      <c r="AB6" s="49">
        <v>617</v>
      </c>
      <c r="AC6" s="49">
        <v>618</v>
      </c>
      <c r="AD6" s="141"/>
      <c r="AE6" s="225" t="s">
        <v>108</v>
      </c>
      <c r="AF6" s="61"/>
      <c r="AG6" s="225" t="s">
        <v>110</v>
      </c>
      <c r="AH6" s="106" t="s">
        <v>205</v>
      </c>
    </row>
    <row r="7" spans="2:44" ht="12.75" customHeight="1" thickBot="1" x14ac:dyDescent="0.25">
      <c r="B7" s="659"/>
      <c r="C7" s="660"/>
      <c r="D7" s="654"/>
      <c r="E7" s="712"/>
      <c r="F7" s="714"/>
      <c r="G7" s="714"/>
      <c r="H7" s="710"/>
      <c r="I7" s="710"/>
      <c r="J7" s="710"/>
      <c r="K7" s="710"/>
      <c r="L7" s="710"/>
      <c r="M7" s="664"/>
      <c r="N7" s="664"/>
      <c r="O7" s="718"/>
      <c r="P7" s="718"/>
      <c r="Q7" s="718"/>
      <c r="R7" s="675" t="s">
        <v>185</v>
      </c>
      <c r="S7" s="676" t="s">
        <v>7</v>
      </c>
      <c r="T7" s="676" t="s">
        <v>18</v>
      </c>
      <c r="U7" s="545" t="s">
        <v>19</v>
      </c>
      <c r="V7" s="553" t="s">
        <v>23</v>
      </c>
      <c r="W7" s="675" t="s">
        <v>186</v>
      </c>
      <c r="X7" s="676" t="s">
        <v>9</v>
      </c>
      <c r="Y7" s="675" t="s">
        <v>279</v>
      </c>
      <c r="Z7" s="724" t="s">
        <v>25</v>
      </c>
      <c r="AA7" s="724" t="s">
        <v>26</v>
      </c>
      <c r="AB7" s="675" t="s">
        <v>282</v>
      </c>
      <c r="AC7" s="675" t="s">
        <v>276</v>
      </c>
      <c r="AD7" s="166"/>
      <c r="AE7" s="226" t="s">
        <v>97</v>
      </c>
      <c r="AF7" s="61"/>
      <c r="AG7" s="225" t="s">
        <v>105</v>
      </c>
      <c r="AH7" s="220" t="s">
        <v>206</v>
      </c>
    </row>
    <row r="8" spans="2:44" ht="12.75" customHeight="1" thickBot="1" x14ac:dyDescent="0.25">
      <c r="B8" s="659"/>
      <c r="C8" s="660"/>
      <c r="D8" s="654"/>
      <c r="E8" s="712"/>
      <c r="F8" s="714"/>
      <c r="G8" s="714"/>
      <c r="H8" s="710"/>
      <c r="I8" s="710"/>
      <c r="J8" s="710"/>
      <c r="K8" s="710"/>
      <c r="L8" s="710"/>
      <c r="M8" s="664"/>
      <c r="N8" s="664"/>
      <c r="O8" s="718"/>
      <c r="P8" s="718"/>
      <c r="Q8" s="718"/>
      <c r="R8" s="676"/>
      <c r="S8" s="676"/>
      <c r="T8" s="676"/>
      <c r="U8" s="720"/>
      <c r="V8" s="720"/>
      <c r="W8" s="676"/>
      <c r="X8" s="676"/>
      <c r="Y8" s="676"/>
      <c r="Z8" s="560"/>
      <c r="AA8" s="560"/>
      <c r="AB8" s="676"/>
      <c r="AC8" s="676"/>
      <c r="AD8" s="142"/>
      <c r="AE8" s="142"/>
      <c r="AF8" s="61"/>
      <c r="AG8" s="226" t="s">
        <v>112</v>
      </c>
      <c r="AH8" s="220" t="s">
        <v>207</v>
      </c>
    </row>
    <row r="9" spans="2:44" ht="12.75" customHeight="1" thickBot="1" x14ac:dyDescent="0.25">
      <c r="B9" s="659"/>
      <c r="C9" s="660"/>
      <c r="D9" s="654"/>
      <c r="E9" s="712"/>
      <c r="F9" s="714"/>
      <c r="G9" s="714"/>
      <c r="H9" s="710"/>
      <c r="I9" s="710"/>
      <c r="J9" s="710"/>
      <c r="K9" s="710"/>
      <c r="L9" s="710"/>
      <c r="M9" s="664"/>
      <c r="N9" s="664"/>
      <c r="O9" s="718"/>
      <c r="P9" s="718"/>
      <c r="Q9" s="718"/>
      <c r="R9" s="676"/>
      <c r="S9" s="676"/>
      <c r="T9" s="676"/>
      <c r="U9" s="720"/>
      <c r="V9" s="720"/>
      <c r="W9" s="676"/>
      <c r="X9" s="676"/>
      <c r="Y9" s="676"/>
      <c r="Z9" s="560"/>
      <c r="AA9" s="560"/>
      <c r="AB9" s="676"/>
      <c r="AC9" s="676"/>
      <c r="AD9" s="142"/>
    </row>
    <row r="10" spans="2:44" ht="12.75" customHeight="1" thickBot="1" x14ac:dyDescent="0.25">
      <c r="B10" s="659"/>
      <c r="C10" s="660"/>
      <c r="D10" s="654"/>
      <c r="E10" s="712"/>
      <c r="F10" s="714"/>
      <c r="G10" s="714"/>
      <c r="H10" s="710"/>
      <c r="I10" s="710"/>
      <c r="J10" s="710"/>
      <c r="K10" s="710"/>
      <c r="L10" s="710"/>
      <c r="M10" s="664"/>
      <c r="N10" s="664"/>
      <c r="O10" s="718"/>
      <c r="P10" s="718"/>
      <c r="Q10" s="718"/>
      <c r="R10" s="676"/>
      <c r="S10" s="676"/>
      <c r="T10" s="676"/>
      <c r="U10" s="720"/>
      <c r="V10" s="720"/>
      <c r="W10" s="676"/>
      <c r="X10" s="676"/>
      <c r="Y10" s="676"/>
      <c r="Z10" s="560"/>
      <c r="AA10" s="560"/>
      <c r="AB10" s="676"/>
      <c r="AC10" s="676"/>
      <c r="AD10" s="142"/>
      <c r="AE10" s="697" t="s">
        <v>201</v>
      </c>
      <c r="AF10" s="698"/>
      <c r="AG10" s="698"/>
      <c r="AH10" s="698"/>
      <c r="AI10" s="698"/>
      <c r="AJ10" s="698"/>
      <c r="AK10" s="698"/>
      <c r="AL10" s="698"/>
      <c r="AM10" s="698"/>
      <c r="AN10" s="698"/>
      <c r="AO10" s="698"/>
      <c r="AP10" s="698"/>
      <c r="AQ10" s="698"/>
      <c r="AR10" s="699"/>
    </row>
    <row r="11" spans="2:44" ht="12.75" customHeight="1" x14ac:dyDescent="0.2">
      <c r="B11" s="659"/>
      <c r="C11" s="660"/>
      <c r="D11" s="654"/>
      <c r="E11" s="712"/>
      <c r="F11" s="714"/>
      <c r="G11" s="714"/>
      <c r="H11" s="710"/>
      <c r="I11" s="710"/>
      <c r="J11" s="710"/>
      <c r="K11" s="710"/>
      <c r="L11" s="710"/>
      <c r="M11" s="664"/>
      <c r="N11" s="664"/>
      <c r="O11" s="718"/>
      <c r="P11" s="718"/>
      <c r="Q11" s="718"/>
      <c r="R11" s="676"/>
      <c r="S11" s="676"/>
      <c r="T11" s="676"/>
      <c r="U11" s="720"/>
      <c r="V11" s="720"/>
      <c r="W11" s="676"/>
      <c r="X11" s="676"/>
      <c r="Y11" s="676"/>
      <c r="Z11" s="560"/>
      <c r="AA11" s="560"/>
      <c r="AB11" s="676"/>
      <c r="AC11" s="676"/>
      <c r="AD11" s="142"/>
      <c r="AE11" s="671" t="s">
        <v>208</v>
      </c>
      <c r="AF11" s="673" t="s">
        <v>214</v>
      </c>
      <c r="AG11" s="704" t="s">
        <v>189</v>
      </c>
      <c r="AH11" s="681"/>
      <c r="AI11" s="705"/>
      <c r="AJ11" s="680" t="s">
        <v>44</v>
      </c>
      <c r="AK11" s="681"/>
      <c r="AL11" s="705"/>
      <c r="AM11" s="680" t="s">
        <v>45</v>
      </c>
      <c r="AN11" s="681"/>
      <c r="AO11" s="705"/>
      <c r="AP11" s="680" t="s">
        <v>48</v>
      </c>
      <c r="AQ11" s="681"/>
      <c r="AR11" s="682"/>
    </row>
    <row r="12" spans="2:44" ht="12.75" customHeight="1" thickBot="1" x14ac:dyDescent="0.25">
      <c r="B12" s="659"/>
      <c r="C12" s="660"/>
      <c r="D12" s="654"/>
      <c r="E12" s="712"/>
      <c r="F12" s="714"/>
      <c r="G12" s="714"/>
      <c r="H12" s="710"/>
      <c r="I12" s="710"/>
      <c r="J12" s="710"/>
      <c r="K12" s="710"/>
      <c r="L12" s="710"/>
      <c r="M12" s="664"/>
      <c r="N12" s="664"/>
      <c r="O12" s="718"/>
      <c r="P12" s="718"/>
      <c r="Q12" s="718"/>
      <c r="R12" s="676"/>
      <c r="S12" s="676"/>
      <c r="T12" s="676"/>
      <c r="U12" s="720"/>
      <c r="V12" s="720"/>
      <c r="W12" s="676"/>
      <c r="X12" s="676"/>
      <c r="Y12" s="676"/>
      <c r="Z12" s="560"/>
      <c r="AA12" s="560"/>
      <c r="AB12" s="676"/>
      <c r="AC12" s="676"/>
      <c r="AD12" s="142"/>
      <c r="AE12" s="672"/>
      <c r="AF12" s="674"/>
      <c r="AG12" s="683" t="s">
        <v>209</v>
      </c>
      <c r="AH12" s="684"/>
      <c r="AI12" s="685"/>
      <c r="AJ12" s="686" t="s">
        <v>210</v>
      </c>
      <c r="AK12" s="684"/>
      <c r="AL12" s="685"/>
      <c r="AM12" s="686" t="s">
        <v>210</v>
      </c>
      <c r="AN12" s="684"/>
      <c r="AO12" s="685"/>
      <c r="AP12" s="686" t="s">
        <v>210</v>
      </c>
      <c r="AQ12" s="684"/>
      <c r="AR12" s="687"/>
    </row>
    <row r="13" spans="2:44" ht="12.75" customHeight="1" x14ac:dyDescent="0.2">
      <c r="B13" s="659"/>
      <c r="C13" s="660"/>
      <c r="D13" s="654"/>
      <c r="E13" s="712"/>
      <c r="F13" s="714"/>
      <c r="G13" s="714"/>
      <c r="H13" s="710"/>
      <c r="I13" s="710"/>
      <c r="J13" s="710"/>
      <c r="K13" s="710"/>
      <c r="L13" s="710"/>
      <c r="M13" s="664"/>
      <c r="N13" s="664"/>
      <c r="O13" s="718"/>
      <c r="P13" s="718"/>
      <c r="Q13" s="718"/>
      <c r="R13" s="676"/>
      <c r="S13" s="676"/>
      <c r="T13" s="676"/>
      <c r="U13" s="720"/>
      <c r="V13" s="720"/>
      <c r="W13" s="676"/>
      <c r="X13" s="676"/>
      <c r="Y13" s="676"/>
      <c r="Z13" s="560"/>
      <c r="AA13" s="560"/>
      <c r="AB13" s="676"/>
      <c r="AC13" s="676"/>
      <c r="AD13" s="142"/>
      <c r="AE13" s="222" t="s">
        <v>101</v>
      </c>
      <c r="AF13" s="104" t="s">
        <v>211</v>
      </c>
      <c r="AG13" s="695">
        <v>1.5</v>
      </c>
      <c r="AH13" s="617"/>
      <c r="AI13" s="618"/>
      <c r="AJ13" s="616">
        <v>0.56999999999999995</v>
      </c>
      <c r="AK13" s="617"/>
      <c r="AL13" s="618"/>
      <c r="AM13" s="616">
        <v>0.67</v>
      </c>
      <c r="AN13" s="617"/>
      <c r="AO13" s="618"/>
      <c r="AP13" s="616" t="s">
        <v>97</v>
      </c>
      <c r="AQ13" s="617"/>
      <c r="AR13" s="694"/>
    </row>
    <row r="14" spans="2:44" ht="12.75" customHeight="1" x14ac:dyDescent="0.2">
      <c r="B14" s="659"/>
      <c r="C14" s="660"/>
      <c r="D14" s="654"/>
      <c r="E14" s="712"/>
      <c r="F14" s="714"/>
      <c r="G14" s="714"/>
      <c r="H14" s="710"/>
      <c r="I14" s="710"/>
      <c r="J14" s="710"/>
      <c r="K14" s="710"/>
      <c r="L14" s="710"/>
      <c r="M14" s="664"/>
      <c r="N14" s="664"/>
      <c r="O14" s="718"/>
      <c r="P14" s="718"/>
      <c r="Q14" s="718"/>
      <c r="R14" s="676"/>
      <c r="S14" s="676"/>
      <c r="T14" s="676"/>
      <c r="U14" s="720"/>
      <c r="V14" s="720"/>
      <c r="W14" s="676"/>
      <c r="X14" s="676"/>
      <c r="Y14" s="676"/>
      <c r="Z14" s="560"/>
      <c r="AA14" s="560"/>
      <c r="AB14" s="676"/>
      <c r="AC14" s="676"/>
      <c r="AD14" s="142"/>
      <c r="AE14" s="221" t="s">
        <v>102</v>
      </c>
      <c r="AF14" s="103" t="s">
        <v>212</v>
      </c>
      <c r="AG14" s="688">
        <v>2</v>
      </c>
      <c r="AH14" s="689"/>
      <c r="AI14" s="690"/>
      <c r="AJ14" s="691"/>
      <c r="AK14" s="692"/>
      <c r="AL14" s="693"/>
      <c r="AM14" s="691">
        <v>0.98</v>
      </c>
      <c r="AN14" s="692"/>
      <c r="AO14" s="693"/>
      <c r="AP14" s="616" t="s">
        <v>97</v>
      </c>
      <c r="AQ14" s="617"/>
      <c r="AR14" s="694"/>
    </row>
    <row r="15" spans="2:44" ht="12.75" customHeight="1" x14ac:dyDescent="0.2">
      <c r="B15" s="659"/>
      <c r="C15" s="660"/>
      <c r="D15" s="654"/>
      <c r="E15" s="712"/>
      <c r="F15" s="714"/>
      <c r="G15" s="714"/>
      <c r="H15" s="710"/>
      <c r="I15" s="710"/>
      <c r="J15" s="710"/>
      <c r="K15" s="710"/>
      <c r="L15" s="710"/>
      <c r="M15" s="664"/>
      <c r="N15" s="664"/>
      <c r="O15" s="718"/>
      <c r="P15" s="718"/>
      <c r="Q15" s="718"/>
      <c r="R15" s="676"/>
      <c r="S15" s="676"/>
      <c r="T15" s="676"/>
      <c r="U15" s="720"/>
      <c r="V15" s="720"/>
      <c r="W15" s="676"/>
      <c r="X15" s="676"/>
      <c r="Y15" s="676"/>
      <c r="Z15" s="560"/>
      <c r="AA15" s="560"/>
      <c r="AB15" s="676"/>
      <c r="AC15" s="676"/>
      <c r="AD15" s="142"/>
      <c r="AE15" s="221" t="s">
        <v>107</v>
      </c>
      <c r="AF15" s="103" t="s">
        <v>213</v>
      </c>
      <c r="AG15" s="688" t="s">
        <v>97</v>
      </c>
      <c r="AH15" s="689"/>
      <c r="AI15" s="690"/>
      <c r="AJ15" s="691" t="s">
        <v>97</v>
      </c>
      <c r="AK15" s="692"/>
      <c r="AL15" s="693"/>
      <c r="AM15" s="691" t="s">
        <v>97</v>
      </c>
      <c r="AN15" s="692"/>
      <c r="AO15" s="693"/>
      <c r="AP15" s="616">
        <v>-0.18</v>
      </c>
      <c r="AQ15" s="617"/>
      <c r="AR15" s="694"/>
    </row>
    <row r="16" spans="2:44" ht="12.75" customHeight="1" x14ac:dyDescent="0.2">
      <c r="B16" s="659"/>
      <c r="C16" s="660"/>
      <c r="D16" s="654"/>
      <c r="E16" s="712"/>
      <c r="F16" s="714"/>
      <c r="G16" s="714"/>
      <c r="H16" s="710"/>
      <c r="I16" s="710"/>
      <c r="J16" s="710"/>
      <c r="K16" s="710"/>
      <c r="L16" s="710"/>
      <c r="M16" s="665"/>
      <c r="N16" s="665"/>
      <c r="O16" s="719"/>
      <c r="P16" s="719"/>
      <c r="Q16" s="719"/>
      <c r="R16" s="676"/>
      <c r="S16" s="676"/>
      <c r="T16" s="676"/>
      <c r="U16" s="721"/>
      <c r="V16" s="721"/>
      <c r="W16" s="676"/>
      <c r="X16" s="676"/>
      <c r="Y16" s="676"/>
      <c r="Z16" s="561"/>
      <c r="AA16" s="561"/>
      <c r="AB16" s="676"/>
      <c r="AC16" s="676"/>
      <c r="AD16" s="142"/>
      <c r="AE16" s="221" t="s">
        <v>215</v>
      </c>
      <c r="AF16" s="103" t="s">
        <v>211</v>
      </c>
      <c r="AG16" s="695">
        <v>4.33</v>
      </c>
      <c r="AH16" s="617"/>
      <c r="AI16" s="618"/>
      <c r="AJ16" s="616">
        <v>3.29</v>
      </c>
      <c r="AK16" s="617"/>
      <c r="AL16" s="618"/>
      <c r="AM16" s="616">
        <v>2.09</v>
      </c>
      <c r="AN16" s="617"/>
      <c r="AO16" s="618"/>
      <c r="AP16" s="616">
        <v>0.42</v>
      </c>
      <c r="AQ16" s="617"/>
      <c r="AR16" s="694"/>
    </row>
    <row r="17" spans="1:44" ht="12.75" customHeight="1" thickBot="1" x14ac:dyDescent="0.25">
      <c r="B17" s="24" t="s">
        <v>2</v>
      </c>
      <c r="C17" s="25" t="s">
        <v>3</v>
      </c>
      <c r="D17" s="711"/>
      <c r="E17" s="713"/>
      <c r="F17" s="715"/>
      <c r="G17" s="715"/>
      <c r="H17" s="5" t="s">
        <v>5</v>
      </c>
      <c r="I17" s="5" t="s">
        <v>12</v>
      </c>
      <c r="J17" s="5" t="s">
        <v>12</v>
      </c>
      <c r="K17" s="9" t="s">
        <v>12</v>
      </c>
      <c r="L17" s="9" t="s">
        <v>12</v>
      </c>
      <c r="M17" s="5" t="s">
        <v>5</v>
      </c>
      <c r="N17" s="5" t="s">
        <v>5</v>
      </c>
      <c r="O17" s="73" t="s">
        <v>6</v>
      </c>
      <c r="P17" s="73" t="s">
        <v>6</v>
      </c>
      <c r="Q17" s="73" t="s">
        <v>6</v>
      </c>
      <c r="R17" s="84" t="s">
        <v>10</v>
      </c>
      <c r="S17" s="5" t="s">
        <v>11</v>
      </c>
      <c r="T17" s="5" t="s">
        <v>10</v>
      </c>
      <c r="U17" s="5" t="s">
        <v>10</v>
      </c>
      <c r="V17" s="5" t="s">
        <v>22</v>
      </c>
      <c r="W17" s="5" t="s">
        <v>12</v>
      </c>
      <c r="X17" s="5" t="s">
        <v>12</v>
      </c>
      <c r="Y17" s="5" t="s">
        <v>13</v>
      </c>
      <c r="Z17" s="5" t="s">
        <v>12</v>
      </c>
      <c r="AA17" s="5" t="s">
        <v>12</v>
      </c>
      <c r="AB17" s="458" t="s">
        <v>12</v>
      </c>
      <c r="AC17" s="5" t="s">
        <v>5</v>
      </c>
      <c r="AD17" s="143"/>
      <c r="AE17" s="223" t="s">
        <v>216</v>
      </c>
      <c r="AF17" s="158" t="s">
        <v>211</v>
      </c>
      <c r="AG17" s="677">
        <v>3.67</v>
      </c>
      <c r="AH17" s="678"/>
      <c r="AI17" s="679"/>
      <c r="AJ17" s="696">
        <v>2.65</v>
      </c>
      <c r="AK17" s="678"/>
      <c r="AL17" s="679"/>
      <c r="AM17" s="696">
        <v>1.75</v>
      </c>
      <c r="AN17" s="678"/>
      <c r="AO17" s="679"/>
      <c r="AP17" s="696">
        <v>0.32</v>
      </c>
      <c r="AQ17" s="678"/>
      <c r="AR17" s="701"/>
    </row>
    <row r="18" spans="1:44" ht="12.75" customHeight="1" x14ac:dyDescent="0.2">
      <c r="B18" s="661" t="s">
        <v>65</v>
      </c>
      <c r="C18" s="662"/>
      <c r="D18" s="28"/>
      <c r="E18" s="28"/>
      <c r="F18" s="28"/>
      <c r="G18" s="28"/>
      <c r="H18" s="28"/>
      <c r="I18" s="28"/>
      <c r="J18" s="28"/>
      <c r="K18" s="28"/>
      <c r="L18" s="28"/>
      <c r="M18" s="29"/>
      <c r="N18" s="29"/>
      <c r="O18" s="74"/>
      <c r="P18" s="74"/>
      <c r="Q18" s="74"/>
      <c r="R18" s="118"/>
      <c r="S18" s="118"/>
      <c r="T18" s="29"/>
      <c r="U18" s="29"/>
      <c r="V18" s="30"/>
      <c r="W18" s="29"/>
      <c r="X18" s="29"/>
      <c r="Y18" s="29"/>
      <c r="Z18" s="29"/>
      <c r="AA18" s="29"/>
      <c r="AB18" s="101"/>
      <c r="AC18" s="50"/>
      <c r="AD18" s="120"/>
      <c r="AE18" s="1"/>
    </row>
    <row r="19" spans="1:44" ht="12.75" customHeight="1" x14ac:dyDescent="0.2">
      <c r="B19" s="335">
        <v>76998.59</v>
      </c>
      <c r="C19" s="336">
        <v>77149.119999999995</v>
      </c>
      <c r="D19" s="337" t="s">
        <v>30</v>
      </c>
      <c r="E19" s="337" t="s">
        <v>108</v>
      </c>
      <c r="F19" s="337" t="s">
        <v>101</v>
      </c>
      <c r="G19" s="47" t="str">
        <f t="shared" ref="G19:G24" si="0">IF(AND($E19=$AE$2,$F19=$AE$2),$AG$2,IF(OR(AND($E19=$AE$2,$F19=$AE$3),AND($E19=$AE$3,$F19=$AE$2)),$AG$3,IF(OR(AND($E19=$AE$2,$F19=$AE$5),AND($E19=$AE$5,$F19=$AE$2)),$AG$5,IF(OR(AND($E19=$AE$3,$F19=$AE$5),AND($E19=$AE$5,$F19=$AE$3)),$AG$6,IF(AND($E19=$AE$3,$F19=$AE$3),$AG$7,IF(AND($E19=$AE$5,$F19=$AE$5),$AG$8,"-"))))))</f>
        <v>-</v>
      </c>
      <c r="H19" s="339">
        <v>5.83</v>
      </c>
      <c r="I19" s="338">
        <v>21.52</v>
      </c>
      <c r="J19" s="338">
        <v>15.39</v>
      </c>
      <c r="K19" s="338">
        <v>0</v>
      </c>
      <c r="L19" s="338">
        <v>2.34</v>
      </c>
      <c r="M19" s="4">
        <f>C19-B19</f>
        <v>150.52999999999884</v>
      </c>
      <c r="N19" s="342">
        <v>27</v>
      </c>
      <c r="O19" s="76">
        <f>IF(N19="-",0,ROUNDUP($M19*N19,0))</f>
        <v>4065</v>
      </c>
      <c r="P19" s="344">
        <v>0</v>
      </c>
      <c r="Q19" s="75">
        <f t="shared" ref="Q19:Q64" si="1">SUM(O19:P19)</f>
        <v>4065</v>
      </c>
      <c r="R19" s="480">
        <f>IF(OR($A19="APP SLAB",Q19=0),0,($Q19+$H19*$M19)/9)</f>
        <v>549.17665555555482</v>
      </c>
      <c r="S19" s="210">
        <f>IF(AND(R19=0,U19=0),0,IF(U19=0,R19/2000,U19/2000))</f>
        <v>0.27458832777777742</v>
      </c>
      <c r="T19" s="85">
        <f t="shared" ref="T19:T24" si="2">IF(A19="APP SLAB",0,U19)</f>
        <v>0</v>
      </c>
      <c r="U19" s="135">
        <f>IF(OR(A19="APP SLAB",R19&lt;&gt;0),0,(Q19+H19*M19)/9)</f>
        <v>0</v>
      </c>
      <c r="V19" s="85">
        <f t="shared" ref="V19:V24" si="3">IF(A19="APP SLAB",0,$U$1*U19*110*0.06*0.75/2000)</f>
        <v>0</v>
      </c>
      <c r="W19" s="34">
        <f t="shared" ref="W19:W24" si="4">IF(A19="APP SLAB",0,(Q19*$W$1/12)/27+I19)</f>
        <v>165.80240740740743</v>
      </c>
      <c r="X19" s="83">
        <f t="shared" ref="X19:X24" si="5">(Q19*$X$1/12)/27+J19</f>
        <v>90.667777777777772</v>
      </c>
      <c r="Y19" s="6">
        <f t="shared" ref="Y19:Y24" si="6">IF(A19="APP SLAB",0,(Q19/9)*$Y$1)</f>
        <v>24.841666666666669</v>
      </c>
      <c r="Z19" s="4">
        <f t="shared" ref="Z19:Z24" si="7">IF(A19="APP SLAB",0,(Q19*($Z$1/12))/27+K19)</f>
        <v>18.819444444444443</v>
      </c>
      <c r="AA19" s="4">
        <f t="shared" ref="AA19:AA24" si="8">IF(A19="APP SLAB",0,(Q19*$AA$1/12)/27+L19)</f>
        <v>24.296018518518519</v>
      </c>
      <c r="AB19" s="454">
        <f>IF(AND($E19=$F19="Uncurbed"),(2*$M19*2*$AB$1/12)/27,IF(OR($E19="Uncurbed",$F19="Uncurbed"),($M19*2*$AB$1/12)/27,IF(OR(AND($E19="Med. Barr.",$F19="Curbed"),AND($E19="Curbed",$F19="Med. Barr."),$E19=$F19,$E19="Unique",$F19="Unique",$E19="-",$F19="-"),0,"?")))</f>
        <v>5.5751851851851422</v>
      </c>
      <c r="AC19" s="6">
        <f>IF($A19="APP SLAB",0,($M19*2))</f>
        <v>301.05999999999767</v>
      </c>
      <c r="AD19" s="10"/>
      <c r="AE19" s="1"/>
    </row>
    <row r="20" spans="1:44" ht="12.75" customHeight="1" x14ac:dyDescent="0.2">
      <c r="B20" s="335">
        <v>77149.119999999995</v>
      </c>
      <c r="C20" s="336">
        <v>77700</v>
      </c>
      <c r="D20" s="337" t="s">
        <v>30</v>
      </c>
      <c r="E20" s="337" t="s">
        <v>101</v>
      </c>
      <c r="F20" s="337" t="s">
        <v>101</v>
      </c>
      <c r="G20" s="103" t="str">
        <f t="shared" si="0"/>
        <v>E/S - E/S</v>
      </c>
      <c r="H20" s="26">
        <f>IF(AND($E20=$AE$2,$F20=$AE$2),2*$AG$13,IF(OR(AND($E20=$AE$2, $F20=$AE$3),AND($E20=$AE$3,$F20=$AE$2)),$AG$13+$AG$14,IF(OR(AND($E20=$AE$2,$F20=$AE$5),AND($E20=$AE$5,$F20=$AE$2)),$AG$13,IF(OR(AND($E20=$AE$3,$F20=$AE$5),AND($E20=$AE$5,$F20=$AE$3)),$AG$14,IF(AND($E20=$AE$3,$F20=$AE$3),2*$AG$14,0)))))</f>
        <v>3</v>
      </c>
      <c r="I20" s="27">
        <f>IF(AND($E20=$AE$2,$F20=$AE$2),2*$AJ$13*$M20/27,IF(OR(AND($E20=$AE$2,$F20=$AE$3),AND($E20=$AE$3,$F20=$AE$2)),$AJ$13*$M20/27,IF(OR(AND($E20=$AE$2,$F20=$AE$5),AND($E20=$AE$5,$F20=$AE$2)),$AJ$13*$M20/27,0)))</f>
        <v>23.259377777777971</v>
      </c>
      <c r="J20" s="27">
        <f>IF(AND($E20=$AE$2,$F20=$AE$2),2*$AM$13*$M20/27,IF(OR(AND($E20=$AE$2,$F20=$AE$3),AND($E20=$AE$3,$F20=$AE$2)),($AM$13+$AM$14)*$M20/27,IF(OR(AND($E20=$AE$2,$F20=$AE$5),AND($E20=$AE$5,$F20=$AE$2)),$AM$13*$M20/27,IF(OR(AND($E20=$AE$3,$F20=$AE$5),AND($E20=$AE$5,$F20=$AE$3)),$AM$14*$M20/27,IF(AND($E20=$AE$3,$F20=$AE$3),2*$AM$14*$M20/27,0)))))</f>
        <v>27.339970370370605</v>
      </c>
      <c r="K20" s="27">
        <f>IF(AND($E20=$AE$5,$F20=$AE$5),2*$AP$15*$M20/27,IF(OR($E20=$AE$5,$F20=$AE$5),$AP$15*$M20/27,0))</f>
        <v>0</v>
      </c>
      <c r="L20" s="338">
        <v>0</v>
      </c>
      <c r="M20" s="83">
        <f t="shared" ref="M20:M24" si="9">C20-B20</f>
        <v>550.88000000000466</v>
      </c>
      <c r="N20" s="342">
        <v>26</v>
      </c>
      <c r="O20" s="124">
        <f t="shared" ref="O20:O24" si="10">IF(N20="-",0,ROUNDUP($M20*N20,0))</f>
        <v>14323</v>
      </c>
      <c r="P20" s="344">
        <v>0</v>
      </c>
      <c r="Q20" s="123">
        <f t="shared" si="1"/>
        <v>14323</v>
      </c>
      <c r="R20" s="480">
        <f>IF(OR($A20="APP SLAB",Q20=0),0,($Q20+$H20*$M20)/9)</f>
        <v>1775.0711111111127</v>
      </c>
      <c r="S20" s="210">
        <f t="shared" ref="S20:S24" si="11">IF(AND(R20=0,U20=0),0,IF(U20=0,R20/2000,U20/2000))</f>
        <v>0.88753555555555641</v>
      </c>
      <c r="T20" s="85">
        <f t="shared" si="2"/>
        <v>0</v>
      </c>
      <c r="U20" s="135">
        <f>IF(OR(A20="APP SLAB",R20&lt;&gt;0),0,(Q20+H20*M20)/9)</f>
        <v>0</v>
      </c>
      <c r="V20" s="85">
        <f t="shared" si="3"/>
        <v>0</v>
      </c>
      <c r="W20" s="34">
        <f t="shared" si="4"/>
        <v>531.63746419753113</v>
      </c>
      <c r="X20" s="83">
        <f t="shared" si="5"/>
        <v>292.58071111111138</v>
      </c>
      <c r="Y20" s="85">
        <f t="shared" si="6"/>
        <v>87.529444444444437</v>
      </c>
      <c r="Z20" s="83">
        <f t="shared" si="7"/>
        <v>66.31018518518519</v>
      </c>
      <c r="AA20" s="83">
        <f t="shared" si="8"/>
        <v>77.361882716049394</v>
      </c>
      <c r="AB20" s="454">
        <f t="shared" ref="AB20:AB24" si="12">IF(AND($E20=$F20="Uncurbed"),(2*$M20*2*$AB$1/12)/27,IF(OR($E20="Uncurbed",$F20="Uncurbed"),($M20*2*$AB$1/12)/27,IF(OR(AND($E20="Med. Barr.",$F20="Curbed"),AND($E20="Curbed",$F20="Med. Barr."),$E20=$F20,$E20="Unique",$F20="Unique",$E20="-",$F20="-"),0,"?")))</f>
        <v>20.402962962963134</v>
      </c>
      <c r="AC20" s="85">
        <f>IF(A20="APP SLAB",0,(M20*2))</f>
        <v>1101.7600000000093</v>
      </c>
      <c r="AD20" s="10"/>
      <c r="AE20" s="1"/>
    </row>
    <row r="21" spans="1:44" s="81" customFormat="1" ht="12.75" customHeight="1" x14ac:dyDescent="0.2">
      <c r="B21" s="335">
        <v>77700</v>
      </c>
      <c r="C21" s="336">
        <v>77882.509999999995</v>
      </c>
      <c r="D21" s="337" t="s">
        <v>30</v>
      </c>
      <c r="E21" s="337" t="s">
        <v>101</v>
      </c>
      <c r="F21" s="337" t="s">
        <v>101</v>
      </c>
      <c r="G21" s="103" t="str">
        <f t="shared" si="0"/>
        <v>E/S - E/S</v>
      </c>
      <c r="H21" s="26">
        <f>IF(AND($E21=$AE$2,$F21=$AE$2),2*$AG$13,IF(OR(AND($E21=$AE$2, $F21=$AE$3),AND($E21=$AE$3,$F21=$AE$2)),$AG$13+$AG$14,IF(OR(AND($E21=$AE$2,$F21=$AE$5),AND($E21=$AE$5,$F21=$AE$2)),$AG$13,IF(OR(AND($E21=$AE$3,$F21=$AE$5),AND($E21=$AE$5,$F21=$AE$3)),$AG$14,IF(AND($E21=$AE$3,$F21=$AE$3),2*$AG$14,0)))))</f>
        <v>3</v>
      </c>
      <c r="I21" s="27">
        <f>IF(AND($E21=$AE$2,$F21=$AE$2),2*$AJ$13*$M21/27,IF(OR(AND($E21=$AE$2,$F21=$AE$3),AND($E21=$AE$3,$F21=$AE$2)),$AJ$13*$M21/27,IF(OR(AND($E21=$AE$2,$F21=$AE$5),AND($E21=$AE$5,$F21=$AE$2)),$AJ$13*$M21/27,0)))</f>
        <v>7.705977777777556</v>
      </c>
      <c r="J21" s="27">
        <f>IF(AND($E21=$AE$2,$F21=$AE$2),2*$AM$13*$M21/27,IF(OR(AND($E21=$AE$2,$F21=$AE$3),AND($E21=$AE$3,$F21=$AE$2)),($AM$13+$AM$14)*$M21/27,IF(OR(AND($E21=$AE$2,$F21=$AE$5),AND($E21=$AE$5,$F21=$AE$2)),$AM$13*$M21/27,IF(OR(AND($E21=$AE$3,$F21=$AE$5),AND($E21=$AE$5,$F21=$AE$3)),$AM$14*$M21/27,IF(AND($E21=$AE$3,$F21=$AE$3),2*$AM$14*$M21/27,0)))))</f>
        <v>9.0579037037034436</v>
      </c>
      <c r="K21" s="27">
        <f>IF(AND($E21=$AE$5,$F21=$AE$5),2*$AP$15*$M21/27,IF(OR($E21=$AE$5,$F21=$AE$5),$AP$15*$M21/27,0))</f>
        <v>0</v>
      </c>
      <c r="L21" s="338">
        <v>1</v>
      </c>
      <c r="M21" s="479">
        <f t="shared" ref="M21" si="13">C21-B21</f>
        <v>182.50999999999476</v>
      </c>
      <c r="N21" s="342">
        <v>26</v>
      </c>
      <c r="O21" s="124">
        <f t="shared" ref="O21" si="14">IF(N21="-",0,ROUNDUP($M21*N21,0))</f>
        <v>4746</v>
      </c>
      <c r="P21" s="344">
        <v>0</v>
      </c>
      <c r="Q21" s="123">
        <f t="shared" ref="Q21" si="15">SUM(O21:P21)</f>
        <v>4746</v>
      </c>
      <c r="R21" s="344">
        <v>0</v>
      </c>
      <c r="S21" s="210">
        <f t="shared" si="11"/>
        <v>0.29408499999999915</v>
      </c>
      <c r="T21" s="480">
        <f t="shared" si="2"/>
        <v>588.16999999999825</v>
      </c>
      <c r="U21" s="135">
        <f t="shared" ref="U21:U24" si="16">IF(OR(A21="APP SLAB",R21&lt;&gt;0),0,(Q21+H21*M21)/9)</f>
        <v>588.16999999999825</v>
      </c>
      <c r="V21" s="480">
        <f t="shared" si="3"/>
        <v>17.468648999999946</v>
      </c>
      <c r="W21" s="34">
        <f t="shared" si="4"/>
        <v>176.15968148148124</v>
      </c>
      <c r="X21" s="479">
        <f t="shared" si="5"/>
        <v>96.946792592592331</v>
      </c>
      <c r="Y21" s="480">
        <f t="shared" si="6"/>
        <v>29.003333333333334</v>
      </c>
      <c r="Z21" s="479">
        <f t="shared" si="7"/>
        <v>21.972222222222221</v>
      </c>
      <c r="AA21" s="479">
        <f t="shared" si="8"/>
        <v>26.63425925925926</v>
      </c>
      <c r="AB21" s="498">
        <f t="shared" si="12"/>
        <v>6.759629629629436</v>
      </c>
      <c r="AC21" s="480">
        <f>IF(A21="APP SLAB",0,(M21*2))</f>
        <v>365.01999999998952</v>
      </c>
      <c r="AD21" s="10"/>
    </row>
    <row r="22" spans="1:44" ht="12.75" customHeight="1" x14ac:dyDescent="0.2">
      <c r="A22" s="48"/>
      <c r="B22" s="335">
        <v>77882.509999999995</v>
      </c>
      <c r="C22" s="336">
        <v>79287.81</v>
      </c>
      <c r="D22" s="337" t="s">
        <v>15</v>
      </c>
      <c r="E22" s="337" t="s">
        <v>101</v>
      </c>
      <c r="F22" s="337" t="s">
        <v>108</v>
      </c>
      <c r="G22" s="103" t="str">
        <f t="shared" si="0"/>
        <v>-</v>
      </c>
      <c r="H22" s="339">
        <v>1.5</v>
      </c>
      <c r="I22" s="338">
        <v>29.67</v>
      </c>
      <c r="J22" s="338">
        <v>34.869999999999997</v>
      </c>
      <c r="K22" s="338">
        <v>0</v>
      </c>
      <c r="L22" s="338">
        <v>0</v>
      </c>
      <c r="M22" s="83">
        <f t="shared" si="9"/>
        <v>1405.3000000000029</v>
      </c>
      <c r="N22" s="342">
        <v>20</v>
      </c>
      <c r="O22" s="124">
        <f t="shared" si="10"/>
        <v>28107</v>
      </c>
      <c r="P22" s="344">
        <v>0</v>
      </c>
      <c r="Q22" s="123">
        <f t="shared" si="1"/>
        <v>28107</v>
      </c>
      <c r="R22" s="344">
        <v>0</v>
      </c>
      <c r="S22" s="210">
        <f t="shared" si="11"/>
        <v>1.6786083333333335</v>
      </c>
      <c r="T22" s="85">
        <f t="shared" si="2"/>
        <v>3357.2166666666672</v>
      </c>
      <c r="U22" s="135">
        <f t="shared" si="16"/>
        <v>3357.2166666666672</v>
      </c>
      <c r="V22" s="85">
        <f t="shared" si="3"/>
        <v>99.709335000000024</v>
      </c>
      <c r="W22" s="34">
        <f t="shared" si="4"/>
        <v>1027.2950000000001</v>
      </c>
      <c r="X22" s="83">
        <f t="shared" si="5"/>
        <v>555.37</v>
      </c>
      <c r="Y22" s="85">
        <f t="shared" si="6"/>
        <v>171.76500000000001</v>
      </c>
      <c r="Z22" s="83">
        <f t="shared" si="7"/>
        <v>130.125</v>
      </c>
      <c r="AA22" s="83">
        <f t="shared" si="8"/>
        <v>151.8125</v>
      </c>
      <c r="AB22" s="454">
        <f t="shared" si="12"/>
        <v>52.048148148148258</v>
      </c>
      <c r="AC22" s="85">
        <f>IF(A22="APP SLAB",0,(M22))</f>
        <v>1405.3000000000029</v>
      </c>
      <c r="AD22" s="10"/>
      <c r="AE22" s="1"/>
    </row>
    <row r="23" spans="1:44" ht="12.75" customHeight="1" x14ac:dyDescent="0.2">
      <c r="A23" s="48"/>
      <c r="B23" s="335">
        <v>77882.509999999995</v>
      </c>
      <c r="C23" s="336">
        <v>79287.81</v>
      </c>
      <c r="D23" s="337" t="s">
        <v>16</v>
      </c>
      <c r="E23" s="337" t="s">
        <v>108</v>
      </c>
      <c r="F23" s="337" t="s">
        <v>101</v>
      </c>
      <c r="G23" s="47" t="str">
        <f t="shared" si="0"/>
        <v>-</v>
      </c>
      <c r="H23" s="339">
        <v>1.5</v>
      </c>
      <c r="I23" s="338">
        <v>29.67</v>
      </c>
      <c r="J23" s="338">
        <v>34.869999999999997</v>
      </c>
      <c r="K23" s="338">
        <v>0</v>
      </c>
      <c r="L23" s="338">
        <v>0</v>
      </c>
      <c r="M23" s="83">
        <f t="shared" si="9"/>
        <v>1405.3000000000029</v>
      </c>
      <c r="N23" s="342" t="s">
        <v>97</v>
      </c>
      <c r="O23" s="124">
        <f t="shared" si="10"/>
        <v>0</v>
      </c>
      <c r="P23" s="344">
        <v>29014</v>
      </c>
      <c r="Q23" s="123">
        <f t="shared" si="1"/>
        <v>29014</v>
      </c>
      <c r="R23" s="344">
        <v>0</v>
      </c>
      <c r="S23" s="210">
        <f t="shared" si="11"/>
        <v>1.7289972222222225</v>
      </c>
      <c r="T23" s="6">
        <f t="shared" si="2"/>
        <v>3457.994444444445</v>
      </c>
      <c r="U23" s="135">
        <f t="shared" si="16"/>
        <v>3457.994444444445</v>
      </c>
      <c r="V23" s="6">
        <f t="shared" si="3"/>
        <v>102.70243500000002</v>
      </c>
      <c r="W23" s="34">
        <f t="shared" si="4"/>
        <v>1059.487901234568</v>
      </c>
      <c r="X23" s="4">
        <f t="shared" si="5"/>
        <v>572.16629629629631</v>
      </c>
      <c r="Y23" s="6">
        <f t="shared" si="6"/>
        <v>177.30777777777777</v>
      </c>
      <c r="Z23" s="4">
        <f t="shared" si="7"/>
        <v>134.32407407407408</v>
      </c>
      <c r="AA23" s="4">
        <f t="shared" si="8"/>
        <v>156.7114197530864</v>
      </c>
      <c r="AB23" s="454">
        <f t="shared" si="12"/>
        <v>52.048148148148258</v>
      </c>
      <c r="AC23" s="85">
        <f>IF(A23="APP SLAB",0,(M23))</f>
        <v>1405.3000000000029</v>
      </c>
      <c r="AD23" s="10"/>
      <c r="AE23" s="1"/>
    </row>
    <row r="24" spans="1:44" ht="12.75" customHeight="1" x14ac:dyDescent="0.2">
      <c r="B24" s="335">
        <v>79287.81</v>
      </c>
      <c r="C24" s="336">
        <v>79829.320000000007</v>
      </c>
      <c r="D24" s="337" t="s">
        <v>30</v>
      </c>
      <c r="E24" s="337" t="s">
        <v>101</v>
      </c>
      <c r="F24" s="337" t="s">
        <v>101</v>
      </c>
      <c r="G24" s="47" t="str">
        <f t="shared" si="0"/>
        <v>E/S - E/S</v>
      </c>
      <c r="H24" s="26">
        <f>IF(AND($E24=$AE$2,$F24=$AE$2),2*$AG$13,IF(OR(AND($E24=$AE$2, $F24=$AE$3),AND($E24=$AE$3,$F24=$AE$2)),$AG$13+$AG$14,IF(OR(AND($E24=$AE$2,$F24=$AE$5),AND($E24=$AE$5,$F24=$AE$2)),$AG$13,IF(OR(AND($E24=$AE$3,$F24=$AE$5),AND($E24=$AE$5,$F24=$AE$3)),$AG$14,IF(AND($E24=$AE$3,$F24=$AE$3),2*$AG$14,0)))))</f>
        <v>3</v>
      </c>
      <c r="I24" s="27">
        <f>IF(AND($E24=$AE$2,$F24=$AE$2),2*$AJ$13*$M24/27,IF(OR(AND($E24=$AE$2,$F24=$AE$3),AND($E24=$AE$3,$F24=$AE$2)),$AJ$13*$M24/27,IF(OR(AND($E24=$AE$2,$F24=$AE$5),AND($E24=$AE$5,$F24=$AE$2)),$AJ$13*$M24/27,0)))</f>
        <v>22.863755555555947</v>
      </c>
      <c r="J24" s="27">
        <f>IF(AND($E24=$AE$2,$F24=$AE$2),2*$AM$13*$M24/27,IF(OR(AND($E24=$AE$2,$F24=$AE$3),AND($E24=$AE$3,$F24=$AE$2)),($AM$13+$AM$14)*$M24/27,IF(OR(AND($E24=$AE$2,$F24=$AE$5),AND($E24=$AE$5,$F24=$AE$2)),$AM$13*$M24/27,IF(OR(AND($E24=$AE$3,$F24=$AE$5),AND($E24=$AE$5,$F24=$AE$3)),$AM$14*$M24/27,IF(AND($E24=$AE$3,$F24=$AE$3),2*$AM$14*$M24/27,0)))))</f>
        <v>26.874940740741206</v>
      </c>
      <c r="K24" s="27">
        <f>IF(AND($E24=$AE$5,$F24=$AE$5),2*$AP$15*$M24/27,IF(OR($E24=$AE$5,$F24=$AE$5),$AP$15*$M24/27,0))</f>
        <v>0</v>
      </c>
      <c r="L24" s="338">
        <v>0</v>
      </c>
      <c r="M24" s="83">
        <f t="shared" si="9"/>
        <v>541.51000000000931</v>
      </c>
      <c r="N24" s="342">
        <v>26</v>
      </c>
      <c r="O24" s="124">
        <f t="shared" si="10"/>
        <v>14080</v>
      </c>
      <c r="P24" s="344">
        <v>0</v>
      </c>
      <c r="Q24" s="123">
        <f t="shared" si="1"/>
        <v>14080</v>
      </c>
      <c r="R24" s="344">
        <v>0</v>
      </c>
      <c r="S24" s="210">
        <f t="shared" si="11"/>
        <v>0.87247388888889044</v>
      </c>
      <c r="T24" s="6">
        <f t="shared" si="2"/>
        <v>1744.9477777777809</v>
      </c>
      <c r="U24" s="135">
        <f t="shared" si="16"/>
        <v>1744.9477777777809</v>
      </c>
      <c r="V24" s="6">
        <f t="shared" si="3"/>
        <v>51.824949000000089</v>
      </c>
      <c r="W24" s="34">
        <f t="shared" si="4"/>
        <v>522.61684197530906</v>
      </c>
      <c r="X24" s="4">
        <f t="shared" si="5"/>
        <v>287.61568148148194</v>
      </c>
      <c r="Y24" s="6">
        <f t="shared" si="6"/>
        <v>86.044444444444437</v>
      </c>
      <c r="Z24" s="4">
        <f t="shared" si="7"/>
        <v>65.18518518518519</v>
      </c>
      <c r="AA24" s="4">
        <f t="shared" si="8"/>
        <v>76.049382716049394</v>
      </c>
      <c r="AB24" s="454">
        <f t="shared" si="12"/>
        <v>20.055925925926271</v>
      </c>
      <c r="AC24" s="85">
        <f>IF(A24="APP SLAB",0,(M24*2))</f>
        <v>1083.0200000000186</v>
      </c>
      <c r="AD24" s="10"/>
      <c r="AE24" s="1"/>
    </row>
    <row r="25" spans="1:44" ht="12.75" customHeight="1" thickBot="1" x14ac:dyDescent="0.25">
      <c r="B25" s="54"/>
      <c r="C25" s="3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E25" s="1"/>
    </row>
    <row r="26" spans="1:44" ht="12.75" customHeight="1" x14ac:dyDescent="0.2">
      <c r="B26" s="661" t="s">
        <v>66</v>
      </c>
      <c r="C26" s="662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E26" s="1"/>
    </row>
    <row r="27" spans="1:44" ht="12.75" customHeight="1" x14ac:dyDescent="0.2">
      <c r="B27" s="335">
        <v>78801.78</v>
      </c>
      <c r="C27" s="336">
        <v>79957</v>
      </c>
      <c r="D27" s="337" t="s">
        <v>30</v>
      </c>
      <c r="E27" s="337" t="s">
        <v>107</v>
      </c>
      <c r="F27" s="337" t="s">
        <v>101</v>
      </c>
      <c r="G27" s="47" t="str">
        <f>IF(AND($E27=$AE$2,$F27=$AE$2),$AG$2,IF(OR(AND($E27=$AE$2,$F27=$AE$3),AND($E27=$AE$3,$F27=$AE$2)),$AG$3,IF(OR(AND($E27=$AE$2,$F27=$AE$5),AND($E27=$AE$5,$F27=$AE$2)),$AG$5,IF(OR(AND($E27=$AE$3,$F27=$AE$5),AND($E27=$AE$5,$F27=$AE$3)),$AG$6,IF(AND($E27=$AE$3,$F27=$AE$3),$AG$7,IF(AND($E27=$AE$5,$F27=$AE$5),$AG$8,"-"))))))</f>
        <v>E/S - C/B</v>
      </c>
      <c r="H27" s="26">
        <f>IF(AND($E27=$AE$2,$F27=$AE$2),2*$AG$13,IF(OR(AND($E27=$AE$2, $F27=$AE$3),AND($E27=$AE$3,$F27=$AE$2)),$AG$13+$AG$14,IF(OR(AND($E27=$AE$2,$F27=$AE$5),AND($E27=$AE$5,$F27=$AE$2)),$AG$13,IF(OR(AND($E27=$AE$3,$F27=$AE$5),AND($E27=$AE$5,$F27=$AE$3)),$AG$14,IF(AND($E27=$AE$3,$F27=$AE$3),2*$AG$14,0)))))</f>
        <v>1.5</v>
      </c>
      <c r="I27" s="27">
        <f>IF(AND($E27=$AE$2,$F27=$AE$2),2*$AJ$13*$M27/27,IF(OR(AND($E27=$AE$2,$F27=$AE$3),AND($E27=$AE$3,$F27=$AE$2)),$AJ$13*$M27/27,IF(OR(AND($E27=$AE$2,$F27=$AE$5),AND($E27=$AE$5,$F27=$AE$2)),$AJ$13*$M27/27,0)))</f>
        <v>24.387977777777799</v>
      </c>
      <c r="J27" s="27">
        <f>IF(AND($E27=$AE$2,$F27=$AE$2),2*$AM$13*$M27/27,IF(OR(AND($E27=$AE$2,$F27=$AE$3),AND($E27=$AE$3,$F27=$AE$2)),($AM$13+$AM$14)*$M27/27,IF(OR(AND($E27=$AE$2,$F27=$AE$5),AND($E27=$AE$5,$F27=$AE$2)),$AM$13*$M27/27,IF(OR(AND($E27=$AE$3,$F27=$AE$5),AND($E27=$AE$5,$F27=$AE$3)),$AM$14*$M27/27,IF(AND($E27=$AE$3,$F27=$AE$3),2*$AM$14*$M27/27,0)))))</f>
        <v>28.666570370370405</v>
      </c>
      <c r="K27" s="27">
        <f>IF(AND($E27=$AE$5,$F27=$AE$5),2*$AP$15*$M27/27,IF(OR($E27=$AE$5,$F27=$AE$5),$AP$15*$M27/27,0))</f>
        <v>-7.7014666666666747</v>
      </c>
      <c r="L27" s="338">
        <v>0</v>
      </c>
      <c r="M27" s="83">
        <f t="shared" ref="M27:M29" si="17">C27-B27</f>
        <v>1155.2200000000012</v>
      </c>
      <c r="N27" s="342" t="s">
        <v>97</v>
      </c>
      <c r="O27" s="76">
        <f t="shared" ref="O27:O64" si="18">IF(N27="-",0,ROUNDUP($M27*N27,0))</f>
        <v>0</v>
      </c>
      <c r="P27" s="344">
        <v>50909</v>
      </c>
      <c r="Q27" s="75">
        <f t="shared" si="1"/>
        <v>50909</v>
      </c>
      <c r="R27" s="344">
        <v>0</v>
      </c>
      <c r="S27" s="210">
        <f>IF(AND(R27=0,U27=0),0,IF(U27=0,R27/2000,U27/2000))</f>
        <v>2.9245461111111113</v>
      </c>
      <c r="T27" s="6">
        <f>IF(A27="APP SLAB",0,U27)</f>
        <v>5849.0922222222225</v>
      </c>
      <c r="U27" s="135">
        <f>IF(OR(A27="APP SLAB",R27&lt;&gt;0),0,(Q27+H27*M27)/9)</f>
        <v>5849.0922222222225</v>
      </c>
      <c r="V27" s="6">
        <f>IF(A27="APP SLAB",0,$U$1*U27*110*0.06*0.75/2000)</f>
        <v>173.71803900000003</v>
      </c>
      <c r="W27" s="34">
        <f>IF(A27="APP SLAB",0,(Q27*$W$1/12)/27+I27)</f>
        <v>1831.343224691358</v>
      </c>
      <c r="X27" s="4">
        <f>(Q27*$X$1/12)/27+J27</f>
        <v>971.42582962962967</v>
      </c>
      <c r="Y27" s="6">
        <f>IF(A27="APP SLAB",0,(Q27/9)*$Y$1)</f>
        <v>311.11055555555555</v>
      </c>
      <c r="Z27" s="4">
        <f>IF(A27="APP SLAB",0,(Q27*($Z$1/12))/27+K27)</f>
        <v>227.98834814814813</v>
      </c>
      <c r="AA27" s="4">
        <f>IF(A27="APP SLAB",0,(Q27*$AA$1/12)/27+L27)</f>
        <v>274.97145061728395</v>
      </c>
      <c r="AB27" s="454">
        <f t="shared" ref="AB27:AB29" si="19">IF(AND($E27=$F27="Uncurbed"),(2*$M27*2*$AB$1/12)/27,IF(OR($E27="Uncurbed",$F27="Uncurbed"),($M27*2*$AB$1/12)/27,IF(OR(AND($E27="Med. Barr.",$F27="Curbed"),AND($E27="Curbed",$F27="Med. Barr."),$E27=$F27,$E27="Unique",$F27="Unique",$E27="-",$F27="-"),0,"?")))</f>
        <v>42.785925925925966</v>
      </c>
      <c r="AC27" s="85">
        <f>IF(A27="APP SLAB",0,(M27*2))</f>
        <v>2310.4400000000023</v>
      </c>
      <c r="AE27" s="1"/>
    </row>
    <row r="28" spans="1:44" s="81" customFormat="1" ht="12.75" customHeight="1" x14ac:dyDescent="0.2">
      <c r="B28" s="335">
        <v>79957</v>
      </c>
      <c r="C28" s="336">
        <v>80300</v>
      </c>
      <c r="D28" s="337" t="s">
        <v>30</v>
      </c>
      <c r="E28" s="337" t="s">
        <v>101</v>
      </c>
      <c r="F28" s="337" t="s">
        <v>101</v>
      </c>
      <c r="G28" s="103" t="str">
        <f>IF(AND($E28=$AE$2,$F28=$AE$2),$AG$2,IF(OR(AND($E28=$AE$2,$F28=$AE$3),AND($E28=$AE$3,$F28=$AE$2)),$AG$3,IF(OR(AND($E28=$AE$2,$F28=$AE$5),AND($E28=$AE$5,$F28=$AE$2)),$AG$5,IF(OR(AND($E28=$AE$3,$F28=$AE$5),AND($E28=$AE$5,$F28=$AE$3)),$AG$6,IF(AND($E28=$AE$3,$F28=$AE$3),$AG$7,IF(AND($E28=$AE$5,$F28=$AE$5),$AG$8,"-"))))))</f>
        <v>E/S - E/S</v>
      </c>
      <c r="H28" s="26">
        <f>IF(AND($E28=$AE$2,$F28=$AE$2),2*$AG$13,IF(OR(AND($E28=$AE$2, $F28=$AE$3),AND($E28=$AE$3,$F28=$AE$2)),$AG$13+$AG$14,IF(OR(AND($E28=$AE$2,$F28=$AE$5),AND($E28=$AE$5,$F28=$AE$2)),$AG$13,IF(OR(AND($E28=$AE$3,$F28=$AE$5),AND($E28=$AE$5,$F28=$AE$3)),$AG$14,IF(AND($E28=$AE$3,$F28=$AE$3),2*$AG$14,0)))))</f>
        <v>3</v>
      </c>
      <c r="I28" s="27">
        <f>IF(AND($E28=$AE$2,$F28=$AE$2),2*$AJ$13*$M28/27,IF(OR(AND($E28=$AE$2,$F28=$AE$3),AND($E28=$AE$3,$F28=$AE$2)),$AJ$13*$M28/27,IF(OR(AND($E28=$AE$2,$F28=$AE$5),AND($E28=$AE$5,$F28=$AE$2)),$AJ$13*$M28/27,0)))</f>
        <v>14.482222222222221</v>
      </c>
      <c r="J28" s="27">
        <f>IF(AND($E28=$AE$2,$F28=$AE$2),2*$AM$13*$M28/27,IF(OR(AND($E28=$AE$2,$F28=$AE$3),AND($E28=$AE$3,$F28=$AE$2)),($AM$13+$AM$14)*$M28/27,IF(OR(AND($E28=$AE$2,$F28=$AE$5),AND($E28=$AE$5,$F28=$AE$2)),$AM$13*$M28/27,IF(OR(AND($E28=$AE$3,$F28=$AE$5),AND($E28=$AE$5,$F28=$AE$3)),$AM$14*$M28/27,IF(AND($E28=$AE$3,$F28=$AE$3),2*$AM$14*$M28/27,0)))))</f>
        <v>17.022962962962964</v>
      </c>
      <c r="K28" s="27">
        <f>IF(AND($E28=$AE$5,$F28=$AE$5),2*$AP$15*$M28/27,IF(OR($E28=$AE$5,$F28=$AE$5),$AP$15*$M28/27,0))</f>
        <v>0</v>
      </c>
      <c r="L28" s="338">
        <v>-1</v>
      </c>
      <c r="M28" s="479">
        <f t="shared" ref="M28" si="20">C28-B28</f>
        <v>343</v>
      </c>
      <c r="N28" s="342">
        <v>26</v>
      </c>
      <c r="O28" s="124">
        <f t="shared" ref="O28" si="21">IF(N28="-",0,ROUNDUP($M28*N28,0))</f>
        <v>8918</v>
      </c>
      <c r="P28" s="344">
        <v>0</v>
      </c>
      <c r="Q28" s="123">
        <f t="shared" ref="Q28" si="22">SUM(O28:P28)</f>
        <v>8918</v>
      </c>
      <c r="R28" s="344">
        <v>0</v>
      </c>
      <c r="S28" s="210">
        <f t="shared" ref="S28:S29" si="23">IF(AND(R28=0,U28=0),0,IF(U28=0,R28/2000,U28/2000))</f>
        <v>0.55261111111111105</v>
      </c>
      <c r="T28" s="480">
        <f>IF(A28="APP SLAB",0,U28)</f>
        <v>1105.2222222222222</v>
      </c>
      <c r="U28" s="135">
        <f t="shared" ref="U28:U29" si="24">IF(OR(A28="APP SLAB",R28&lt;&gt;0),0,(Q28+H28*M28)/9)</f>
        <v>1105.2222222222222</v>
      </c>
      <c r="V28" s="480">
        <f>IF(A28="APP SLAB",0,$U$1*U28*110*0.06*0.75/2000)</f>
        <v>32.825099999999999</v>
      </c>
      <c r="W28" s="34">
        <f>IF(A28="APP SLAB",0,(Q28*$W$1/12)/27+I28)</f>
        <v>331.01617283950617</v>
      </c>
      <c r="X28" s="479">
        <f>(Q28*$X$1/12)/27+J28</f>
        <v>182.17111111111112</v>
      </c>
      <c r="Y28" s="480">
        <f>IF(A28="APP SLAB",0,(Q28/9)*$Y$1)</f>
        <v>54.498888888888892</v>
      </c>
      <c r="Z28" s="479">
        <f>IF(A28="APP SLAB",0,(Q28*($Z$1/12))/27+K28)</f>
        <v>41.287037037037038</v>
      </c>
      <c r="AA28" s="479">
        <f>IF(A28="APP SLAB",0,(Q28*$AA$1/12)/27+L28)</f>
        <v>47.168209876543216</v>
      </c>
      <c r="AB28" s="498">
        <f t="shared" si="19"/>
        <v>12.703703703703704</v>
      </c>
      <c r="AC28" s="480">
        <f>IF(A28="APP SLAB",0,(M28*2))</f>
        <v>686</v>
      </c>
      <c r="AD28" s="90"/>
    </row>
    <row r="29" spans="1:44" ht="12.75" customHeight="1" x14ac:dyDescent="0.2">
      <c r="B29" s="335">
        <v>80300</v>
      </c>
      <c r="C29" s="336">
        <v>81216.600000000006</v>
      </c>
      <c r="D29" s="337" t="s">
        <v>30</v>
      </c>
      <c r="E29" s="337" t="s">
        <v>101</v>
      </c>
      <c r="F29" s="337" t="s">
        <v>101</v>
      </c>
      <c r="G29" s="47" t="str">
        <f>IF(AND($E29=$AE$2,$F29=$AE$2),$AG$2,IF(OR(AND($E29=$AE$2,$F29=$AE$3),AND($E29=$AE$3,$F29=$AE$2)),$AG$3,IF(OR(AND($E29=$AE$2,$F29=$AE$5),AND($E29=$AE$5,$F29=$AE$2)),$AG$5,IF(OR(AND($E29=$AE$3,$F29=$AE$5),AND($E29=$AE$5,$F29=$AE$3)),$AG$6,IF(AND($E29=$AE$3,$F29=$AE$3),$AG$7,IF(AND($E29=$AE$5,$F29=$AE$5),$AG$8,"-"))))))</f>
        <v>E/S - E/S</v>
      </c>
      <c r="H29" s="26">
        <f>IF(AND($E29=$AE$2,$F29=$AE$2),2*$AG$13,IF(OR(AND($E29=$AE$2, $F29=$AE$3),AND($E29=$AE$3,$F29=$AE$2)),$AG$13+$AG$14,IF(OR(AND($E29=$AE$2,$F29=$AE$5),AND($E29=$AE$5,$F29=$AE$2)),$AG$13,IF(OR(AND($E29=$AE$3,$F29=$AE$5),AND($E29=$AE$5,$F29=$AE$3)),$AG$14,IF(AND($E29=$AE$3,$F29=$AE$3),2*$AG$14,0)))))</f>
        <v>3</v>
      </c>
      <c r="I29" s="27">
        <f>IF(AND($E29=$AE$2,$F29=$AE$2),2*$AJ$13*$M29/27,IF(OR(AND($E29=$AE$2,$F29=$AE$3),AND($E29=$AE$3,$F29=$AE$2)),$AJ$13*$M29/27,IF(OR(AND($E29=$AE$2,$F29=$AE$5),AND($E29=$AE$5,$F29=$AE$2)),$AJ$13*$M29/27,0)))</f>
        <v>38.700888888889132</v>
      </c>
      <c r="J29" s="27">
        <f>IF(AND($E29=$AE$2,$F29=$AE$2),2*$AM$13*$M29/27,IF(OR(AND($E29=$AE$2,$F29=$AE$3),AND($E29=$AE$3,$F29=$AE$2)),($AM$13+$AM$14)*$M29/27,IF(OR(AND($E29=$AE$2,$F29=$AE$5),AND($E29=$AE$5,$F29=$AE$2)),$AM$13*$M29/27,IF(OR(AND($E29=$AE$3,$F29=$AE$5),AND($E29=$AE$5,$F29=$AE$3)),$AM$14*$M29/27,IF(AND($E29=$AE$3,$F29=$AE$3),2*$AM$14*$M29/27,0)))))</f>
        <v>45.490518518518812</v>
      </c>
      <c r="K29" s="27">
        <f>IF(AND($E29=$AE$5,$F29=$AE$5),2*$AP$15*$M29/27,IF(OR($E29=$AE$5,$F29=$AE$5),$AP$15*$M29/27,0))</f>
        <v>0</v>
      </c>
      <c r="L29" s="338">
        <v>0</v>
      </c>
      <c r="M29" s="83">
        <f t="shared" si="17"/>
        <v>916.60000000000582</v>
      </c>
      <c r="N29" s="342">
        <v>26</v>
      </c>
      <c r="O29" s="76">
        <f t="shared" si="18"/>
        <v>23832</v>
      </c>
      <c r="P29" s="344">
        <v>0</v>
      </c>
      <c r="Q29" s="75">
        <f t="shared" si="1"/>
        <v>23832</v>
      </c>
      <c r="R29" s="480">
        <f t="shared" ref="R29" si="25">IF(OR($A29="APP SLAB",Q29=0),0,($Q29+$H29*$M29)/9)</f>
        <v>2953.5333333333351</v>
      </c>
      <c r="S29" s="210">
        <f t="shared" si="23"/>
        <v>1.4767666666666677</v>
      </c>
      <c r="T29" s="6">
        <f>IF(A29="APP SLAB",0,U29)</f>
        <v>0</v>
      </c>
      <c r="U29" s="135">
        <f t="shared" si="24"/>
        <v>0</v>
      </c>
      <c r="V29" s="6">
        <f>IF(A29="APP SLAB",0,$U$1*U29*110*0.06*0.75/2000)</f>
        <v>0</v>
      </c>
      <c r="W29" s="34">
        <f>IF(A29="APP SLAB",0,(Q29*$W$1/12)/27+I29)</f>
        <v>884.58977777777807</v>
      </c>
      <c r="X29" s="4">
        <f>(Q29*$X$1/12)/27+J29</f>
        <v>486.82385185185211</v>
      </c>
      <c r="Y29" s="6">
        <f>IF(A29="APP SLAB",0,(Q29/9)*$Y$1)</f>
        <v>145.64000000000001</v>
      </c>
      <c r="Z29" s="4">
        <f>IF(A29="APP SLAB",0,(Q29*($Z$1/12))/27+K29)</f>
        <v>110.33333333333333</v>
      </c>
      <c r="AA29" s="4">
        <f>IF(A29="APP SLAB",0,(Q29*$AA$1/12)/27+L29)</f>
        <v>128.72222222222223</v>
      </c>
      <c r="AB29" s="454">
        <f t="shared" si="19"/>
        <v>33.948148148148363</v>
      </c>
      <c r="AC29" s="85">
        <f>IF(A29="APP SLAB",0,(M29*2))</f>
        <v>1833.2000000000116</v>
      </c>
      <c r="AE29" s="1"/>
    </row>
    <row r="30" spans="1:44" ht="12.75" customHeight="1" thickBot="1" x14ac:dyDescent="0.25">
      <c r="B30" s="54"/>
      <c r="C30" s="3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E30" s="1"/>
    </row>
    <row r="31" spans="1:44" ht="12.75" customHeight="1" x14ac:dyDescent="0.2">
      <c r="B31" s="661" t="s">
        <v>67</v>
      </c>
      <c r="C31" s="662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E31" s="1"/>
    </row>
    <row r="32" spans="1:44" ht="12.75" customHeight="1" x14ac:dyDescent="0.2">
      <c r="B32" s="335">
        <v>78776.070000000007</v>
      </c>
      <c r="C32" s="336">
        <v>78810.09</v>
      </c>
      <c r="D32" s="337" t="s">
        <v>30</v>
      </c>
      <c r="E32" s="337" t="s">
        <v>102</v>
      </c>
      <c r="F32" s="337" t="s">
        <v>101</v>
      </c>
      <c r="G32" s="47" t="str">
        <f t="shared" ref="G32:G49" si="26">IF(AND($E32=$AE$2,$F32=$AE$2),$AG$2,IF(OR(AND($E32=$AE$2,$F32=$AE$3),AND($E32=$AE$3,$F32=$AE$2)),$AG$3,IF(OR(AND($E32=$AE$2,$F32=$AE$5),AND($E32=$AE$5,$F32=$AE$2)),$AG$5,IF(OR(AND($E32=$AE$3,$F32=$AE$5),AND($E32=$AE$5,$F32=$AE$3)),$AG$6,IF(AND($E32=$AE$3,$F32=$AE$3),$AG$7,IF(AND($E32=$AE$5,$F32=$AE$5),$AG$8,"-"))))))</f>
        <v>E/S - F/C</v>
      </c>
      <c r="H32" s="26">
        <f>IF(AND($E32=$AE$2,$F32=$AE$2),2*$AG$13,IF(OR(AND($E32=$AE$2, $F32=$AE$3),AND($E32=$AE$3,$F32=$AE$2)),$AG$13+$AG$14,IF(OR(AND($E32=$AE$2,$F32=$AE$5),AND($E32=$AE$5,$F32=$AE$2)),$AG$13,IF(OR(AND($E32=$AE$3,$F32=$AE$5),AND($E32=$AE$5,$F32=$AE$3)),$AG$14,IF(AND($E32=$AE$3,$F32=$AE$3),2*$AG$14,0)))))</f>
        <v>3.5</v>
      </c>
      <c r="I32" s="27">
        <f>IF(AND($E32=$AE$2,$F32=$AE$2),2*$AJ$13*$M32/27,IF(OR(AND($E32=$AE$2,$F32=$AE$3),AND($E32=$AE$3,$F32=$AE$2)),$AJ$13*$M32/27,IF(OR(AND($E32=$AE$2,$F32=$AE$5),AND($E32=$AE$5,$F32=$AE$2)),$AJ$13*$M32/27,0)))</f>
        <v>0.71819999999977868</v>
      </c>
      <c r="J32" s="27">
        <f>IF(AND($E32=$AE$2,$F32=$AE$2),2*$AM$13*$M32/27,IF(OR(AND($E32=$AE$2,$F32=$AE$3),AND($E32=$AE$3,$F32=$AE$2)),($AM$13+$AM$14)*$M32/27,IF(OR(AND($E32=$AE$2,$F32=$AE$5),AND($E32=$AE$5,$F32=$AE$2)),$AM$13*$M32/27,IF(OR(AND($E32=$AE$3,$F32=$AE$5),AND($E32=$AE$5,$F32=$AE$3)),$AM$14*$M32/27,IF(AND($E32=$AE$3,$F32=$AE$3),2*$AM$14*$M32/27,0)))))</f>
        <v>2.0789999999993594</v>
      </c>
      <c r="K32" s="27">
        <f>IF(AND($E32=$AE$5,$F32=$AE$5),2*$AP$15*$M32/27,IF(OR($E32=$AE$5,$F32=$AE$5),$AP$15*$M32/27,0))</f>
        <v>0</v>
      </c>
      <c r="L32" s="338">
        <v>0</v>
      </c>
      <c r="M32" s="83">
        <f t="shared" ref="M32:M49" si="27">C32-B32</f>
        <v>34.019999999989523</v>
      </c>
      <c r="N32" s="342">
        <v>28</v>
      </c>
      <c r="O32" s="76">
        <f t="shared" si="18"/>
        <v>953</v>
      </c>
      <c r="P32" s="344">
        <v>0</v>
      </c>
      <c r="Q32" s="75">
        <f t="shared" si="1"/>
        <v>953</v>
      </c>
      <c r="R32" s="480">
        <f t="shared" ref="R32:R49" si="28">IF(OR($A32="APP SLAB",Q32=0),0,($Q32+$H32*$M32)/9)</f>
        <v>119.11888888888481</v>
      </c>
      <c r="S32" s="210">
        <f t="shared" ref="S32:S49" si="29">IF(AND(R32=0,U32=0),0,IF(U32=0,R32/2000,U32/2000))</f>
        <v>5.9559444444442403E-2</v>
      </c>
      <c r="T32" s="6">
        <f t="shared" ref="T32:T49" si="30">IF(A32="APP SLAB",0,U32)</f>
        <v>0</v>
      </c>
      <c r="U32" s="135">
        <f t="shared" ref="U32:U49" si="31">IF(OR(A32="APP SLAB",R32&lt;&gt;0),0,(Q32+H32*M32)/9)</f>
        <v>0</v>
      </c>
      <c r="V32" s="6">
        <f t="shared" ref="V32:V49" si="32">IF(A32="APP SLAB",0,$U$1*U32*110*0.06*0.75/2000)</f>
        <v>0</v>
      </c>
      <c r="W32" s="34">
        <f t="shared" ref="W32:W49" si="33">IF(A32="APP SLAB",0,(Q32*$W$1/12)/27+I32)</f>
        <v>34.543817283950389</v>
      </c>
      <c r="X32" s="4">
        <f t="shared" ref="X32:X49" si="34">(Q32*$X$1/12)/27+J32</f>
        <v>19.727148148147506</v>
      </c>
      <c r="Y32" s="6">
        <f t="shared" ref="Y32:Y49" si="35">IF(A32="APP SLAB",0,(Q32/9)*$Y$1)</f>
        <v>5.8238888888888889</v>
      </c>
      <c r="Z32" s="4">
        <f t="shared" ref="Z32:Z49" si="36">IF(A32="APP SLAB",0,(Q32*($Z$1/12))/27+K32)</f>
        <v>4.4120370370370372</v>
      </c>
      <c r="AA32" s="4">
        <f t="shared" ref="AA32:AA49" si="37">IF(A32="APP SLAB",0,(Q32*$AA$1/12)/27+L32)</f>
        <v>5.1473765432098766</v>
      </c>
      <c r="AB32" s="454">
        <f t="shared" ref="AB32:AB49" si="38">IF(AND($E32=$F32="Uncurbed"),(2*$M32*2*$AB$1/12)/27,IF(OR($E32="Uncurbed",$F32="Uncurbed"),($M32*2*$AB$1/12)/27,IF(OR(AND($E32="Med. Barr.",$F32="Curbed"),AND($E32="Curbed",$F32="Med. Barr."),$E32=$F32,$E32="Unique",$F32="Unique",$E32="-",$F32="-"),0,"?")))</f>
        <v>1.2599999999996119</v>
      </c>
      <c r="AC32" s="85">
        <f t="shared" ref="AC32:AC49" si="39">IF(A32="APP SLAB",0,(M32*2))</f>
        <v>68.039999999979045</v>
      </c>
      <c r="AE32" s="1"/>
    </row>
    <row r="33" spans="1:31" ht="12.75" customHeight="1" x14ac:dyDescent="0.2">
      <c r="B33" s="335">
        <v>78810.09</v>
      </c>
      <c r="C33" s="336">
        <v>79087.05</v>
      </c>
      <c r="D33" s="337" t="s">
        <v>30</v>
      </c>
      <c r="E33" s="337" t="s">
        <v>101</v>
      </c>
      <c r="F33" s="337" t="s">
        <v>101</v>
      </c>
      <c r="G33" s="47" t="str">
        <f t="shared" si="26"/>
        <v>E/S - E/S</v>
      </c>
      <c r="H33" s="26">
        <f>IF(AND($E33=$AE$2,$F33=$AE$2),2*$AG$13,IF(OR(AND($E33=$AE$2, $F33=$AE$3),AND($E33=$AE$3,$F33=$AE$2)),$AG$13+$AG$14,IF(OR(AND($E33=$AE$2,$F33=$AE$5),AND($E33=$AE$5,$F33=$AE$2)),$AG$13,IF(OR(AND($E33=$AE$3,$F33=$AE$5),AND($E33=$AE$5,$F33=$AE$3)),$AG$14,IF(AND($E33=$AE$3,$F33=$AE$3),2*$AG$14,0)))))</f>
        <v>3</v>
      </c>
      <c r="I33" s="27">
        <f>IF(AND($E33=$AE$2,$F33=$AE$2),2*$AJ$13*$M33/27,IF(OR(AND($E33=$AE$2,$F33=$AE$3),AND($E33=$AE$3,$F33=$AE$2)),$AJ$13*$M33/27,IF(OR(AND($E33=$AE$2,$F33=$AE$5),AND($E33=$AE$5,$F33=$AE$2)),$AJ$13*$M33/27,0)))</f>
        <v>11.693866666666937</v>
      </c>
      <c r="J33" s="27">
        <f>IF(AND($E33=$AE$2,$F33=$AE$2),2*$AM$13*$M33/27,IF(OR(AND($E33=$AE$2,$F33=$AE$3),AND($E33=$AE$3,$F33=$AE$2)),($AM$13+$AM$14)*$M33/27,IF(OR(AND($E33=$AE$2,$F33=$AE$5),AND($E33=$AE$5,$F33=$AE$2)),$AM$13*$M33/27,IF(OR(AND($E33=$AE$3,$F33=$AE$5),AND($E33=$AE$5,$F33=$AE$3)),$AM$14*$M33/27,IF(AND($E33=$AE$3,$F33=$AE$3),2*$AM$14*$M33/27,0)))))</f>
        <v>13.745422222222542</v>
      </c>
      <c r="K33" s="27">
        <f t="shared" ref="K33:K34" si="40">IF(AND($E33=$AE$5,$F33=$AE$5),2*$AP$15*$M33/27,IF(OR($E33=$AE$5,$F33=$AE$5),$AP$15*$M33/27,0))</f>
        <v>0</v>
      </c>
      <c r="L33" s="338">
        <v>0</v>
      </c>
      <c r="M33" s="83">
        <f t="shared" si="27"/>
        <v>276.9600000000064</v>
      </c>
      <c r="N33" s="342">
        <v>26</v>
      </c>
      <c r="O33" s="76">
        <f t="shared" si="18"/>
        <v>7201</v>
      </c>
      <c r="P33" s="344">
        <v>0</v>
      </c>
      <c r="Q33" s="75">
        <f t="shared" si="1"/>
        <v>7201</v>
      </c>
      <c r="R33" s="480">
        <f t="shared" si="28"/>
        <v>892.4311111111133</v>
      </c>
      <c r="S33" s="210">
        <f t="shared" si="29"/>
        <v>0.44621555555555664</v>
      </c>
      <c r="T33" s="6">
        <f t="shared" si="30"/>
        <v>0</v>
      </c>
      <c r="U33" s="135">
        <f t="shared" si="31"/>
        <v>0</v>
      </c>
      <c r="V33" s="6">
        <f t="shared" si="32"/>
        <v>0</v>
      </c>
      <c r="W33" s="34">
        <f t="shared" si="33"/>
        <v>267.28491604938301</v>
      </c>
      <c r="X33" s="4">
        <f t="shared" si="34"/>
        <v>147.09727407407439</v>
      </c>
      <c r="Y33" s="6">
        <f t="shared" si="35"/>
        <v>44.00611111111111</v>
      </c>
      <c r="Z33" s="4">
        <f t="shared" si="36"/>
        <v>33.337962962962962</v>
      </c>
      <c r="AA33" s="4">
        <f t="shared" si="37"/>
        <v>38.894290123456784</v>
      </c>
      <c r="AB33" s="454">
        <f t="shared" si="38"/>
        <v>10.257777777778015</v>
      </c>
      <c r="AC33" s="85">
        <f t="shared" si="39"/>
        <v>553.92000000001281</v>
      </c>
      <c r="AE33" s="1"/>
    </row>
    <row r="34" spans="1:31" ht="12.75" customHeight="1" x14ac:dyDescent="0.2">
      <c r="B34" s="335">
        <v>79087.05</v>
      </c>
      <c r="C34" s="336">
        <v>79173.48</v>
      </c>
      <c r="D34" s="337" t="s">
        <v>30</v>
      </c>
      <c r="E34" s="337" t="s">
        <v>101</v>
      </c>
      <c r="F34" s="337" t="s">
        <v>102</v>
      </c>
      <c r="G34" s="47" t="str">
        <f t="shared" si="26"/>
        <v>E/S - F/C</v>
      </c>
      <c r="H34" s="26">
        <f>IF(AND($E34=$AE$2,$F34=$AE$2),2*$AG$13,IF(OR(AND($E34=$AE$2, $F34=$AE$3),AND($E34=$AE$3,$F34=$AE$2)),$AG$13+$AG$14,IF(OR(AND($E34=$AE$2,$F34=$AE$5),AND($E34=$AE$5,$F34=$AE$2)),$AG$13,IF(OR(AND($E34=$AE$3,$F34=$AE$5),AND($E34=$AE$5,$F34=$AE$3)),$AG$14,IF(AND($E34=$AE$3,$F34=$AE$3),2*$AG$14,0)))))</f>
        <v>3.5</v>
      </c>
      <c r="I34" s="27">
        <f>IF(AND($E34=$AE$2,$F34=$AE$2),2*$AJ$13*$M34/27,IF(OR(AND($E34=$AE$2,$F34=$AE$3),AND($E34=$AE$3,$F34=$AE$2)),$AJ$13*$M34/27,IF(OR(AND($E34=$AE$2,$F34=$AE$5),AND($E34=$AE$5,$F34=$AE$2)),$AJ$13*$M34/27,0)))</f>
        <v>1.8246333333331859</v>
      </c>
      <c r="J34" s="27">
        <f>IF(AND($E34=$AE$2,$F34=$AE$2),2*$AM$13*$M34/27,IF(OR(AND($E34=$AE$2,$F34=$AE$3),AND($E34=$AE$3,$F34=$AE$2)),($AM$13+$AM$14)*$M34/27,IF(OR(AND($E34=$AE$2,$F34=$AE$5),AND($E34=$AE$5,$F34=$AE$2)),$AM$13*$M34/27,IF(OR(AND($E34=$AE$3,$F34=$AE$5),AND($E34=$AE$5,$F34=$AE$3)),$AM$14*$M34/27,IF(AND($E34=$AE$3,$F34=$AE$3),2*$AM$14*$M34/27,0)))))</f>
        <v>5.2818333333329059</v>
      </c>
      <c r="K34" s="27">
        <f t="shared" si="40"/>
        <v>0</v>
      </c>
      <c r="L34" s="338">
        <v>0</v>
      </c>
      <c r="M34" s="83">
        <f t="shared" si="27"/>
        <v>86.429999999993015</v>
      </c>
      <c r="N34" s="342">
        <v>28</v>
      </c>
      <c r="O34" s="76">
        <f t="shared" si="18"/>
        <v>2421</v>
      </c>
      <c r="P34" s="344">
        <v>0</v>
      </c>
      <c r="Q34" s="75">
        <f t="shared" si="1"/>
        <v>2421</v>
      </c>
      <c r="R34" s="480">
        <f t="shared" si="28"/>
        <v>302.61166666666395</v>
      </c>
      <c r="S34" s="210">
        <f t="shared" si="29"/>
        <v>0.15130583333333197</v>
      </c>
      <c r="T34" s="6">
        <f t="shared" si="30"/>
        <v>0</v>
      </c>
      <c r="U34" s="135">
        <f t="shared" si="31"/>
        <v>0</v>
      </c>
      <c r="V34" s="6">
        <f t="shared" si="32"/>
        <v>0</v>
      </c>
      <c r="W34" s="34">
        <f t="shared" si="33"/>
        <v>87.755188888888739</v>
      </c>
      <c r="X34" s="4">
        <f t="shared" si="34"/>
        <v>50.115166666666241</v>
      </c>
      <c r="Y34" s="6">
        <f t="shared" si="35"/>
        <v>14.795</v>
      </c>
      <c r="Z34" s="4">
        <f t="shared" si="36"/>
        <v>11.208333333333334</v>
      </c>
      <c r="AA34" s="4">
        <f t="shared" si="37"/>
        <v>13.076388888888889</v>
      </c>
      <c r="AB34" s="454">
        <f t="shared" si="38"/>
        <v>3.2011111111108526</v>
      </c>
      <c r="AC34" s="85">
        <f t="shared" si="39"/>
        <v>172.85999999998603</v>
      </c>
      <c r="AE34" s="1"/>
    </row>
    <row r="35" spans="1:31" ht="12.75" customHeight="1" x14ac:dyDescent="0.2">
      <c r="A35" s="58"/>
      <c r="B35" s="335">
        <v>79173.48</v>
      </c>
      <c r="C35" s="336">
        <v>79321.27</v>
      </c>
      <c r="D35" s="337" t="s">
        <v>16</v>
      </c>
      <c r="E35" s="337" t="s">
        <v>108</v>
      </c>
      <c r="F35" s="337" t="s">
        <v>102</v>
      </c>
      <c r="G35" s="47" t="str">
        <f t="shared" si="26"/>
        <v>-</v>
      </c>
      <c r="H35" s="339">
        <v>2</v>
      </c>
      <c r="I35" s="338">
        <v>0</v>
      </c>
      <c r="J35" s="338">
        <v>3.67</v>
      </c>
      <c r="K35" s="338">
        <v>0</v>
      </c>
      <c r="L35" s="338">
        <v>0</v>
      </c>
      <c r="M35" s="83">
        <f t="shared" si="27"/>
        <v>147.79000000000815</v>
      </c>
      <c r="N35" s="342">
        <v>22</v>
      </c>
      <c r="O35" s="76">
        <f t="shared" si="18"/>
        <v>3252</v>
      </c>
      <c r="P35" s="344">
        <v>0</v>
      </c>
      <c r="Q35" s="75">
        <f t="shared" si="1"/>
        <v>3252</v>
      </c>
      <c r="R35" s="480">
        <f t="shared" si="28"/>
        <v>394.17555555555737</v>
      </c>
      <c r="S35" s="210">
        <f t="shared" si="29"/>
        <v>0.19708777777777869</v>
      </c>
      <c r="T35" s="6">
        <f t="shared" si="30"/>
        <v>0</v>
      </c>
      <c r="U35" s="135">
        <f t="shared" si="31"/>
        <v>0</v>
      </c>
      <c r="V35" s="6">
        <f t="shared" si="32"/>
        <v>0</v>
      </c>
      <c r="W35" s="34">
        <f t="shared" si="33"/>
        <v>115.42592592592592</v>
      </c>
      <c r="X35" s="4">
        <f t="shared" si="34"/>
        <v>63.892222222222223</v>
      </c>
      <c r="Y35" s="6">
        <f t="shared" si="35"/>
        <v>19.873333333333331</v>
      </c>
      <c r="Z35" s="4">
        <f t="shared" si="36"/>
        <v>15.055555555555555</v>
      </c>
      <c r="AA35" s="4">
        <f t="shared" si="37"/>
        <v>17.564814814814813</v>
      </c>
      <c r="AB35" s="454">
        <f t="shared" si="38"/>
        <v>0</v>
      </c>
      <c r="AC35" s="85">
        <f t="shared" si="39"/>
        <v>295.5800000000163</v>
      </c>
      <c r="AE35" s="1"/>
    </row>
    <row r="36" spans="1:31" ht="12.75" customHeight="1" x14ac:dyDescent="0.2">
      <c r="A36" s="113"/>
      <c r="B36" s="335">
        <v>79321.27</v>
      </c>
      <c r="C36" s="336">
        <v>79420.97</v>
      </c>
      <c r="D36" s="337" t="s">
        <v>16</v>
      </c>
      <c r="E36" s="337" t="s">
        <v>108</v>
      </c>
      <c r="F36" s="337" t="s">
        <v>102</v>
      </c>
      <c r="G36" s="103" t="str">
        <f t="shared" si="26"/>
        <v>-</v>
      </c>
      <c r="H36" s="339">
        <v>2</v>
      </c>
      <c r="I36" s="338">
        <v>0</v>
      </c>
      <c r="J36" s="338">
        <v>2.4700000000000002</v>
      </c>
      <c r="K36" s="338">
        <v>0</v>
      </c>
      <c r="L36" s="338">
        <v>0</v>
      </c>
      <c r="M36" s="83">
        <f t="shared" si="27"/>
        <v>99.69999999999709</v>
      </c>
      <c r="N36" s="342">
        <v>23</v>
      </c>
      <c r="O36" s="124">
        <f t="shared" si="18"/>
        <v>2294</v>
      </c>
      <c r="P36" s="344">
        <v>0</v>
      </c>
      <c r="Q36" s="123">
        <f t="shared" si="1"/>
        <v>2294</v>
      </c>
      <c r="R36" s="480">
        <f t="shared" si="28"/>
        <v>277.0444444444438</v>
      </c>
      <c r="S36" s="210">
        <f t="shared" si="29"/>
        <v>0.13852222222222191</v>
      </c>
      <c r="T36" s="85">
        <f t="shared" si="30"/>
        <v>0</v>
      </c>
      <c r="U36" s="135">
        <f t="shared" si="31"/>
        <v>0</v>
      </c>
      <c r="V36" s="85">
        <f t="shared" si="32"/>
        <v>0</v>
      </c>
      <c r="W36" s="34">
        <f t="shared" si="33"/>
        <v>81.422839506172835</v>
      </c>
      <c r="X36" s="83">
        <f t="shared" si="34"/>
        <v>44.95148148148148</v>
      </c>
      <c r="Y36" s="85">
        <f t="shared" si="35"/>
        <v>14.018888888888888</v>
      </c>
      <c r="Z36" s="83">
        <f t="shared" si="36"/>
        <v>10.62037037037037</v>
      </c>
      <c r="AA36" s="83">
        <f t="shared" si="37"/>
        <v>12.390432098765432</v>
      </c>
      <c r="AB36" s="454">
        <f t="shared" si="38"/>
        <v>0</v>
      </c>
      <c r="AC36" s="85">
        <f t="shared" si="39"/>
        <v>199.39999999999418</v>
      </c>
      <c r="AE36" s="1"/>
    </row>
    <row r="37" spans="1:31" ht="12.75" customHeight="1" x14ac:dyDescent="0.2">
      <c r="A37" s="113"/>
      <c r="B37" s="335">
        <v>79420.97</v>
      </c>
      <c r="C37" s="336">
        <v>79436.990000000005</v>
      </c>
      <c r="D37" s="337" t="s">
        <v>16</v>
      </c>
      <c r="E37" s="337" t="s">
        <v>108</v>
      </c>
      <c r="F37" s="337" t="s">
        <v>97</v>
      </c>
      <c r="G37" s="103" t="str">
        <f t="shared" si="26"/>
        <v>-</v>
      </c>
      <c r="H37" s="339">
        <v>0</v>
      </c>
      <c r="I37" s="338">
        <v>0</v>
      </c>
      <c r="J37" s="338">
        <v>0</v>
      </c>
      <c r="K37" s="338">
        <v>0</v>
      </c>
      <c r="L37" s="338">
        <v>0</v>
      </c>
      <c r="M37" s="83">
        <f t="shared" si="27"/>
        <v>16.020000000004075</v>
      </c>
      <c r="N37" s="342" t="s">
        <v>97</v>
      </c>
      <c r="O37" s="124">
        <f t="shared" si="18"/>
        <v>0</v>
      </c>
      <c r="P37" s="344">
        <v>193</v>
      </c>
      <c r="Q37" s="123">
        <f t="shared" si="1"/>
        <v>193</v>
      </c>
      <c r="R37" s="480">
        <f t="shared" si="28"/>
        <v>21.444444444444443</v>
      </c>
      <c r="S37" s="210">
        <f t="shared" si="29"/>
        <v>1.0722222222222222E-2</v>
      </c>
      <c r="T37" s="85">
        <f t="shared" si="30"/>
        <v>0</v>
      </c>
      <c r="U37" s="135">
        <f t="shared" si="31"/>
        <v>0</v>
      </c>
      <c r="V37" s="85">
        <f t="shared" si="32"/>
        <v>0</v>
      </c>
      <c r="W37" s="34">
        <f t="shared" si="33"/>
        <v>6.8503086419753094</v>
      </c>
      <c r="X37" s="83">
        <f t="shared" si="34"/>
        <v>3.574074074074074</v>
      </c>
      <c r="Y37" s="85">
        <f t="shared" si="35"/>
        <v>1.1794444444444443</v>
      </c>
      <c r="Z37" s="83">
        <f t="shared" si="36"/>
        <v>0.89351851851851849</v>
      </c>
      <c r="AA37" s="83">
        <f t="shared" si="37"/>
        <v>1.0424382716049383</v>
      </c>
      <c r="AB37" s="454">
        <f t="shared" si="38"/>
        <v>0</v>
      </c>
      <c r="AC37" s="85">
        <f t="shared" si="39"/>
        <v>32.040000000008149</v>
      </c>
      <c r="AE37" s="1"/>
    </row>
    <row r="38" spans="1:31" ht="12.75" customHeight="1" x14ac:dyDescent="0.2">
      <c r="A38" s="106" t="s">
        <v>28</v>
      </c>
      <c r="B38" s="335">
        <v>79436.990000000005</v>
      </c>
      <c r="C38" s="336">
        <v>79466.990000000005</v>
      </c>
      <c r="D38" s="337" t="s">
        <v>16</v>
      </c>
      <c r="E38" s="337" t="s">
        <v>97</v>
      </c>
      <c r="F38" s="337" t="s">
        <v>97</v>
      </c>
      <c r="G38" s="47" t="str">
        <f t="shared" si="26"/>
        <v>-</v>
      </c>
      <c r="H38" s="26">
        <v>4</v>
      </c>
      <c r="I38" s="27">
        <f t="shared" ref="I38:I49" si="41">IF(AND($E38=$AE$2,$F38=$AE$2),2*$AJ$13*$M38/27,IF(OR(AND($E38=$AE$2,$F38=$AE$3),AND($E38=$AE$3,$F38=$AE$2)),$AJ$13*$M38/27,IF(OR(AND($E38=$AE$2,$F38=$AE$5),AND($E38=$AE$5,$F38=$AE$2)),$AJ$13*$M38/27,0)))</f>
        <v>0</v>
      </c>
      <c r="J38" s="27">
        <f t="shared" ref="J38:J49" si="42">IF(AND($E38=$AE$2,$F38=$AE$2),2*$AM$13*$M38/27,IF(OR(AND($E38=$AE$2,$F38=$AE$3),AND($E38=$AE$3,$F38=$AE$2)),($AM$13+$AM$14)*$M38/27,IF(OR(AND($E38=$AE$2,$F38=$AE$5),AND($E38=$AE$5,$F38=$AE$2)),$AM$13*$M38/27,IF(OR(AND($E38=$AE$3,$F38=$AE$5),AND($E38=$AE$5,$F38=$AE$3)),$AM$14*$M38/27,IF(AND($E38=$AE$3,$F38=$AE$3),2*$AM$14*$M38/27,0)))))</f>
        <v>0</v>
      </c>
      <c r="K38" s="27">
        <f t="shared" ref="K38:K49" si="43">IF(AND($E38=$AE$5,$F38=$AE$5),2*$AP$15*$M38/27,IF(OR($E38=$AE$5,$F38=$AE$5),$AP$15*$M38/27,0))</f>
        <v>0</v>
      </c>
      <c r="L38" s="338">
        <v>0</v>
      </c>
      <c r="M38" s="83">
        <f t="shared" si="27"/>
        <v>30</v>
      </c>
      <c r="N38" s="342" t="s">
        <v>97</v>
      </c>
      <c r="O38" s="76">
        <f t="shared" si="18"/>
        <v>0</v>
      </c>
      <c r="P38" s="344">
        <v>1348</v>
      </c>
      <c r="Q38" s="75">
        <f t="shared" si="1"/>
        <v>1348</v>
      </c>
      <c r="R38" s="480">
        <f>IF(OR(Q38=0),0,($Q38+$H38*$M38)/9)</f>
        <v>163.11111111111111</v>
      </c>
      <c r="S38" s="210">
        <f t="shared" si="29"/>
        <v>8.1555555555555562E-2</v>
      </c>
      <c r="T38" s="6">
        <f t="shared" si="30"/>
        <v>0</v>
      </c>
      <c r="U38" s="135">
        <f t="shared" si="31"/>
        <v>0</v>
      </c>
      <c r="V38" s="6">
        <f t="shared" si="32"/>
        <v>0</v>
      </c>
      <c r="W38" s="34">
        <f t="shared" si="33"/>
        <v>0</v>
      </c>
      <c r="X38" s="4">
        <f t="shared" si="34"/>
        <v>24.962962962962962</v>
      </c>
      <c r="Y38" s="6">
        <f t="shared" si="35"/>
        <v>0</v>
      </c>
      <c r="Z38" s="4">
        <f t="shared" si="36"/>
        <v>0</v>
      </c>
      <c r="AA38" s="4">
        <f t="shared" si="37"/>
        <v>0</v>
      </c>
      <c r="AB38" s="454">
        <f t="shared" si="38"/>
        <v>0</v>
      </c>
      <c r="AC38" s="85">
        <f t="shared" si="39"/>
        <v>0</v>
      </c>
      <c r="AE38" s="1"/>
    </row>
    <row r="39" spans="1:31" ht="12.75" customHeight="1" x14ac:dyDescent="0.2">
      <c r="A39" s="106" t="s">
        <v>28</v>
      </c>
      <c r="B39" s="335">
        <v>79978.03</v>
      </c>
      <c r="C39" s="336">
        <v>80008.03</v>
      </c>
      <c r="D39" s="337" t="s">
        <v>30</v>
      </c>
      <c r="E39" s="337" t="s">
        <v>97</v>
      </c>
      <c r="F39" s="337" t="s">
        <v>97</v>
      </c>
      <c r="G39" s="47" t="str">
        <f t="shared" si="26"/>
        <v>-</v>
      </c>
      <c r="H39" s="26">
        <v>4</v>
      </c>
      <c r="I39" s="27">
        <f t="shared" si="41"/>
        <v>0</v>
      </c>
      <c r="J39" s="27">
        <f t="shared" si="42"/>
        <v>0</v>
      </c>
      <c r="K39" s="27">
        <f t="shared" si="43"/>
        <v>0</v>
      </c>
      <c r="L39" s="338">
        <v>0</v>
      </c>
      <c r="M39" s="83">
        <f t="shared" si="27"/>
        <v>30</v>
      </c>
      <c r="N39" s="342" t="s">
        <v>97</v>
      </c>
      <c r="O39" s="76">
        <f t="shared" si="18"/>
        <v>0</v>
      </c>
      <c r="P39" s="344">
        <v>1330</v>
      </c>
      <c r="Q39" s="75">
        <f t="shared" si="1"/>
        <v>1330</v>
      </c>
      <c r="R39" s="480">
        <f>IF(OR(Q39=0),0,($Q39+$H39*$M39)/9)</f>
        <v>161.11111111111111</v>
      </c>
      <c r="S39" s="210">
        <f t="shared" si="29"/>
        <v>8.0555555555555561E-2</v>
      </c>
      <c r="T39" s="6">
        <f t="shared" si="30"/>
        <v>0</v>
      </c>
      <c r="U39" s="135">
        <f t="shared" si="31"/>
        <v>0</v>
      </c>
      <c r="V39" s="6">
        <f t="shared" si="32"/>
        <v>0</v>
      </c>
      <c r="W39" s="34">
        <f t="shared" si="33"/>
        <v>0</v>
      </c>
      <c r="X39" s="4">
        <f t="shared" si="34"/>
        <v>24.62962962962963</v>
      </c>
      <c r="Y39" s="6">
        <f t="shared" si="35"/>
        <v>0</v>
      </c>
      <c r="Z39" s="4">
        <f t="shared" si="36"/>
        <v>0</v>
      </c>
      <c r="AA39" s="4">
        <f t="shared" si="37"/>
        <v>0</v>
      </c>
      <c r="AB39" s="454">
        <f t="shared" si="38"/>
        <v>0</v>
      </c>
      <c r="AC39" s="85">
        <f t="shared" si="39"/>
        <v>0</v>
      </c>
      <c r="AE39" s="1"/>
    </row>
    <row r="40" spans="1:31" ht="12.75" customHeight="1" x14ac:dyDescent="0.2">
      <c r="A40" s="106"/>
      <c r="B40" s="335">
        <v>80008.03</v>
      </c>
      <c r="C40" s="336">
        <v>80033.55</v>
      </c>
      <c r="D40" s="337" t="s">
        <v>30</v>
      </c>
      <c r="E40" s="337" t="s">
        <v>102</v>
      </c>
      <c r="F40" s="337" t="s">
        <v>102</v>
      </c>
      <c r="G40" s="103" t="str">
        <f t="shared" si="26"/>
        <v>F/C - F/C</v>
      </c>
      <c r="H40" s="26">
        <f t="shared" ref="H40:H49" si="44">IF(AND($E40=$AE$2,$F40=$AE$2),2*$AG$13,IF(OR(AND($E40=$AE$2, $F40=$AE$3),AND($E40=$AE$3,$F40=$AE$2)),$AG$13+$AG$14,IF(OR(AND($E40=$AE$2,$F40=$AE$5),AND($E40=$AE$5,$F40=$AE$2)),$AG$13,IF(OR(AND($E40=$AE$3,$F40=$AE$5),AND($E40=$AE$5,$F40=$AE$3)),$AG$14,IF(AND($E40=$AE$3,$F40=$AE$3),2*$AG$14,0)))))</f>
        <v>4</v>
      </c>
      <c r="I40" s="27">
        <f t="shared" si="41"/>
        <v>0</v>
      </c>
      <c r="J40" s="27">
        <f t="shared" si="42"/>
        <v>1.8525629629632587</v>
      </c>
      <c r="K40" s="27">
        <f t="shared" si="43"/>
        <v>0</v>
      </c>
      <c r="L40" s="338">
        <v>0</v>
      </c>
      <c r="M40" s="83">
        <f t="shared" si="27"/>
        <v>25.520000000004075</v>
      </c>
      <c r="N40" s="342">
        <v>42.03</v>
      </c>
      <c r="O40" s="124">
        <f t="shared" si="18"/>
        <v>1073</v>
      </c>
      <c r="P40" s="344">
        <v>0</v>
      </c>
      <c r="Q40" s="123">
        <f t="shared" si="1"/>
        <v>1073</v>
      </c>
      <c r="R40" s="480">
        <f t="shared" si="28"/>
        <v>130.56444444444625</v>
      </c>
      <c r="S40" s="210">
        <f t="shared" si="29"/>
        <v>6.528222222222313E-2</v>
      </c>
      <c r="T40" s="85">
        <f t="shared" si="30"/>
        <v>0</v>
      </c>
      <c r="U40" s="135">
        <f t="shared" si="31"/>
        <v>0</v>
      </c>
      <c r="V40" s="85">
        <f t="shared" si="32"/>
        <v>0</v>
      </c>
      <c r="W40" s="34">
        <f t="shared" si="33"/>
        <v>38.08487654320988</v>
      </c>
      <c r="X40" s="83">
        <f t="shared" si="34"/>
        <v>21.722933333333629</v>
      </c>
      <c r="Y40" s="85">
        <f t="shared" si="35"/>
        <v>6.5572222222222223</v>
      </c>
      <c r="Z40" s="83">
        <f t="shared" si="36"/>
        <v>4.9675925925925926</v>
      </c>
      <c r="AA40" s="83">
        <f t="shared" si="37"/>
        <v>5.7955246913580245</v>
      </c>
      <c r="AB40" s="454">
        <f t="shared" si="38"/>
        <v>0</v>
      </c>
      <c r="AC40" s="85">
        <f t="shared" si="39"/>
        <v>51.040000000008149</v>
      </c>
      <c r="AE40" s="1"/>
    </row>
    <row r="41" spans="1:31" ht="12.75" customHeight="1" x14ac:dyDescent="0.2">
      <c r="A41" s="106"/>
      <c r="B41" s="335">
        <v>80033.55</v>
      </c>
      <c r="C41" s="336">
        <v>80132.899999999994</v>
      </c>
      <c r="D41" s="337" t="s">
        <v>30</v>
      </c>
      <c r="E41" s="337" t="s">
        <v>102</v>
      </c>
      <c r="F41" s="337" t="s">
        <v>102</v>
      </c>
      <c r="G41" s="103" t="str">
        <f t="shared" si="26"/>
        <v>F/C - F/C</v>
      </c>
      <c r="H41" s="26">
        <f t="shared" si="44"/>
        <v>4</v>
      </c>
      <c r="I41" s="27">
        <f t="shared" si="41"/>
        <v>0</v>
      </c>
      <c r="J41" s="27">
        <f t="shared" si="42"/>
        <v>7.2120740740734401</v>
      </c>
      <c r="K41" s="27">
        <f t="shared" si="43"/>
        <v>0</v>
      </c>
      <c r="L41" s="338">
        <v>0</v>
      </c>
      <c r="M41" s="83">
        <f t="shared" si="27"/>
        <v>99.349999999991269</v>
      </c>
      <c r="N41" s="342">
        <v>36</v>
      </c>
      <c r="O41" s="124">
        <f t="shared" si="18"/>
        <v>3577</v>
      </c>
      <c r="P41" s="344">
        <v>0</v>
      </c>
      <c r="Q41" s="123">
        <f t="shared" si="1"/>
        <v>3577</v>
      </c>
      <c r="R41" s="480">
        <f t="shared" si="28"/>
        <v>441.5999999999961</v>
      </c>
      <c r="S41" s="210">
        <f t="shared" si="29"/>
        <v>0.22079999999999805</v>
      </c>
      <c r="T41" s="85">
        <f t="shared" si="30"/>
        <v>0</v>
      </c>
      <c r="U41" s="135">
        <f t="shared" si="31"/>
        <v>0</v>
      </c>
      <c r="V41" s="85">
        <f t="shared" si="32"/>
        <v>0</v>
      </c>
      <c r="W41" s="34">
        <f t="shared" si="33"/>
        <v>126.96141975308643</v>
      </c>
      <c r="X41" s="83">
        <f t="shared" si="34"/>
        <v>73.45281481481419</v>
      </c>
      <c r="Y41" s="85">
        <f t="shared" si="35"/>
        <v>21.859444444444446</v>
      </c>
      <c r="Z41" s="83">
        <f t="shared" si="36"/>
        <v>16.560185185185187</v>
      </c>
      <c r="AA41" s="83">
        <f t="shared" si="37"/>
        <v>19.320216049382719</v>
      </c>
      <c r="AB41" s="454">
        <f t="shared" si="38"/>
        <v>0</v>
      </c>
      <c r="AC41" s="85">
        <f t="shared" si="39"/>
        <v>198.69999999998254</v>
      </c>
      <c r="AE41" s="1"/>
    </row>
    <row r="42" spans="1:31" ht="12.75" customHeight="1" x14ac:dyDescent="0.2">
      <c r="A42" s="106"/>
      <c r="B42" s="335">
        <v>80132.899999999994</v>
      </c>
      <c r="C42" s="336">
        <v>80188.87</v>
      </c>
      <c r="D42" s="337" t="s">
        <v>30</v>
      </c>
      <c r="E42" s="337" t="s">
        <v>102</v>
      </c>
      <c r="F42" s="337" t="s">
        <v>102</v>
      </c>
      <c r="G42" s="103" t="str">
        <f t="shared" si="26"/>
        <v>F/C - F/C</v>
      </c>
      <c r="H42" s="26">
        <f t="shared" si="44"/>
        <v>4</v>
      </c>
      <c r="I42" s="27">
        <f t="shared" si="41"/>
        <v>0</v>
      </c>
      <c r="J42" s="27">
        <f t="shared" si="42"/>
        <v>4.0630074074074916</v>
      </c>
      <c r="K42" s="27">
        <f t="shared" si="43"/>
        <v>0</v>
      </c>
      <c r="L42" s="338">
        <v>0</v>
      </c>
      <c r="M42" s="83">
        <f t="shared" si="27"/>
        <v>55.970000000001164</v>
      </c>
      <c r="N42" s="342">
        <v>30</v>
      </c>
      <c r="O42" s="124">
        <f t="shared" si="18"/>
        <v>1680</v>
      </c>
      <c r="P42" s="344">
        <v>0</v>
      </c>
      <c r="Q42" s="123">
        <f t="shared" si="1"/>
        <v>1680</v>
      </c>
      <c r="R42" s="480">
        <f t="shared" si="28"/>
        <v>211.54222222222273</v>
      </c>
      <c r="S42" s="210">
        <f t="shared" si="29"/>
        <v>0.10577111111111137</v>
      </c>
      <c r="T42" s="85">
        <f t="shared" si="30"/>
        <v>0</v>
      </c>
      <c r="U42" s="135">
        <f t="shared" si="31"/>
        <v>0</v>
      </c>
      <c r="V42" s="85">
        <f t="shared" si="32"/>
        <v>0</v>
      </c>
      <c r="W42" s="34">
        <f t="shared" si="33"/>
        <v>59.629629629629626</v>
      </c>
      <c r="X42" s="83">
        <f t="shared" si="34"/>
        <v>35.174118518518604</v>
      </c>
      <c r="Y42" s="85">
        <f t="shared" si="35"/>
        <v>10.266666666666666</v>
      </c>
      <c r="Z42" s="83">
        <f t="shared" si="36"/>
        <v>7.7777777777777777</v>
      </c>
      <c r="AA42" s="83">
        <f t="shared" si="37"/>
        <v>9.0740740740740744</v>
      </c>
      <c r="AB42" s="454">
        <f t="shared" si="38"/>
        <v>0</v>
      </c>
      <c r="AC42" s="85">
        <f t="shared" si="39"/>
        <v>111.94000000000233</v>
      </c>
      <c r="AE42" s="1"/>
    </row>
    <row r="43" spans="1:31" ht="12.75" customHeight="1" x14ac:dyDescent="0.2">
      <c r="A43" s="106" t="s">
        <v>28</v>
      </c>
      <c r="B43" s="335">
        <v>80188.87</v>
      </c>
      <c r="C43" s="336">
        <v>80218.87</v>
      </c>
      <c r="D43" s="337" t="s">
        <v>30</v>
      </c>
      <c r="E43" s="337" t="s">
        <v>97</v>
      </c>
      <c r="F43" s="337" t="s">
        <v>97</v>
      </c>
      <c r="G43" s="103" t="str">
        <f t="shared" si="26"/>
        <v>-</v>
      </c>
      <c r="H43" s="26">
        <f t="shared" si="44"/>
        <v>0</v>
      </c>
      <c r="I43" s="27">
        <f t="shared" si="41"/>
        <v>0</v>
      </c>
      <c r="J43" s="27">
        <f t="shared" si="42"/>
        <v>0</v>
      </c>
      <c r="K43" s="27">
        <f t="shared" si="43"/>
        <v>0</v>
      </c>
      <c r="L43" s="338">
        <v>0</v>
      </c>
      <c r="M43" s="83">
        <f t="shared" si="27"/>
        <v>30</v>
      </c>
      <c r="N43" s="342" t="s">
        <v>97</v>
      </c>
      <c r="O43" s="124">
        <f t="shared" si="18"/>
        <v>0</v>
      </c>
      <c r="P43" s="344">
        <v>951</v>
      </c>
      <c r="Q43" s="123">
        <f t="shared" si="1"/>
        <v>951</v>
      </c>
      <c r="R43" s="480">
        <f t="shared" si="28"/>
        <v>0</v>
      </c>
      <c r="S43" s="210">
        <f t="shared" si="29"/>
        <v>0</v>
      </c>
      <c r="T43" s="85">
        <f t="shared" si="30"/>
        <v>0</v>
      </c>
      <c r="U43" s="135">
        <f t="shared" si="31"/>
        <v>0</v>
      </c>
      <c r="V43" s="85">
        <f t="shared" si="32"/>
        <v>0</v>
      </c>
      <c r="W43" s="34">
        <f t="shared" si="33"/>
        <v>0</v>
      </c>
      <c r="X43" s="83">
        <f t="shared" si="34"/>
        <v>17.611111111111111</v>
      </c>
      <c r="Y43" s="85">
        <f t="shared" si="35"/>
        <v>0</v>
      </c>
      <c r="Z43" s="83">
        <f t="shared" si="36"/>
        <v>0</v>
      </c>
      <c r="AA43" s="83">
        <f t="shared" si="37"/>
        <v>0</v>
      </c>
      <c r="AB43" s="454">
        <f t="shared" si="38"/>
        <v>0</v>
      </c>
      <c r="AC43" s="85">
        <f t="shared" si="39"/>
        <v>0</v>
      </c>
      <c r="AE43" s="1"/>
    </row>
    <row r="44" spans="1:31" ht="12.75" customHeight="1" x14ac:dyDescent="0.2">
      <c r="A44" s="106" t="s">
        <v>28</v>
      </c>
      <c r="B44" s="335">
        <v>80503.63</v>
      </c>
      <c r="C44" s="336">
        <v>80533.63</v>
      </c>
      <c r="D44" s="337" t="s">
        <v>30</v>
      </c>
      <c r="E44" s="337" t="s">
        <v>97</v>
      </c>
      <c r="F44" s="337" t="s">
        <v>97</v>
      </c>
      <c r="G44" s="103" t="str">
        <f t="shared" si="26"/>
        <v>-</v>
      </c>
      <c r="H44" s="26">
        <f t="shared" si="44"/>
        <v>0</v>
      </c>
      <c r="I44" s="27">
        <f t="shared" si="41"/>
        <v>0</v>
      </c>
      <c r="J44" s="27">
        <f t="shared" si="42"/>
        <v>0</v>
      </c>
      <c r="K44" s="27">
        <f t="shared" si="43"/>
        <v>0</v>
      </c>
      <c r="L44" s="338">
        <v>0</v>
      </c>
      <c r="M44" s="83">
        <f t="shared" si="27"/>
        <v>30</v>
      </c>
      <c r="N44" s="342" t="s">
        <v>97</v>
      </c>
      <c r="O44" s="124">
        <f t="shared" si="18"/>
        <v>0</v>
      </c>
      <c r="P44" s="344">
        <v>951</v>
      </c>
      <c r="Q44" s="123">
        <f t="shared" si="1"/>
        <v>951</v>
      </c>
      <c r="R44" s="480">
        <f t="shared" si="28"/>
        <v>0</v>
      </c>
      <c r="S44" s="210">
        <f t="shared" si="29"/>
        <v>0</v>
      </c>
      <c r="T44" s="85">
        <f t="shared" si="30"/>
        <v>0</v>
      </c>
      <c r="U44" s="135">
        <f t="shared" si="31"/>
        <v>0</v>
      </c>
      <c r="V44" s="85">
        <f t="shared" si="32"/>
        <v>0</v>
      </c>
      <c r="W44" s="34">
        <f t="shared" si="33"/>
        <v>0</v>
      </c>
      <c r="X44" s="83">
        <f t="shared" si="34"/>
        <v>17.611111111111111</v>
      </c>
      <c r="Y44" s="85">
        <f t="shared" si="35"/>
        <v>0</v>
      </c>
      <c r="Z44" s="83">
        <f t="shared" si="36"/>
        <v>0</v>
      </c>
      <c r="AA44" s="83">
        <f t="shared" si="37"/>
        <v>0</v>
      </c>
      <c r="AB44" s="454">
        <f t="shared" si="38"/>
        <v>0</v>
      </c>
      <c r="AC44" s="85">
        <f t="shared" si="39"/>
        <v>0</v>
      </c>
      <c r="AE44" s="1"/>
    </row>
    <row r="45" spans="1:31" ht="12.75" customHeight="1" x14ac:dyDescent="0.2">
      <c r="B45" s="335">
        <v>80533.63</v>
      </c>
      <c r="C45" s="336">
        <v>80810.559999999998</v>
      </c>
      <c r="D45" s="337" t="s">
        <v>30</v>
      </c>
      <c r="E45" s="337" t="s">
        <v>102</v>
      </c>
      <c r="F45" s="337" t="s">
        <v>102</v>
      </c>
      <c r="G45" s="47" t="str">
        <f t="shared" si="26"/>
        <v>F/C - F/C</v>
      </c>
      <c r="H45" s="26">
        <f t="shared" si="44"/>
        <v>4</v>
      </c>
      <c r="I45" s="27">
        <f t="shared" si="41"/>
        <v>0</v>
      </c>
      <c r="J45" s="27">
        <f t="shared" si="42"/>
        <v>20.103066666666159</v>
      </c>
      <c r="K45" s="27">
        <f t="shared" si="43"/>
        <v>0</v>
      </c>
      <c r="L45" s="338">
        <v>0</v>
      </c>
      <c r="M45" s="83">
        <f t="shared" si="27"/>
        <v>276.92999999999302</v>
      </c>
      <c r="N45" s="342">
        <v>30</v>
      </c>
      <c r="O45" s="76">
        <f t="shared" si="18"/>
        <v>8308</v>
      </c>
      <c r="P45" s="344">
        <v>0</v>
      </c>
      <c r="Q45" s="75">
        <f t="shared" si="1"/>
        <v>8308</v>
      </c>
      <c r="R45" s="480">
        <f t="shared" si="28"/>
        <v>1046.1911111111081</v>
      </c>
      <c r="S45" s="210">
        <f t="shared" si="29"/>
        <v>0.52309555555555398</v>
      </c>
      <c r="T45" s="6">
        <f t="shared" si="30"/>
        <v>0</v>
      </c>
      <c r="U45" s="135">
        <f t="shared" si="31"/>
        <v>0</v>
      </c>
      <c r="V45" s="6">
        <f t="shared" si="32"/>
        <v>0</v>
      </c>
      <c r="W45" s="34">
        <f t="shared" si="33"/>
        <v>294.88271604938268</v>
      </c>
      <c r="X45" s="4">
        <f t="shared" si="34"/>
        <v>173.95491851851801</v>
      </c>
      <c r="Y45" s="6">
        <f t="shared" si="35"/>
        <v>50.771111111111111</v>
      </c>
      <c r="Z45" s="4">
        <f t="shared" si="36"/>
        <v>38.462962962962962</v>
      </c>
      <c r="AA45" s="4">
        <f t="shared" si="37"/>
        <v>44.873456790123456</v>
      </c>
      <c r="AB45" s="454">
        <f t="shared" si="38"/>
        <v>0</v>
      </c>
      <c r="AC45" s="85">
        <f t="shared" si="39"/>
        <v>553.85999999998603</v>
      </c>
      <c r="AE45" s="1"/>
    </row>
    <row r="46" spans="1:31" ht="12.75" customHeight="1" x14ac:dyDescent="0.2">
      <c r="B46" s="335">
        <v>80810.559999999998</v>
      </c>
      <c r="C46" s="336">
        <v>80813.539999999994</v>
      </c>
      <c r="D46" s="337" t="s">
        <v>30</v>
      </c>
      <c r="E46" s="337" t="s">
        <v>101</v>
      </c>
      <c r="F46" s="337" t="s">
        <v>102</v>
      </c>
      <c r="G46" s="103" t="str">
        <f t="shared" si="26"/>
        <v>E/S - F/C</v>
      </c>
      <c r="H46" s="26">
        <f t="shared" si="44"/>
        <v>3.5</v>
      </c>
      <c r="I46" s="27">
        <f t="shared" si="41"/>
        <v>6.2911111111025084E-2</v>
      </c>
      <c r="J46" s="27">
        <f t="shared" si="42"/>
        <v>0.18211111111086212</v>
      </c>
      <c r="K46" s="27">
        <f t="shared" si="43"/>
        <v>0</v>
      </c>
      <c r="L46" s="338">
        <v>0</v>
      </c>
      <c r="M46" s="83">
        <f t="shared" si="27"/>
        <v>2.9799999999959255</v>
      </c>
      <c r="N46" s="342">
        <v>28</v>
      </c>
      <c r="O46" s="124">
        <f t="shared" si="18"/>
        <v>84</v>
      </c>
      <c r="P46" s="344">
        <v>0</v>
      </c>
      <c r="Q46" s="123">
        <f t="shared" ref="Q46:Q47" si="45">SUM(O46:P46)</f>
        <v>84</v>
      </c>
      <c r="R46" s="480">
        <f t="shared" si="28"/>
        <v>10.492222222220638</v>
      </c>
      <c r="S46" s="210">
        <f t="shared" si="29"/>
        <v>5.2461111111103192E-3</v>
      </c>
      <c r="T46" s="85">
        <f t="shared" si="30"/>
        <v>0</v>
      </c>
      <c r="U46" s="135">
        <f t="shared" si="31"/>
        <v>0</v>
      </c>
      <c r="V46" s="85">
        <f t="shared" si="32"/>
        <v>0</v>
      </c>
      <c r="W46" s="34">
        <f t="shared" si="33"/>
        <v>3.0443925925925064</v>
      </c>
      <c r="X46" s="83">
        <f t="shared" si="34"/>
        <v>1.7376666666664178</v>
      </c>
      <c r="Y46" s="85">
        <f t="shared" si="35"/>
        <v>0.51333333333333342</v>
      </c>
      <c r="Z46" s="83">
        <f t="shared" si="36"/>
        <v>0.3888888888888889</v>
      </c>
      <c r="AA46" s="83">
        <f t="shared" si="37"/>
        <v>0.45370370370370372</v>
      </c>
      <c r="AB46" s="454">
        <f t="shared" si="38"/>
        <v>0.11037037037021946</v>
      </c>
      <c r="AC46" s="85">
        <f t="shared" si="39"/>
        <v>5.9599999999918509</v>
      </c>
      <c r="AE46" s="1"/>
    </row>
    <row r="47" spans="1:31" ht="12.75" customHeight="1" x14ac:dyDescent="0.2">
      <c r="B47" s="335">
        <v>80813.539999999994</v>
      </c>
      <c r="C47" s="336">
        <v>82090.16</v>
      </c>
      <c r="D47" s="337" t="s">
        <v>30</v>
      </c>
      <c r="E47" s="337" t="s">
        <v>101</v>
      </c>
      <c r="F47" s="337" t="s">
        <v>101</v>
      </c>
      <c r="G47" s="103" t="str">
        <f t="shared" si="26"/>
        <v>E/S - E/S</v>
      </c>
      <c r="H47" s="26">
        <f t="shared" si="44"/>
        <v>3</v>
      </c>
      <c r="I47" s="27">
        <f t="shared" si="41"/>
        <v>53.901733333333745</v>
      </c>
      <c r="J47" s="27">
        <f t="shared" si="42"/>
        <v>63.358177777778273</v>
      </c>
      <c r="K47" s="27">
        <f t="shared" si="43"/>
        <v>0</v>
      </c>
      <c r="L47" s="338">
        <v>0</v>
      </c>
      <c r="M47" s="83">
        <f t="shared" si="27"/>
        <v>1276.6200000000099</v>
      </c>
      <c r="N47" s="342">
        <v>26</v>
      </c>
      <c r="O47" s="124">
        <f t="shared" si="18"/>
        <v>33193</v>
      </c>
      <c r="P47" s="344">
        <v>0</v>
      </c>
      <c r="Q47" s="123">
        <f t="shared" si="45"/>
        <v>33193</v>
      </c>
      <c r="R47" s="480">
        <f t="shared" si="28"/>
        <v>4113.651111111114</v>
      </c>
      <c r="S47" s="210">
        <f t="shared" si="29"/>
        <v>2.056825555555557</v>
      </c>
      <c r="T47" s="85">
        <f t="shared" si="30"/>
        <v>0</v>
      </c>
      <c r="U47" s="135">
        <f t="shared" si="31"/>
        <v>0</v>
      </c>
      <c r="V47" s="85">
        <f t="shared" si="32"/>
        <v>0</v>
      </c>
      <c r="W47" s="34">
        <f t="shared" si="33"/>
        <v>1232.0483382716054</v>
      </c>
      <c r="X47" s="83">
        <f t="shared" si="34"/>
        <v>678.04336296296344</v>
      </c>
      <c r="Y47" s="85">
        <f t="shared" si="35"/>
        <v>202.84611111111113</v>
      </c>
      <c r="Z47" s="83">
        <f t="shared" si="36"/>
        <v>153.6712962962963</v>
      </c>
      <c r="AA47" s="83">
        <f t="shared" si="37"/>
        <v>179.28317901234567</v>
      </c>
      <c r="AB47" s="454">
        <f t="shared" si="38"/>
        <v>47.282222222222586</v>
      </c>
      <c r="AC47" s="85">
        <f t="shared" si="39"/>
        <v>2553.2400000000198</v>
      </c>
      <c r="AE47" s="1"/>
    </row>
    <row r="48" spans="1:31" ht="12.75" customHeight="1" x14ac:dyDescent="0.2">
      <c r="B48" s="335">
        <v>82090.16</v>
      </c>
      <c r="C48" s="336">
        <v>82138.67</v>
      </c>
      <c r="D48" s="337" t="s">
        <v>30</v>
      </c>
      <c r="E48" s="337" t="s">
        <v>101</v>
      </c>
      <c r="F48" s="337" t="s">
        <v>102</v>
      </c>
      <c r="G48" s="47" t="str">
        <f t="shared" si="26"/>
        <v>E/S - F/C</v>
      </c>
      <c r="H48" s="26">
        <f t="shared" si="44"/>
        <v>3.5</v>
      </c>
      <c r="I48" s="27">
        <f t="shared" si="41"/>
        <v>1.0240999999998894</v>
      </c>
      <c r="J48" s="27">
        <f t="shared" si="42"/>
        <v>2.9644999999996795</v>
      </c>
      <c r="K48" s="27">
        <f t="shared" si="43"/>
        <v>0</v>
      </c>
      <c r="L48" s="338">
        <v>0</v>
      </c>
      <c r="M48" s="83">
        <f t="shared" si="27"/>
        <v>48.509999999994761</v>
      </c>
      <c r="N48" s="342">
        <v>26</v>
      </c>
      <c r="O48" s="76">
        <f t="shared" si="18"/>
        <v>1262</v>
      </c>
      <c r="P48" s="344">
        <v>0</v>
      </c>
      <c r="Q48" s="75">
        <f t="shared" si="1"/>
        <v>1262</v>
      </c>
      <c r="R48" s="480">
        <f t="shared" si="28"/>
        <v>159.08722222222019</v>
      </c>
      <c r="S48" s="210">
        <f t="shared" si="29"/>
        <v>7.9543611111110094E-2</v>
      </c>
      <c r="T48" s="6">
        <f t="shared" si="30"/>
        <v>0</v>
      </c>
      <c r="U48" s="135">
        <f t="shared" si="31"/>
        <v>0</v>
      </c>
      <c r="V48" s="6">
        <f t="shared" si="32"/>
        <v>0</v>
      </c>
      <c r="W48" s="34">
        <f t="shared" si="33"/>
        <v>45.817309876543106</v>
      </c>
      <c r="X48" s="4">
        <f t="shared" si="34"/>
        <v>26.334870370370048</v>
      </c>
      <c r="Y48" s="6">
        <f t="shared" si="35"/>
        <v>7.7122222222222225</v>
      </c>
      <c r="Z48" s="4">
        <f t="shared" si="36"/>
        <v>5.8425925925925926</v>
      </c>
      <c r="AA48" s="4">
        <f t="shared" si="37"/>
        <v>6.8163580246913575</v>
      </c>
      <c r="AB48" s="454">
        <f t="shared" si="38"/>
        <v>1.7966666666664726</v>
      </c>
      <c r="AC48" s="85">
        <f t="shared" si="39"/>
        <v>97.019999999989523</v>
      </c>
      <c r="AE48" s="1"/>
    </row>
    <row r="49" spans="1:43" ht="12.75" customHeight="1" x14ac:dyDescent="0.2">
      <c r="B49" s="335">
        <v>82138.67</v>
      </c>
      <c r="C49" s="336">
        <v>82188.67</v>
      </c>
      <c r="D49" s="337" t="s">
        <v>30</v>
      </c>
      <c r="E49" s="337" t="s">
        <v>101</v>
      </c>
      <c r="F49" s="337" t="s">
        <v>102</v>
      </c>
      <c r="G49" s="47" t="str">
        <f t="shared" si="26"/>
        <v>E/S - F/C</v>
      </c>
      <c r="H49" s="26">
        <f t="shared" si="44"/>
        <v>3.5</v>
      </c>
      <c r="I49" s="27">
        <f t="shared" si="41"/>
        <v>1.0555555555555554</v>
      </c>
      <c r="J49" s="27">
        <f t="shared" si="42"/>
        <v>3.0555555555555554</v>
      </c>
      <c r="K49" s="27">
        <f t="shared" si="43"/>
        <v>0</v>
      </c>
      <c r="L49" s="338">
        <v>0</v>
      </c>
      <c r="M49" s="83">
        <f t="shared" si="27"/>
        <v>50</v>
      </c>
      <c r="N49" s="342">
        <v>27</v>
      </c>
      <c r="O49" s="76">
        <f t="shared" si="18"/>
        <v>1350</v>
      </c>
      <c r="P49" s="344">
        <v>0</v>
      </c>
      <c r="Q49" s="75">
        <f t="shared" si="1"/>
        <v>1350</v>
      </c>
      <c r="R49" s="480">
        <f t="shared" si="28"/>
        <v>169.44444444444446</v>
      </c>
      <c r="S49" s="210">
        <f t="shared" si="29"/>
        <v>8.4722222222222227E-2</v>
      </c>
      <c r="T49" s="6">
        <f t="shared" si="30"/>
        <v>0</v>
      </c>
      <c r="U49" s="135">
        <f t="shared" si="31"/>
        <v>0</v>
      </c>
      <c r="V49" s="6">
        <f t="shared" si="32"/>
        <v>0</v>
      </c>
      <c r="W49" s="34">
        <f t="shared" si="33"/>
        <v>48.972222222222221</v>
      </c>
      <c r="X49" s="4">
        <f t="shared" si="34"/>
        <v>28.055555555555557</v>
      </c>
      <c r="Y49" s="6">
        <f t="shared" si="35"/>
        <v>8.25</v>
      </c>
      <c r="Z49" s="4">
        <f t="shared" si="36"/>
        <v>6.25</v>
      </c>
      <c r="AA49" s="4">
        <f t="shared" si="37"/>
        <v>7.291666666666667</v>
      </c>
      <c r="AB49" s="454">
        <f t="shared" si="38"/>
        <v>1.8518518518518519</v>
      </c>
      <c r="AC49" s="85">
        <f t="shared" si="39"/>
        <v>100</v>
      </c>
    </row>
    <row r="50" spans="1:43" ht="12.75" customHeight="1" thickBot="1" x14ac:dyDescent="0.25">
      <c r="B50" s="54"/>
      <c r="C50" s="3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43" ht="12.75" customHeight="1" x14ac:dyDescent="0.2">
      <c r="B51" s="661" t="s">
        <v>68</v>
      </c>
      <c r="C51" s="662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</row>
    <row r="52" spans="1:43" ht="12.75" customHeight="1" x14ac:dyDescent="0.2">
      <c r="B52" s="335">
        <v>79735.179999999993</v>
      </c>
      <c r="C52" s="336">
        <v>79968.09</v>
      </c>
      <c r="D52" s="337" t="s">
        <v>30</v>
      </c>
      <c r="E52" s="337" t="s">
        <v>101</v>
      </c>
      <c r="F52" s="337" t="s">
        <v>102</v>
      </c>
      <c r="G52" s="47" t="str">
        <f t="shared" ref="G52:G64" si="46">IF(AND($E52=$AE$2,$F52=$AE$2),$AG$2,IF(OR(AND($E52=$AE$2,$F52=$AE$3),AND($E52=$AE$3,$F52=$AE$2)),$AG$3,IF(OR(AND($E52=$AE$2,$F52=$AE$5),AND($E52=$AE$5,$F52=$AE$2)),$AG$5,IF(OR(AND($E52=$AE$3,$F52=$AE$5),AND($E52=$AE$5,$F52=$AE$3)),$AG$6,IF(AND($E52=$AE$3,$F52=$AE$3),$AG$7,IF(AND($E52=$AE$5,$F52=$AE$5),$AG$8,"-"))))))</f>
        <v>E/S - F/C</v>
      </c>
      <c r="H52" s="26">
        <f>IF(AND($E52=$AE$2,$F52=$AE$2),2*$AG$13,IF(OR(AND($E52=$AE$2, $F52=$AE$3),AND($E52=$AE$3,$F52=$AE$2)),$AG$13+$AG$14,IF(OR(AND($E52=$AE$2,$F52=$AE$5),AND($E52=$AE$5,$F52=$AE$2)),$AG$13,IF(OR(AND($E52=$AE$3,$F52=$AE$5),AND($E52=$AE$5,$F52=$AE$3)),$AG$14,IF(AND($E52=$AE$3,$F52=$AE$3),2*$AG$14,0)))))</f>
        <v>3.5</v>
      </c>
      <c r="I52" s="27">
        <f>IF(AND($E52=$AE$2,$F52=$AE$2),2*$AJ$13*$M52/27,IF(OR(AND($E52=$AE$2,$F52=$AE$3),AND($E52=$AE$3,$F52=$AE$2)),$AJ$13*$M52/27,IF(OR(AND($E52=$AE$2,$F52=$AE$5),AND($E52=$AE$5,$F52=$AE$2)),$AJ$13*$M52/27,0)))</f>
        <v>4.9169888888889615</v>
      </c>
      <c r="J52" s="27">
        <f>IF(AND($E52=$AE$2,$F52=$AE$2),2*$AM$13*$M52/27,IF(OR(AND($E52=$AE$2,$F52=$AE$3),AND($E52=$AE$3,$F52=$AE$2)),($AM$13+$AM$14)*$M52/27,IF(OR(AND($E52=$AE$2,$F52=$AE$5),AND($E52=$AE$5,$F52=$AE$2)),$AM$13*$M52/27,IF(OR(AND($E52=$AE$3,$F52=$AE$5),AND($E52=$AE$5,$F52=$AE$3)),$AM$14*$M52/27,IF(AND($E52=$AE$3,$F52=$AE$3),2*$AM$14*$M52/27,0)))))</f>
        <v>14.233388888889101</v>
      </c>
      <c r="K52" s="27">
        <f t="shared" ref="K52:K54" si="47">IF(AND($E52=$AE$5,$F52=$AE$5),2*$AP$15*$M52/27,IF(OR($E52=$AE$5,$F52=$AE$5),$AP$15*$M52/27,0))</f>
        <v>0</v>
      </c>
      <c r="L52" s="338">
        <v>0</v>
      </c>
      <c r="M52" s="83">
        <f t="shared" ref="M52:M64" si="48">C52-B52</f>
        <v>232.91000000000349</v>
      </c>
      <c r="N52" s="342">
        <v>28</v>
      </c>
      <c r="O52" s="76">
        <f t="shared" si="18"/>
        <v>6522</v>
      </c>
      <c r="P52" s="344">
        <v>0</v>
      </c>
      <c r="Q52" s="75">
        <f t="shared" si="1"/>
        <v>6522</v>
      </c>
      <c r="R52" s="480">
        <f t="shared" ref="R52:R64" si="49">IF(OR($A52="APP SLAB",Q52=0),0,($Q52+$H52*$M52)/9)</f>
        <v>815.24277777777911</v>
      </c>
      <c r="S52" s="210">
        <f t="shared" ref="S52:S64" si="50">IF(AND(R52=0,U52=0),0,IF(U52=0,R52/2000,U52/2000))</f>
        <v>0.40762138888888955</v>
      </c>
      <c r="T52" s="6">
        <f t="shared" ref="T52:T64" si="51">IF(A52="APP SLAB",0,U52)</f>
        <v>0</v>
      </c>
      <c r="U52" s="135">
        <f t="shared" ref="U52:U64" si="52">IF(OR(A52="APP SLAB",R52&lt;&gt;0),0,(Q52+H52*M52)/9)</f>
        <v>0</v>
      </c>
      <c r="V52" s="6">
        <f t="shared" ref="V52:V64" si="53">IF(A52="APP SLAB",0,$U$1*U52*110*0.06*0.75/2000)</f>
        <v>0</v>
      </c>
      <c r="W52" s="34">
        <f t="shared" ref="W52:W64" si="54">IF(A52="APP SLAB",0,(Q52*$W$1/12)/27+I52)</f>
        <v>236.4077296296297</v>
      </c>
      <c r="X52" s="4">
        <f t="shared" ref="X52:X64" si="55">(Q52*$X$1/12)/27+J52</f>
        <v>135.01116666666687</v>
      </c>
      <c r="Y52" s="6">
        <f t="shared" ref="Y52:Y64" si="56">IF(A52="APP SLAB",0,(Q52/9)*$Y$1)</f>
        <v>39.856666666666662</v>
      </c>
      <c r="Z52" s="4">
        <f t="shared" ref="Z52:Z64" si="57">IF(A52="APP SLAB",0,(Q52*($Z$1/12))/27+K52)</f>
        <v>30.194444444444443</v>
      </c>
      <c r="AA52" s="4">
        <f t="shared" ref="AA52:AA64" si="58">IF(A52="APP SLAB",0,(Q52*$AA$1/12)/27+L52)</f>
        <v>35.226851851851855</v>
      </c>
      <c r="AB52" s="454">
        <f t="shared" ref="AB52:AB64" si="59">IF(AND($E52=$F52="Uncurbed"),(2*$M52*2*$AB$1/12)/27,IF(OR($E52="Uncurbed",$F52="Uncurbed"),($M52*2*$AB$1/12)/27,IF(OR(AND($E52="Med. Barr.",$F52="Curbed"),AND($E52="Curbed",$F52="Med. Barr."),$E52=$F52,$E52="Unique",$F52="Unique",$E52="-",$F52="-"),0,"?")))</f>
        <v>8.6262962962964256</v>
      </c>
      <c r="AC52" s="85">
        <f>IF(A52="APP SLAB",0,(M52*2))</f>
        <v>465.82000000000698</v>
      </c>
      <c r="AQ52" s="18"/>
    </row>
    <row r="53" spans="1:43" ht="12.75" customHeight="1" x14ac:dyDescent="0.2">
      <c r="B53" s="335">
        <v>79968.09</v>
      </c>
      <c r="C53" s="336">
        <v>80213.09</v>
      </c>
      <c r="D53" s="337" t="s">
        <v>30</v>
      </c>
      <c r="E53" s="337" t="s">
        <v>101</v>
      </c>
      <c r="F53" s="337" t="s">
        <v>101</v>
      </c>
      <c r="G53" s="47" t="str">
        <f t="shared" si="46"/>
        <v>E/S - E/S</v>
      </c>
      <c r="H53" s="26">
        <f>IF(AND($E53=$AE$2,$F53=$AE$2),2*$AG$13,IF(OR(AND($E53=$AE$2, $F53=$AE$3),AND($E53=$AE$3,$F53=$AE$2)),$AG$13+$AG$14,IF(OR(AND($E53=$AE$2,$F53=$AE$5),AND($E53=$AE$5,$F53=$AE$2)),$AG$13,IF(OR(AND($E53=$AE$3,$F53=$AE$5),AND($E53=$AE$5,$F53=$AE$3)),$AG$14,IF(AND($E53=$AE$3,$F53=$AE$3),2*$AG$14,0)))))</f>
        <v>3</v>
      </c>
      <c r="I53" s="27">
        <f>IF(AND($E53=$AE$2,$F53=$AE$2),2*$AJ$13*$M53/27,IF(OR(AND($E53=$AE$2,$F53=$AE$3),AND($E53=$AE$3,$F53=$AE$2)),$AJ$13*$M53/27,IF(OR(AND($E53=$AE$2,$F53=$AE$5),AND($E53=$AE$5,$F53=$AE$2)),$AJ$13*$M53/27,0)))</f>
        <v>10.344444444444443</v>
      </c>
      <c r="J53" s="27">
        <f>IF(AND($E53=$AE$2,$F53=$AE$2),2*$AM$13*$M53/27,IF(OR(AND($E53=$AE$2,$F53=$AE$3),AND($E53=$AE$3,$F53=$AE$2)),($AM$13+$AM$14)*$M53/27,IF(OR(AND($E53=$AE$2,$F53=$AE$5),AND($E53=$AE$5,$F53=$AE$2)),$AM$13*$M53/27,IF(OR(AND($E53=$AE$3,$F53=$AE$5),AND($E53=$AE$5,$F53=$AE$3)),$AM$14*$M53/27,IF(AND($E53=$AE$3,$F53=$AE$3),2*$AM$14*$M53/27,0)))))</f>
        <v>12.15925925925926</v>
      </c>
      <c r="K53" s="27">
        <f t="shared" si="47"/>
        <v>0</v>
      </c>
      <c r="L53" s="338">
        <v>0</v>
      </c>
      <c r="M53" s="83">
        <f t="shared" si="48"/>
        <v>245</v>
      </c>
      <c r="N53" s="342">
        <v>26</v>
      </c>
      <c r="O53" s="76">
        <f t="shared" si="18"/>
        <v>6370</v>
      </c>
      <c r="P53" s="344">
        <v>0</v>
      </c>
      <c r="Q53" s="75">
        <f t="shared" si="1"/>
        <v>6370</v>
      </c>
      <c r="R53" s="480">
        <f t="shared" si="49"/>
        <v>789.44444444444446</v>
      </c>
      <c r="S53" s="210">
        <f t="shared" si="50"/>
        <v>0.39472222222222225</v>
      </c>
      <c r="T53" s="6">
        <f t="shared" si="51"/>
        <v>0</v>
      </c>
      <c r="U53" s="135">
        <f t="shared" si="52"/>
        <v>0</v>
      </c>
      <c r="V53" s="6">
        <f t="shared" si="53"/>
        <v>0</v>
      </c>
      <c r="W53" s="34">
        <f t="shared" si="54"/>
        <v>236.4401234567901</v>
      </c>
      <c r="X53" s="4">
        <f t="shared" si="55"/>
        <v>130.12222222222223</v>
      </c>
      <c r="Y53" s="6">
        <f t="shared" si="56"/>
        <v>38.927777777777784</v>
      </c>
      <c r="Z53" s="4">
        <f t="shared" si="57"/>
        <v>29.49074074074074</v>
      </c>
      <c r="AA53" s="4">
        <f t="shared" si="58"/>
        <v>34.405864197530867</v>
      </c>
      <c r="AB53" s="454">
        <f t="shared" si="59"/>
        <v>9.0740740740740744</v>
      </c>
      <c r="AC53" s="85">
        <f>IF(A53="APP SLAB",0,(M53*2))</f>
        <v>490</v>
      </c>
    </row>
    <row r="54" spans="1:43" ht="12.75" customHeight="1" x14ac:dyDescent="0.2">
      <c r="B54" s="335">
        <v>80213.09</v>
      </c>
      <c r="C54" s="336">
        <v>80254.429999999993</v>
      </c>
      <c r="D54" s="337" t="s">
        <v>30</v>
      </c>
      <c r="E54" s="337" t="s">
        <v>102</v>
      </c>
      <c r="F54" s="337" t="s">
        <v>101</v>
      </c>
      <c r="G54" s="47" t="str">
        <f t="shared" si="46"/>
        <v>E/S - F/C</v>
      </c>
      <c r="H54" s="26">
        <f>IF(AND($E54=$AE$2,$F54=$AE$2),2*$AG$13,IF(OR(AND($E54=$AE$2, $F54=$AE$3),AND($E54=$AE$3,$F54=$AE$2)),$AG$13+$AG$14,IF(OR(AND($E54=$AE$2,$F54=$AE$5),AND($E54=$AE$5,$F54=$AE$2)),$AG$13,IF(OR(AND($E54=$AE$3,$F54=$AE$5),AND($E54=$AE$5,$F54=$AE$3)),$AG$14,IF(AND($E54=$AE$3,$F54=$AE$3),2*$AG$14,0)))))</f>
        <v>3.5</v>
      </c>
      <c r="I54" s="27">
        <f>IF(AND($E54=$AE$2,$F54=$AE$2),2*$AJ$13*$M54/27,IF(OR(AND($E54=$AE$2,$F54=$AE$3),AND($E54=$AE$3,$F54=$AE$2)),$AJ$13*$M54/27,IF(OR(AND($E54=$AE$2,$F54=$AE$5),AND($E54=$AE$5,$F54=$AE$2)),$AJ$13*$M54/27,0)))</f>
        <v>0.87273333333325953</v>
      </c>
      <c r="J54" s="27">
        <f>IF(AND($E54=$AE$2,$F54=$AE$2),2*$AM$13*$M54/27,IF(OR(AND($E54=$AE$2,$F54=$AE$3),AND($E54=$AE$3,$F54=$AE$2)),($AM$13+$AM$14)*$M54/27,IF(OR(AND($E54=$AE$2,$F54=$AE$5),AND($E54=$AE$5,$F54=$AE$2)),$AM$13*$M54/27,IF(OR(AND($E54=$AE$3,$F54=$AE$5),AND($E54=$AE$5,$F54=$AE$3)),$AM$14*$M54/27,IF(AND($E54=$AE$3,$F54=$AE$3),2*$AM$14*$M54/27,0)))))</f>
        <v>2.5263333333331195</v>
      </c>
      <c r="K54" s="27">
        <f t="shared" si="47"/>
        <v>0</v>
      </c>
      <c r="L54" s="338">
        <v>0</v>
      </c>
      <c r="M54" s="83">
        <f t="shared" si="48"/>
        <v>41.339999999996508</v>
      </c>
      <c r="N54" s="342">
        <v>28</v>
      </c>
      <c r="O54" s="76">
        <f t="shared" si="18"/>
        <v>1158</v>
      </c>
      <c r="P54" s="344">
        <v>0</v>
      </c>
      <c r="Q54" s="75">
        <f t="shared" si="1"/>
        <v>1158</v>
      </c>
      <c r="R54" s="480">
        <f t="shared" si="49"/>
        <v>144.74333333333198</v>
      </c>
      <c r="S54" s="210">
        <f t="shared" si="50"/>
        <v>7.2371666666665987E-2</v>
      </c>
      <c r="T54" s="6">
        <f t="shared" si="51"/>
        <v>0</v>
      </c>
      <c r="U54" s="135">
        <f t="shared" si="52"/>
        <v>0</v>
      </c>
      <c r="V54" s="6">
        <f t="shared" si="53"/>
        <v>0</v>
      </c>
      <c r="W54" s="34">
        <f t="shared" si="54"/>
        <v>41.974585185185113</v>
      </c>
      <c r="X54" s="4">
        <f t="shared" si="55"/>
        <v>23.970777777777563</v>
      </c>
      <c r="Y54" s="6">
        <f t="shared" si="56"/>
        <v>7.0766666666666662</v>
      </c>
      <c r="Z54" s="4">
        <f t="shared" si="57"/>
        <v>5.3611111111111107</v>
      </c>
      <c r="AA54" s="4">
        <f t="shared" si="58"/>
        <v>6.2546296296296298</v>
      </c>
      <c r="AB54" s="454">
        <f t="shared" si="59"/>
        <v>1.5311111111109819</v>
      </c>
      <c r="AC54" s="85">
        <f>IF(A54="APP SLAB",0,(M54*2))</f>
        <v>82.679999999993015</v>
      </c>
    </row>
    <row r="55" spans="1:43" ht="12.75" customHeight="1" x14ac:dyDescent="0.2">
      <c r="B55" s="335">
        <v>80254.429999999993</v>
      </c>
      <c r="C55" s="336">
        <v>80563.850000000006</v>
      </c>
      <c r="D55" s="337" t="s">
        <v>15</v>
      </c>
      <c r="E55" s="337" t="s">
        <v>102</v>
      </c>
      <c r="F55" s="337" t="s">
        <v>108</v>
      </c>
      <c r="G55" s="47" t="str">
        <f t="shared" si="46"/>
        <v>-</v>
      </c>
      <c r="H55" s="339">
        <v>2</v>
      </c>
      <c r="I55" s="338">
        <v>6.53</v>
      </c>
      <c r="J55" s="338">
        <v>7.68</v>
      </c>
      <c r="K55" s="338">
        <v>0</v>
      </c>
      <c r="L55" s="338">
        <v>0</v>
      </c>
      <c r="M55" s="83">
        <f t="shared" si="48"/>
        <v>309.42000000001281</v>
      </c>
      <c r="N55" s="342">
        <v>22</v>
      </c>
      <c r="O55" s="76">
        <f t="shared" si="18"/>
        <v>6808</v>
      </c>
      <c r="P55" s="344">
        <v>0</v>
      </c>
      <c r="Q55" s="75">
        <f t="shared" si="1"/>
        <v>6808</v>
      </c>
      <c r="R55" s="480">
        <f t="shared" si="49"/>
        <v>825.20444444444729</v>
      </c>
      <c r="S55" s="210">
        <f t="shared" si="50"/>
        <v>0.41260222222222365</v>
      </c>
      <c r="T55" s="6">
        <f t="shared" si="51"/>
        <v>0</v>
      </c>
      <c r="U55" s="135">
        <f t="shared" si="52"/>
        <v>0</v>
      </c>
      <c r="V55" s="6">
        <f t="shared" si="53"/>
        <v>0</v>
      </c>
      <c r="W55" s="34">
        <f t="shared" si="54"/>
        <v>248.17197530864198</v>
      </c>
      <c r="X55" s="4">
        <f t="shared" si="55"/>
        <v>133.75407407407408</v>
      </c>
      <c r="Y55" s="6">
        <f t="shared" si="56"/>
        <v>41.604444444444447</v>
      </c>
      <c r="Z55" s="4">
        <f t="shared" si="57"/>
        <v>31.518518518518519</v>
      </c>
      <c r="AA55" s="4">
        <f t="shared" si="58"/>
        <v>36.771604938271608</v>
      </c>
      <c r="AB55" s="454">
        <f t="shared" si="59"/>
        <v>0</v>
      </c>
      <c r="AC55" s="85">
        <f>IF(A55="APP SLAB",0,(M55))</f>
        <v>309.42000000001281</v>
      </c>
      <c r="AD55" s="10"/>
      <c r="AE55" s="1"/>
    </row>
    <row r="56" spans="1:43" ht="12.75" customHeight="1" x14ac:dyDescent="0.2">
      <c r="B56" s="335">
        <v>80254.429999999993</v>
      </c>
      <c r="C56" s="336">
        <v>80525.570000000007</v>
      </c>
      <c r="D56" s="337" t="s">
        <v>16</v>
      </c>
      <c r="E56" s="337" t="s">
        <v>108</v>
      </c>
      <c r="F56" s="337" t="s">
        <v>102</v>
      </c>
      <c r="G56" s="47" t="str">
        <f t="shared" si="46"/>
        <v>-</v>
      </c>
      <c r="H56" s="339">
        <v>2</v>
      </c>
      <c r="I56" s="338">
        <v>0</v>
      </c>
      <c r="J56" s="338">
        <v>9.84</v>
      </c>
      <c r="K56" s="338">
        <v>0</v>
      </c>
      <c r="L56" s="338">
        <v>0</v>
      </c>
      <c r="M56" s="83">
        <f t="shared" si="48"/>
        <v>271.14000000001397</v>
      </c>
      <c r="N56" s="342" t="s">
        <v>97</v>
      </c>
      <c r="O56" s="76">
        <f t="shared" si="18"/>
        <v>0</v>
      </c>
      <c r="P56" s="344">
        <v>9983</v>
      </c>
      <c r="Q56" s="75">
        <f t="shared" si="1"/>
        <v>9983</v>
      </c>
      <c r="R56" s="480">
        <f t="shared" si="49"/>
        <v>1169.4755555555587</v>
      </c>
      <c r="S56" s="210">
        <f t="shared" si="50"/>
        <v>0.58473777777777936</v>
      </c>
      <c r="T56" s="6">
        <f t="shared" si="51"/>
        <v>0</v>
      </c>
      <c r="U56" s="135">
        <f t="shared" si="52"/>
        <v>0</v>
      </c>
      <c r="V56" s="6">
        <f t="shared" si="53"/>
        <v>0</v>
      </c>
      <c r="W56" s="34">
        <f t="shared" si="54"/>
        <v>354.33487654320987</v>
      </c>
      <c r="X56" s="4">
        <f t="shared" si="55"/>
        <v>194.71037037037038</v>
      </c>
      <c r="Y56" s="6">
        <f t="shared" si="56"/>
        <v>61.007222222222218</v>
      </c>
      <c r="Z56" s="4">
        <f t="shared" si="57"/>
        <v>46.217592592592595</v>
      </c>
      <c r="AA56" s="4">
        <f t="shared" si="58"/>
        <v>53.920524691358025</v>
      </c>
      <c r="AB56" s="454">
        <f t="shared" si="59"/>
        <v>0</v>
      </c>
      <c r="AC56" s="85">
        <f>IF(A56="APP SLAB",0,(M56))</f>
        <v>271.14000000001397</v>
      </c>
      <c r="AD56" s="10"/>
      <c r="AE56" s="1"/>
    </row>
    <row r="57" spans="1:43" ht="12.75" customHeight="1" x14ac:dyDescent="0.2">
      <c r="B57" s="335">
        <v>80525.570000000007</v>
      </c>
      <c r="C57" s="336">
        <v>80563.850000000006</v>
      </c>
      <c r="D57" s="337" t="s">
        <v>16</v>
      </c>
      <c r="E57" s="337" t="s">
        <v>108</v>
      </c>
      <c r="F57" s="337" t="s">
        <v>97</v>
      </c>
      <c r="G57" s="47" t="str">
        <f t="shared" si="46"/>
        <v>-</v>
      </c>
      <c r="H57" s="339">
        <v>0</v>
      </c>
      <c r="I57" s="338">
        <v>0</v>
      </c>
      <c r="J57" s="338">
        <v>0</v>
      </c>
      <c r="K57" s="338">
        <v>0</v>
      </c>
      <c r="L57" s="338">
        <v>0</v>
      </c>
      <c r="M57" s="83">
        <f t="shared" si="48"/>
        <v>38.279999999998836</v>
      </c>
      <c r="N57" s="342" t="s">
        <v>97</v>
      </c>
      <c r="O57" s="76">
        <f t="shared" si="18"/>
        <v>0</v>
      </c>
      <c r="P57" s="344">
        <v>682</v>
      </c>
      <c r="Q57" s="75">
        <f t="shared" si="1"/>
        <v>682</v>
      </c>
      <c r="R57" s="480">
        <f t="shared" si="49"/>
        <v>75.777777777777771</v>
      </c>
      <c r="S57" s="210">
        <f t="shared" si="50"/>
        <v>3.7888888888888889E-2</v>
      </c>
      <c r="T57" s="6">
        <f t="shared" si="51"/>
        <v>0</v>
      </c>
      <c r="U57" s="135">
        <f t="shared" si="52"/>
        <v>0</v>
      </c>
      <c r="V57" s="6">
        <f t="shared" si="53"/>
        <v>0</v>
      </c>
      <c r="W57" s="34">
        <f t="shared" si="54"/>
        <v>24.206790123456791</v>
      </c>
      <c r="X57" s="4">
        <f t="shared" si="55"/>
        <v>12.62962962962963</v>
      </c>
      <c r="Y57" s="6">
        <f t="shared" si="56"/>
        <v>4.1677777777777774</v>
      </c>
      <c r="Z57" s="4">
        <f t="shared" si="57"/>
        <v>3.1574074074074074</v>
      </c>
      <c r="AA57" s="4">
        <f t="shared" si="58"/>
        <v>3.683641975308642</v>
      </c>
      <c r="AB57" s="454">
        <f t="shared" si="59"/>
        <v>0</v>
      </c>
      <c r="AC57" s="85">
        <f>IF(A57="APP SLAB",0,(M57))</f>
        <v>38.279999999998836</v>
      </c>
      <c r="AD57" s="10"/>
      <c r="AE57" s="1"/>
    </row>
    <row r="58" spans="1:43" ht="12.75" customHeight="1" x14ac:dyDescent="0.2">
      <c r="A58" s="48" t="s">
        <v>28</v>
      </c>
      <c r="B58" s="335">
        <v>80563.850000000006</v>
      </c>
      <c r="C58" s="336">
        <v>80593.850000000006</v>
      </c>
      <c r="D58" s="337" t="s">
        <v>30</v>
      </c>
      <c r="E58" s="337" t="s">
        <v>97</v>
      </c>
      <c r="F58" s="337" t="s">
        <v>97</v>
      </c>
      <c r="G58" s="47" t="str">
        <f t="shared" si="46"/>
        <v>-</v>
      </c>
      <c r="H58" s="26">
        <f>IF(AND($E58=$AE$2,$F58=$AE$2),2*$AG$13,IF(OR(AND($E58=$AE$2, $F58=$AE$3),AND($E58=$AE$3,$F58=$AE$2)),$AG$13+$AG$14,IF(OR(AND($E58=$AE$2,$F58=$AE$5),AND($E58=$AE$5,$F58=$AE$2)),$AG$13,IF(OR(AND($E58=$AE$3,$F58=$AE$5),AND($E58=$AE$5,$F58=$AE$3)),$AG$14,IF(AND($E58=$AE$3,$F58=$AE$3),2*$AG$14,0)))))</f>
        <v>0</v>
      </c>
      <c r="I58" s="27">
        <f>IF(AND($E58=$AE$2,$F58=$AE$2),2*$AJ$13*$M58/27,IF(OR(AND($E58=$AE$2,$F58=$AE$3),AND($E58=$AE$3,$F58=$AE$2)),$AJ$13*$M58/27,IF(OR(AND($E58=$AE$2,$F58=$AE$5),AND($E58=$AE$5,$F58=$AE$2)),$AJ$13*$M58/27,0)))</f>
        <v>0</v>
      </c>
      <c r="J58" s="27">
        <f>IF(AND($E58=$AE$2,$F58=$AE$2),2*$AM$13*$M58/27,IF(OR(AND($E58=$AE$2,$F58=$AE$3),AND($E58=$AE$3,$F58=$AE$2)),($AM$13+$AM$14)*$M58/27,IF(OR(AND($E58=$AE$2,$F58=$AE$5),AND($E58=$AE$5,$F58=$AE$2)),$AM$13*$M58/27,IF(OR(AND($E58=$AE$3,$F58=$AE$5),AND($E58=$AE$5,$F58=$AE$3)),$AM$14*$M58/27,IF(AND($E58=$AE$3,$F58=$AE$3),2*$AM$14*$M58/27,0)))))</f>
        <v>0</v>
      </c>
      <c r="K58" s="27">
        <f t="shared" ref="K58:K59" si="60">IF(AND($E58=$AE$5,$F58=$AE$5),2*$AP$15*$M58/27,IF(OR($E58=$AE$5,$F58=$AE$5),$AP$15*$M58/27,0))</f>
        <v>0</v>
      </c>
      <c r="L58" s="338">
        <v>0</v>
      </c>
      <c r="M58" s="83">
        <f t="shared" si="48"/>
        <v>30</v>
      </c>
      <c r="N58" s="342" t="s">
        <v>97</v>
      </c>
      <c r="O58" s="76">
        <f t="shared" si="18"/>
        <v>0</v>
      </c>
      <c r="P58" s="344">
        <v>1890</v>
      </c>
      <c r="Q58" s="75">
        <f t="shared" si="1"/>
        <v>1890</v>
      </c>
      <c r="R58" s="480">
        <f t="shared" si="49"/>
        <v>0</v>
      </c>
      <c r="S58" s="210">
        <f t="shared" si="50"/>
        <v>0</v>
      </c>
      <c r="T58" s="6">
        <f t="shared" si="51"/>
        <v>0</v>
      </c>
      <c r="U58" s="135">
        <f t="shared" si="52"/>
        <v>0</v>
      </c>
      <c r="V58" s="6">
        <f t="shared" si="53"/>
        <v>0</v>
      </c>
      <c r="W58" s="34">
        <f t="shared" si="54"/>
        <v>0</v>
      </c>
      <c r="X58" s="4">
        <f t="shared" si="55"/>
        <v>35</v>
      </c>
      <c r="Y58" s="6">
        <f t="shared" si="56"/>
        <v>0</v>
      </c>
      <c r="Z58" s="4">
        <f t="shared" si="57"/>
        <v>0</v>
      </c>
      <c r="AA58" s="4">
        <f t="shared" si="58"/>
        <v>0</v>
      </c>
      <c r="AB58" s="454">
        <f t="shared" si="59"/>
        <v>0</v>
      </c>
      <c r="AC58" s="85">
        <f>IF(A58="APP SLAB",0,(M58*2))</f>
        <v>0</v>
      </c>
      <c r="AD58" s="10"/>
      <c r="AE58" s="1"/>
    </row>
    <row r="59" spans="1:43" ht="12.75" customHeight="1" x14ac:dyDescent="0.2">
      <c r="A59" s="48" t="s">
        <v>28</v>
      </c>
      <c r="B59" s="335">
        <v>80693.98</v>
      </c>
      <c r="C59" s="336">
        <v>80723.98</v>
      </c>
      <c r="D59" s="337" t="s">
        <v>30</v>
      </c>
      <c r="E59" s="337" t="s">
        <v>97</v>
      </c>
      <c r="F59" s="337" t="s">
        <v>97</v>
      </c>
      <c r="G59" s="47" t="str">
        <f t="shared" si="46"/>
        <v>-</v>
      </c>
      <c r="H59" s="26">
        <f>IF(AND($E59=$AE$2,$F59=$AE$2),2*$AG$13,IF(OR(AND($E59=$AE$2, $F59=$AE$3),AND($E59=$AE$3,$F59=$AE$2)),$AG$13+$AG$14,IF(OR(AND($E59=$AE$2,$F59=$AE$5),AND($E59=$AE$5,$F59=$AE$2)),$AG$13,IF(OR(AND($E59=$AE$3,$F59=$AE$5),AND($E59=$AE$5,$F59=$AE$3)),$AG$14,IF(AND($E59=$AE$3,$F59=$AE$3),2*$AG$14,0)))))</f>
        <v>0</v>
      </c>
      <c r="I59" s="27">
        <f>IF(AND($E59=$AE$2,$F59=$AE$2),2*$AJ$13*$M59/27,IF(OR(AND($E59=$AE$2,$F59=$AE$3),AND($E59=$AE$3,$F59=$AE$2)),$AJ$13*$M59/27,IF(OR(AND($E59=$AE$2,$F59=$AE$5),AND($E59=$AE$5,$F59=$AE$2)),$AJ$13*$M59/27,0)))</f>
        <v>0</v>
      </c>
      <c r="J59" s="27">
        <f>IF(AND($E59=$AE$2,$F59=$AE$2),2*$AM$13*$M59/27,IF(OR(AND($E59=$AE$2,$F59=$AE$3),AND($E59=$AE$3,$F59=$AE$2)),($AM$13+$AM$14)*$M59/27,IF(OR(AND($E59=$AE$2,$F59=$AE$5),AND($E59=$AE$5,$F59=$AE$2)),$AM$13*$M59/27,IF(OR(AND($E59=$AE$3,$F59=$AE$5),AND($E59=$AE$5,$F59=$AE$3)),$AM$14*$M59/27,IF(AND($E59=$AE$3,$F59=$AE$3),2*$AM$14*$M59/27,0)))))</f>
        <v>0</v>
      </c>
      <c r="K59" s="27">
        <f t="shared" si="60"/>
        <v>0</v>
      </c>
      <c r="L59" s="338">
        <v>0</v>
      </c>
      <c r="M59" s="83">
        <f t="shared" si="48"/>
        <v>30</v>
      </c>
      <c r="N59" s="342" t="s">
        <v>97</v>
      </c>
      <c r="O59" s="76">
        <f t="shared" si="18"/>
        <v>0</v>
      </c>
      <c r="P59" s="344">
        <v>1803</v>
      </c>
      <c r="Q59" s="75">
        <f t="shared" si="1"/>
        <v>1803</v>
      </c>
      <c r="R59" s="480">
        <f t="shared" si="49"/>
        <v>0</v>
      </c>
      <c r="S59" s="210">
        <f t="shared" si="50"/>
        <v>0</v>
      </c>
      <c r="T59" s="6">
        <f t="shared" si="51"/>
        <v>0</v>
      </c>
      <c r="U59" s="135">
        <f t="shared" si="52"/>
        <v>0</v>
      </c>
      <c r="V59" s="6">
        <f t="shared" si="53"/>
        <v>0</v>
      </c>
      <c r="W59" s="34">
        <f t="shared" si="54"/>
        <v>0</v>
      </c>
      <c r="X59" s="4">
        <f t="shared" si="55"/>
        <v>33.388888888888886</v>
      </c>
      <c r="Y59" s="6">
        <f t="shared" si="56"/>
        <v>0</v>
      </c>
      <c r="Z59" s="4">
        <f t="shared" si="57"/>
        <v>0</v>
      </c>
      <c r="AA59" s="4">
        <f t="shared" si="58"/>
        <v>0</v>
      </c>
      <c r="AB59" s="454">
        <f t="shared" si="59"/>
        <v>0</v>
      </c>
      <c r="AC59" s="85">
        <f>IF(A59="APP SLAB",0,(M59*2))</f>
        <v>0</v>
      </c>
      <c r="AD59" s="10"/>
      <c r="AE59" s="1"/>
    </row>
    <row r="60" spans="1:43" ht="12.75" customHeight="1" x14ac:dyDescent="0.2">
      <c r="B60" s="335">
        <v>80723.98</v>
      </c>
      <c r="C60" s="336">
        <v>80741.149999999994</v>
      </c>
      <c r="D60" s="337" t="s">
        <v>15</v>
      </c>
      <c r="E60" s="337" t="s">
        <v>97</v>
      </c>
      <c r="F60" s="337" t="s">
        <v>108</v>
      </c>
      <c r="G60" s="47" t="str">
        <f t="shared" si="46"/>
        <v>-</v>
      </c>
      <c r="H60" s="339">
        <v>0</v>
      </c>
      <c r="I60" s="338">
        <v>0</v>
      </c>
      <c r="J60" s="338">
        <v>0</v>
      </c>
      <c r="K60" s="338">
        <v>0</v>
      </c>
      <c r="L60" s="338">
        <v>0</v>
      </c>
      <c r="M60" s="83">
        <f t="shared" si="48"/>
        <v>17.169999999998254</v>
      </c>
      <c r="N60" s="342" t="s">
        <v>97</v>
      </c>
      <c r="O60" s="76">
        <f t="shared" si="18"/>
        <v>0</v>
      </c>
      <c r="P60" s="344">
        <v>189</v>
      </c>
      <c r="Q60" s="75">
        <f t="shared" si="1"/>
        <v>189</v>
      </c>
      <c r="R60" s="480">
        <f t="shared" si="49"/>
        <v>21</v>
      </c>
      <c r="S60" s="210">
        <f t="shared" si="50"/>
        <v>1.0500000000000001E-2</v>
      </c>
      <c r="T60" s="6">
        <f t="shared" si="51"/>
        <v>0</v>
      </c>
      <c r="U60" s="135">
        <f t="shared" si="52"/>
        <v>0</v>
      </c>
      <c r="V60" s="6">
        <f t="shared" si="53"/>
        <v>0</v>
      </c>
      <c r="W60" s="34">
        <f t="shared" si="54"/>
        <v>6.708333333333333</v>
      </c>
      <c r="X60" s="4">
        <f t="shared" si="55"/>
        <v>3.5</v>
      </c>
      <c r="Y60" s="6">
        <f t="shared" si="56"/>
        <v>1.155</v>
      </c>
      <c r="Z60" s="4">
        <f t="shared" si="57"/>
        <v>0.875</v>
      </c>
      <c r="AA60" s="4">
        <f t="shared" si="58"/>
        <v>1.0208333333333333</v>
      </c>
      <c r="AB60" s="454">
        <f t="shared" si="59"/>
        <v>0</v>
      </c>
      <c r="AC60" s="85">
        <v>0</v>
      </c>
      <c r="AD60" s="10"/>
      <c r="AE60" s="1"/>
    </row>
    <row r="61" spans="1:43" ht="12.75" customHeight="1" x14ac:dyDescent="0.2">
      <c r="B61" s="335">
        <v>80697.58</v>
      </c>
      <c r="C61" s="336">
        <v>81419.11</v>
      </c>
      <c r="D61" s="337" t="s">
        <v>30</v>
      </c>
      <c r="E61" s="337" t="s">
        <v>108</v>
      </c>
      <c r="F61" s="337" t="s">
        <v>102</v>
      </c>
      <c r="G61" s="47" t="str">
        <f t="shared" si="46"/>
        <v>-</v>
      </c>
      <c r="H61" s="339">
        <v>2</v>
      </c>
      <c r="I61" s="338">
        <v>0</v>
      </c>
      <c r="J61" s="338">
        <v>26.19</v>
      </c>
      <c r="K61" s="338">
        <v>0</v>
      </c>
      <c r="L61" s="338">
        <v>0</v>
      </c>
      <c r="M61" s="83">
        <f t="shared" si="48"/>
        <v>721.52999999999884</v>
      </c>
      <c r="N61" s="342" t="s">
        <v>97</v>
      </c>
      <c r="O61" s="76">
        <f t="shared" si="18"/>
        <v>0</v>
      </c>
      <c r="P61" s="344">
        <v>18404</v>
      </c>
      <c r="Q61" s="75">
        <f t="shared" si="1"/>
        <v>18404</v>
      </c>
      <c r="R61" s="480">
        <f t="shared" si="49"/>
        <v>2205.2288888888888</v>
      </c>
      <c r="S61" s="210">
        <f t="shared" si="50"/>
        <v>1.1026144444444443</v>
      </c>
      <c r="T61" s="6">
        <f t="shared" si="51"/>
        <v>0</v>
      </c>
      <c r="U61" s="135">
        <f t="shared" si="52"/>
        <v>0</v>
      </c>
      <c r="V61" s="6">
        <f t="shared" si="53"/>
        <v>0</v>
      </c>
      <c r="W61" s="34">
        <f t="shared" si="54"/>
        <v>653.22839506172841</v>
      </c>
      <c r="X61" s="4">
        <f t="shared" si="55"/>
        <v>367.00481481481484</v>
      </c>
      <c r="Y61" s="6">
        <f t="shared" si="56"/>
        <v>112.46888888888888</v>
      </c>
      <c r="Z61" s="4">
        <f t="shared" si="57"/>
        <v>85.203703703703709</v>
      </c>
      <c r="AA61" s="4">
        <f t="shared" si="58"/>
        <v>99.404320987654316</v>
      </c>
      <c r="AB61" s="454">
        <f t="shared" si="59"/>
        <v>0</v>
      </c>
      <c r="AC61" s="85">
        <f>IF(A61="APP SLAB",0,(M61))</f>
        <v>721.52999999999884</v>
      </c>
      <c r="AD61" s="10"/>
      <c r="AE61" s="1"/>
    </row>
    <row r="62" spans="1:43" ht="12.75" customHeight="1" x14ac:dyDescent="0.2">
      <c r="B62" s="335">
        <v>80741.149999999994</v>
      </c>
      <c r="C62" s="336">
        <v>81059.83</v>
      </c>
      <c r="D62" s="337" t="s">
        <v>15</v>
      </c>
      <c r="E62" s="337" t="s">
        <v>102</v>
      </c>
      <c r="F62" s="337" t="s">
        <v>108</v>
      </c>
      <c r="G62" s="47" t="str">
        <f t="shared" si="46"/>
        <v>-</v>
      </c>
      <c r="H62" s="339">
        <v>2</v>
      </c>
      <c r="I62" s="338">
        <v>0</v>
      </c>
      <c r="J62" s="338">
        <v>11.57</v>
      </c>
      <c r="K62" s="338">
        <v>0</v>
      </c>
      <c r="L62" s="338">
        <v>0</v>
      </c>
      <c r="M62" s="83">
        <f t="shared" si="48"/>
        <v>318.68000000000757</v>
      </c>
      <c r="N62" s="342">
        <v>22</v>
      </c>
      <c r="O62" s="76">
        <f t="shared" si="18"/>
        <v>7011</v>
      </c>
      <c r="P62" s="344">
        <v>0</v>
      </c>
      <c r="Q62" s="75">
        <f t="shared" si="1"/>
        <v>7011</v>
      </c>
      <c r="R62" s="480">
        <f t="shared" si="49"/>
        <v>849.8177777777795</v>
      </c>
      <c r="S62" s="210">
        <f t="shared" si="50"/>
        <v>0.42490888888888972</v>
      </c>
      <c r="T62" s="6">
        <f t="shared" si="51"/>
        <v>0</v>
      </c>
      <c r="U62" s="135">
        <f t="shared" si="52"/>
        <v>0</v>
      </c>
      <c r="V62" s="6">
        <f t="shared" si="53"/>
        <v>0</v>
      </c>
      <c r="W62" s="34">
        <f t="shared" si="54"/>
        <v>248.84722222222223</v>
      </c>
      <c r="X62" s="4">
        <f t="shared" si="55"/>
        <v>141.40333333333334</v>
      </c>
      <c r="Y62" s="6">
        <f t="shared" si="56"/>
        <v>42.844999999999999</v>
      </c>
      <c r="Z62" s="4">
        <f t="shared" si="57"/>
        <v>32.458333333333336</v>
      </c>
      <c r="AA62" s="4">
        <f t="shared" si="58"/>
        <v>37.868055555555557</v>
      </c>
      <c r="AB62" s="454">
        <f t="shared" si="59"/>
        <v>0</v>
      </c>
      <c r="AC62" s="85">
        <f>IF(A62="APP SLAB",0,(M62))</f>
        <v>318.68000000000757</v>
      </c>
      <c r="AD62" s="10"/>
      <c r="AE62" s="1"/>
    </row>
    <row r="63" spans="1:43" ht="12.75" customHeight="1" x14ac:dyDescent="0.2">
      <c r="B63" s="335">
        <v>81059.83</v>
      </c>
      <c r="C63" s="336">
        <v>81338.28</v>
      </c>
      <c r="D63" s="337" t="s">
        <v>15</v>
      </c>
      <c r="E63" s="337" t="s">
        <v>101</v>
      </c>
      <c r="F63" s="337" t="s">
        <v>108</v>
      </c>
      <c r="G63" s="47" t="str">
        <f t="shared" si="46"/>
        <v>-</v>
      </c>
      <c r="H63" s="339">
        <v>1.5</v>
      </c>
      <c r="I63" s="338">
        <v>5.88</v>
      </c>
      <c r="J63" s="338">
        <v>6.91</v>
      </c>
      <c r="K63" s="338">
        <v>0</v>
      </c>
      <c r="L63" s="338">
        <v>0</v>
      </c>
      <c r="M63" s="83">
        <f t="shared" si="48"/>
        <v>278.44999999999709</v>
      </c>
      <c r="N63" s="342">
        <v>20</v>
      </c>
      <c r="O63" s="76">
        <f t="shared" si="18"/>
        <v>5569</v>
      </c>
      <c r="P63" s="344">
        <v>0</v>
      </c>
      <c r="Q63" s="75">
        <f t="shared" si="1"/>
        <v>5569</v>
      </c>
      <c r="R63" s="480">
        <f t="shared" si="49"/>
        <v>665.18611111111068</v>
      </c>
      <c r="S63" s="210">
        <f t="shared" si="50"/>
        <v>0.33259305555555535</v>
      </c>
      <c r="T63" s="6">
        <f t="shared" si="51"/>
        <v>0</v>
      </c>
      <c r="U63" s="135">
        <f t="shared" si="52"/>
        <v>0</v>
      </c>
      <c r="V63" s="6">
        <f t="shared" si="53"/>
        <v>0</v>
      </c>
      <c r="W63" s="34">
        <f t="shared" si="54"/>
        <v>203.54512345679009</v>
      </c>
      <c r="X63" s="4">
        <f t="shared" si="55"/>
        <v>110.03962962962963</v>
      </c>
      <c r="Y63" s="6">
        <f t="shared" si="56"/>
        <v>34.032777777777781</v>
      </c>
      <c r="Z63" s="4">
        <f t="shared" si="57"/>
        <v>25.782407407407408</v>
      </c>
      <c r="AA63" s="4">
        <f t="shared" si="58"/>
        <v>30.079475308641978</v>
      </c>
      <c r="AB63" s="454">
        <f t="shared" si="59"/>
        <v>10.312962962962855</v>
      </c>
      <c r="AC63" s="85">
        <f>IF(A63="APP SLAB",0,(M63))</f>
        <v>278.44999999999709</v>
      </c>
      <c r="AD63" s="10"/>
      <c r="AE63" s="1"/>
    </row>
    <row r="64" spans="1:43" ht="12.75" customHeight="1" x14ac:dyDescent="0.2">
      <c r="A64" s="48" t="s">
        <v>28</v>
      </c>
      <c r="B64" s="335">
        <v>81383.960000000006</v>
      </c>
      <c r="C64" s="336">
        <v>81412.460000000006</v>
      </c>
      <c r="D64" s="337" t="s">
        <v>30</v>
      </c>
      <c r="E64" s="337" t="s">
        <v>97</v>
      </c>
      <c r="F64" s="337" t="s">
        <v>97</v>
      </c>
      <c r="G64" s="47" t="str">
        <f t="shared" si="46"/>
        <v>-</v>
      </c>
      <c r="H64" s="26">
        <f t="shared" ref="H64" si="61">IF(AND($E64=$AE$2,$F64=$AE$2),2*$AG$13,IF(OR(AND($E64=$AE$2, $F64=$AE$3),AND($E64=$AE$3,$F64=$AE$2)),$AG$13+$AG$14,IF(OR(AND($E64=$AE$2,$F64=$AE$5),AND($E64=$AE$5,$F64=$AE$2)),$AG$13,IF(OR(AND($E64=$AE$3,$F64=$AE$5),AND($E64=$AE$5,$F64=$AE$3)),$AG$14,IF(AND($E64=$AE$3,$F64=$AE$3),2*$AG$14,0)))))</f>
        <v>0</v>
      </c>
      <c r="I64" s="27">
        <f t="shared" ref="I64" si="62">IF(AND($E64=$AE$2,$F64=$AE$2),2*$AJ$13*$M64/27,IF(OR(AND($E64=$AE$2,$F64=$AE$3),AND($E64=$AE$3,$F64=$AE$2)),$AJ$13*$M64/27,IF(OR(AND($E64=$AE$2,$F64=$AE$5),AND($E64=$AE$5,$F64=$AE$2)),$AJ$13*$M64/27,0)))</f>
        <v>0</v>
      </c>
      <c r="J64" s="27">
        <f t="shared" ref="J64" si="63">IF(AND($E64=$AE$2,$F64=$AE$2),2*$AM$13*$M64/27,IF(OR(AND($E64=$AE$2,$F64=$AE$3),AND($E64=$AE$3,$F64=$AE$2)),($AM$13+$AM$14)*$M64/27,IF(OR(AND($E64=$AE$2,$F64=$AE$5),AND($E64=$AE$5,$F64=$AE$2)),$AM$13*$M64/27,IF(OR(AND($E64=$AE$3,$F64=$AE$5),AND($E64=$AE$5,$F64=$AE$3)),$AM$14*$M64/27,IF(AND($E64=$AE$3,$F64=$AE$3),2*$AM$14*$M64/27,0)))))</f>
        <v>0</v>
      </c>
      <c r="K64" s="27">
        <f t="shared" ref="K64" si="64">IF(AND($E64=$AE$5,$F64=$AE$5),2*$AP$15*$M64/27,IF(OR($E64=$AE$5,$F64=$AE$5),$AP$15*$M64/27,0))</f>
        <v>0</v>
      </c>
      <c r="L64" s="338">
        <v>0</v>
      </c>
      <c r="M64" s="83">
        <f t="shared" si="48"/>
        <v>28.5</v>
      </c>
      <c r="N64" s="342" t="s">
        <v>97</v>
      </c>
      <c r="O64" s="76">
        <f t="shared" si="18"/>
        <v>0</v>
      </c>
      <c r="P64" s="344">
        <v>1038</v>
      </c>
      <c r="Q64" s="75">
        <f t="shared" si="1"/>
        <v>1038</v>
      </c>
      <c r="R64" s="480">
        <f t="shared" si="49"/>
        <v>0</v>
      </c>
      <c r="S64" s="210">
        <f t="shared" si="50"/>
        <v>0</v>
      </c>
      <c r="T64" s="6">
        <f t="shared" si="51"/>
        <v>0</v>
      </c>
      <c r="U64" s="135">
        <f t="shared" si="52"/>
        <v>0</v>
      </c>
      <c r="V64" s="6">
        <f t="shared" si="53"/>
        <v>0</v>
      </c>
      <c r="W64" s="34">
        <f t="shared" si="54"/>
        <v>0</v>
      </c>
      <c r="X64" s="4">
        <f t="shared" si="55"/>
        <v>19.222222222222221</v>
      </c>
      <c r="Y64" s="6">
        <f t="shared" si="56"/>
        <v>0</v>
      </c>
      <c r="Z64" s="4">
        <f t="shared" si="57"/>
        <v>0</v>
      </c>
      <c r="AA64" s="4">
        <f t="shared" si="58"/>
        <v>0</v>
      </c>
      <c r="AB64" s="454">
        <f t="shared" si="59"/>
        <v>0</v>
      </c>
      <c r="AC64" s="85">
        <f>IF(A64="APP SLAB",0,(M64*2))</f>
        <v>0</v>
      </c>
      <c r="AD64" s="10"/>
      <c r="AE64" s="1"/>
    </row>
    <row r="65" spans="1:31" ht="12.75" customHeight="1" thickBot="1" x14ac:dyDescent="0.25">
      <c r="B65" s="54"/>
      <c r="C65" s="3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174"/>
      <c r="AE65" s="1"/>
    </row>
    <row r="66" spans="1:31" ht="12.75" customHeight="1" x14ac:dyDescent="0.2">
      <c r="A66" s="20"/>
      <c r="B66" s="725" t="s">
        <v>256</v>
      </c>
      <c r="C66" s="726"/>
      <c r="D66" s="602" t="s">
        <v>181</v>
      </c>
      <c r="E66" s="603"/>
      <c r="F66" s="603"/>
      <c r="G66" s="603"/>
      <c r="H66" s="603"/>
      <c r="I66" s="603"/>
      <c r="J66" s="603"/>
      <c r="K66" s="603"/>
      <c r="L66" s="603"/>
      <c r="M66" s="603"/>
      <c r="N66" s="603"/>
      <c r="O66" s="603"/>
      <c r="P66" s="603"/>
      <c r="Q66" s="604"/>
      <c r="R66" s="610">
        <f>ROUNDUP(SUM(R19:R64),0)</f>
        <v>21453</v>
      </c>
      <c r="S66" s="610">
        <f>ROUNDUP(SUM(S19:S64),0)</f>
        <v>19</v>
      </c>
      <c r="T66" s="610">
        <f>ROUNDUP(SUM(T19:T64),0)</f>
        <v>16103</v>
      </c>
      <c r="U66" s="610">
        <f t="shared" ref="U66:AC66" si="65">ROUNDUP(SUM(U19:U64),0)</f>
        <v>16103</v>
      </c>
      <c r="V66" s="610">
        <f t="shared" si="65"/>
        <v>479</v>
      </c>
      <c r="W66" s="610">
        <f t="shared" si="65"/>
        <v>11227</v>
      </c>
      <c r="X66" s="610">
        <f t="shared" si="65"/>
        <v>6329</v>
      </c>
      <c r="Y66" s="610">
        <f t="shared" si="65"/>
        <v>1880</v>
      </c>
      <c r="Z66" s="610">
        <f t="shared" si="65"/>
        <v>1417</v>
      </c>
      <c r="AA66" s="610">
        <f t="shared" si="65"/>
        <v>1664</v>
      </c>
      <c r="AB66" s="610">
        <f t="shared" ref="AB66" si="66">ROUNDUP(SUM(AB19:AB64),0)</f>
        <v>342</v>
      </c>
      <c r="AC66" s="610">
        <f t="shared" si="65"/>
        <v>18461</v>
      </c>
      <c r="AD66" s="144"/>
      <c r="AE66" s="1"/>
    </row>
    <row r="67" spans="1:31" ht="12.75" customHeight="1" thickBot="1" x14ac:dyDescent="0.25">
      <c r="A67" s="20"/>
      <c r="B67" s="727"/>
      <c r="C67" s="728"/>
      <c r="D67" s="605"/>
      <c r="E67" s="606"/>
      <c r="F67" s="606"/>
      <c r="G67" s="606"/>
      <c r="H67" s="606"/>
      <c r="I67" s="606"/>
      <c r="J67" s="606"/>
      <c r="K67" s="606"/>
      <c r="L67" s="606"/>
      <c r="M67" s="606"/>
      <c r="N67" s="606"/>
      <c r="O67" s="606"/>
      <c r="P67" s="606"/>
      <c r="Q67" s="607"/>
      <c r="R67" s="611"/>
      <c r="S67" s="611"/>
      <c r="T67" s="611"/>
      <c r="U67" s="611"/>
      <c r="V67" s="611"/>
      <c r="W67" s="611"/>
      <c r="X67" s="611"/>
      <c r="Y67" s="611"/>
      <c r="Z67" s="611"/>
      <c r="AA67" s="611"/>
      <c r="AB67" s="611"/>
      <c r="AC67" s="611"/>
      <c r="AD67" s="44"/>
      <c r="AE67" s="1"/>
    </row>
    <row r="68" spans="1:31" ht="12.75" customHeight="1" x14ac:dyDescent="0.2">
      <c r="AE68" s="1"/>
    </row>
    <row r="69" spans="1:31" ht="12.75" customHeight="1" x14ac:dyDescent="0.2">
      <c r="A69" s="20"/>
      <c r="C69" s="22"/>
      <c r="AE69" s="1"/>
    </row>
    <row r="70" spans="1:31" ht="12.75" customHeight="1" x14ac:dyDescent="0.2">
      <c r="A70" s="20"/>
      <c r="C70" s="22"/>
      <c r="AE70" s="1"/>
    </row>
    <row r="71" spans="1:31" ht="12.75" customHeight="1" x14ac:dyDescent="0.2">
      <c r="C71" s="22"/>
      <c r="AE71" s="1"/>
    </row>
    <row r="72" spans="1:31" ht="12.75" customHeight="1" x14ac:dyDescent="0.25">
      <c r="C72" s="22"/>
      <c r="Q72" s="184">
        <f>SUM(Q19:Q64)</f>
        <v>316842</v>
      </c>
      <c r="R72" s="499"/>
      <c r="S72" s="179" t="s">
        <v>172</v>
      </c>
      <c r="V72" s="8"/>
      <c r="AA72" s="15"/>
      <c r="AB72" s="90"/>
      <c r="AC72" s="90"/>
      <c r="AD72" s="1"/>
      <c r="AE72" s="1"/>
    </row>
    <row r="73" spans="1:31" ht="12.75" customHeight="1" x14ac:dyDescent="0.2">
      <c r="C73" s="22"/>
      <c r="AE73" s="1"/>
    </row>
    <row r="74" spans="1:31" ht="12.75" customHeight="1" x14ac:dyDescent="0.2">
      <c r="C74" s="22"/>
      <c r="AE74" s="1"/>
    </row>
    <row r="75" spans="1:31" ht="12.75" customHeight="1" x14ac:dyDescent="0.2">
      <c r="C75" s="22"/>
      <c r="AE75" s="1"/>
    </row>
    <row r="76" spans="1:31" ht="12.75" customHeight="1" x14ac:dyDescent="0.2">
      <c r="C76" s="22"/>
    </row>
    <row r="77" spans="1:31" ht="12.75" customHeight="1" x14ac:dyDescent="0.2"/>
    <row r="78" spans="1:31" ht="12.75" customHeight="1" x14ac:dyDescent="0.2"/>
    <row r="79" spans="1:31" ht="12.75" customHeight="1" x14ac:dyDescent="0.2"/>
    <row r="80" spans="1:31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31" ht="12.75" customHeight="1" x14ac:dyDescent="0.2"/>
    <row r="130" spans="1:31" ht="12.75" customHeight="1" x14ac:dyDescent="0.2"/>
    <row r="131" spans="1:31" ht="12.75" customHeight="1" x14ac:dyDescent="0.2"/>
    <row r="132" spans="1:31" ht="12.75" customHeight="1" x14ac:dyDescent="0.2"/>
    <row r="133" spans="1:31" ht="12.75" customHeight="1" x14ac:dyDescent="0.2"/>
    <row r="134" spans="1:31" ht="12.75" customHeight="1" x14ac:dyDescent="0.2"/>
    <row r="135" spans="1:31" ht="12.75" customHeight="1" x14ac:dyDescent="0.2"/>
    <row r="136" spans="1:31" s="20" customFormat="1" ht="12.75" customHeight="1" x14ac:dyDescent="0.2">
      <c r="A136" s="1"/>
      <c r="B136" s="21"/>
      <c r="C136" s="21"/>
      <c r="D136" s="1"/>
      <c r="E136" s="1"/>
      <c r="F136" s="1"/>
      <c r="G136" s="1"/>
      <c r="H136" s="1"/>
      <c r="I136" s="1"/>
      <c r="J136" s="1"/>
      <c r="K136" s="1"/>
      <c r="L136" s="1"/>
      <c r="M136" s="8"/>
      <c r="N136" s="8"/>
      <c r="R136" s="94"/>
      <c r="S136" s="94"/>
      <c r="T136" s="11"/>
      <c r="U136" s="11"/>
      <c r="V136" s="11"/>
      <c r="W136" s="8"/>
      <c r="X136" s="8"/>
      <c r="Y136" s="8"/>
      <c r="Z136" s="8"/>
      <c r="AA136" s="8"/>
      <c r="AB136" s="87"/>
      <c r="AC136" s="15"/>
      <c r="AD136" s="90"/>
      <c r="AE136" s="94"/>
    </row>
    <row r="137" spans="1:31" s="20" customFormat="1" ht="12.75" customHeight="1" x14ac:dyDescent="0.2">
      <c r="A137" s="1"/>
      <c r="B137" s="21"/>
      <c r="C137" s="21"/>
      <c r="D137" s="1"/>
      <c r="E137" s="1"/>
      <c r="F137" s="1"/>
      <c r="G137" s="1"/>
      <c r="H137" s="1"/>
      <c r="I137" s="1"/>
      <c r="J137" s="1"/>
      <c r="K137" s="1"/>
      <c r="L137" s="1"/>
      <c r="M137" s="8"/>
      <c r="N137" s="8"/>
      <c r="R137" s="94"/>
      <c r="S137" s="94"/>
      <c r="T137" s="11"/>
      <c r="U137" s="11"/>
      <c r="V137" s="11"/>
      <c r="W137" s="8"/>
      <c r="X137" s="8"/>
      <c r="Y137" s="8"/>
      <c r="Z137" s="8"/>
      <c r="AA137" s="8"/>
      <c r="AB137" s="87"/>
      <c r="AC137" s="15"/>
      <c r="AD137" s="90"/>
      <c r="AE137" s="94"/>
    </row>
  </sheetData>
  <customSheetViews>
    <customSheetView guid="{221143F3-72E3-4C4A-9811-2F859DD19779}" fitToPage="1" hiddenColumns="1">
      <pane ySplit="13" topLeftCell="A38" activePane="bottomLeft" state="frozen"/>
      <selection pane="bottomLeft" activeCell="T63" sqref="T63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78">
    <mergeCell ref="AG17:AI17"/>
    <mergeCell ref="AJ17:AL17"/>
    <mergeCell ref="AM17:AO17"/>
    <mergeCell ref="AP17:AR17"/>
    <mergeCell ref="AG16:AI16"/>
    <mergeCell ref="AJ16:AL16"/>
    <mergeCell ref="AG13:AI13"/>
    <mergeCell ref="AJ13:AL13"/>
    <mergeCell ref="AM13:AO13"/>
    <mergeCell ref="AP13:AR13"/>
    <mergeCell ref="AM16:AO16"/>
    <mergeCell ref="AP16:AR16"/>
    <mergeCell ref="AG14:AI14"/>
    <mergeCell ref="AJ14:AL14"/>
    <mergeCell ref="AM14:AO14"/>
    <mergeCell ref="AP14:AR14"/>
    <mergeCell ref="AG15:AI15"/>
    <mergeCell ref="AJ15:AL15"/>
    <mergeCell ref="AM15:AO15"/>
    <mergeCell ref="AP15:AR15"/>
    <mergeCell ref="AE10:AR10"/>
    <mergeCell ref="AE11:AE12"/>
    <mergeCell ref="AF11:AF12"/>
    <mergeCell ref="AG11:AI11"/>
    <mergeCell ref="AJ11:AL11"/>
    <mergeCell ref="AM11:AO11"/>
    <mergeCell ref="AP11:AR11"/>
    <mergeCell ref="AG12:AI12"/>
    <mergeCell ref="AJ12:AL12"/>
    <mergeCell ref="AM12:AO12"/>
    <mergeCell ref="AP12:AR12"/>
    <mergeCell ref="B51:C51"/>
    <mergeCell ref="B66:C67"/>
    <mergeCell ref="AC66:AC67"/>
    <mergeCell ref="W66:W67"/>
    <mergeCell ref="X66:X67"/>
    <mergeCell ref="Y66:Y67"/>
    <mergeCell ref="Z66:Z67"/>
    <mergeCell ref="AA66:AA67"/>
    <mergeCell ref="D66:Q67"/>
    <mergeCell ref="T66:T67"/>
    <mergeCell ref="U66:U67"/>
    <mergeCell ref="V66:V67"/>
    <mergeCell ref="S66:S67"/>
    <mergeCell ref="R66:R67"/>
    <mergeCell ref="AB66:AB67"/>
    <mergeCell ref="T6:V6"/>
    <mergeCell ref="Z6:AA6"/>
    <mergeCell ref="B6:C16"/>
    <mergeCell ref="I6:I16"/>
    <mergeCell ref="J6:J16"/>
    <mergeCell ref="K6:K16"/>
    <mergeCell ref="L6:L16"/>
    <mergeCell ref="M6:M16"/>
    <mergeCell ref="N6:N16"/>
    <mergeCell ref="D6:D17"/>
    <mergeCell ref="E6:E17"/>
    <mergeCell ref="F6:F17"/>
    <mergeCell ref="R7:R16"/>
    <mergeCell ref="S7:S16"/>
    <mergeCell ref="T7:T16"/>
    <mergeCell ref="U7:U16"/>
    <mergeCell ref="B26:C26"/>
    <mergeCell ref="B31:C31"/>
    <mergeCell ref="AC7:AC16"/>
    <mergeCell ref="B18:C18"/>
    <mergeCell ref="G6:G17"/>
    <mergeCell ref="H6:H16"/>
    <mergeCell ref="V7:V16"/>
    <mergeCell ref="AB7:AB16"/>
    <mergeCell ref="Z7:Z16"/>
    <mergeCell ref="AA7:AA16"/>
    <mergeCell ref="Y7:Y16"/>
    <mergeCell ref="W7:W16"/>
    <mergeCell ref="X7:X16"/>
    <mergeCell ref="P6:P16"/>
    <mergeCell ref="Q6:Q16"/>
    <mergeCell ref="O6:O16"/>
  </mergeCells>
  <dataValidations disablePrompts="1" count="1">
    <dataValidation type="list" allowBlank="1" showInputMessage="1" showErrorMessage="1" sqref="E19:F64">
      <formula1>$AE$2:$AE$7</formula1>
    </dataValidation>
  </dataValidations>
  <printOptions horizontalCentered="1" verticalCentered="1"/>
  <pageMargins left="0.73" right="0.75" top="0.66" bottom="0.4" header="0.65" footer="0.25"/>
  <pageSetup paperSize="17" scale="62" orientation="landscape" r:id="rId2"/>
  <headerFooter scaleWithDoc="0" alignWithMargins="0">
    <oddHeader>&amp;LHAN-75-14.39</oddHeader>
    <oddFooter>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136"/>
  <sheetViews>
    <sheetView view="pageBreakPreview" zoomScaleNormal="100" zoomScaleSheetLayoutView="100" workbookViewId="0">
      <pane ySplit="16" topLeftCell="A47" activePane="bottomLeft" state="frozen"/>
      <selection pane="bottomLeft" activeCell="W16" sqref="W16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2" width="9.28515625" style="87" customWidth="1"/>
    <col min="13" max="13" width="10.7109375" style="94" customWidth="1"/>
    <col min="14" max="14" width="10" style="94" customWidth="1"/>
    <col min="15" max="16" width="10.7109375" style="94" customWidth="1"/>
    <col min="17" max="17" width="9.28515625" style="88" customWidth="1"/>
    <col min="18" max="19" width="10.28515625" style="81" bestFit="1" customWidth="1"/>
    <col min="20" max="20" width="9.140625" style="81"/>
    <col min="21" max="21" width="11.85546875" style="81" bestFit="1" customWidth="1"/>
    <col min="22" max="22" width="9.85546875" style="81" bestFit="1" customWidth="1"/>
    <col min="23" max="23" width="9.85546875" style="81" customWidth="1"/>
    <col min="24" max="24" width="9.140625" style="81"/>
    <col min="25" max="25" width="11.85546875" style="81" bestFit="1" customWidth="1"/>
    <col min="26" max="26" width="9.85546875" style="81" bestFit="1" customWidth="1"/>
    <col min="27" max="27" width="9.140625" style="81"/>
    <col min="28" max="28" width="9.140625" style="81" customWidth="1"/>
    <col min="29" max="16384" width="9.140625" style="81"/>
  </cols>
  <sheetData>
    <row r="1" spans="2:35" s="90" customFormat="1" ht="13.5" thickBot="1" x14ac:dyDescent="0.25">
      <c r="B1" s="97"/>
      <c r="C1" s="97"/>
      <c r="K1" s="88"/>
      <c r="L1" s="88"/>
      <c r="M1" s="105"/>
      <c r="N1" s="105"/>
      <c r="O1" s="105"/>
      <c r="P1" s="105"/>
      <c r="Q1" s="105"/>
      <c r="R1" s="88"/>
      <c r="S1" s="88">
        <v>12</v>
      </c>
      <c r="T1" s="88"/>
      <c r="U1" s="125">
        <v>6</v>
      </c>
      <c r="W1" s="90">
        <v>6</v>
      </c>
    </row>
    <row r="2" spans="2:35" s="90" customFormat="1" x14ac:dyDescent="0.2">
      <c r="B2" s="97"/>
      <c r="C2" s="97"/>
      <c r="Q2" s="146"/>
      <c r="R2" s="145" t="s">
        <v>35</v>
      </c>
      <c r="S2" s="168" t="s">
        <v>144</v>
      </c>
      <c r="T2" s="168"/>
      <c r="U2" s="168"/>
      <c r="V2" s="170" t="s">
        <v>34</v>
      </c>
      <c r="W2" s="211">
        <v>41920</v>
      </c>
      <c r="Y2" s="224" t="s">
        <v>101</v>
      </c>
      <c r="Z2" s="81"/>
      <c r="AA2" s="224" t="s">
        <v>103</v>
      </c>
      <c r="AB2" s="219" t="s">
        <v>202</v>
      </c>
    </row>
    <row r="3" spans="2:35" s="90" customFormat="1" ht="13.5" thickBot="1" x14ac:dyDescent="0.25">
      <c r="B3" s="97"/>
      <c r="C3" s="97"/>
      <c r="Q3" s="45"/>
      <c r="R3" s="46" t="s">
        <v>36</v>
      </c>
      <c r="S3" s="169" t="s">
        <v>266</v>
      </c>
      <c r="T3" s="216"/>
      <c r="U3" s="216"/>
      <c r="V3" s="217" t="s">
        <v>34</v>
      </c>
      <c r="W3" s="459">
        <v>41926</v>
      </c>
      <c r="Y3" s="225" t="s">
        <v>102</v>
      </c>
      <c r="Z3" s="81"/>
      <c r="AA3" s="225" t="s">
        <v>104</v>
      </c>
      <c r="AB3" s="106" t="s">
        <v>203</v>
      </c>
    </row>
    <row r="4" spans="2:35" s="90" customFormat="1" ht="13.5" thickBot="1" x14ac:dyDescent="0.25">
      <c r="B4" s="97"/>
      <c r="C4" s="97"/>
      <c r="K4" s="88"/>
      <c r="L4" s="88"/>
      <c r="M4" s="105"/>
      <c r="N4" s="105"/>
      <c r="O4" s="105"/>
      <c r="P4" s="105"/>
      <c r="Q4" s="105"/>
      <c r="R4" s="88"/>
      <c r="S4" s="88"/>
      <c r="T4" s="88"/>
      <c r="U4" s="125"/>
      <c r="Y4" s="225" t="s">
        <v>107</v>
      </c>
      <c r="Z4" s="81"/>
      <c r="AA4" s="225" t="s">
        <v>109</v>
      </c>
      <c r="AB4" s="106" t="s">
        <v>204</v>
      </c>
    </row>
    <row r="5" spans="2:35" s="91" customFormat="1" ht="12.75" customHeight="1" x14ac:dyDescent="0.2">
      <c r="B5" s="657" t="s">
        <v>1</v>
      </c>
      <c r="C5" s="658"/>
      <c r="D5" s="653" t="s">
        <v>0</v>
      </c>
      <c r="E5" s="667" t="s">
        <v>99</v>
      </c>
      <c r="F5" s="667" t="s">
        <v>100</v>
      </c>
      <c r="G5" s="667" t="s">
        <v>106</v>
      </c>
      <c r="H5" s="667" t="s">
        <v>190</v>
      </c>
      <c r="I5" s="667" t="s">
        <v>46</v>
      </c>
      <c r="J5" s="667" t="s">
        <v>114</v>
      </c>
      <c r="K5" s="663" t="s">
        <v>4</v>
      </c>
      <c r="L5" s="663" t="s">
        <v>21</v>
      </c>
      <c r="M5" s="717" t="s">
        <v>17</v>
      </c>
      <c r="N5" s="717" t="s">
        <v>20</v>
      </c>
      <c r="O5" s="717" t="s">
        <v>14</v>
      </c>
      <c r="P5" s="503">
        <v>204</v>
      </c>
      <c r="Q5" s="203">
        <v>204</v>
      </c>
      <c r="R5" s="542">
        <v>206</v>
      </c>
      <c r="S5" s="543"/>
      <c r="T5" s="543"/>
      <c r="U5" s="2">
        <v>304</v>
      </c>
      <c r="V5" s="2">
        <v>452</v>
      </c>
      <c r="W5" s="49">
        <v>617</v>
      </c>
      <c r="Y5" s="225" t="s">
        <v>108</v>
      </c>
      <c r="Z5" s="81"/>
      <c r="AA5" s="225" t="s">
        <v>110</v>
      </c>
      <c r="AB5" s="106" t="s">
        <v>205</v>
      </c>
    </row>
    <row r="6" spans="2:35" ht="12.75" customHeight="1" thickBot="1" x14ac:dyDescent="0.25">
      <c r="B6" s="659"/>
      <c r="C6" s="660"/>
      <c r="D6" s="654"/>
      <c r="E6" s="712"/>
      <c r="F6" s="714"/>
      <c r="G6" s="714"/>
      <c r="H6" s="710"/>
      <c r="I6" s="710"/>
      <c r="J6" s="710"/>
      <c r="K6" s="664"/>
      <c r="L6" s="664"/>
      <c r="M6" s="718"/>
      <c r="N6" s="718"/>
      <c r="O6" s="718"/>
      <c r="P6" s="675" t="s">
        <v>185</v>
      </c>
      <c r="Q6" s="676" t="s">
        <v>7</v>
      </c>
      <c r="R6" s="676" t="s">
        <v>18</v>
      </c>
      <c r="S6" s="545" t="s">
        <v>19</v>
      </c>
      <c r="T6" s="553" t="s">
        <v>23</v>
      </c>
      <c r="U6" s="559" t="s">
        <v>9</v>
      </c>
      <c r="V6" s="559" t="s">
        <v>29</v>
      </c>
      <c r="W6" s="675" t="s">
        <v>282</v>
      </c>
      <c r="Y6" s="226" t="s">
        <v>97</v>
      </c>
      <c r="AA6" s="225" t="s">
        <v>105</v>
      </c>
      <c r="AB6" s="220" t="s">
        <v>206</v>
      </c>
    </row>
    <row r="7" spans="2:35" ht="12.75" customHeight="1" thickBot="1" x14ac:dyDescent="0.25">
      <c r="B7" s="659"/>
      <c r="C7" s="660"/>
      <c r="D7" s="654"/>
      <c r="E7" s="712"/>
      <c r="F7" s="714"/>
      <c r="G7" s="714"/>
      <c r="H7" s="710"/>
      <c r="I7" s="710"/>
      <c r="J7" s="710"/>
      <c r="K7" s="664"/>
      <c r="L7" s="664"/>
      <c r="M7" s="718"/>
      <c r="N7" s="718"/>
      <c r="O7" s="718"/>
      <c r="P7" s="676"/>
      <c r="Q7" s="676"/>
      <c r="R7" s="676"/>
      <c r="S7" s="720"/>
      <c r="T7" s="720"/>
      <c r="U7" s="560"/>
      <c r="V7" s="560"/>
      <c r="W7" s="676"/>
      <c r="AA7" s="226" t="s">
        <v>112</v>
      </c>
      <c r="AB7" s="220" t="s">
        <v>207</v>
      </c>
    </row>
    <row r="8" spans="2:35" ht="12.75" customHeight="1" thickBot="1" x14ac:dyDescent="0.25">
      <c r="B8" s="659"/>
      <c r="C8" s="660"/>
      <c r="D8" s="654"/>
      <c r="E8" s="712"/>
      <c r="F8" s="714"/>
      <c r="G8" s="714"/>
      <c r="H8" s="710"/>
      <c r="I8" s="710"/>
      <c r="J8" s="710"/>
      <c r="K8" s="664"/>
      <c r="L8" s="664"/>
      <c r="M8" s="718"/>
      <c r="N8" s="718"/>
      <c r="O8" s="718"/>
      <c r="P8" s="676"/>
      <c r="Q8" s="676"/>
      <c r="R8" s="676"/>
      <c r="S8" s="720"/>
      <c r="T8" s="720"/>
      <c r="U8" s="560"/>
      <c r="V8" s="560"/>
      <c r="W8" s="676"/>
      <c r="Y8" s="116"/>
    </row>
    <row r="9" spans="2:35" ht="12.75" customHeight="1" thickBot="1" x14ac:dyDescent="0.25">
      <c r="B9" s="659"/>
      <c r="C9" s="660"/>
      <c r="D9" s="654"/>
      <c r="E9" s="712"/>
      <c r="F9" s="714"/>
      <c r="G9" s="714"/>
      <c r="H9" s="710"/>
      <c r="I9" s="710"/>
      <c r="J9" s="710"/>
      <c r="K9" s="664"/>
      <c r="L9" s="664"/>
      <c r="M9" s="718"/>
      <c r="N9" s="718"/>
      <c r="O9" s="718"/>
      <c r="P9" s="676"/>
      <c r="Q9" s="676"/>
      <c r="R9" s="676"/>
      <c r="S9" s="720"/>
      <c r="T9" s="720"/>
      <c r="U9" s="560"/>
      <c r="V9" s="560"/>
      <c r="W9" s="676"/>
      <c r="Y9" s="697" t="s">
        <v>201</v>
      </c>
      <c r="Z9" s="698"/>
      <c r="AA9" s="698"/>
      <c r="AB9" s="698"/>
      <c r="AC9" s="698"/>
      <c r="AD9" s="698"/>
      <c r="AE9" s="698"/>
      <c r="AF9" s="698"/>
      <c r="AG9" s="698"/>
      <c r="AH9" s="698"/>
      <c r="AI9" s="699"/>
    </row>
    <row r="10" spans="2:35" ht="12.75" customHeight="1" x14ac:dyDescent="0.2">
      <c r="B10" s="659"/>
      <c r="C10" s="660"/>
      <c r="D10" s="654"/>
      <c r="E10" s="712"/>
      <c r="F10" s="714"/>
      <c r="G10" s="714"/>
      <c r="H10" s="710"/>
      <c r="I10" s="710"/>
      <c r="J10" s="710"/>
      <c r="K10" s="664"/>
      <c r="L10" s="664"/>
      <c r="M10" s="718"/>
      <c r="N10" s="718"/>
      <c r="O10" s="718"/>
      <c r="P10" s="676"/>
      <c r="Q10" s="676"/>
      <c r="R10" s="676"/>
      <c r="S10" s="720"/>
      <c r="T10" s="720"/>
      <c r="U10" s="560"/>
      <c r="V10" s="560"/>
      <c r="W10" s="676"/>
      <c r="Y10" s="671" t="s">
        <v>208</v>
      </c>
      <c r="Z10" s="673" t="s">
        <v>214</v>
      </c>
      <c r="AA10" s="704" t="s">
        <v>189</v>
      </c>
      <c r="AB10" s="681"/>
      <c r="AC10" s="705"/>
      <c r="AD10" s="680" t="s">
        <v>45</v>
      </c>
      <c r="AE10" s="681"/>
      <c r="AF10" s="705"/>
      <c r="AG10" s="680" t="s">
        <v>113</v>
      </c>
      <c r="AH10" s="681"/>
      <c r="AI10" s="682"/>
    </row>
    <row r="11" spans="2:35" ht="12.75" customHeight="1" thickBot="1" x14ac:dyDescent="0.25">
      <c r="B11" s="659"/>
      <c r="C11" s="660"/>
      <c r="D11" s="654"/>
      <c r="E11" s="712"/>
      <c r="F11" s="714"/>
      <c r="G11" s="714"/>
      <c r="H11" s="710"/>
      <c r="I11" s="710"/>
      <c r="J11" s="710"/>
      <c r="K11" s="664"/>
      <c r="L11" s="664"/>
      <c r="M11" s="718"/>
      <c r="N11" s="718"/>
      <c r="O11" s="718"/>
      <c r="P11" s="676"/>
      <c r="Q11" s="676"/>
      <c r="R11" s="676"/>
      <c r="S11" s="720"/>
      <c r="T11" s="720"/>
      <c r="U11" s="560"/>
      <c r="V11" s="560"/>
      <c r="W11" s="676"/>
      <c r="Y11" s="672"/>
      <c r="Z11" s="674"/>
      <c r="AA11" s="683" t="s">
        <v>209</v>
      </c>
      <c r="AB11" s="684"/>
      <c r="AC11" s="685"/>
      <c r="AD11" s="686" t="s">
        <v>210</v>
      </c>
      <c r="AE11" s="684"/>
      <c r="AF11" s="685"/>
      <c r="AG11" s="686" t="s">
        <v>217</v>
      </c>
      <c r="AH11" s="684"/>
      <c r="AI11" s="687"/>
    </row>
    <row r="12" spans="2:35" ht="12.75" customHeight="1" x14ac:dyDescent="0.2">
      <c r="B12" s="659"/>
      <c r="C12" s="660"/>
      <c r="D12" s="654"/>
      <c r="E12" s="712"/>
      <c r="F12" s="714"/>
      <c r="G12" s="714"/>
      <c r="H12" s="710"/>
      <c r="I12" s="710"/>
      <c r="J12" s="710"/>
      <c r="K12" s="664"/>
      <c r="L12" s="664"/>
      <c r="M12" s="718"/>
      <c r="N12" s="718"/>
      <c r="O12" s="718"/>
      <c r="P12" s="676"/>
      <c r="Q12" s="676"/>
      <c r="R12" s="676"/>
      <c r="S12" s="720"/>
      <c r="T12" s="720"/>
      <c r="U12" s="560"/>
      <c r="V12" s="560"/>
      <c r="W12" s="676"/>
      <c r="Y12" s="222" t="s">
        <v>101</v>
      </c>
      <c r="Z12" s="104" t="s">
        <v>211</v>
      </c>
      <c r="AA12" s="695">
        <v>1.5</v>
      </c>
      <c r="AB12" s="617"/>
      <c r="AC12" s="618"/>
      <c r="AD12" s="616">
        <v>0.75</v>
      </c>
      <c r="AE12" s="617"/>
      <c r="AF12" s="618"/>
      <c r="AG12" s="616" t="s">
        <v>97</v>
      </c>
      <c r="AH12" s="617"/>
      <c r="AI12" s="694"/>
    </row>
    <row r="13" spans="2:35" ht="12.75" customHeight="1" x14ac:dyDescent="0.2">
      <c r="B13" s="659"/>
      <c r="C13" s="660"/>
      <c r="D13" s="654"/>
      <c r="E13" s="712"/>
      <c r="F13" s="714"/>
      <c r="G13" s="714"/>
      <c r="H13" s="710"/>
      <c r="I13" s="710"/>
      <c r="J13" s="710"/>
      <c r="K13" s="664"/>
      <c r="L13" s="664"/>
      <c r="M13" s="718"/>
      <c r="N13" s="718"/>
      <c r="O13" s="718"/>
      <c r="P13" s="676"/>
      <c r="Q13" s="676"/>
      <c r="R13" s="676"/>
      <c r="S13" s="720"/>
      <c r="T13" s="720"/>
      <c r="U13" s="560"/>
      <c r="V13" s="560"/>
      <c r="W13" s="676"/>
      <c r="Y13" s="221" t="s">
        <v>102</v>
      </c>
      <c r="Z13" s="103" t="s">
        <v>212</v>
      </c>
      <c r="AA13" s="688">
        <v>2</v>
      </c>
      <c r="AB13" s="689"/>
      <c r="AC13" s="690"/>
      <c r="AD13" s="691">
        <v>0.75</v>
      </c>
      <c r="AE13" s="692"/>
      <c r="AF13" s="693"/>
      <c r="AG13" s="691" t="s">
        <v>97</v>
      </c>
      <c r="AH13" s="692"/>
      <c r="AI13" s="729"/>
    </row>
    <row r="14" spans="2:35" ht="12.75" customHeight="1" x14ac:dyDescent="0.2">
      <c r="B14" s="659"/>
      <c r="C14" s="660"/>
      <c r="D14" s="654"/>
      <c r="E14" s="712"/>
      <c r="F14" s="714"/>
      <c r="G14" s="714"/>
      <c r="H14" s="710"/>
      <c r="I14" s="710"/>
      <c r="J14" s="710"/>
      <c r="K14" s="664"/>
      <c r="L14" s="664"/>
      <c r="M14" s="718"/>
      <c r="N14" s="718"/>
      <c r="O14" s="718"/>
      <c r="P14" s="676"/>
      <c r="Q14" s="676"/>
      <c r="R14" s="676"/>
      <c r="S14" s="720"/>
      <c r="T14" s="720"/>
      <c r="U14" s="560"/>
      <c r="V14" s="560"/>
      <c r="W14" s="676"/>
      <c r="Y14" s="221" t="s">
        <v>107</v>
      </c>
      <c r="Z14" s="103" t="s">
        <v>213</v>
      </c>
      <c r="AA14" s="688" t="s">
        <v>97</v>
      </c>
      <c r="AB14" s="689"/>
      <c r="AC14" s="690"/>
      <c r="AD14" s="691" t="s">
        <v>97</v>
      </c>
      <c r="AE14" s="692"/>
      <c r="AF14" s="693"/>
      <c r="AG14" s="691">
        <v>-1.42</v>
      </c>
      <c r="AH14" s="692"/>
      <c r="AI14" s="729"/>
    </row>
    <row r="15" spans="2:35" ht="12.75" customHeight="1" x14ac:dyDescent="0.2">
      <c r="B15" s="659"/>
      <c r="C15" s="660"/>
      <c r="D15" s="654"/>
      <c r="E15" s="712"/>
      <c r="F15" s="714"/>
      <c r="G15" s="714"/>
      <c r="H15" s="710"/>
      <c r="I15" s="710"/>
      <c r="J15" s="710"/>
      <c r="K15" s="665"/>
      <c r="L15" s="665"/>
      <c r="M15" s="719"/>
      <c r="N15" s="719"/>
      <c r="O15" s="719"/>
      <c r="P15" s="676"/>
      <c r="Q15" s="676"/>
      <c r="R15" s="676"/>
      <c r="S15" s="721"/>
      <c r="T15" s="721"/>
      <c r="U15" s="561"/>
      <c r="V15" s="561"/>
      <c r="W15" s="676"/>
      <c r="Y15" s="221" t="s">
        <v>215</v>
      </c>
      <c r="Z15" s="103" t="s">
        <v>211</v>
      </c>
      <c r="AA15" s="695">
        <v>3.83</v>
      </c>
      <c r="AB15" s="617"/>
      <c r="AC15" s="618"/>
      <c r="AD15" s="616">
        <v>1.42</v>
      </c>
      <c r="AE15" s="617"/>
      <c r="AF15" s="618"/>
      <c r="AG15" s="616" t="s">
        <v>97</v>
      </c>
      <c r="AH15" s="617"/>
      <c r="AI15" s="694"/>
    </row>
    <row r="16" spans="2:35" ht="12.75" customHeight="1" thickBot="1" x14ac:dyDescent="0.25">
      <c r="B16" s="98" t="s">
        <v>2</v>
      </c>
      <c r="C16" s="99" t="s">
        <v>3</v>
      </c>
      <c r="D16" s="711"/>
      <c r="E16" s="713"/>
      <c r="F16" s="715"/>
      <c r="G16" s="715"/>
      <c r="H16" s="5" t="s">
        <v>5</v>
      </c>
      <c r="I16" s="5" t="s">
        <v>12</v>
      </c>
      <c r="J16" s="84" t="s">
        <v>5</v>
      </c>
      <c r="K16" s="5" t="s">
        <v>5</v>
      </c>
      <c r="L16" s="5" t="s">
        <v>5</v>
      </c>
      <c r="M16" s="73" t="s">
        <v>6</v>
      </c>
      <c r="N16" s="73" t="s">
        <v>6</v>
      </c>
      <c r="O16" s="73" t="s">
        <v>6</v>
      </c>
      <c r="P16" s="84" t="s">
        <v>10</v>
      </c>
      <c r="Q16" s="5" t="s">
        <v>11</v>
      </c>
      <c r="R16" s="5" t="s">
        <v>10</v>
      </c>
      <c r="S16" s="5" t="s">
        <v>10</v>
      </c>
      <c r="T16" s="5" t="s">
        <v>22</v>
      </c>
      <c r="U16" s="108" t="s">
        <v>12</v>
      </c>
      <c r="V16" s="55" t="s">
        <v>10</v>
      </c>
      <c r="W16" s="458" t="s">
        <v>12</v>
      </c>
      <c r="Y16" s="223" t="s">
        <v>216</v>
      </c>
      <c r="Z16" s="158" t="s">
        <v>211</v>
      </c>
      <c r="AA16" s="677">
        <v>3.17</v>
      </c>
      <c r="AB16" s="678"/>
      <c r="AC16" s="679"/>
      <c r="AD16" s="696">
        <v>1.0900000000000001</v>
      </c>
      <c r="AE16" s="678"/>
      <c r="AF16" s="679"/>
      <c r="AG16" s="696" t="s">
        <v>97</v>
      </c>
      <c r="AH16" s="678"/>
      <c r="AI16" s="701"/>
    </row>
    <row r="17" spans="1:35" ht="12.75" customHeight="1" x14ac:dyDescent="0.2">
      <c r="B17" s="661" t="s">
        <v>55</v>
      </c>
      <c r="C17" s="662"/>
      <c r="D17" s="100"/>
      <c r="E17" s="100"/>
      <c r="F17" s="100"/>
      <c r="G17" s="100"/>
      <c r="H17" s="100"/>
      <c r="I17" s="100"/>
      <c r="J17" s="100"/>
      <c r="K17" s="101"/>
      <c r="L17" s="101"/>
      <c r="M17" s="118"/>
      <c r="N17" s="118"/>
      <c r="O17" s="118"/>
      <c r="P17" s="118"/>
      <c r="Q17" s="118"/>
      <c r="R17" s="101"/>
      <c r="S17" s="101"/>
      <c r="T17" s="102"/>
      <c r="U17" s="110"/>
      <c r="V17" s="109"/>
      <c r="W17" s="101"/>
    </row>
    <row r="18" spans="1:35" ht="12.75" customHeight="1" x14ac:dyDescent="0.2">
      <c r="B18" s="335">
        <v>75050</v>
      </c>
      <c r="C18" s="336">
        <v>75100</v>
      </c>
      <c r="D18" s="337" t="s">
        <v>30</v>
      </c>
      <c r="E18" s="337" t="s">
        <v>101</v>
      </c>
      <c r="F18" s="337" t="s">
        <v>107</v>
      </c>
      <c r="G18" s="103" t="str">
        <f t="shared" ref="G18:G23" si="0">IF(AND($E18=$Y$2,$F18=$Y$2),$AA$2,IF(OR(AND($E18=$Y$2,$F18=$Y$3),AND($E18=$Y$3,$F18=$Y$2)),$AA$3,IF(OR(AND($E18=$Y$2,$F18=$Y$4),AND($E18=$Y$4,$F18=$Y$2)),$AA$4,IF(OR(AND($E18=$Y$3,$F18=$Y$4),AND($E18=$Y$4,$F18=$Y$3)),$AA$5,IF(AND($E18=$Y$3,$F18=$Y$3),$AA$6,IF(AND($E18=$Y$4,$F18=$Y$4),$AA$7,"-"))))))</f>
        <v>E/S - C/B</v>
      </c>
      <c r="H18" s="26">
        <f>IF(AND($E18=$Y$2,$F18=$Y$2),2*$AA$12,IF(OR(AND($E18=$Y$2, $F18=$Y$3),AND($E18=$Y$3,$F18=$Y$2)),$AA$12+$AA$13,IF(OR(AND($E18=$Y$2,$F18=$Y$4),AND($E18=$Y$4,$F18=$Y$2)),$AA$12,IF(OR(AND($E18=$Y$3,$F18=$Y$4),AND($E18=$Y$4,$F18=$Y$3)),$AA$13,IF(AND($E18=$Y$3,$F18=$Y$3),2*$AA$13,0)))))</f>
        <v>1.5</v>
      </c>
      <c r="I18" s="27">
        <f>IF(AND($E18=$Y$2,$F18=$Y$2),2*$AD$12*$K18/27,IF(OR(AND($E18=$Y$2,$F18=$Y$3),AND($E18=$Y$3,$F18=$Y$2)),($AD$12+$AD$13)*$K18/27,IF(OR(AND($E18=$Y$2,$F18=$Y$4),AND($E18=$Y$4,$F18=$Y$2)),$AD$12*$K18/27,IF(OR(AND($E18=$Y$3,$F18=$Y$4),AND($E18=$Y$4,$F18=$Y$3)),$AD$13*$K18/27,IF(AND($E18=$Y$3,$F18=$Y$3),2*$AD$13*$K18/27,0)))))</f>
        <v>1.3888888888888888</v>
      </c>
      <c r="J18" s="78">
        <f>IF(OR(AND($E18=$Y$2,$F18=$Y$4),AND($E18=$Y$4,$F18=$Y$2)),$AG$14,IF(OR(AND($E18=$Y$3,$F18=$Y$4),AND($E18=$Y$4,$F18=$Y$3)),$AG$14,IF(AND($E18=$Y$4,$F18=$Y$4),2*$AG$14,0)))</f>
        <v>-1.42</v>
      </c>
      <c r="K18" s="83">
        <f>C18-B18</f>
        <v>50</v>
      </c>
      <c r="L18" s="342">
        <v>30.72</v>
      </c>
      <c r="M18" s="124">
        <f>IF(L18="-",0,ROUNDUP($K18*L18,0))</f>
        <v>1536</v>
      </c>
      <c r="N18" s="344">
        <v>0</v>
      </c>
      <c r="O18" s="123">
        <f t="shared" ref="O18:O63" si="1">SUM(M18:N18)</f>
        <v>1536</v>
      </c>
      <c r="P18" s="480">
        <f>IF(OR($A18="APP SLAB",O18=0),0,($O18+$H18*$K18)/9)</f>
        <v>179</v>
      </c>
      <c r="Q18" s="210">
        <f>IF(AND(P18=0,S18=0),0,IF(S18=0,P18/2000,S18/2000))</f>
        <v>8.9499999999999996E-2</v>
      </c>
      <c r="R18" s="85">
        <f t="shared" ref="R18:R23" si="2">IF(A18="APP SLAB",0,S18)</f>
        <v>0</v>
      </c>
      <c r="S18" s="135">
        <f>IF(OR(A18="APP SLAB",P18&lt;&gt;0),0,(O18+H18*K18)/9)</f>
        <v>0</v>
      </c>
      <c r="T18" s="85">
        <f t="shared" ref="T18:T23" si="3">IF(A18="APP SLAB",0,$S$1*S18*110*0.06*0.75/2000)</f>
        <v>0</v>
      </c>
      <c r="U18" s="85">
        <f>IF(O18=0,0,(O18*$U$1/12)/27+I18)</f>
        <v>29.833333333333332</v>
      </c>
      <c r="V18" s="111">
        <f>IF(OR(A18="APP SLAB",O18=0),0,(O18+J18*K18)/9)</f>
        <v>162.77777777777777</v>
      </c>
      <c r="W18" s="454">
        <f>IF(AND($E18=$F18="Uncurbed"),(2*$K18*2*$W$1/12)/27,IF(OR($E18="Uncurbed",$F18="Uncurbed"),($K18*2*$W$1/12)/27,IF(OR(AND($E18="Med. Barr.",$F18="Curbed"),AND($E18="Curbed",$F18="Med. Barr."),$E18=$F18,$E18="Unique",$F18="Unique",$E18="-",$F18="-"),0,"?")))</f>
        <v>1.8518518518518519</v>
      </c>
    </row>
    <row r="19" spans="1:35" ht="12.75" customHeight="1" x14ac:dyDescent="0.2">
      <c r="B19" s="335">
        <v>75100</v>
      </c>
      <c r="C19" s="336">
        <v>75150</v>
      </c>
      <c r="D19" s="337" t="s">
        <v>30</v>
      </c>
      <c r="E19" s="337" t="s">
        <v>101</v>
      </c>
      <c r="F19" s="337" t="s">
        <v>107</v>
      </c>
      <c r="G19" s="103" t="str">
        <f t="shared" si="0"/>
        <v>E/S - C/B</v>
      </c>
      <c r="H19" s="26">
        <f>IF(AND($E19=$Y$2,$F19=$Y$2),2*$AA$12,IF(OR(AND($E19=$Y$2, $F19=$Y$3),AND($E19=$Y$3,$F19=$Y$2)),$AA$12+$AA$13,IF(OR(AND($E19=$Y$2,$F19=$Y$4),AND($E19=$Y$4,$F19=$Y$2)),$AA$12,IF(OR(AND($E19=$Y$3,$F19=$Y$4),AND($E19=$Y$4,$F19=$Y$3)),$AA$13,IF(AND($E19=$Y$3,$F19=$Y$3),2*$AA$13,0)))))</f>
        <v>1.5</v>
      </c>
      <c r="I19" s="27">
        <f>IF(AND($E19=$Y$2,$F19=$Y$2),2*$AD$12*$K19/27,IF(OR(AND($E19=$Y$2,$F19=$Y$3),AND($E19=$Y$3,$F19=$Y$2)),($AD$12+$AD$13)*$K19/27,IF(OR(AND($E19=$Y$2,$F19=$Y$4),AND($E19=$Y$4,$F19=$Y$2)),$AD$12*$K19/27,IF(OR(AND($E19=$Y$3,$F19=$Y$4),AND($E19=$Y$4,$F19=$Y$3)),$AD$13*$K19/27,IF(AND($E19=$Y$3,$F19=$Y$3),2*$AD$13*$K19/27,0)))))</f>
        <v>1.3888888888888888</v>
      </c>
      <c r="J19" s="78">
        <f>IF(OR(AND($E19=$Y$2,$F19=$Y$4),AND($E19=$Y$4,$F19=$Y$2)),$AG$14,IF(OR(AND($E19=$Y$3,$F19=$Y$4),AND($E19=$Y$4,$F19=$Y$3)),$AG$14,IF(AND($E19=$Y$4,$F19=$Y$4),2*$AG$14,0)))</f>
        <v>-1.42</v>
      </c>
      <c r="K19" s="83">
        <f t="shared" ref="K19:K23" si="4">C19-B19</f>
        <v>50</v>
      </c>
      <c r="L19" s="342">
        <v>29.72</v>
      </c>
      <c r="M19" s="124">
        <f t="shared" ref="M19:M23" si="5">IF(L19="-",0,ROUNDUP($K19*L19,0))</f>
        <v>1486</v>
      </c>
      <c r="N19" s="344">
        <v>0</v>
      </c>
      <c r="O19" s="123">
        <f t="shared" ref="O19:O23" si="6">SUM(M19:N19)</f>
        <v>1486</v>
      </c>
      <c r="P19" s="480">
        <f t="shared" ref="P19:P23" si="7">IF(OR($A19="APP SLAB",O19=0),0,($O19+$H19*$K19)/9)</f>
        <v>173.44444444444446</v>
      </c>
      <c r="Q19" s="210">
        <f t="shared" ref="Q19:Q23" si="8">IF(AND(P19=0,S19=0),0,IF(S19=0,P19/2000,S19/2000))</f>
        <v>8.6722222222222228E-2</v>
      </c>
      <c r="R19" s="85">
        <f t="shared" si="2"/>
        <v>0</v>
      </c>
      <c r="S19" s="135">
        <f t="shared" ref="S19:S23" si="9">IF(OR(A19="APP SLAB",P19&lt;&gt;0),0,(O19+H19*K19)/9)</f>
        <v>0</v>
      </c>
      <c r="T19" s="85">
        <f t="shared" si="3"/>
        <v>0</v>
      </c>
      <c r="U19" s="85">
        <f t="shared" ref="U19:U23" si="10">IF(O19=0,0,(O19*$U$1/12)/27+I19)</f>
        <v>28.907407407407408</v>
      </c>
      <c r="V19" s="111">
        <f t="shared" ref="V19:V23" si="11">IF(OR(A19="APP SLAB",O19=0),0,(O19+J19*K19)/9)</f>
        <v>157.22222222222223</v>
      </c>
      <c r="W19" s="454">
        <f t="shared" ref="W19:W23" si="12">IF(AND($E19=$F19="Uncurbed"),(2*$K19*2*$W$1/12)/27,IF(OR($E19="Uncurbed",$F19="Uncurbed"),($K19*2*$W$1/12)/27,IF(OR(AND($E19="Med. Barr.",$F19="Curbed"),AND($E19="Curbed",$F19="Med. Barr."),$E19=$F19,$E19="Unique",$F19="Unique",$E19="-",$F19="-"),0,"?")))</f>
        <v>1.8518518518518519</v>
      </c>
    </row>
    <row r="20" spans="1:35" ht="12.75" customHeight="1" x14ac:dyDescent="0.2">
      <c r="A20" s="106"/>
      <c r="B20" s="335">
        <v>75150</v>
      </c>
      <c r="C20" s="336">
        <v>75658.05</v>
      </c>
      <c r="D20" s="337" t="s">
        <v>30</v>
      </c>
      <c r="E20" s="337" t="s">
        <v>101</v>
      </c>
      <c r="F20" s="337" t="s">
        <v>108</v>
      </c>
      <c r="G20" s="103" t="str">
        <f t="shared" si="0"/>
        <v>-</v>
      </c>
      <c r="H20" s="339">
        <v>3.17</v>
      </c>
      <c r="I20" s="338">
        <v>20.51</v>
      </c>
      <c r="J20" s="358">
        <v>0</v>
      </c>
      <c r="K20" s="83">
        <f t="shared" si="4"/>
        <v>508.05000000000291</v>
      </c>
      <c r="L20" s="342">
        <v>26.87</v>
      </c>
      <c r="M20" s="124">
        <f t="shared" si="5"/>
        <v>13652</v>
      </c>
      <c r="N20" s="344">
        <v>0</v>
      </c>
      <c r="O20" s="123">
        <f t="shared" si="6"/>
        <v>13652</v>
      </c>
      <c r="P20" s="480">
        <f t="shared" si="7"/>
        <v>1695.8353888888898</v>
      </c>
      <c r="Q20" s="210">
        <f t="shared" si="8"/>
        <v>0.84791769444444487</v>
      </c>
      <c r="R20" s="85">
        <f t="shared" si="2"/>
        <v>0</v>
      </c>
      <c r="S20" s="135">
        <f t="shared" si="9"/>
        <v>0</v>
      </c>
      <c r="T20" s="85">
        <f t="shared" si="3"/>
        <v>0</v>
      </c>
      <c r="U20" s="85">
        <f t="shared" si="10"/>
        <v>273.32481481481483</v>
      </c>
      <c r="V20" s="111">
        <f t="shared" si="11"/>
        <v>1516.8888888888889</v>
      </c>
      <c r="W20" s="454">
        <f t="shared" si="12"/>
        <v>18.816666666666773</v>
      </c>
    </row>
    <row r="21" spans="1:35" ht="12.75" customHeight="1" x14ac:dyDescent="0.2">
      <c r="A21" s="106"/>
      <c r="B21" s="335">
        <v>75658.05</v>
      </c>
      <c r="C21" s="336">
        <v>75700</v>
      </c>
      <c r="D21" s="337" t="s">
        <v>30</v>
      </c>
      <c r="E21" s="337" t="s">
        <v>101</v>
      </c>
      <c r="F21" s="337" t="s">
        <v>102</v>
      </c>
      <c r="G21" s="103" t="str">
        <f t="shared" si="0"/>
        <v>E/S - F/C</v>
      </c>
      <c r="H21" s="26">
        <f>IF(AND($E21=$Y$2,$F21=$Y$2),2*$AA$12,IF(OR(AND($E21=$Y$2, $F21=$Y$3),AND($E21=$Y$3,$F21=$Y$2)),$AA$12+$AA$13,IF(OR(AND($E21=$Y$2,$F21=$Y$4),AND($E21=$Y$4,$F21=$Y$2)),$AA$12,IF(OR(AND($E21=$Y$3,$F21=$Y$4),AND($E21=$Y$4,$F21=$Y$3)),$AA$13,IF(AND($E21=$Y$3,$F21=$Y$3),2*$AA$13,0)))))</f>
        <v>3.5</v>
      </c>
      <c r="I21" s="27">
        <f>IF(AND($E21=$Y$2,$F21=$Y$2),2*$AD$12*$K21/27,IF(OR(AND($E21=$Y$2,$F21=$Y$3),AND($E21=$Y$3,$F21=$Y$2)),($AD$12+$AD$13)*$K21/27,IF(OR(AND($E21=$Y$2,$F21=$Y$4),AND($E21=$Y$4,$F21=$Y$2)),$AD$12*$K21/27,IF(OR(AND($E21=$Y$3,$F21=$Y$4),AND($E21=$Y$4,$F21=$Y$3)),$AD$13*$K21/27,IF(AND($E21=$Y$3,$F21=$Y$3),2*$AD$13*$K21/27,0)))))</f>
        <v>2.3305555555553941</v>
      </c>
      <c r="J21" s="78">
        <f>IF(OR(AND($E21=$Y$2,$F21=$Y$4),AND($E21=$Y$4,$F21=$Y$2)),$AG$14,IF(OR(AND($E21=$Y$3,$F21=$Y$4),AND($E21=$Y$4,$F21=$Y$3)),$AG$14,IF(AND($E21=$Y$4,$F21=$Y$4),2*$AG$14,0)))</f>
        <v>0</v>
      </c>
      <c r="K21" s="83">
        <f t="shared" si="4"/>
        <v>41.94999999999709</v>
      </c>
      <c r="L21" s="342">
        <v>26.56</v>
      </c>
      <c r="M21" s="124">
        <f t="shared" si="5"/>
        <v>1115</v>
      </c>
      <c r="N21" s="344">
        <v>0</v>
      </c>
      <c r="O21" s="123">
        <f t="shared" si="6"/>
        <v>1115</v>
      </c>
      <c r="P21" s="480">
        <f t="shared" si="7"/>
        <v>140.20277777777665</v>
      </c>
      <c r="Q21" s="210">
        <f t="shared" si="8"/>
        <v>7.0101388888888325E-2</v>
      </c>
      <c r="R21" s="85">
        <f t="shared" si="2"/>
        <v>0</v>
      </c>
      <c r="S21" s="135">
        <f t="shared" si="9"/>
        <v>0</v>
      </c>
      <c r="T21" s="85">
        <f>IF(A21="APP SLAB",0,$S$1*S21*110*0.06*0.75/2000)</f>
        <v>0</v>
      </c>
      <c r="U21" s="85">
        <f>IF(O21=0,0,(O21*$U$1/12)/27+I21)</f>
        <v>22.978703703703545</v>
      </c>
      <c r="V21" s="111">
        <f>IF(OR(A21="APP SLAB",O21=0),0,(O21+J21*K21)/9)</f>
        <v>123.88888888888889</v>
      </c>
      <c r="W21" s="454">
        <f t="shared" si="12"/>
        <v>1.5537037037035959</v>
      </c>
    </row>
    <row r="22" spans="1:35" ht="12.75" customHeight="1" x14ac:dyDescent="0.2">
      <c r="B22" s="335">
        <v>75700</v>
      </c>
      <c r="C22" s="336">
        <v>75810</v>
      </c>
      <c r="D22" s="337" t="s">
        <v>30</v>
      </c>
      <c r="E22" s="337" t="s">
        <v>101</v>
      </c>
      <c r="F22" s="337" t="s">
        <v>102</v>
      </c>
      <c r="G22" s="103" t="str">
        <f t="shared" si="0"/>
        <v>E/S - F/C</v>
      </c>
      <c r="H22" s="26">
        <f>IF(AND($E22=$Y$2,$F22=$Y$2),2*$AA$12,IF(OR(AND($E22=$Y$2, $F22=$Y$3),AND($E22=$Y$3,$F22=$Y$2)),$AA$12+$AA$13,IF(OR(AND($E22=$Y$2,$F22=$Y$4),AND($E22=$Y$4,$F22=$Y$2)),$AA$12,IF(OR(AND($E22=$Y$3,$F22=$Y$4),AND($E22=$Y$4,$F22=$Y$3)),$AA$13,IF(AND($E22=$Y$3,$F22=$Y$3),2*$AA$13,0)))))</f>
        <v>3.5</v>
      </c>
      <c r="I22" s="27">
        <f>IF(AND($E22=$Y$2,$F22=$Y$2),2*$AD$12*$K22/27,IF(OR(AND($E22=$Y$2,$F22=$Y$3),AND($E22=$Y$3,$F22=$Y$2)),($AD$12+$AD$13)*$K22/27,IF(OR(AND($E22=$Y$2,$F22=$Y$4),AND($E22=$Y$4,$F22=$Y$2)),$AD$12*$K22/27,IF(OR(AND($E22=$Y$3,$F22=$Y$4),AND($E22=$Y$4,$F22=$Y$3)),$AD$13*$K22/27,IF(AND($E22=$Y$3,$F22=$Y$3),2*$AD$13*$K22/27,0)))))</f>
        <v>6.1111111111111107</v>
      </c>
      <c r="J22" s="78">
        <f>IF(OR(AND($E22=$Y$2,$F22=$Y$4),AND($E22=$Y$4,$F22=$Y$2)),$AG$14,IF(OR(AND($E22=$Y$3,$F22=$Y$4),AND($E22=$Y$4,$F22=$Y$3)),$AG$14,IF(AND($E22=$Y$4,$F22=$Y$4),2*$AG$14,0)))</f>
        <v>0</v>
      </c>
      <c r="K22" s="83">
        <f t="shared" si="4"/>
        <v>110</v>
      </c>
      <c r="L22" s="342">
        <v>26</v>
      </c>
      <c r="M22" s="124">
        <f t="shared" si="5"/>
        <v>2860</v>
      </c>
      <c r="N22" s="344">
        <v>0</v>
      </c>
      <c r="O22" s="123">
        <f t="shared" si="6"/>
        <v>2860</v>
      </c>
      <c r="P22" s="480">
        <f t="shared" si="7"/>
        <v>360.55555555555554</v>
      </c>
      <c r="Q22" s="210">
        <f t="shared" si="8"/>
        <v>0.18027777777777776</v>
      </c>
      <c r="R22" s="85">
        <f t="shared" si="2"/>
        <v>0</v>
      </c>
      <c r="S22" s="135">
        <f t="shared" si="9"/>
        <v>0</v>
      </c>
      <c r="T22" s="85">
        <f t="shared" si="3"/>
        <v>0</v>
      </c>
      <c r="U22" s="85">
        <f t="shared" si="10"/>
        <v>59.074074074074076</v>
      </c>
      <c r="V22" s="111">
        <f t="shared" si="11"/>
        <v>317.77777777777777</v>
      </c>
      <c r="W22" s="454">
        <f t="shared" si="12"/>
        <v>4.0740740740740744</v>
      </c>
    </row>
    <row r="23" spans="1:35" ht="12.75" customHeight="1" x14ac:dyDescent="0.2">
      <c r="B23" s="335">
        <v>75810</v>
      </c>
      <c r="C23" s="336">
        <v>75882.350000000006</v>
      </c>
      <c r="D23" s="337" t="s">
        <v>30</v>
      </c>
      <c r="E23" s="337" t="s">
        <v>102</v>
      </c>
      <c r="F23" s="337" t="s">
        <v>102</v>
      </c>
      <c r="G23" s="103" t="str">
        <f t="shared" si="0"/>
        <v>F/C - F/C</v>
      </c>
      <c r="H23" s="26">
        <f>IF(AND($E23=$Y$2,$F23=$Y$2),2*$AA$12,IF(OR(AND($E23=$Y$2, $F23=$Y$3),AND($E23=$Y$3,$F23=$Y$2)),$AA$12+$AA$13,IF(OR(AND($E23=$Y$2,$F23=$Y$4),AND($E23=$Y$4,$F23=$Y$2)),$AA$12,IF(OR(AND($E23=$Y$3,$F23=$Y$4),AND($E23=$Y$4,$F23=$Y$3)),$AA$13,IF(AND($E23=$Y$3,$F23=$Y$3),2*$AA$13,0)))))</f>
        <v>4</v>
      </c>
      <c r="I23" s="27">
        <f>IF(AND($E23=$Y$2,$F23=$Y$2),2*$AD$12*$K23/27,IF(OR(AND($E23=$Y$2,$F23=$Y$3),AND($E23=$Y$3,$F23=$Y$2)),($AD$12+$AD$13)*$K23/27,IF(OR(AND($E23=$Y$2,$F23=$Y$4),AND($E23=$Y$4,$F23=$Y$2)),$AD$12*$K23/27,IF(OR(AND($E23=$Y$3,$F23=$Y$4),AND($E23=$Y$4,$F23=$Y$3)),$AD$13*$K23/27,IF(AND($E23=$Y$3,$F23=$Y$3),2*$AD$13*$K23/27,0)))))</f>
        <v>4.0194444444447681</v>
      </c>
      <c r="J23" s="78">
        <f>IF(OR(AND($E23=$Y$2,$F23=$Y$4),AND($E23=$Y$4,$F23=$Y$2)),$AG$14,IF(OR(AND($E23=$Y$3,$F23=$Y$4),AND($E23=$Y$4,$F23=$Y$3)),$AG$14,IF(AND($E23=$Y$4,$F23=$Y$4),2*$AG$14,0)))</f>
        <v>0</v>
      </c>
      <c r="K23" s="83">
        <f t="shared" si="4"/>
        <v>72.350000000005821</v>
      </c>
      <c r="L23" s="342">
        <v>26</v>
      </c>
      <c r="M23" s="124">
        <f t="shared" si="5"/>
        <v>1882</v>
      </c>
      <c r="N23" s="344">
        <v>0</v>
      </c>
      <c r="O23" s="123">
        <f t="shared" si="6"/>
        <v>1882</v>
      </c>
      <c r="P23" s="480">
        <f t="shared" si="7"/>
        <v>241.26666666666927</v>
      </c>
      <c r="Q23" s="210">
        <f t="shared" si="8"/>
        <v>0.12063333333333463</v>
      </c>
      <c r="R23" s="85">
        <f t="shared" si="2"/>
        <v>0</v>
      </c>
      <c r="S23" s="135">
        <f t="shared" si="9"/>
        <v>0</v>
      </c>
      <c r="T23" s="85">
        <f t="shared" si="3"/>
        <v>0</v>
      </c>
      <c r="U23" s="85">
        <f t="shared" si="10"/>
        <v>38.87129629629662</v>
      </c>
      <c r="V23" s="111">
        <f t="shared" si="11"/>
        <v>209.11111111111111</v>
      </c>
      <c r="W23" s="454">
        <f t="shared" si="12"/>
        <v>0</v>
      </c>
    </row>
    <row r="24" spans="1:35" ht="12.75" customHeight="1" thickBot="1" x14ac:dyDescent="0.25">
      <c r="B24" s="107"/>
      <c r="C24" s="8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</row>
    <row r="25" spans="1:35" ht="12.75" customHeight="1" x14ac:dyDescent="0.2">
      <c r="B25" s="661" t="s">
        <v>56</v>
      </c>
      <c r="C25" s="662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</row>
    <row r="26" spans="1:35" ht="12.75" customHeight="1" x14ac:dyDescent="0.2">
      <c r="B26" s="335">
        <v>75038.42</v>
      </c>
      <c r="C26" s="336">
        <v>75088.490000000005</v>
      </c>
      <c r="D26" s="337" t="s">
        <v>30</v>
      </c>
      <c r="E26" s="337" t="s">
        <v>101</v>
      </c>
      <c r="F26" s="337" t="s">
        <v>101</v>
      </c>
      <c r="G26" s="103" t="str">
        <f>IF(AND($E26=$Y$2,$F26=$Y$2),$AA$2,IF(OR(AND($E26=$Y$2,$F26=$Y$3),AND($E26=$Y$3,$F26=$Y$2)),$AA$3,IF(OR(AND($E26=$Y$2,$F26=$Y$4),AND($E26=$Y$4,$F26=$Y$2)),$AA$4,IF(OR(AND($E26=$Y$3,$F26=$Y$4),AND($E26=$Y$4,$F26=$Y$3)),$AA$5,IF(AND($E26=$Y$3,$F26=$Y$3),$AA$6,IF(AND($E26=$Y$4,$F26=$Y$4),$AA$7,"-"))))))</f>
        <v>E/S - E/S</v>
      </c>
      <c r="H26" s="26">
        <f>IF(AND($E26=$Y$2,$F26=$Y$2),2*$AA$12,IF(OR(AND($E26=$Y$2, $F26=$Y$3),AND($E26=$Y$3,$F26=$Y$2)),$AA$12+$AA$13,IF(OR(AND($E26=$Y$2,$F26=$Y$4),AND($E26=$Y$4,$F26=$Y$2)),$AA$12,IF(OR(AND($E26=$Y$3,$F26=$Y$4),AND($E26=$Y$4,$F26=$Y$3)),$AA$13,IF(AND($E26=$Y$3,$F26=$Y$3),2*$AA$13,0)))))</f>
        <v>3</v>
      </c>
      <c r="I26" s="27">
        <f>IF(AND($E26=$Y$2,$F26=$Y$2),2*$AD$12*$K26/27,IF(OR(AND($E26=$Y$2,$F26=$Y$3),AND($E26=$Y$3,$F26=$Y$2)),($AD$12+$AD$13)*$K26/27,IF(OR(AND($E26=$Y$2,$F26=$Y$4),AND($E26=$Y$4,$F26=$Y$2)),$AD$12*$K26/27,IF(OR(AND($E26=$Y$3,$F26=$Y$4),AND($E26=$Y$4,$F26=$Y$3)),$AD$13*$K26/27,IF(AND($E26=$Y$3,$F26=$Y$3),2*$AD$13*$K26/27,0)))))</f>
        <v>2.7816666666670549</v>
      </c>
      <c r="J26" s="78">
        <f>IF(OR(AND($E26=$Y$2,$F26=$Y$4),AND($E26=$Y$4,$F26=$Y$2)),$AG$14,IF(OR(AND($E26=$Y$3,$F26=$Y$4),AND($E26=$Y$4,$F26=$Y$3)),$AG$14,IF(AND($E26=$Y$4,$F26=$Y$4),2*$AG$14,0)))</f>
        <v>0</v>
      </c>
      <c r="K26" s="83">
        <f t="shared" ref="K26:K48" si="13">C26-B26</f>
        <v>50.070000000006985</v>
      </c>
      <c r="L26" s="342">
        <v>26</v>
      </c>
      <c r="M26" s="124">
        <f t="shared" ref="M26:M63" si="14">IF(L26="-",0,ROUNDUP($K26*L26,0))</f>
        <v>1302</v>
      </c>
      <c r="N26" s="344">
        <v>0</v>
      </c>
      <c r="O26" s="123">
        <f t="shared" ref="O26" si="15">SUM(M26:N26)</f>
        <v>1302</v>
      </c>
      <c r="P26" s="344">
        <v>0</v>
      </c>
      <c r="Q26" s="210">
        <f>IF(AND(P26=0,S26=0),0,IF(S26=0,P26/2000,S26/2000))</f>
        <v>8.067833333333449E-2</v>
      </c>
      <c r="R26" s="85">
        <f>IF(A26="APP SLAB",0,S26)</f>
        <v>161.35666666666899</v>
      </c>
      <c r="S26" s="135">
        <f>IF(OR(A26="APP SLAB",P26&lt;&gt;0),0,(O26+H26*K26)/9)</f>
        <v>161.35666666666899</v>
      </c>
      <c r="T26" s="85">
        <f>IF(A26="APP SLAB",0,$S$1*S26*110*0.06*0.75/2000)</f>
        <v>4.7922930000000692</v>
      </c>
      <c r="U26" s="85">
        <f t="shared" ref="U26:U29" si="16">IF(O26=0,0,(O26*$U$1/12)/27+I26)</f>
        <v>26.892777777778164</v>
      </c>
      <c r="V26" s="111">
        <f t="shared" ref="V26:V29" si="17">IF(OR(A26="APP SLAB",O26=0),0,(O26+J26*K26)/9)</f>
        <v>144.66666666666666</v>
      </c>
      <c r="W26" s="454">
        <f t="shared" ref="W26:W29" si="18">IF(AND($E26=$F26="Uncurbed"),(2*$K26*2*$W$1/12)/27,IF(OR($E26="Uncurbed",$F26="Uncurbed"),($K26*2*$W$1/12)/27,IF(OR(AND($E26="Med. Barr.",$F26="Curbed"),AND($E26="Curbed",$F26="Med. Barr."),$E26=$F26,$E26="Unique",$F26="Unique",$E26="-",$F26="-"),0,"?")))</f>
        <v>1.8544444444447032</v>
      </c>
    </row>
    <row r="27" spans="1:35" ht="12.75" customHeight="1" x14ac:dyDescent="0.2">
      <c r="B27" s="335">
        <v>75088.490000000005</v>
      </c>
      <c r="C27" s="336">
        <v>75456.59</v>
      </c>
      <c r="D27" s="337" t="s">
        <v>30</v>
      </c>
      <c r="E27" s="337" t="s">
        <v>101</v>
      </c>
      <c r="F27" s="337" t="s">
        <v>101</v>
      </c>
      <c r="G27" s="103" t="str">
        <f>IF(AND($E27=$Y$2,$F27=$Y$2),$AA$2,IF(OR(AND($E27=$Y$2,$F27=$Y$3),AND($E27=$Y$3,$F27=$Y$2)),$AA$3,IF(OR(AND($E27=$Y$2,$F27=$Y$4),AND($E27=$Y$4,$F27=$Y$2)),$AA$4,IF(OR(AND($E27=$Y$3,$F27=$Y$4),AND($E27=$Y$4,$F27=$Y$3)),$AA$5,IF(AND($E27=$Y$3,$F27=$Y$3),$AA$6,IF(AND($E27=$Y$4,$F27=$Y$4),$AA$7,"-"))))))</f>
        <v>E/S - E/S</v>
      </c>
      <c r="H27" s="26">
        <f>IF(AND($E27=$Y$2,$F27=$Y$2),2*$AA$12,IF(OR(AND($E27=$Y$2, $F27=$Y$3),AND($E27=$Y$3,$F27=$Y$2)),$AA$12+$AA$13,IF(OR(AND($E27=$Y$2,$F27=$Y$4),AND($E27=$Y$4,$F27=$Y$2)),$AA$12,IF(OR(AND($E27=$Y$3,$F27=$Y$4),AND($E27=$Y$4,$F27=$Y$3)),$AA$13,IF(AND($E27=$Y$3,$F27=$Y$3),2*$AA$13,0)))))</f>
        <v>3</v>
      </c>
      <c r="I27" s="27">
        <f>IF(AND($E27=$Y$2,$F27=$Y$2),2*$AD$12*$K27/27,IF(OR(AND($E27=$Y$2,$F27=$Y$3),AND($E27=$Y$3,$F27=$Y$2)),($AD$12+$AD$13)*$K27/27,IF(OR(AND($E27=$Y$2,$F27=$Y$4),AND($E27=$Y$4,$F27=$Y$2)),$AD$12*$K27/27,IF(OR(AND($E27=$Y$3,$F27=$Y$4),AND($E27=$Y$4,$F27=$Y$3)),$AD$13*$K27/27,IF(AND($E27=$Y$3,$F27=$Y$3),2*$AD$13*$K27/27,0)))))</f>
        <v>20.449999999999516</v>
      </c>
      <c r="J27" s="78">
        <f>IF(OR(AND($E27=$Y$2,$F27=$Y$4),AND($E27=$Y$4,$F27=$Y$2)),$AG$14,IF(OR(AND($E27=$Y$3,$F27=$Y$4),AND($E27=$Y$4,$F27=$Y$3)),$AG$14,IF(AND($E27=$Y$4,$F27=$Y$4),2*$AG$14,0)))</f>
        <v>0</v>
      </c>
      <c r="K27" s="83">
        <f t="shared" si="13"/>
        <v>368.09999999999127</v>
      </c>
      <c r="L27" s="342">
        <v>25</v>
      </c>
      <c r="M27" s="124">
        <f t="shared" si="14"/>
        <v>9203</v>
      </c>
      <c r="N27" s="344">
        <v>0</v>
      </c>
      <c r="O27" s="123">
        <f t="shared" si="1"/>
        <v>9203</v>
      </c>
      <c r="P27" s="344">
        <v>0</v>
      </c>
      <c r="Q27" s="210">
        <f t="shared" ref="Q27:Q29" si="19">IF(AND(P27=0,S27=0),0,IF(S27=0,P27/2000,S27/2000))</f>
        <v>0.5726277777777764</v>
      </c>
      <c r="R27" s="85">
        <f>IF(A27="APP SLAB",0,S27)</f>
        <v>1145.2555555555527</v>
      </c>
      <c r="S27" s="135">
        <f t="shared" ref="S27:S29" si="20">IF(OR(A27="APP SLAB",P27&lt;&gt;0),0,(O27+H27*K27)/9)</f>
        <v>1145.2555555555527</v>
      </c>
      <c r="T27" s="85">
        <f>IF(A27="APP SLAB",0,$S$1*S27*110*0.06*0.75/2000)</f>
        <v>34.014089999999918</v>
      </c>
      <c r="U27" s="85">
        <f t="shared" si="16"/>
        <v>190.87592592592543</v>
      </c>
      <c r="V27" s="111">
        <f t="shared" si="17"/>
        <v>1022.5555555555555</v>
      </c>
      <c r="W27" s="454">
        <f t="shared" si="18"/>
        <v>13.63333333333301</v>
      </c>
      <c r="AF27" s="93"/>
      <c r="AG27" s="93"/>
      <c r="AH27" s="93"/>
      <c r="AI27" s="93"/>
    </row>
    <row r="28" spans="1:35" ht="12.75" customHeight="1" x14ac:dyDescent="0.2">
      <c r="B28" s="335">
        <v>75456.59</v>
      </c>
      <c r="C28" s="336">
        <v>75581.990000000005</v>
      </c>
      <c r="D28" s="337" t="s">
        <v>30</v>
      </c>
      <c r="E28" s="337" t="s">
        <v>102</v>
      </c>
      <c r="F28" s="337" t="s">
        <v>102</v>
      </c>
      <c r="G28" s="103" t="str">
        <f>IF(AND($E28=$Y$2,$F28=$Y$2),$AA$2,IF(OR(AND($E28=$Y$2,$F28=$Y$3),AND($E28=$Y$3,$F28=$Y$2)),$AA$3,IF(OR(AND($E28=$Y$2,$F28=$Y$4),AND($E28=$Y$4,$F28=$Y$2)),$AA$4,IF(OR(AND($E28=$Y$3,$F28=$Y$4),AND($E28=$Y$4,$F28=$Y$3)),$AA$5,IF(AND($E28=$Y$3,$F28=$Y$3),$AA$6,IF(AND($E28=$Y$4,$F28=$Y$4),$AA$7,"-"))))))</f>
        <v>F/C - F/C</v>
      </c>
      <c r="H28" s="26">
        <f>IF(AND($E28=$Y$2,$F28=$Y$2),2*$AA$12,IF(OR(AND($E28=$Y$2, $F28=$Y$3),AND($E28=$Y$3,$F28=$Y$2)),$AA$12+$AA$13,IF(OR(AND($E28=$Y$2,$F28=$Y$4),AND($E28=$Y$4,$F28=$Y$2)),$AA$12,IF(OR(AND($E28=$Y$3,$F28=$Y$4),AND($E28=$Y$4,$F28=$Y$3)),$AA$13,IF(AND($E28=$Y$3,$F28=$Y$3),2*$AA$13,0)))))</f>
        <v>4</v>
      </c>
      <c r="I28" s="27">
        <f>IF(AND($E28=$Y$2,$F28=$Y$2),2*$AD$12*$K28/27,IF(OR(AND($E28=$Y$2,$F28=$Y$3),AND($E28=$Y$3,$F28=$Y$2)),($AD$12+$AD$13)*$K28/27,IF(OR(AND($E28=$Y$2,$F28=$Y$4),AND($E28=$Y$4,$F28=$Y$2)),$AD$12*$K28/27,IF(OR(AND($E28=$Y$3,$F28=$Y$4),AND($E28=$Y$4,$F28=$Y$3)),$AD$13*$K28/27,IF(AND($E28=$Y$3,$F28=$Y$3),2*$AD$13*$K28/27,0)))))</f>
        <v>6.9666666666671517</v>
      </c>
      <c r="J28" s="78">
        <f>IF(OR(AND($E28=$Y$2,$F28=$Y$4),AND($E28=$Y$4,$F28=$Y$2)),$AG$14,IF(OR(AND($E28=$Y$3,$F28=$Y$4),AND($E28=$Y$4,$F28=$Y$3)),$AG$14,IF(AND($E28=$Y$4,$F28=$Y$4),2*$AG$14,0)))</f>
        <v>0</v>
      </c>
      <c r="K28" s="83">
        <f t="shared" si="13"/>
        <v>125.40000000000873</v>
      </c>
      <c r="L28" s="342">
        <v>25</v>
      </c>
      <c r="M28" s="124">
        <f t="shared" si="14"/>
        <v>3136</v>
      </c>
      <c r="N28" s="344">
        <v>0</v>
      </c>
      <c r="O28" s="123">
        <f t="shared" si="1"/>
        <v>3136</v>
      </c>
      <c r="P28" s="344">
        <v>0</v>
      </c>
      <c r="Q28" s="210">
        <f t="shared" si="19"/>
        <v>0.20208888888889084</v>
      </c>
      <c r="R28" s="85">
        <f>IF(A28="APP SLAB",0,S28)</f>
        <v>404.17777777778167</v>
      </c>
      <c r="S28" s="135">
        <f t="shared" si="20"/>
        <v>404.17777777778167</v>
      </c>
      <c r="T28" s="85">
        <f>IF(A28="APP SLAB",0,$S$1*S28*110*0.06*0.75/2000)</f>
        <v>12.004080000000116</v>
      </c>
      <c r="U28" s="85">
        <f t="shared" si="16"/>
        <v>65.040740740741228</v>
      </c>
      <c r="V28" s="111">
        <f t="shared" si="17"/>
        <v>348.44444444444446</v>
      </c>
      <c r="W28" s="454">
        <f t="shared" si="18"/>
        <v>0</v>
      </c>
    </row>
    <row r="29" spans="1:35" ht="12.75" customHeight="1" x14ac:dyDescent="0.2">
      <c r="B29" s="335">
        <v>75581.990000000005</v>
      </c>
      <c r="C29" s="336">
        <v>75705.149999999994</v>
      </c>
      <c r="D29" s="337" t="s">
        <v>30</v>
      </c>
      <c r="E29" s="337" t="s">
        <v>102</v>
      </c>
      <c r="F29" s="337" t="s">
        <v>102</v>
      </c>
      <c r="G29" s="103" t="str">
        <f>IF(AND($E29=$Y$2,$F29=$Y$2),$AA$2,IF(OR(AND($E29=$Y$2,$F29=$Y$3),AND($E29=$Y$3,$F29=$Y$2)),$AA$3,IF(OR(AND($E29=$Y$2,$F29=$Y$4),AND($E29=$Y$4,$F29=$Y$2)),$AA$4,IF(OR(AND($E29=$Y$3,$F29=$Y$4),AND($E29=$Y$4,$F29=$Y$3)),$AA$5,IF(AND($E29=$Y$3,$F29=$Y$3),$AA$6,IF(AND($E29=$Y$4,$F29=$Y$4),$AA$7,"-"))))))</f>
        <v>F/C - F/C</v>
      </c>
      <c r="H29" s="26">
        <f>IF(AND($E29=$Y$2,$F29=$Y$2),2*$AA$12,IF(OR(AND($E29=$Y$2, $F29=$Y$3),AND($E29=$Y$3,$F29=$Y$2)),$AA$12+$AA$13,IF(OR(AND($E29=$Y$2,$F29=$Y$4),AND($E29=$Y$4,$F29=$Y$2)),$AA$12,IF(OR(AND($E29=$Y$3,$F29=$Y$4),AND($E29=$Y$4,$F29=$Y$3)),$AA$13,IF(AND($E29=$Y$3,$F29=$Y$3),2*$AA$13,0)))))</f>
        <v>4</v>
      </c>
      <c r="I29" s="27">
        <f>IF(AND($E29=$Y$2,$F29=$Y$2),2*$AD$12*$K29/27,IF(OR(AND($E29=$Y$2,$F29=$Y$3),AND($E29=$Y$3,$F29=$Y$2)),($AD$12+$AD$13)*$K29/27,IF(OR(AND($E29=$Y$2,$F29=$Y$4),AND($E29=$Y$4,$F29=$Y$2)),$AD$12*$K29/27,IF(OR(AND($E29=$Y$3,$F29=$Y$4),AND($E29=$Y$4,$F29=$Y$3)),$AD$13*$K29/27,IF(AND($E29=$Y$3,$F29=$Y$3),2*$AD$13*$K29/27,0)))))</f>
        <v>6.8422222222216078</v>
      </c>
      <c r="J29" s="78">
        <f>IF(OR(AND($E29=$Y$2,$F29=$Y$4),AND($E29=$Y$4,$F29=$Y$2)),$AG$14,IF(OR(AND($E29=$Y$3,$F29=$Y$4),AND($E29=$Y$4,$F29=$Y$3)),$AG$14,IF(AND($E29=$Y$4,$F29=$Y$4),2*$AG$14,0)))</f>
        <v>0</v>
      </c>
      <c r="K29" s="83">
        <f t="shared" si="13"/>
        <v>123.15999999998894</v>
      </c>
      <c r="L29" s="342">
        <v>25.99</v>
      </c>
      <c r="M29" s="124">
        <f t="shared" si="14"/>
        <v>3201</v>
      </c>
      <c r="N29" s="344">
        <v>0</v>
      </c>
      <c r="O29" s="123">
        <f t="shared" si="1"/>
        <v>3201</v>
      </c>
      <c r="P29" s="344">
        <v>0</v>
      </c>
      <c r="Q29" s="210">
        <f t="shared" si="19"/>
        <v>0.20520222222221979</v>
      </c>
      <c r="R29" s="85">
        <f>IF(A29="APP SLAB",0,S29)</f>
        <v>410.40444444443955</v>
      </c>
      <c r="S29" s="135">
        <f t="shared" si="20"/>
        <v>410.40444444443955</v>
      </c>
      <c r="T29" s="85">
        <f>IF(A29="APP SLAB",0,$S$1*S29*110*0.06*0.75/2000)</f>
        <v>12.189011999999853</v>
      </c>
      <c r="U29" s="85">
        <f t="shared" si="16"/>
        <v>66.119999999999379</v>
      </c>
      <c r="V29" s="111">
        <f t="shared" si="17"/>
        <v>355.66666666666669</v>
      </c>
      <c r="W29" s="454">
        <f t="shared" si="18"/>
        <v>0</v>
      </c>
    </row>
    <row r="30" spans="1:35" ht="12.75" customHeight="1" thickBot="1" x14ac:dyDescent="0.25">
      <c r="A30" s="113"/>
      <c r="B30" s="107"/>
      <c r="C30" s="8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35" ht="12.75" customHeight="1" x14ac:dyDescent="0.2">
      <c r="A31" s="113"/>
      <c r="B31" s="661" t="s">
        <v>57</v>
      </c>
      <c r="C31" s="662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</row>
    <row r="32" spans="1:35" ht="12.75" customHeight="1" x14ac:dyDescent="0.2">
      <c r="A32" s="106"/>
      <c r="B32" s="335">
        <v>77799.08</v>
      </c>
      <c r="C32" s="336">
        <v>77893.990000000005</v>
      </c>
      <c r="D32" s="337" t="s">
        <v>30</v>
      </c>
      <c r="E32" s="337" t="s">
        <v>102</v>
      </c>
      <c r="F32" s="337" t="s">
        <v>102</v>
      </c>
      <c r="G32" s="103" t="str">
        <f t="shared" ref="G32:G41" si="21">IF(AND($E32=$Y$2,$F32=$Y$2),$AA$2,IF(OR(AND($E32=$Y$2,$F32=$Y$3),AND($E32=$Y$3,$F32=$Y$2)),$AA$3,IF(OR(AND($E32=$Y$2,$F32=$Y$4),AND($E32=$Y$4,$F32=$Y$2)),$AA$4,IF(OR(AND($E32=$Y$3,$F32=$Y$4),AND($E32=$Y$4,$F32=$Y$3)),$AA$5,IF(AND($E32=$Y$3,$F32=$Y$3),$AA$6,IF(AND($E32=$Y$4,$F32=$Y$4),$AA$7,"-"))))))</f>
        <v>F/C - F/C</v>
      </c>
      <c r="H32" s="26">
        <f>IF(AND($E32=$Y$2,$F32=$Y$2),2*$AA$12,IF(OR(AND($E32=$Y$2, $F32=$Y$3),AND($E32=$Y$3,$F32=$Y$2)),$AA$12+$AA$13,IF(OR(AND($E32=$Y$2,$F32=$Y$4),AND($E32=$Y$4,$F32=$Y$2)),$AA$12,IF(OR(AND($E32=$Y$3,$F32=$Y$4),AND($E32=$Y$4,$F32=$Y$3)),$AA$13,IF(AND($E32=$Y$3,$F32=$Y$3),2*$AA$13,0)))))</f>
        <v>4</v>
      </c>
      <c r="I32" s="27">
        <f>IF(AND($E32=$Y$2,$F32=$Y$2),2*$AD$12*$K32/27,IF(OR(AND($E32=$Y$2,$F32=$Y$3),AND($E32=$Y$3,$F32=$Y$2)),($AD$12+$AD$13)*$K32/27,IF(OR(AND($E32=$Y$2,$F32=$Y$4),AND($E32=$Y$4,$F32=$Y$2)),$AD$12*$K32/27,IF(OR(AND($E32=$Y$3,$F32=$Y$4),AND($E32=$Y$4,$F32=$Y$3)),$AD$13*$K32/27,IF(AND($E32=$Y$3,$F32=$Y$3),2*$AD$13*$K32/27,0)))))</f>
        <v>5.2727777777779714</v>
      </c>
      <c r="J32" s="78">
        <f>IF(OR(AND($E32=$Y$2,$F32=$Y$4),AND($E32=$Y$4,$F32=$Y$2)),$AG$14,IF(OR(AND($E32=$Y$3,$F32=$Y$4),AND($E32=$Y$4,$F32=$Y$3)),$AG$14,IF(AND($E32=$Y$4,$F32=$Y$4),2*$AG$14,0)))</f>
        <v>0</v>
      </c>
      <c r="K32" s="83">
        <f t="shared" si="13"/>
        <v>94.910000000003492</v>
      </c>
      <c r="L32" s="342">
        <v>26.53</v>
      </c>
      <c r="M32" s="124">
        <f t="shared" si="14"/>
        <v>2518</v>
      </c>
      <c r="N32" s="344">
        <v>0</v>
      </c>
      <c r="O32" s="123">
        <f t="shared" si="1"/>
        <v>2518</v>
      </c>
      <c r="P32" s="344">
        <v>0</v>
      </c>
      <c r="Q32" s="210">
        <f>IF(AND(P32=0,S32=0),0,IF(S32=0,P32/2000,S32/2000))</f>
        <v>0.16098000000000079</v>
      </c>
      <c r="R32" s="85">
        <f t="shared" ref="R32:R41" si="22">IF(A32="APP SLAB",0,S32)</f>
        <v>321.96000000000157</v>
      </c>
      <c r="S32" s="135">
        <f>IF(OR(A32="APP SLAB",P32&lt;&gt;0),0,(O32+H32*K32)/9)</f>
        <v>321.96000000000157</v>
      </c>
      <c r="T32" s="85">
        <f t="shared" ref="T32:T41" si="23">IF(A32="APP SLAB",0,$S$1*S32*110*0.06*0.75/2000)</f>
        <v>9.5622120000000468</v>
      </c>
      <c r="U32" s="85">
        <f t="shared" ref="U32:U41" si="24">IF(O32=0,0,(O32*$U$1/12)/27+I32)</f>
        <v>51.902407407407594</v>
      </c>
      <c r="V32" s="111">
        <f t="shared" ref="V32:V41" si="25">IF(OR(A32="APP SLAB",O32=0),0,(O32+J32*K32)/9)</f>
        <v>279.77777777777777</v>
      </c>
      <c r="W32" s="454">
        <f t="shared" ref="W32:W41" si="26">IF(AND($E32=$F32="Uncurbed"),(2*$K32*2*$W$1/12)/27,IF(OR($E32="Uncurbed",$F32="Uncurbed"),($K32*2*$W$1/12)/27,IF(OR(AND($E32="Med. Barr.",$F32="Curbed"),AND($E32="Curbed",$F32="Med. Barr."),$E32=$F32,$E32="Unique",$F32="Unique",$E32="-",$F32="-"),0,"?")))</f>
        <v>0</v>
      </c>
    </row>
    <row r="33" spans="1:23" ht="12.75" customHeight="1" x14ac:dyDescent="0.2">
      <c r="A33" s="106"/>
      <c r="B33" s="335">
        <v>77893.990000000005</v>
      </c>
      <c r="C33" s="336">
        <v>77937.41</v>
      </c>
      <c r="D33" s="337" t="s">
        <v>30</v>
      </c>
      <c r="E33" s="337" t="s">
        <v>102</v>
      </c>
      <c r="F33" s="337" t="s">
        <v>102</v>
      </c>
      <c r="G33" s="103" t="str">
        <f t="shared" si="21"/>
        <v>F/C - F/C</v>
      </c>
      <c r="H33" s="26">
        <f>IF(AND($E33=$Y$2,$F33=$Y$2),2*$AA$12,IF(OR(AND($E33=$Y$2, $F33=$Y$3),AND($E33=$Y$3,$F33=$Y$2)),$AA$12+$AA$13,IF(OR(AND($E33=$Y$2,$F33=$Y$4),AND($E33=$Y$4,$F33=$Y$2)),$AA$12,IF(OR(AND($E33=$Y$3,$F33=$Y$4),AND($E33=$Y$4,$F33=$Y$3)),$AA$13,IF(AND($E33=$Y$3,$F33=$Y$3),2*$AA$13,0)))))</f>
        <v>4</v>
      </c>
      <c r="I33" s="27">
        <f>IF(AND($E33=$Y$2,$F33=$Y$2),2*$AD$12*$K33/27,IF(OR(AND($E33=$Y$2,$F33=$Y$3),AND($E33=$Y$3,$F33=$Y$2)),($AD$12+$AD$13)*$K33/27,IF(OR(AND($E33=$Y$2,$F33=$Y$4),AND($E33=$Y$4,$F33=$Y$2)),$AD$12*$K33/27,IF(OR(AND($E33=$Y$3,$F33=$Y$4),AND($E33=$Y$4,$F33=$Y$3)),$AD$13*$K33/27,IF(AND($E33=$Y$3,$F33=$Y$3),2*$AD$13*$K33/27,0)))))</f>
        <v>2.412222222222125</v>
      </c>
      <c r="J33" s="78">
        <f>IF(OR(AND($E33=$Y$2,$F33=$Y$4),AND($E33=$Y$4,$F33=$Y$2)),$AG$14,IF(OR(AND($E33=$Y$3,$F33=$Y$4),AND($E33=$Y$4,$F33=$Y$3)),$AG$14,IF(AND($E33=$Y$4,$F33=$Y$4),2*$AG$14,0)))</f>
        <v>0</v>
      </c>
      <c r="K33" s="83">
        <f t="shared" si="13"/>
        <v>43.419999999998254</v>
      </c>
      <c r="L33" s="342">
        <v>26.35</v>
      </c>
      <c r="M33" s="124">
        <f t="shared" si="14"/>
        <v>1145</v>
      </c>
      <c r="N33" s="344">
        <v>0</v>
      </c>
      <c r="O33" s="123">
        <f t="shared" si="1"/>
        <v>1145</v>
      </c>
      <c r="P33" s="344">
        <v>0</v>
      </c>
      <c r="Q33" s="210">
        <f t="shared" ref="Q33:Q41" si="27">IF(AND(P33=0,S33=0),0,IF(S33=0,P33/2000,S33/2000))</f>
        <v>7.3259999999999603E-2</v>
      </c>
      <c r="R33" s="85">
        <f t="shared" si="22"/>
        <v>146.51999999999921</v>
      </c>
      <c r="S33" s="135">
        <f t="shared" ref="S33:S41" si="28">IF(OR(A33="APP SLAB",P33&lt;&gt;0),0,(O33+H33*K33)/9)</f>
        <v>146.51999999999921</v>
      </c>
      <c r="T33" s="85">
        <f t="shared" si="23"/>
        <v>4.3516439999999763</v>
      </c>
      <c r="U33" s="85">
        <f t="shared" si="24"/>
        <v>23.615925925925829</v>
      </c>
      <c r="V33" s="111">
        <f t="shared" si="25"/>
        <v>127.22222222222223</v>
      </c>
      <c r="W33" s="454">
        <f t="shared" si="26"/>
        <v>0</v>
      </c>
    </row>
    <row r="34" spans="1:23" ht="12.75" customHeight="1" x14ac:dyDescent="0.2">
      <c r="A34" s="106"/>
      <c r="B34" s="335">
        <v>77937.41</v>
      </c>
      <c r="C34" s="336">
        <v>78055.02</v>
      </c>
      <c r="D34" s="337" t="s">
        <v>30</v>
      </c>
      <c r="E34" s="337" t="s">
        <v>102</v>
      </c>
      <c r="F34" s="337" t="s">
        <v>102</v>
      </c>
      <c r="G34" s="103" t="str">
        <f t="shared" si="21"/>
        <v>F/C - F/C</v>
      </c>
      <c r="H34" s="26">
        <f>IF(AND($E34=$Y$2,$F34=$Y$2),2*$AA$12,IF(OR(AND($E34=$Y$2, $F34=$Y$3),AND($E34=$Y$3,$F34=$Y$2)),$AA$12+$AA$13,IF(OR(AND($E34=$Y$2,$F34=$Y$4),AND($E34=$Y$4,$F34=$Y$2)),$AA$12,IF(OR(AND($E34=$Y$3,$F34=$Y$4),AND($E34=$Y$4,$F34=$Y$3)),$AA$13,IF(AND($E34=$Y$3,$F34=$Y$3),2*$AA$13,0)))))</f>
        <v>4</v>
      </c>
      <c r="I34" s="27">
        <f>IF(AND($E34=$Y$2,$F34=$Y$2),2*$AD$12*$K34/27,IF(OR(AND($E34=$Y$2,$F34=$Y$3),AND($E34=$Y$3,$F34=$Y$2)),($AD$12+$AD$13)*$K34/27,IF(OR(AND($E34=$Y$2,$F34=$Y$4),AND($E34=$Y$4,$F34=$Y$2)),$AD$12*$K34/27,IF(OR(AND($E34=$Y$3,$F34=$Y$4),AND($E34=$Y$4,$F34=$Y$3)),$AD$13*$K34/27,IF(AND($E34=$Y$3,$F34=$Y$3),2*$AD$13*$K34/27,0)))))</f>
        <v>6.5338888888889208</v>
      </c>
      <c r="J34" s="78">
        <f>IF(OR(AND($E34=$Y$2,$F34=$Y$4),AND($E34=$Y$4,$F34=$Y$2)),$AG$14,IF(OR(AND($E34=$Y$3,$F34=$Y$4),AND($E34=$Y$4,$F34=$Y$3)),$AG$14,IF(AND($E34=$Y$4,$F34=$Y$4),2*$AG$14,0)))</f>
        <v>0</v>
      </c>
      <c r="K34" s="83">
        <f t="shared" si="13"/>
        <v>117.61000000000058</v>
      </c>
      <c r="L34" s="342">
        <v>27.92</v>
      </c>
      <c r="M34" s="124">
        <f t="shared" si="14"/>
        <v>3284</v>
      </c>
      <c r="N34" s="344">
        <v>0</v>
      </c>
      <c r="O34" s="123">
        <f t="shared" si="1"/>
        <v>3284</v>
      </c>
      <c r="P34" s="344">
        <v>0</v>
      </c>
      <c r="Q34" s="210">
        <f t="shared" si="27"/>
        <v>0.20858000000000013</v>
      </c>
      <c r="R34" s="85">
        <f t="shared" si="22"/>
        <v>417.16000000000025</v>
      </c>
      <c r="S34" s="135">
        <f t="shared" si="28"/>
        <v>417.16000000000025</v>
      </c>
      <c r="T34" s="85">
        <f t="shared" si="23"/>
        <v>12.389652000000005</v>
      </c>
      <c r="U34" s="85">
        <f t="shared" si="24"/>
        <v>67.348703703703734</v>
      </c>
      <c r="V34" s="111">
        <f t="shared" si="25"/>
        <v>364.88888888888891</v>
      </c>
      <c r="W34" s="454">
        <f t="shared" si="26"/>
        <v>0</v>
      </c>
    </row>
    <row r="35" spans="1:23" ht="12.75" customHeight="1" x14ac:dyDescent="0.2">
      <c r="A35" s="106"/>
      <c r="B35" s="335">
        <v>78055.02</v>
      </c>
      <c r="C35" s="336">
        <v>78313.919999999998</v>
      </c>
      <c r="D35" s="337" t="s">
        <v>30</v>
      </c>
      <c r="E35" s="337" t="s">
        <v>101</v>
      </c>
      <c r="F35" s="337" t="s">
        <v>101</v>
      </c>
      <c r="G35" s="103" t="str">
        <f t="shared" si="21"/>
        <v>E/S - E/S</v>
      </c>
      <c r="H35" s="26">
        <f>IF(AND($E35=$Y$2,$F35=$Y$2),2*$AA$12,IF(OR(AND($E35=$Y$2, $F35=$Y$3),AND($E35=$Y$3,$F35=$Y$2)),$AA$12+$AA$13,IF(OR(AND($E35=$Y$2,$F35=$Y$4),AND($E35=$Y$4,$F35=$Y$2)),$AA$12,IF(OR(AND($E35=$Y$3,$F35=$Y$4),AND($E35=$Y$4,$F35=$Y$3)),$AA$13,IF(AND($E35=$Y$3,$F35=$Y$3),2*$AA$13,0)))))</f>
        <v>3</v>
      </c>
      <c r="I35" s="27">
        <f>IF(AND($E35=$Y$2,$F35=$Y$2),2*$AD$12*$K35/27,IF(OR(AND($E35=$Y$2,$F35=$Y$3),AND($E35=$Y$3,$F35=$Y$2)),($AD$12+$AD$13)*$K35/27,IF(OR(AND($E35=$Y$2,$F35=$Y$4),AND($E35=$Y$4,$F35=$Y$2)),$AD$12*$K35/27,IF(OR(AND($E35=$Y$3,$F35=$Y$4),AND($E35=$Y$4,$F35=$Y$3)),$AD$13*$K35/27,IF(AND($E35=$Y$3,$F35=$Y$3),2*$AD$13*$K35/27,0)))))</f>
        <v>14.38333333333301</v>
      </c>
      <c r="J35" s="78">
        <f>IF(OR(AND($E35=$Y$2,$F35=$Y$4),AND($E35=$Y$4,$F35=$Y$2)),$AG$14,IF(OR(AND($E35=$Y$3,$F35=$Y$4),AND($E35=$Y$4,$F35=$Y$3)),$AG$14,IF(AND($E35=$Y$4,$F35=$Y$4),2*$AG$14,0)))</f>
        <v>0</v>
      </c>
      <c r="K35" s="83">
        <f t="shared" si="13"/>
        <v>258.89999999999418</v>
      </c>
      <c r="L35" s="342">
        <v>33.299999999999997</v>
      </c>
      <c r="M35" s="124">
        <f t="shared" si="14"/>
        <v>8622</v>
      </c>
      <c r="N35" s="344">
        <v>0</v>
      </c>
      <c r="O35" s="123">
        <f t="shared" si="1"/>
        <v>8622</v>
      </c>
      <c r="P35" s="344">
        <v>0</v>
      </c>
      <c r="Q35" s="210">
        <f t="shared" si="27"/>
        <v>0.52214999999999911</v>
      </c>
      <c r="R35" s="85">
        <f t="shared" si="22"/>
        <v>1044.2999999999981</v>
      </c>
      <c r="S35" s="135">
        <f t="shared" si="28"/>
        <v>1044.2999999999981</v>
      </c>
      <c r="T35" s="85">
        <f t="shared" si="23"/>
        <v>31.015709999999942</v>
      </c>
      <c r="U35" s="85">
        <f t="shared" si="24"/>
        <v>174.04999999999967</v>
      </c>
      <c r="V35" s="111">
        <f t="shared" si="25"/>
        <v>958</v>
      </c>
      <c r="W35" s="454">
        <f t="shared" si="26"/>
        <v>9.5888888888886736</v>
      </c>
    </row>
    <row r="36" spans="1:23" ht="12.75" customHeight="1" x14ac:dyDescent="0.2">
      <c r="A36" s="106"/>
      <c r="B36" s="335">
        <v>78313.919999999998</v>
      </c>
      <c r="C36" s="336">
        <v>78624.31</v>
      </c>
      <c r="D36" s="337" t="s">
        <v>16</v>
      </c>
      <c r="E36" s="337" t="s">
        <v>108</v>
      </c>
      <c r="F36" s="337" t="s">
        <v>101</v>
      </c>
      <c r="G36" s="103" t="str">
        <f t="shared" si="21"/>
        <v>-</v>
      </c>
      <c r="H36" s="339">
        <v>1.5</v>
      </c>
      <c r="I36" s="338">
        <v>8.6199999999999992</v>
      </c>
      <c r="J36" s="358">
        <v>0</v>
      </c>
      <c r="K36" s="83">
        <f t="shared" si="13"/>
        <v>310.38999999999942</v>
      </c>
      <c r="L36" s="342">
        <v>19</v>
      </c>
      <c r="M36" s="124">
        <f t="shared" si="14"/>
        <v>5898</v>
      </c>
      <c r="N36" s="344">
        <v>0</v>
      </c>
      <c r="O36" s="123">
        <f t="shared" si="1"/>
        <v>5898</v>
      </c>
      <c r="P36" s="344">
        <v>0</v>
      </c>
      <c r="Q36" s="210">
        <f t="shared" si="27"/>
        <v>0.35353249999999997</v>
      </c>
      <c r="R36" s="85">
        <f t="shared" si="22"/>
        <v>707.06499999999994</v>
      </c>
      <c r="S36" s="135">
        <f t="shared" si="28"/>
        <v>707.06499999999994</v>
      </c>
      <c r="T36" s="85">
        <f t="shared" si="23"/>
        <v>20.999830499999998</v>
      </c>
      <c r="U36" s="85">
        <f t="shared" si="24"/>
        <v>117.84222222222223</v>
      </c>
      <c r="V36" s="111">
        <f t="shared" si="25"/>
        <v>655.33333333333337</v>
      </c>
      <c r="W36" s="454">
        <f t="shared" si="26"/>
        <v>11.495925925925905</v>
      </c>
    </row>
    <row r="37" spans="1:23" ht="12.75" customHeight="1" x14ac:dyDescent="0.2">
      <c r="A37" s="106"/>
      <c r="B37" s="335">
        <v>78624.31</v>
      </c>
      <c r="C37" s="336">
        <v>78624.31</v>
      </c>
      <c r="D37" s="337" t="s">
        <v>15</v>
      </c>
      <c r="E37" s="337" t="s">
        <v>101</v>
      </c>
      <c r="F37" s="337" t="s">
        <v>108</v>
      </c>
      <c r="G37" s="103" t="str">
        <f t="shared" si="21"/>
        <v>-</v>
      </c>
      <c r="H37" s="339">
        <v>1.5</v>
      </c>
      <c r="I37" s="338">
        <v>8.6199999999999992</v>
      </c>
      <c r="J37" s="358">
        <v>0</v>
      </c>
      <c r="K37" s="83">
        <f t="shared" si="13"/>
        <v>0</v>
      </c>
      <c r="L37" s="342" t="s">
        <v>97</v>
      </c>
      <c r="M37" s="124">
        <f t="shared" si="14"/>
        <v>0</v>
      </c>
      <c r="N37" s="344">
        <v>8310</v>
      </c>
      <c r="O37" s="123">
        <f t="shared" si="1"/>
        <v>8310</v>
      </c>
      <c r="P37" s="344">
        <v>0</v>
      </c>
      <c r="Q37" s="210">
        <f t="shared" si="27"/>
        <v>0.46166666666666667</v>
      </c>
      <c r="R37" s="85">
        <f t="shared" si="22"/>
        <v>923.33333333333337</v>
      </c>
      <c r="S37" s="135">
        <f t="shared" si="28"/>
        <v>923.33333333333337</v>
      </c>
      <c r="T37" s="85">
        <f t="shared" si="23"/>
        <v>27.422999999999998</v>
      </c>
      <c r="U37" s="85">
        <f t="shared" si="24"/>
        <v>162.50888888888889</v>
      </c>
      <c r="V37" s="111">
        <f t="shared" si="25"/>
        <v>923.33333333333337</v>
      </c>
      <c r="W37" s="454">
        <f t="shared" si="26"/>
        <v>0</v>
      </c>
    </row>
    <row r="38" spans="1:23" ht="12.75" customHeight="1" x14ac:dyDescent="0.2">
      <c r="A38" s="106"/>
      <c r="B38" s="335">
        <v>78624.31</v>
      </c>
      <c r="C38" s="336">
        <v>78800</v>
      </c>
      <c r="D38" s="337" t="s">
        <v>30</v>
      </c>
      <c r="E38" s="337" t="s">
        <v>101</v>
      </c>
      <c r="F38" s="337" t="s">
        <v>101</v>
      </c>
      <c r="G38" s="103" t="str">
        <f t="shared" si="21"/>
        <v>E/S - E/S</v>
      </c>
      <c r="H38" s="26">
        <f>IF(AND($E38=$Y$2,$F38=$Y$2),2*$AA$12,IF(OR(AND($E38=$Y$2, $F38=$Y$3),AND($E38=$Y$3,$F38=$Y$2)),$AA$12+$AA$13,IF(OR(AND($E38=$Y$2,$F38=$Y$4),AND($E38=$Y$4,$F38=$Y$2)),$AA$12,IF(OR(AND($E38=$Y$3,$F38=$Y$4),AND($E38=$Y$4,$F38=$Y$3)),$AA$13,IF(AND($E38=$Y$3,$F38=$Y$3),2*$AA$13,0)))))</f>
        <v>3</v>
      </c>
      <c r="I38" s="27">
        <f>IF(AND($E38=$Y$2,$F38=$Y$2),2*$AD$12*$K38/27,IF(OR(AND($E38=$Y$2,$F38=$Y$3),AND($E38=$Y$3,$F38=$Y$2)),($AD$12+$AD$13)*$K38/27,IF(OR(AND($E38=$Y$2,$F38=$Y$4),AND($E38=$Y$4,$F38=$Y$2)),$AD$12*$K38/27,IF(OR(AND($E38=$Y$3,$F38=$Y$4),AND($E38=$Y$4,$F38=$Y$3)),$AD$13*$K38/27,IF(AND($E38=$Y$3,$F38=$Y$3),2*$AD$13*$K38/27,0)))))</f>
        <v>9.7605555555556851</v>
      </c>
      <c r="J38" s="78">
        <f>IF(OR(AND($E38=$Y$2,$F38=$Y$4),AND($E38=$Y$4,$F38=$Y$2)),$AG$14,IF(OR(AND($E38=$Y$3,$F38=$Y$4),AND($E38=$Y$4,$F38=$Y$3)),$AG$14,IF(AND($E38=$Y$4,$F38=$Y$4),2*$AG$14,0)))</f>
        <v>0</v>
      </c>
      <c r="K38" s="115">
        <f t="shared" si="13"/>
        <v>175.69000000000233</v>
      </c>
      <c r="L38" s="365">
        <v>25</v>
      </c>
      <c r="M38" s="124">
        <f t="shared" si="14"/>
        <v>4393</v>
      </c>
      <c r="N38" s="366">
        <v>0</v>
      </c>
      <c r="O38" s="127">
        <f t="shared" si="1"/>
        <v>4393</v>
      </c>
      <c r="P38" s="344">
        <v>0</v>
      </c>
      <c r="Q38" s="210">
        <f t="shared" si="27"/>
        <v>0.27333722222222262</v>
      </c>
      <c r="R38" s="85">
        <f t="shared" si="22"/>
        <v>546.67444444444527</v>
      </c>
      <c r="S38" s="135">
        <f t="shared" si="28"/>
        <v>546.67444444444527</v>
      </c>
      <c r="T38" s="85">
        <f t="shared" si="23"/>
        <v>16.236231000000025</v>
      </c>
      <c r="U38" s="85">
        <f t="shared" si="24"/>
        <v>91.112407407407531</v>
      </c>
      <c r="V38" s="111">
        <f t="shared" si="25"/>
        <v>488.11111111111109</v>
      </c>
      <c r="W38" s="454">
        <f t="shared" si="26"/>
        <v>6.5070370370371231</v>
      </c>
    </row>
    <row r="39" spans="1:23" ht="12.75" customHeight="1" x14ac:dyDescent="0.2">
      <c r="A39" s="106"/>
      <c r="B39" s="335">
        <v>78800</v>
      </c>
      <c r="C39" s="336">
        <v>79077.73</v>
      </c>
      <c r="D39" s="337" t="s">
        <v>30</v>
      </c>
      <c r="E39" s="337" t="s">
        <v>101</v>
      </c>
      <c r="F39" s="337" t="s">
        <v>101</v>
      </c>
      <c r="G39" s="103" t="str">
        <f t="shared" si="21"/>
        <v>E/S - E/S</v>
      </c>
      <c r="H39" s="26">
        <f>IF(AND($E39=$Y$2,$F39=$Y$2),2*$AA$12,IF(OR(AND($E39=$Y$2, $F39=$Y$3),AND($E39=$Y$3,$F39=$Y$2)),$AA$12+$AA$13,IF(OR(AND($E39=$Y$2,$F39=$Y$4),AND($E39=$Y$4,$F39=$Y$2)),$AA$12,IF(OR(AND($E39=$Y$3,$F39=$Y$4),AND($E39=$Y$4,$F39=$Y$3)),$AA$13,IF(AND($E39=$Y$3,$F39=$Y$3),2*$AA$13,0)))))</f>
        <v>3</v>
      </c>
      <c r="I39" s="27">
        <f>IF(AND($E39=$Y$2,$F39=$Y$2),2*$AD$12*$K39/27,IF(OR(AND($E39=$Y$2,$F39=$Y$3),AND($E39=$Y$3,$F39=$Y$2)),($AD$12+$AD$13)*$K39/27,IF(OR(AND($E39=$Y$2,$F39=$Y$4),AND($E39=$Y$4,$F39=$Y$2)),$AD$12*$K39/27,IF(OR(AND($E39=$Y$3,$F39=$Y$4),AND($E39=$Y$4,$F39=$Y$3)),$AD$13*$K39/27,IF(AND($E39=$Y$3,$F39=$Y$3),2*$AD$13*$K39/27,0)))))</f>
        <v>15.429444444444218</v>
      </c>
      <c r="J39" s="78">
        <f>IF(OR(AND($E39=$Y$2,$F39=$Y$4),AND($E39=$Y$4,$F39=$Y$2)),$AG$14,IF(OR(AND($E39=$Y$3,$F39=$Y$4),AND($E39=$Y$4,$F39=$Y$3)),$AG$14,IF(AND($E39=$Y$4,$F39=$Y$4),2*$AG$14,0)))</f>
        <v>0</v>
      </c>
      <c r="K39" s="502">
        <f t="shared" ref="K39" si="29">C39-B39</f>
        <v>277.72999999999593</v>
      </c>
      <c r="L39" s="365">
        <v>25</v>
      </c>
      <c r="M39" s="124">
        <f t="shared" ref="M39" si="30">IF(L39="-",0,ROUNDUP($K39*L39,0))</f>
        <v>6944</v>
      </c>
      <c r="N39" s="366">
        <v>0</v>
      </c>
      <c r="O39" s="127">
        <f t="shared" ref="O39" si="31">SUM(M39:N39)</f>
        <v>6944</v>
      </c>
      <c r="P39" s="480">
        <f t="shared" ref="P39:P41" si="32">IF(OR($A39="APP SLAB",O39=0),0,($O39+$H39*$K39)/9)</f>
        <v>864.13222222222089</v>
      </c>
      <c r="Q39" s="210">
        <f t="shared" si="27"/>
        <v>0.43206611111111043</v>
      </c>
      <c r="R39" s="480">
        <f t="shared" ref="R39" si="33">IF(A39="APP SLAB",0,S39)</f>
        <v>0</v>
      </c>
      <c r="S39" s="135">
        <f t="shared" si="28"/>
        <v>0</v>
      </c>
      <c r="T39" s="480">
        <f t="shared" ref="T39" si="34">IF(A39="APP SLAB",0,$S$1*S39*110*0.06*0.75/2000)</f>
        <v>0</v>
      </c>
      <c r="U39" s="480">
        <f t="shared" ref="U39" si="35">IF(O39=0,0,(O39*$U$1/12)/27+I39)</f>
        <v>144.0220370370368</v>
      </c>
      <c r="V39" s="111">
        <f t="shared" ref="V39" si="36">IF(OR(A39="APP SLAB",O39=0),0,(O39+J39*K39)/9)</f>
        <v>771.55555555555554</v>
      </c>
      <c r="W39" s="502">
        <f t="shared" si="26"/>
        <v>10.286296296296145</v>
      </c>
    </row>
    <row r="40" spans="1:23" ht="12.75" customHeight="1" x14ac:dyDescent="0.2">
      <c r="A40" s="106"/>
      <c r="B40" s="335">
        <v>79077.73</v>
      </c>
      <c r="C40" s="336">
        <v>79174.91</v>
      </c>
      <c r="D40" s="337" t="s">
        <v>30</v>
      </c>
      <c r="E40" s="337" t="s">
        <v>102</v>
      </c>
      <c r="F40" s="337" t="s">
        <v>101</v>
      </c>
      <c r="G40" s="103" t="str">
        <f t="shared" si="21"/>
        <v>E/S - F/C</v>
      </c>
      <c r="H40" s="26">
        <f>IF(AND($E40=$Y$2,$F40=$Y$2),2*$AA$12,IF(OR(AND($E40=$Y$2, $F40=$Y$3),AND($E40=$Y$3,$F40=$Y$2)),$AA$12+$AA$13,IF(OR(AND($E40=$Y$2,$F40=$Y$4),AND($E40=$Y$4,$F40=$Y$2)),$AA$12,IF(OR(AND($E40=$Y$3,$F40=$Y$4),AND($E40=$Y$4,$F40=$Y$3)),$AA$13,IF(AND($E40=$Y$3,$F40=$Y$3),2*$AA$13,0)))))</f>
        <v>3.5</v>
      </c>
      <c r="I40" s="27">
        <f>IF(AND($E40=$Y$2,$F40=$Y$2),2*$AD$12*$K40/27,IF(OR(AND($E40=$Y$2,$F40=$Y$3),AND($E40=$Y$3,$F40=$Y$2)),($AD$12+$AD$13)*$K40/27,IF(OR(AND($E40=$Y$2,$F40=$Y$4),AND($E40=$Y$4,$F40=$Y$2)),$AD$12*$K40/27,IF(OR(AND($E40=$Y$3,$F40=$Y$4),AND($E40=$Y$4,$F40=$Y$3)),$AD$13*$K40/27,IF(AND($E40=$Y$3,$F40=$Y$3),2*$AD$13*$K40/27,0)))))</f>
        <v>5.3988888888893092</v>
      </c>
      <c r="J40" s="78">
        <f>IF(OR(AND($E40=$Y$2,$F40=$Y$4),AND($E40=$Y$4,$F40=$Y$2)),$AG$14,IF(OR(AND($E40=$Y$3,$F40=$Y$4),AND($E40=$Y$4,$F40=$Y$3)),$AG$14,IF(AND($E40=$Y$4,$F40=$Y$4),2*$AG$14,0)))</f>
        <v>0</v>
      </c>
      <c r="K40" s="115">
        <f t="shared" ref="K40:K41" si="37">C40-B40</f>
        <v>97.180000000007567</v>
      </c>
      <c r="L40" s="365">
        <v>27</v>
      </c>
      <c r="M40" s="126">
        <f t="shared" si="14"/>
        <v>2624</v>
      </c>
      <c r="N40" s="366">
        <v>0</v>
      </c>
      <c r="O40" s="127">
        <f t="shared" si="1"/>
        <v>2624</v>
      </c>
      <c r="P40" s="480">
        <f t="shared" si="32"/>
        <v>329.34777777778072</v>
      </c>
      <c r="Q40" s="210">
        <f t="shared" si="27"/>
        <v>0.16467388888889037</v>
      </c>
      <c r="R40" s="111">
        <f t="shared" si="22"/>
        <v>0</v>
      </c>
      <c r="S40" s="135">
        <f t="shared" si="28"/>
        <v>0</v>
      </c>
      <c r="T40" s="111">
        <f t="shared" si="23"/>
        <v>0</v>
      </c>
      <c r="U40" s="85">
        <f t="shared" si="24"/>
        <v>53.991481481481905</v>
      </c>
      <c r="V40" s="111">
        <f t="shared" si="25"/>
        <v>291.55555555555554</v>
      </c>
      <c r="W40" s="454">
        <f t="shared" si="26"/>
        <v>3.5992592592595396</v>
      </c>
    </row>
    <row r="41" spans="1:23" ht="12.75" customHeight="1" x14ac:dyDescent="0.2">
      <c r="A41" s="106"/>
      <c r="B41" s="335">
        <v>79174.91</v>
      </c>
      <c r="C41" s="336">
        <v>79449.91</v>
      </c>
      <c r="D41" s="337" t="s">
        <v>30</v>
      </c>
      <c r="E41" s="337" t="s">
        <v>102</v>
      </c>
      <c r="F41" s="337" t="s">
        <v>108</v>
      </c>
      <c r="G41" s="103" t="str">
        <f t="shared" si="21"/>
        <v>-</v>
      </c>
      <c r="H41" s="339">
        <v>1.5</v>
      </c>
      <c r="I41" s="338">
        <v>5.09</v>
      </c>
      <c r="J41" s="358">
        <v>0</v>
      </c>
      <c r="K41" s="115">
        <f t="shared" si="37"/>
        <v>275</v>
      </c>
      <c r="L41" s="365" t="s">
        <v>97</v>
      </c>
      <c r="M41" s="126">
        <f t="shared" si="14"/>
        <v>0</v>
      </c>
      <c r="N41" s="366">
        <v>8064</v>
      </c>
      <c r="O41" s="127">
        <f t="shared" si="1"/>
        <v>8064</v>
      </c>
      <c r="P41" s="480">
        <f t="shared" si="32"/>
        <v>941.83333333333337</v>
      </c>
      <c r="Q41" s="210">
        <f t="shared" si="27"/>
        <v>0.47091666666666671</v>
      </c>
      <c r="R41" s="111">
        <f t="shared" si="22"/>
        <v>0</v>
      </c>
      <c r="S41" s="135">
        <f t="shared" si="28"/>
        <v>0</v>
      </c>
      <c r="T41" s="111">
        <f t="shared" si="23"/>
        <v>0</v>
      </c>
      <c r="U41" s="85">
        <f t="shared" si="24"/>
        <v>154.42333333333335</v>
      </c>
      <c r="V41" s="111">
        <f t="shared" si="25"/>
        <v>896</v>
      </c>
      <c r="W41" s="454">
        <f t="shared" si="26"/>
        <v>0</v>
      </c>
    </row>
    <row r="42" spans="1:23" ht="12.75" customHeight="1" thickBot="1" x14ac:dyDescent="0.25">
      <c r="A42" s="106"/>
      <c r="B42" s="107"/>
      <c r="C42" s="8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</row>
    <row r="43" spans="1:23" ht="12.75" customHeight="1" x14ac:dyDescent="0.2">
      <c r="B43" s="661" t="s">
        <v>58</v>
      </c>
      <c r="C43" s="662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</row>
    <row r="44" spans="1:23" ht="12.75" customHeight="1" x14ac:dyDescent="0.2">
      <c r="B44" s="335">
        <v>79818.55</v>
      </c>
      <c r="C44" s="336">
        <v>79873.05</v>
      </c>
      <c r="D44" s="337" t="s">
        <v>30</v>
      </c>
      <c r="E44" s="337" t="s">
        <v>101</v>
      </c>
      <c r="F44" s="337" t="s">
        <v>101</v>
      </c>
      <c r="G44" s="103" t="str">
        <f>IF(AND($E44=$Y$2,$F44=$Y$2),$AA$2,IF(OR(AND($E44=$Y$2,$F44=$Y$3),AND($E44=$Y$3,$F44=$Y$2)),$AA$3,IF(OR(AND($E44=$Y$2,$F44=$Y$4),AND($E44=$Y$4,$F44=$Y$2)),$AA$4,IF(OR(AND($E44=$Y$3,$F44=$Y$4),AND($E44=$Y$4,$F44=$Y$3)),$AA$5,IF(AND($E44=$Y$3,$F44=$Y$3),$AA$6,IF(AND($E44=$Y$4,$F44=$Y$4),$AA$7,"-"))))))</f>
        <v>E/S - E/S</v>
      </c>
      <c r="H44" s="26">
        <f>IF(AND($E44=$Y$2,$F44=$Y$2),2*$AA$12,IF(OR(AND($E44=$Y$2, $F44=$Y$3),AND($E44=$Y$3,$F44=$Y$2)),$AA$12+$AA$13,IF(OR(AND($E44=$Y$2,$F44=$Y$4),AND($E44=$Y$4,$F44=$Y$2)),$AA$12,IF(OR(AND($E44=$Y$3,$F44=$Y$4),AND($E44=$Y$4,$F44=$Y$3)),$AA$13,IF(AND($E44=$Y$3,$F44=$Y$3),2*$AA$13,0)))))</f>
        <v>3</v>
      </c>
      <c r="I44" s="27">
        <f>IF(AND($E44=$Y$2,$F44=$Y$2),2*$AD$12*$K44/27,IF(OR(AND($E44=$Y$2,$F44=$Y$3),AND($E44=$Y$3,$F44=$Y$2)),($AD$12+$AD$13)*$K44/27,IF(OR(AND($E44=$Y$2,$F44=$Y$4),AND($E44=$Y$4,$F44=$Y$2)),$AD$12*$K44/27,IF(OR(AND($E44=$Y$3,$F44=$Y$4),AND($E44=$Y$4,$F44=$Y$3)),$AD$13*$K44/27,IF(AND($E44=$Y$3,$F44=$Y$3),2*$AD$13*$K44/27,0)))))</f>
        <v>3.0277777777777777</v>
      </c>
      <c r="J44" s="78">
        <f>IF(OR(AND($E44=$Y$2,$F44=$Y$4),AND($E44=$Y$4,$F44=$Y$2)),$AG$14,IF(OR(AND($E44=$Y$3,$F44=$Y$4),AND($E44=$Y$4,$F44=$Y$3)),$AG$14,IF(AND($E44=$Y$4,$F44=$Y$4),2*$AG$14,0)))</f>
        <v>0</v>
      </c>
      <c r="K44" s="83">
        <f t="shared" si="13"/>
        <v>54.5</v>
      </c>
      <c r="L44" s="342">
        <v>26</v>
      </c>
      <c r="M44" s="124">
        <f t="shared" si="14"/>
        <v>1417</v>
      </c>
      <c r="N44" s="344">
        <v>0</v>
      </c>
      <c r="O44" s="123">
        <f t="shared" si="1"/>
        <v>1417</v>
      </c>
      <c r="P44" s="480">
        <f t="shared" ref="P44:P46" si="38">IF(OR($A44="APP SLAB",O44=0),0,($O44+$H44*$K44)/9)</f>
        <v>175.61111111111111</v>
      </c>
      <c r="Q44" s="210">
        <f t="shared" ref="Q44" si="39">IF(AND(P44=0,S44=0),0,IF(S44=0,P44/2000,S44/2000))</f>
        <v>8.7805555555555553E-2</v>
      </c>
      <c r="R44" s="85">
        <f>IF(A44="APP SLAB",0,S44)</f>
        <v>0</v>
      </c>
      <c r="S44" s="135">
        <f t="shared" ref="S44:S48" si="40">IF(OR(A44="APP SLAB",P44&lt;&gt;0),0,(O44+H44*K44)/9)</f>
        <v>0</v>
      </c>
      <c r="T44" s="85">
        <f>IF(A44="APP SLAB",0,$S$1*S44*110*0.06*0.75/2000)</f>
        <v>0</v>
      </c>
      <c r="U44" s="85">
        <f t="shared" ref="U44:U48" si="41">IF(O44=0,0,(O44*$U$1/12)/27+I44)</f>
        <v>29.268518518518519</v>
      </c>
      <c r="V44" s="111">
        <f t="shared" ref="V44:V48" si="42">IF(OR(A44="APP SLAB",O44=0),0,(O44+J44*K44)/9)</f>
        <v>157.44444444444446</v>
      </c>
      <c r="W44" s="454">
        <f t="shared" ref="W44:W48" si="43">IF(AND($E44=$F44="Uncurbed"),(2*$K44*2*$W$1/12)/27,IF(OR($E44="Uncurbed",$F44="Uncurbed"),($K44*2*$W$1/12)/27,IF(OR(AND($E44="Med. Barr.",$F44="Curbed"),AND($E44="Curbed",$F44="Med. Barr."),$E44=$F44,$E44="Unique",$F44="Unique",$E44="-",$F44="-"),0,"?")))</f>
        <v>2.0185185185185186</v>
      </c>
    </row>
    <row r="45" spans="1:23" ht="12.75" customHeight="1" x14ac:dyDescent="0.2">
      <c r="B45" s="335">
        <v>79873.05</v>
      </c>
      <c r="C45" s="336">
        <v>80139.91</v>
      </c>
      <c r="D45" s="337" t="s">
        <v>30</v>
      </c>
      <c r="E45" s="337" t="s">
        <v>101</v>
      </c>
      <c r="F45" s="337" t="s">
        <v>101</v>
      </c>
      <c r="G45" s="103" t="str">
        <f>IF(AND($E45=$Y$2,$F45=$Y$2),$AA$2,IF(OR(AND($E45=$Y$2,$F45=$Y$3),AND($E45=$Y$3,$F45=$Y$2)),$AA$3,IF(OR(AND($E45=$Y$2,$F45=$Y$4),AND($E45=$Y$4,$F45=$Y$2)),$AA$4,IF(OR(AND($E45=$Y$3,$F45=$Y$4),AND($E45=$Y$4,$F45=$Y$3)),$AA$5,IF(AND($E45=$Y$3,$F45=$Y$3),$AA$6,IF(AND($E45=$Y$4,$F45=$Y$4),$AA$7,"-"))))))</f>
        <v>E/S - E/S</v>
      </c>
      <c r="H45" s="26">
        <f>IF(AND($E45=$Y$2,$F45=$Y$2),2*$AA$12,IF(OR(AND($E45=$Y$2, $F45=$Y$3),AND($E45=$Y$3,$F45=$Y$2)),$AA$12+$AA$13,IF(OR(AND($E45=$Y$2,$F45=$Y$4),AND($E45=$Y$4,$F45=$Y$2)),$AA$12,IF(OR(AND($E45=$Y$3,$F45=$Y$4),AND($E45=$Y$4,$F45=$Y$3)),$AA$13,IF(AND($E45=$Y$3,$F45=$Y$3),2*$AA$13,0)))))</f>
        <v>3</v>
      </c>
      <c r="I45" s="27">
        <f>IF(AND($E45=$Y$2,$F45=$Y$2),2*$AD$12*$K45/27,IF(OR(AND($E45=$Y$2,$F45=$Y$3),AND($E45=$Y$3,$F45=$Y$2)),($AD$12+$AD$13)*$K45/27,IF(OR(AND($E45=$Y$2,$F45=$Y$4),AND($E45=$Y$4,$F45=$Y$2)),$AD$12*$K45/27,IF(OR(AND($E45=$Y$3,$F45=$Y$4),AND($E45=$Y$4,$F45=$Y$3)),$AD$13*$K45/27,IF(AND($E45=$Y$3,$F45=$Y$3),2*$AD$13*$K45/27,0)))))</f>
        <v>14.825555555555589</v>
      </c>
      <c r="J45" s="78">
        <f>IF(OR(AND($E45=$Y$2,$F45=$Y$4),AND($E45=$Y$4,$F45=$Y$2)),$AG$14,IF(OR(AND($E45=$Y$3,$F45=$Y$4),AND($E45=$Y$4,$F45=$Y$3)),$AG$14,IF(AND($E45=$Y$4,$F45=$Y$4),2*$AG$14,0)))</f>
        <v>0</v>
      </c>
      <c r="K45" s="83">
        <f t="shared" si="13"/>
        <v>266.86000000000058</v>
      </c>
      <c r="L45" s="342">
        <v>25</v>
      </c>
      <c r="M45" s="124">
        <f t="shared" si="14"/>
        <v>6672</v>
      </c>
      <c r="N45" s="344">
        <v>0</v>
      </c>
      <c r="O45" s="123">
        <f t="shared" si="1"/>
        <v>6672</v>
      </c>
      <c r="P45" s="480">
        <f t="shared" si="38"/>
        <v>830.28666666666686</v>
      </c>
      <c r="Q45" s="210">
        <f t="shared" ref="Q45:Q48" si="44">IF(AND(P45=0,S45=0),0,IF(S45=0,P45/2000,S45/2000))</f>
        <v>0.41514333333333342</v>
      </c>
      <c r="R45" s="85">
        <f>IF(A45="APP SLAB",0,S45)</f>
        <v>0</v>
      </c>
      <c r="S45" s="135">
        <f t="shared" si="40"/>
        <v>0</v>
      </c>
      <c r="T45" s="85">
        <f>IF(A45="APP SLAB",0,$S$1*S45*110*0.06*0.75/2000)</f>
        <v>0</v>
      </c>
      <c r="U45" s="85">
        <f t="shared" si="41"/>
        <v>138.38111111111115</v>
      </c>
      <c r="V45" s="111">
        <f t="shared" si="42"/>
        <v>741.33333333333337</v>
      </c>
      <c r="W45" s="454">
        <f t="shared" si="43"/>
        <v>9.8837037037037252</v>
      </c>
    </row>
    <row r="46" spans="1:23" ht="12.75" customHeight="1" x14ac:dyDescent="0.2">
      <c r="B46" s="335">
        <v>80139.91</v>
      </c>
      <c r="C46" s="336">
        <v>81000</v>
      </c>
      <c r="D46" s="337" t="s">
        <v>30</v>
      </c>
      <c r="E46" s="337" t="s">
        <v>101</v>
      </c>
      <c r="F46" s="337" t="s">
        <v>102</v>
      </c>
      <c r="G46" s="103" t="str">
        <f>IF(AND($E46=$Y$2,$F46=$Y$2),$AA$2,IF(OR(AND($E46=$Y$2,$F46=$Y$3),AND($E46=$Y$3,$F46=$Y$2)),$AA$3,IF(OR(AND($E46=$Y$2,$F46=$Y$4),AND($E46=$Y$4,$F46=$Y$2)),$AA$4,IF(OR(AND($E46=$Y$3,$F46=$Y$4),AND($E46=$Y$4,$F46=$Y$3)),$AA$5,IF(AND($E46=$Y$3,$F46=$Y$3),$AA$6,IF(AND($E46=$Y$4,$F46=$Y$4),$AA$7,"-"))))))</f>
        <v>E/S - F/C</v>
      </c>
      <c r="H46" s="26">
        <f>IF(AND($E46=$Y$2,$F46=$Y$2),2*$AA$12,IF(OR(AND($E46=$Y$2, $F46=$Y$3),AND($E46=$Y$3,$F46=$Y$2)),$AA$12+$AA$13,IF(OR(AND($E46=$Y$2,$F46=$Y$4),AND($E46=$Y$4,$F46=$Y$2)),$AA$12,IF(OR(AND($E46=$Y$3,$F46=$Y$4),AND($E46=$Y$4,$F46=$Y$3)),$AA$13,IF(AND($E46=$Y$3,$F46=$Y$3),2*$AA$13,0)))))</f>
        <v>3.5</v>
      </c>
      <c r="I46" s="27">
        <f>IF(AND($E46=$Y$2,$F46=$Y$2),2*$AD$12*$K46/27,IF(OR(AND($E46=$Y$2,$F46=$Y$3),AND($E46=$Y$3,$F46=$Y$2)),($AD$12+$AD$13)*$K46/27,IF(OR(AND($E46=$Y$2,$F46=$Y$4),AND($E46=$Y$4,$F46=$Y$2)),$AD$12*$K46/27,IF(OR(AND($E46=$Y$3,$F46=$Y$4),AND($E46=$Y$4,$F46=$Y$3)),$AD$13*$K46/27,IF(AND($E46=$Y$3,$F46=$Y$3),2*$AD$13*$K46/27,0)))))</f>
        <v>47.782777777777582</v>
      </c>
      <c r="J46" s="78">
        <f>IF(OR(AND($E46=$Y$2,$F46=$Y$4),AND($E46=$Y$4,$F46=$Y$2)),$AG$14,IF(OR(AND($E46=$Y$3,$F46=$Y$4),AND($E46=$Y$4,$F46=$Y$3)),$AG$14,IF(AND($E46=$Y$4,$F46=$Y$4),2*$AG$14,0)))</f>
        <v>0</v>
      </c>
      <c r="K46" s="83">
        <f t="shared" si="13"/>
        <v>860.08999999999651</v>
      </c>
      <c r="L46" s="342">
        <v>27</v>
      </c>
      <c r="M46" s="124">
        <f t="shared" si="14"/>
        <v>23223</v>
      </c>
      <c r="N46" s="344">
        <v>0</v>
      </c>
      <c r="O46" s="123">
        <f t="shared" si="1"/>
        <v>23223</v>
      </c>
      <c r="P46" s="480">
        <f t="shared" si="38"/>
        <v>2914.8127777777763</v>
      </c>
      <c r="Q46" s="210">
        <f t="shared" si="44"/>
        <v>1.4574063888888882</v>
      </c>
      <c r="R46" s="85">
        <f>IF(A46="APP SLAB",0,S46)</f>
        <v>0</v>
      </c>
      <c r="S46" s="135">
        <f t="shared" si="40"/>
        <v>0</v>
      </c>
      <c r="T46" s="85">
        <f>IF(A46="APP SLAB",0,$S$1*S46*110*0.06*0.75/2000)</f>
        <v>0</v>
      </c>
      <c r="U46" s="85">
        <f t="shared" si="41"/>
        <v>477.83833333333314</v>
      </c>
      <c r="V46" s="111">
        <f t="shared" si="42"/>
        <v>2580.3333333333335</v>
      </c>
      <c r="W46" s="454">
        <f t="shared" si="43"/>
        <v>31.855185185185057</v>
      </c>
    </row>
    <row r="47" spans="1:23" ht="12.75" customHeight="1" x14ac:dyDescent="0.2">
      <c r="B47" s="335">
        <v>81000</v>
      </c>
      <c r="C47" s="336">
        <v>81094.539999999994</v>
      </c>
      <c r="D47" s="337" t="s">
        <v>30</v>
      </c>
      <c r="E47" s="337" t="s">
        <v>101</v>
      </c>
      <c r="F47" s="337" t="s">
        <v>102</v>
      </c>
      <c r="G47" s="103" t="str">
        <f>IF(AND($E47=$Y$2,$F47=$Y$2),$AA$2,IF(OR(AND($E47=$Y$2,$F47=$Y$3),AND($E47=$Y$3,$F47=$Y$2)),$AA$3,IF(OR(AND($E47=$Y$2,$F47=$Y$4),AND($E47=$Y$4,$F47=$Y$2)),$AA$4,IF(OR(AND($E47=$Y$3,$F47=$Y$4),AND($E47=$Y$4,$F47=$Y$3)),$AA$5,IF(AND($E47=$Y$3,$F47=$Y$3),$AA$6,IF(AND($E47=$Y$4,$F47=$Y$4),$AA$7,"-"))))))</f>
        <v>E/S - F/C</v>
      </c>
      <c r="H47" s="26">
        <f>IF(AND($E47=$Y$2,$F47=$Y$2),2*$AA$12,IF(OR(AND($E47=$Y$2, $F47=$Y$3),AND($E47=$Y$3,$F47=$Y$2)),$AA$12+$AA$13,IF(OR(AND($E47=$Y$2,$F47=$Y$4),AND($E47=$Y$4,$F47=$Y$2)),$AA$12,IF(OR(AND($E47=$Y$3,$F47=$Y$4),AND($E47=$Y$4,$F47=$Y$3)),$AA$13,IF(AND($E47=$Y$3,$F47=$Y$3),2*$AA$13,0)))))</f>
        <v>3.5</v>
      </c>
      <c r="I47" s="27">
        <f>IF(AND($E47=$Y$2,$F47=$Y$2),2*$AD$12*$K47/27,IF(OR(AND($E47=$Y$2,$F47=$Y$3),AND($E47=$Y$3,$F47=$Y$2)),($AD$12+$AD$13)*$K47/27,IF(OR(AND($E47=$Y$2,$F47=$Y$4),AND($E47=$Y$4,$F47=$Y$2)),$AD$12*$K47/27,IF(OR(AND($E47=$Y$3,$F47=$Y$4),AND($E47=$Y$4,$F47=$Y$3)),$AD$13*$K47/27,IF(AND($E47=$Y$3,$F47=$Y$3),2*$AD$13*$K47/27,0)))))</f>
        <v>5.2522222222218664</v>
      </c>
      <c r="J47" s="78">
        <f>IF(OR(AND($E47=$Y$2,$F47=$Y$4),AND($E47=$Y$4,$F47=$Y$2)),$AG$14,IF(OR(AND($E47=$Y$3,$F47=$Y$4),AND($E47=$Y$4,$F47=$Y$3)),$AG$14,IF(AND($E47=$Y$4,$F47=$Y$4),2*$AG$14,0)))</f>
        <v>0</v>
      </c>
      <c r="K47" s="479">
        <f t="shared" ref="K47" si="45">C47-B47</f>
        <v>94.539999999993597</v>
      </c>
      <c r="L47" s="342">
        <v>27</v>
      </c>
      <c r="M47" s="124">
        <f t="shared" ref="M47" si="46">IF(L47="-",0,ROUNDUP($K47*L47,0))</f>
        <v>2553</v>
      </c>
      <c r="N47" s="344">
        <v>0</v>
      </c>
      <c r="O47" s="123">
        <f t="shared" ref="O47" si="47">SUM(M47:N47)</f>
        <v>2553</v>
      </c>
      <c r="P47" s="344">
        <v>0</v>
      </c>
      <c r="Q47" s="210">
        <f t="shared" si="44"/>
        <v>0.16021611111110987</v>
      </c>
      <c r="R47" s="480">
        <f>IF(A47="APP SLAB",0,S47)</f>
        <v>320.43222222221971</v>
      </c>
      <c r="S47" s="135">
        <f t="shared" si="40"/>
        <v>320.43222222221971</v>
      </c>
      <c r="T47" s="480">
        <f>IF(A47="APP SLAB",0,$S$1*S47*110*0.06*0.75/2000)</f>
        <v>9.5168369999999243</v>
      </c>
      <c r="U47" s="480">
        <f t="shared" ref="U47" si="48">IF(O47=0,0,(O47*$U$1/12)/27+I47)</f>
        <v>52.529999999999646</v>
      </c>
      <c r="V47" s="111">
        <f t="shared" ref="V47" si="49">IF(OR(A47="APP SLAB",O47=0),0,(O47+J47*K47)/9)</f>
        <v>283.66666666666669</v>
      </c>
      <c r="W47" s="502">
        <f t="shared" si="43"/>
        <v>3.5014814814812443</v>
      </c>
    </row>
    <row r="48" spans="1:23" ht="12.75" customHeight="1" x14ac:dyDescent="0.2">
      <c r="B48" s="335">
        <v>81094.539999999994</v>
      </c>
      <c r="C48" s="336">
        <v>81185.17</v>
      </c>
      <c r="D48" s="337" t="s">
        <v>30</v>
      </c>
      <c r="E48" s="337" t="s">
        <v>101</v>
      </c>
      <c r="F48" s="337" t="s">
        <v>101</v>
      </c>
      <c r="G48" s="103" t="str">
        <f>IF(AND($E48=$Y$2,$F48=$Y$2),$AA$2,IF(OR(AND($E48=$Y$2,$F48=$Y$3),AND($E48=$Y$3,$F48=$Y$2)),$AA$3,IF(OR(AND($E48=$Y$2,$F48=$Y$4),AND($E48=$Y$4,$F48=$Y$2)),$AA$4,IF(OR(AND($E48=$Y$3,$F48=$Y$4),AND($E48=$Y$4,$F48=$Y$3)),$AA$5,IF(AND($E48=$Y$3,$F48=$Y$3),$AA$6,IF(AND($E48=$Y$4,$F48=$Y$4),$AA$7,"-"))))))</f>
        <v>E/S - E/S</v>
      </c>
      <c r="H48" s="26">
        <f>IF(AND($E48=$Y$2,$F48=$Y$2),2*$AA$12,IF(OR(AND($E48=$Y$2, $F48=$Y$3),AND($E48=$Y$3,$F48=$Y$2)),$AA$12+$AA$13,IF(OR(AND($E48=$Y$2,$F48=$Y$4),AND($E48=$Y$4,$F48=$Y$2)),$AA$12,IF(OR(AND($E48=$Y$3,$F48=$Y$4),AND($E48=$Y$4,$F48=$Y$3)),$AA$13,IF(AND($E48=$Y$3,$F48=$Y$3),2*$AA$13,0)))))</f>
        <v>3</v>
      </c>
      <c r="I48" s="27">
        <f>IF(AND($E48=$Y$2,$F48=$Y$2),2*$AD$12*$K48/27,IF(OR(AND($E48=$Y$2,$F48=$Y$3),AND($E48=$Y$3,$F48=$Y$2)),($AD$12+$AD$13)*$K48/27,IF(OR(AND($E48=$Y$2,$F48=$Y$4),AND($E48=$Y$4,$F48=$Y$2)),$AD$12*$K48/27,IF(OR(AND($E48=$Y$3,$F48=$Y$4),AND($E48=$Y$4,$F48=$Y$3)),$AD$13*$K48/27,IF(AND($E48=$Y$3,$F48=$Y$3),2*$AD$13*$K48/27,0)))))</f>
        <v>5.0350000000002586</v>
      </c>
      <c r="J48" s="78">
        <f>IF(OR(AND($E48=$Y$2,$F48=$Y$4),AND($E48=$Y$4,$F48=$Y$2)),$AG$14,IF(OR(AND($E48=$Y$3,$F48=$Y$4),AND($E48=$Y$4,$F48=$Y$3)),$AG$14,IF(AND($E48=$Y$4,$F48=$Y$4),2*$AG$14,0)))</f>
        <v>0</v>
      </c>
      <c r="K48" s="83">
        <f t="shared" si="13"/>
        <v>90.630000000004657</v>
      </c>
      <c r="L48" s="342">
        <v>25</v>
      </c>
      <c r="M48" s="124">
        <f t="shared" si="14"/>
        <v>2266</v>
      </c>
      <c r="N48" s="344">
        <v>0</v>
      </c>
      <c r="O48" s="123">
        <f t="shared" si="1"/>
        <v>2266</v>
      </c>
      <c r="P48" s="344">
        <v>0</v>
      </c>
      <c r="Q48" s="210">
        <f t="shared" si="44"/>
        <v>0.14099388888888967</v>
      </c>
      <c r="R48" s="85">
        <f>IF(A48="APP SLAB",0,S48)</f>
        <v>281.98777777777934</v>
      </c>
      <c r="S48" s="135">
        <f t="shared" si="40"/>
        <v>281.98777777777934</v>
      </c>
      <c r="T48" s="85">
        <f>IF(A48="APP SLAB",0,$S$1*S48*110*0.06*0.75/2000)</f>
        <v>8.3750370000000469</v>
      </c>
      <c r="U48" s="85">
        <f t="shared" si="41"/>
        <v>46.997962962963221</v>
      </c>
      <c r="V48" s="111">
        <f t="shared" si="42"/>
        <v>251.77777777777777</v>
      </c>
      <c r="W48" s="454">
        <f t="shared" si="43"/>
        <v>3.3566666666668392</v>
      </c>
    </row>
    <row r="49" spans="1:23" ht="12.75" customHeight="1" thickBot="1" x14ac:dyDescent="0.25">
      <c r="B49" s="107"/>
      <c r="C49" s="8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</row>
    <row r="50" spans="1:23" ht="12.75" customHeight="1" x14ac:dyDescent="0.2">
      <c r="B50" s="661" t="s">
        <v>59</v>
      </c>
      <c r="C50" s="662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</row>
    <row r="51" spans="1:23" ht="12.75" customHeight="1" x14ac:dyDescent="0.2">
      <c r="B51" s="335">
        <v>78838.81</v>
      </c>
      <c r="C51" s="336">
        <v>78878.34</v>
      </c>
      <c r="D51" s="337" t="s">
        <v>30</v>
      </c>
      <c r="E51" s="337" t="s">
        <v>102</v>
      </c>
      <c r="F51" s="337" t="s">
        <v>108</v>
      </c>
      <c r="G51" s="103" t="str">
        <f t="shared" ref="G51:G56" si="50">IF(AND($E51=$Y$2,$F51=$Y$2),$AA$2,IF(OR(AND($E51=$Y$2,$F51=$Y$3),AND($E51=$Y$3,$F51=$Y$2)),$AA$3,IF(OR(AND($E51=$Y$2,$F51=$Y$4),AND($E51=$Y$4,$F51=$Y$2)),$AA$4,IF(OR(AND($E51=$Y$3,$F51=$Y$4),AND($E51=$Y$4,$F51=$Y$3)),$AA$5,IF(AND($E51=$Y$3,$F51=$Y$3),$AA$6,IF(AND($E51=$Y$4,$F51=$Y$4),$AA$7,"-"))))))</f>
        <v>-</v>
      </c>
      <c r="H51" s="339">
        <v>1.5</v>
      </c>
      <c r="I51" s="338">
        <v>0.73</v>
      </c>
      <c r="J51" s="358">
        <v>0</v>
      </c>
      <c r="K51" s="83">
        <f t="shared" ref="K51:K63" si="51">C51-B51</f>
        <v>39.529999999998836</v>
      </c>
      <c r="L51" s="342" t="s">
        <v>97</v>
      </c>
      <c r="M51" s="124">
        <f t="shared" si="14"/>
        <v>0</v>
      </c>
      <c r="N51" s="344">
        <v>937</v>
      </c>
      <c r="O51" s="123">
        <f t="shared" si="1"/>
        <v>937</v>
      </c>
      <c r="P51" s="344">
        <v>0</v>
      </c>
      <c r="Q51" s="210">
        <f t="shared" ref="Q51" si="52">IF(AND(P51=0,S51=0),0,IF(S51=0,P51/2000,S51/2000))</f>
        <v>5.5349722222222127E-2</v>
      </c>
      <c r="R51" s="85">
        <f t="shared" ref="R51:R56" si="53">IF(A51="APP SLAB",0,S51)</f>
        <v>110.69944444444425</v>
      </c>
      <c r="S51" s="135">
        <f t="shared" ref="S51:S56" si="54">IF(OR(A51="APP SLAB",P51&lt;&gt;0),0,(O51+H51*K51)/9)</f>
        <v>110.69944444444425</v>
      </c>
      <c r="T51" s="85">
        <f t="shared" ref="T51:T56" si="55">IF(A51="APP SLAB",0,$S$1*S51*110*0.06*0.75/2000)</f>
        <v>3.2877734999999948</v>
      </c>
      <c r="U51" s="85">
        <f t="shared" ref="U51:U56" si="56">IF(O51=0,0,(O51*$U$1/12)/27+I51)</f>
        <v>18.081851851851852</v>
      </c>
      <c r="V51" s="111">
        <f t="shared" ref="V51:V56" si="57">IF(OR(A51="APP SLAB",O51=0),0,(O51+J51*K51)/9)</f>
        <v>104.11111111111111</v>
      </c>
      <c r="W51" s="454">
        <f t="shared" ref="W51:W56" si="58">IF(AND($E51=$F51="Uncurbed"),(2*$K51*2*$W$1/12)/27,IF(OR($E51="Uncurbed",$F51="Uncurbed"),($K51*2*$W$1/12)/27,IF(OR(AND($E51="Med. Barr.",$F51="Curbed"),AND($E51="Curbed",$F51="Med. Barr."),$E51=$F51,$E51="Unique",$F51="Unique",$E51="-",$F51="-"),0,"?")))</f>
        <v>0</v>
      </c>
    </row>
    <row r="52" spans="1:23" ht="12.75" customHeight="1" x14ac:dyDescent="0.2">
      <c r="B52" s="335">
        <v>78878.34</v>
      </c>
      <c r="C52" s="336">
        <v>78996.570000000007</v>
      </c>
      <c r="D52" s="337" t="s">
        <v>30</v>
      </c>
      <c r="E52" s="337" t="s">
        <v>102</v>
      </c>
      <c r="F52" s="337" t="s">
        <v>102</v>
      </c>
      <c r="G52" s="103" t="str">
        <f t="shared" si="50"/>
        <v>F/C - F/C</v>
      </c>
      <c r="H52" s="26">
        <f>IF(AND($E52=$Y$2,$F52=$Y$2),2*$AA$12,IF(OR(AND($E52=$Y$2, $F52=$Y$3),AND($E52=$Y$3,$F52=$Y$2)),$AA$12+$AA$13,IF(OR(AND($E52=$Y$2,$F52=$Y$4),AND($E52=$Y$4,$F52=$Y$2)),$AA$12,IF(OR(AND($E52=$Y$3,$F52=$Y$4),AND($E52=$Y$4,$F52=$Y$3)),$AA$13,IF(AND($E52=$Y$3,$F52=$Y$3),2*$AA$13,0)))))</f>
        <v>4</v>
      </c>
      <c r="I52" s="27">
        <f>IF(AND($E52=$Y$2,$F52=$Y$2),2*$AD$12*$K52/27,IF(OR(AND($E52=$Y$2,$F52=$Y$3),AND($E52=$Y$3,$F52=$Y$2)),($AD$12+$AD$13)*$K52/27,IF(OR(AND($E52=$Y$2,$F52=$Y$4),AND($E52=$Y$4,$F52=$Y$2)),$AD$12*$K52/27,IF(OR(AND($E52=$Y$3,$F52=$Y$4),AND($E52=$Y$4,$F52=$Y$3)),$AD$13*$K52/27,IF(AND($E52=$Y$3,$F52=$Y$3),2*$AD$13*$K52/27,0)))))</f>
        <v>6.5683333333339151</v>
      </c>
      <c r="J52" s="78">
        <f>IF(OR(AND($E52=$Y$2,$F52=$Y$4),AND($E52=$Y$4,$F52=$Y$2)),$AG$14,IF(OR(AND($E52=$Y$3,$F52=$Y$4),AND($E52=$Y$4,$F52=$Y$3)),$AG$14,IF(AND($E52=$Y$4,$F52=$Y$4),2*$AG$14,0)))</f>
        <v>0</v>
      </c>
      <c r="K52" s="83">
        <f t="shared" si="51"/>
        <v>118.23000000001048</v>
      </c>
      <c r="L52" s="342">
        <v>25</v>
      </c>
      <c r="M52" s="124">
        <f t="shared" si="14"/>
        <v>2956</v>
      </c>
      <c r="N52" s="344">
        <v>0</v>
      </c>
      <c r="O52" s="123">
        <f t="shared" si="1"/>
        <v>2956</v>
      </c>
      <c r="P52" s="344">
        <v>0</v>
      </c>
      <c r="Q52" s="210">
        <f t="shared" ref="Q52:Q56" si="59">IF(AND(P52=0,S52=0),0,IF(S52=0,P52/2000,S52/2000))</f>
        <v>0.19049555555555786</v>
      </c>
      <c r="R52" s="85">
        <f t="shared" si="53"/>
        <v>380.99111111111574</v>
      </c>
      <c r="S52" s="135">
        <f t="shared" si="54"/>
        <v>380.99111111111574</v>
      </c>
      <c r="T52" s="85">
        <f t="shared" si="55"/>
        <v>11.315436000000139</v>
      </c>
      <c r="U52" s="85">
        <f t="shared" si="56"/>
        <v>61.309074074074658</v>
      </c>
      <c r="V52" s="111">
        <f t="shared" si="57"/>
        <v>328.44444444444446</v>
      </c>
      <c r="W52" s="454">
        <f t="shared" si="58"/>
        <v>0</v>
      </c>
    </row>
    <row r="53" spans="1:23" ht="12.75" customHeight="1" x14ac:dyDescent="0.2">
      <c r="B53" s="335">
        <v>78996.570000000007</v>
      </c>
      <c r="C53" s="336">
        <v>79432.759999999995</v>
      </c>
      <c r="D53" s="337" t="s">
        <v>30</v>
      </c>
      <c r="E53" s="337" t="s">
        <v>101</v>
      </c>
      <c r="F53" s="337" t="s">
        <v>101</v>
      </c>
      <c r="G53" s="103" t="str">
        <f t="shared" si="50"/>
        <v>E/S - E/S</v>
      </c>
      <c r="H53" s="26">
        <f>IF(AND($E53=$Y$2,$F53=$Y$2),2*$AA$12,IF(OR(AND($E53=$Y$2, $F53=$Y$3),AND($E53=$Y$3,$F53=$Y$2)),$AA$12+$AA$13,IF(OR(AND($E53=$Y$2,$F53=$Y$4),AND($E53=$Y$4,$F53=$Y$2)),$AA$12,IF(OR(AND($E53=$Y$3,$F53=$Y$4),AND($E53=$Y$4,$F53=$Y$3)),$AA$13,IF(AND($E53=$Y$3,$F53=$Y$3),2*$AA$13,0)))))</f>
        <v>3</v>
      </c>
      <c r="I53" s="27">
        <f>IF(AND($E53=$Y$2,$F53=$Y$2),2*$AD$12*$K53/27,IF(OR(AND($E53=$Y$2,$F53=$Y$3),AND($E53=$Y$3,$F53=$Y$2)),($AD$12+$AD$13)*$K53/27,IF(OR(AND($E53=$Y$2,$F53=$Y$4),AND($E53=$Y$4,$F53=$Y$2)),$AD$12*$K53/27,IF(OR(AND($E53=$Y$3,$F53=$Y$4),AND($E53=$Y$4,$F53=$Y$3)),$AD$13*$K53/27,IF(AND($E53=$Y$3,$F53=$Y$3),2*$AD$13*$K53/27,0)))))</f>
        <v>24.232777777777098</v>
      </c>
      <c r="J53" s="78">
        <f>IF(OR(AND($E53=$Y$2,$F53=$Y$4),AND($E53=$Y$4,$F53=$Y$2)),$AG$14,IF(OR(AND($E53=$Y$3,$F53=$Y$4),AND($E53=$Y$4,$F53=$Y$3)),$AG$14,IF(AND($E53=$Y$4,$F53=$Y$4),2*$AG$14,0)))</f>
        <v>0</v>
      </c>
      <c r="K53" s="83">
        <f t="shared" si="51"/>
        <v>436.18999999998778</v>
      </c>
      <c r="L53" s="342">
        <v>25</v>
      </c>
      <c r="M53" s="124">
        <f t="shared" si="14"/>
        <v>10905</v>
      </c>
      <c r="N53" s="344">
        <v>0</v>
      </c>
      <c r="O53" s="123">
        <f t="shared" si="1"/>
        <v>10905</v>
      </c>
      <c r="P53" s="344">
        <v>0</v>
      </c>
      <c r="Q53" s="210">
        <f t="shared" si="59"/>
        <v>0.67853166666666465</v>
      </c>
      <c r="R53" s="85">
        <f t="shared" si="53"/>
        <v>1357.0633333333292</v>
      </c>
      <c r="S53" s="135">
        <f t="shared" si="54"/>
        <v>1357.0633333333292</v>
      </c>
      <c r="T53" s="85">
        <f t="shared" si="55"/>
        <v>40.304780999999871</v>
      </c>
      <c r="U53" s="85">
        <f t="shared" si="56"/>
        <v>226.17722222222156</v>
      </c>
      <c r="V53" s="111">
        <f t="shared" si="57"/>
        <v>1211.6666666666667</v>
      </c>
      <c r="W53" s="454">
        <f t="shared" si="58"/>
        <v>16.155185185184731</v>
      </c>
    </row>
    <row r="54" spans="1:23" ht="12.75" customHeight="1" x14ac:dyDescent="0.2">
      <c r="B54" s="335">
        <v>79432.759999999995</v>
      </c>
      <c r="C54" s="336">
        <v>79804.87</v>
      </c>
      <c r="D54" s="337" t="s">
        <v>30</v>
      </c>
      <c r="E54" s="337" t="s">
        <v>101</v>
      </c>
      <c r="F54" s="337" t="s">
        <v>101</v>
      </c>
      <c r="G54" s="103" t="str">
        <f t="shared" si="50"/>
        <v>E/S - E/S</v>
      </c>
      <c r="H54" s="26">
        <f>IF(AND($E54=$Y$2,$F54=$Y$2),2*$AA$12,IF(OR(AND($E54=$Y$2, $F54=$Y$3),AND($E54=$Y$3,$F54=$Y$2)),$AA$12+$AA$13,IF(OR(AND($E54=$Y$2,$F54=$Y$4),AND($E54=$Y$4,$F54=$Y$2)),$AA$12,IF(OR(AND($E54=$Y$3,$F54=$Y$4),AND($E54=$Y$4,$F54=$Y$3)),$AA$13,IF(AND($E54=$Y$3,$F54=$Y$3),2*$AA$13,0)))))</f>
        <v>3</v>
      </c>
      <c r="I54" s="338">
        <v>10.34</v>
      </c>
      <c r="J54" s="358">
        <v>0</v>
      </c>
      <c r="K54" s="83">
        <f t="shared" si="51"/>
        <v>372.11000000000058</v>
      </c>
      <c r="L54" s="342">
        <v>19</v>
      </c>
      <c r="M54" s="124">
        <f t="shared" si="14"/>
        <v>7071</v>
      </c>
      <c r="N54" s="344">
        <v>6735</v>
      </c>
      <c r="O54" s="123">
        <f t="shared" si="1"/>
        <v>13806</v>
      </c>
      <c r="P54" s="344">
        <v>0</v>
      </c>
      <c r="Q54" s="210">
        <f t="shared" si="59"/>
        <v>0.82901833333333341</v>
      </c>
      <c r="R54" s="85">
        <f t="shared" si="53"/>
        <v>1658.0366666666669</v>
      </c>
      <c r="S54" s="135">
        <f t="shared" si="54"/>
        <v>1658.0366666666669</v>
      </c>
      <c r="T54" s="85">
        <f t="shared" si="55"/>
        <v>49.243689000000003</v>
      </c>
      <c r="U54" s="85">
        <f t="shared" si="56"/>
        <v>266.00666666666666</v>
      </c>
      <c r="V54" s="111">
        <f t="shared" si="57"/>
        <v>1534</v>
      </c>
      <c r="W54" s="454">
        <f t="shared" si="58"/>
        <v>13.781851851851874</v>
      </c>
    </row>
    <row r="55" spans="1:23" ht="12.75" customHeight="1" x14ac:dyDescent="0.2">
      <c r="B55" s="335">
        <v>79804.87</v>
      </c>
      <c r="C55" s="336">
        <v>80219.05</v>
      </c>
      <c r="D55" s="337" t="s">
        <v>30</v>
      </c>
      <c r="E55" s="337" t="s">
        <v>101</v>
      </c>
      <c r="F55" s="337" t="s">
        <v>101</v>
      </c>
      <c r="G55" s="103" t="str">
        <f t="shared" si="50"/>
        <v>E/S - E/S</v>
      </c>
      <c r="H55" s="26">
        <f>IF(AND($E55=$Y$2,$F55=$Y$2),2*$AA$12,IF(OR(AND($E55=$Y$2, $F55=$Y$3),AND($E55=$Y$3,$F55=$Y$2)),$AA$12+$AA$13,IF(OR(AND($E55=$Y$2,$F55=$Y$4),AND($E55=$Y$4,$F55=$Y$2)),$AA$12,IF(OR(AND($E55=$Y$3,$F55=$Y$4),AND($E55=$Y$4,$F55=$Y$3)),$AA$13,IF(AND($E55=$Y$3,$F55=$Y$3),2*$AA$13,0)))))</f>
        <v>3</v>
      </c>
      <c r="I55" s="27">
        <f>IF(AND($E55=$Y$2,$F55=$Y$2),2*$AD$12*$K55/27,IF(OR(AND($E55=$Y$2,$F55=$Y$3),AND($E55=$Y$3,$F55=$Y$2)),($AD$12+$AD$13)*$K55/27,IF(OR(AND($E55=$Y$2,$F55=$Y$4),AND($E55=$Y$4,$F55=$Y$2)),$AD$12*$K55/27,IF(OR(AND($E55=$Y$3,$F55=$Y$4),AND($E55=$Y$4,$F55=$Y$3)),$AD$13*$K55/27,IF(AND($E55=$Y$3,$F55=$Y$3),2*$AD$13*$K55/27,0)))))</f>
        <v>23.010000000000421</v>
      </c>
      <c r="J55" s="78">
        <f>IF(OR(AND($E55=$Y$2,$F55=$Y$4),AND($E55=$Y$4,$F55=$Y$2)),$AG$14,IF(OR(AND($E55=$Y$3,$F55=$Y$4),AND($E55=$Y$4,$F55=$Y$3)),$AG$14,IF(AND($E55=$Y$4,$F55=$Y$4),2*$AG$14,0)))</f>
        <v>0</v>
      </c>
      <c r="K55" s="83">
        <f t="shared" si="51"/>
        <v>414.18000000000757</v>
      </c>
      <c r="L55" s="342">
        <v>25</v>
      </c>
      <c r="M55" s="124">
        <f t="shared" si="14"/>
        <v>10355</v>
      </c>
      <c r="N55" s="344">
        <v>0</v>
      </c>
      <c r="O55" s="123">
        <f t="shared" si="1"/>
        <v>10355</v>
      </c>
      <c r="P55" s="480">
        <f t="shared" ref="P55:P56" si="60">IF(OR($A55="APP SLAB",O55=0),0,($O55+$H55*$K55)/9)</f>
        <v>1288.6155555555581</v>
      </c>
      <c r="Q55" s="210">
        <f t="shared" si="59"/>
        <v>0.64430777777777903</v>
      </c>
      <c r="R55" s="85">
        <f t="shared" si="53"/>
        <v>0</v>
      </c>
      <c r="S55" s="135">
        <f t="shared" si="54"/>
        <v>0</v>
      </c>
      <c r="T55" s="85">
        <f t="shared" si="55"/>
        <v>0</v>
      </c>
      <c r="U55" s="85">
        <f t="shared" si="56"/>
        <v>214.76925925925968</v>
      </c>
      <c r="V55" s="111">
        <f t="shared" si="57"/>
        <v>1150.5555555555557</v>
      </c>
      <c r="W55" s="454">
        <f t="shared" si="58"/>
        <v>15.340000000000281</v>
      </c>
    </row>
    <row r="56" spans="1:23" ht="12.75" customHeight="1" x14ac:dyDescent="0.2">
      <c r="B56" s="335">
        <v>80219.05</v>
      </c>
      <c r="C56" s="336">
        <v>80257.89</v>
      </c>
      <c r="D56" s="337" t="s">
        <v>30</v>
      </c>
      <c r="E56" s="337" t="s">
        <v>101</v>
      </c>
      <c r="F56" s="337" t="s">
        <v>102</v>
      </c>
      <c r="G56" s="103" t="str">
        <f t="shared" si="50"/>
        <v>E/S - F/C</v>
      </c>
      <c r="H56" s="26">
        <f>IF(AND($E56=$Y$2,$F56=$Y$2),2*$AA$12,IF(OR(AND($E56=$Y$2, $F56=$Y$3),AND($E56=$Y$3,$F56=$Y$2)),$AA$12+$AA$13,IF(OR(AND($E56=$Y$2,$F56=$Y$4),AND($E56=$Y$4,$F56=$Y$2)),$AA$12,IF(OR(AND($E56=$Y$3,$F56=$Y$4),AND($E56=$Y$4,$F56=$Y$3)),$AA$13,IF(AND($E56=$Y$3,$F56=$Y$3),2*$AA$13,0)))))</f>
        <v>3.5</v>
      </c>
      <c r="I56" s="27">
        <f>IF(AND($E56=$Y$2,$F56=$Y$2),2*$AD$12*$K56/27,IF(OR(AND($E56=$Y$2,$F56=$Y$3),AND($E56=$Y$3,$F56=$Y$2)),($AD$12+$AD$13)*$K56/27,IF(OR(AND($E56=$Y$2,$F56=$Y$4),AND($E56=$Y$4,$F56=$Y$2)),$AD$12*$K56/27,IF(OR(AND($E56=$Y$3,$F56=$Y$4),AND($E56=$Y$4,$F56=$Y$3)),$AD$13*$K56/27,IF(AND($E56=$Y$3,$F56=$Y$3),2*$AD$13*$K56/27,0)))))</f>
        <v>2.1577777777775839</v>
      </c>
      <c r="J56" s="78">
        <f>IF(OR(AND($E56=$Y$2,$F56=$Y$4),AND($E56=$Y$4,$F56=$Y$2)),$AG$14,IF(OR(AND($E56=$Y$3,$F56=$Y$4),AND($E56=$Y$4,$F56=$Y$3)),$AG$14,IF(AND($E56=$Y$4,$F56=$Y$4),2*$AG$14,0)))</f>
        <v>0</v>
      </c>
      <c r="K56" s="83">
        <f t="shared" si="51"/>
        <v>38.839999999996508</v>
      </c>
      <c r="L56" s="342">
        <v>27</v>
      </c>
      <c r="M56" s="124">
        <f t="shared" si="14"/>
        <v>1049</v>
      </c>
      <c r="N56" s="344">
        <v>0</v>
      </c>
      <c r="O56" s="123">
        <f t="shared" si="1"/>
        <v>1049</v>
      </c>
      <c r="P56" s="480">
        <f t="shared" si="60"/>
        <v>131.65999999999863</v>
      </c>
      <c r="Q56" s="210">
        <f t="shared" si="59"/>
        <v>6.582999999999932E-2</v>
      </c>
      <c r="R56" s="85">
        <f t="shared" si="53"/>
        <v>0</v>
      </c>
      <c r="S56" s="135">
        <f t="shared" si="54"/>
        <v>0</v>
      </c>
      <c r="T56" s="85">
        <f t="shared" si="55"/>
        <v>0</v>
      </c>
      <c r="U56" s="85">
        <f t="shared" si="56"/>
        <v>21.583703703703513</v>
      </c>
      <c r="V56" s="111">
        <f t="shared" si="57"/>
        <v>116.55555555555556</v>
      </c>
      <c r="W56" s="454">
        <f t="shared" si="58"/>
        <v>1.4385185185183891</v>
      </c>
    </row>
    <row r="57" spans="1:23" ht="12.75" customHeight="1" thickBot="1" x14ac:dyDescent="0.25">
      <c r="A57" s="106"/>
      <c r="B57" s="107"/>
      <c r="C57" s="8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</row>
    <row r="58" spans="1:23" ht="12.75" customHeight="1" x14ac:dyDescent="0.2">
      <c r="A58" s="106"/>
      <c r="B58" s="661" t="s">
        <v>60</v>
      </c>
      <c r="C58" s="662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</row>
    <row r="59" spans="1:23" ht="12.75" customHeight="1" x14ac:dyDescent="0.2">
      <c r="B59" s="335">
        <v>6700.18</v>
      </c>
      <c r="C59" s="336">
        <v>6743.31</v>
      </c>
      <c r="D59" s="337" t="s">
        <v>30</v>
      </c>
      <c r="E59" s="337" t="s">
        <v>102</v>
      </c>
      <c r="F59" s="337" t="s">
        <v>102</v>
      </c>
      <c r="G59" s="341" t="s">
        <v>115</v>
      </c>
      <c r="H59" s="339">
        <v>0</v>
      </c>
      <c r="I59" s="338">
        <v>9.09</v>
      </c>
      <c r="J59" s="358">
        <v>0</v>
      </c>
      <c r="K59" s="343">
        <v>60</v>
      </c>
      <c r="L59" s="342" t="s">
        <v>97</v>
      </c>
      <c r="M59" s="124">
        <f t="shared" si="14"/>
        <v>0</v>
      </c>
      <c r="N59" s="344">
        <v>1080</v>
      </c>
      <c r="O59" s="123">
        <f t="shared" si="1"/>
        <v>1080</v>
      </c>
      <c r="P59" s="480">
        <f t="shared" ref="P59:P60" si="61">IF(OR($A59="APP SLAB",O59=0),0,($O59+$H59*$K59)/9)</f>
        <v>120</v>
      </c>
      <c r="Q59" s="210">
        <f t="shared" ref="Q59:Q60" si="62">IF(AND(P59=0,S59=0),0,IF(S59=0,P59/2000,S59/2000))</f>
        <v>0.06</v>
      </c>
      <c r="R59" s="480">
        <f t="shared" ref="R59:R60" si="63">IF(A59="APP SLAB",0,S59)</f>
        <v>0</v>
      </c>
      <c r="S59" s="135">
        <f t="shared" ref="S59:S60" si="64">IF(OR(A59="APP SLAB",P59&lt;&gt;0),0,(O59+H59*K59)/9)</f>
        <v>0</v>
      </c>
      <c r="T59" s="480">
        <f t="shared" ref="T59:T60" si="65">IF(A59="APP SLAB",0,$S$1*S59*110*0.06*0.75/2000)</f>
        <v>0</v>
      </c>
      <c r="U59" s="85">
        <f t="shared" ref="U59:U60" si="66">IF(O59=0,0,(O59*$U$1/12)/27+I59)</f>
        <v>29.09</v>
      </c>
      <c r="V59" s="111">
        <f t="shared" ref="V59:V60" si="67">IF(OR(A59="APP SLAB",O59=0),0,(O59+J59*K59)/9)</f>
        <v>120</v>
      </c>
      <c r="W59" s="454">
        <f t="shared" ref="W59:W60" si="68">IF(AND($E59=$F59="Uncurbed"),(2*$K59*2*$W$1/12)/27,IF(OR($E59="Uncurbed",$F59="Uncurbed"),($K59*2*$W$1/12)/27,IF(OR(AND($E59="Med. Barr.",$F59="Curbed"),AND($E59="Curbed",$F59="Med. Barr."),$E59=$F59,$E59="Unique",$F59="Unique",$E59="-",$F59="-"),0,"?")))</f>
        <v>0</v>
      </c>
    </row>
    <row r="60" spans="1:23" ht="12.75" customHeight="1" x14ac:dyDescent="0.2">
      <c r="B60" s="335">
        <v>6743.31</v>
      </c>
      <c r="C60" s="336">
        <v>7020.55</v>
      </c>
      <c r="D60" s="337" t="s">
        <v>30</v>
      </c>
      <c r="E60" s="337" t="s">
        <v>102</v>
      </c>
      <c r="F60" s="337" t="s">
        <v>102</v>
      </c>
      <c r="G60" s="341" t="s">
        <v>115</v>
      </c>
      <c r="H60" s="339">
        <v>0</v>
      </c>
      <c r="I60" s="338">
        <v>42</v>
      </c>
      <c r="J60" s="358">
        <v>0</v>
      </c>
      <c r="K60" s="83">
        <f t="shared" si="51"/>
        <v>277.23999999999978</v>
      </c>
      <c r="L60" s="342">
        <v>14</v>
      </c>
      <c r="M60" s="124">
        <f t="shared" si="14"/>
        <v>3882</v>
      </c>
      <c r="N60" s="344">
        <v>0</v>
      </c>
      <c r="O60" s="123">
        <f t="shared" si="1"/>
        <v>3882</v>
      </c>
      <c r="P60" s="480">
        <f t="shared" si="61"/>
        <v>431.33333333333331</v>
      </c>
      <c r="Q60" s="210">
        <f t="shared" si="62"/>
        <v>0.21566666666666665</v>
      </c>
      <c r="R60" s="480">
        <f t="shared" si="63"/>
        <v>0</v>
      </c>
      <c r="S60" s="135">
        <f t="shared" si="64"/>
        <v>0</v>
      </c>
      <c r="T60" s="480">
        <f t="shared" si="65"/>
        <v>0</v>
      </c>
      <c r="U60" s="85">
        <f t="shared" si="66"/>
        <v>113.88888888888889</v>
      </c>
      <c r="V60" s="111">
        <f t="shared" si="67"/>
        <v>431.33333333333331</v>
      </c>
      <c r="W60" s="454">
        <f t="shared" si="68"/>
        <v>0</v>
      </c>
    </row>
    <row r="61" spans="1:23" ht="12.75" customHeight="1" thickBot="1" x14ac:dyDescent="0.25">
      <c r="B61" s="107"/>
      <c r="C61" s="8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</row>
    <row r="62" spans="1:23" ht="12.75" customHeight="1" x14ac:dyDescent="0.2">
      <c r="B62" s="661" t="s">
        <v>61</v>
      </c>
      <c r="C62" s="662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</row>
    <row r="63" spans="1:23" ht="12.75" customHeight="1" x14ac:dyDescent="0.2">
      <c r="A63" s="106"/>
      <c r="B63" s="335">
        <v>79800.570000000007</v>
      </c>
      <c r="C63" s="336">
        <v>81039.33</v>
      </c>
      <c r="D63" s="337" t="s">
        <v>30</v>
      </c>
      <c r="E63" s="337" t="s">
        <v>101</v>
      </c>
      <c r="F63" s="337" t="s">
        <v>101</v>
      </c>
      <c r="G63" s="103" t="str">
        <f>IF(AND($E63=$Y$2,$F63=$Y$2),$AA$2,IF(OR(AND($E63=$Y$2,$F63=$Y$3),AND($E63=$Y$3,$F63=$Y$2)),$AA$3,IF(OR(AND($E63=$Y$2,$F63=$Y$4),AND($E63=$Y$4,$F63=$Y$2)),$AA$4,IF(OR(AND($E63=$Y$3,$F63=$Y$4),AND($E63=$Y$4,$F63=$Y$3)),$AA$5,IF(AND($E63=$Y$3,$F63=$Y$3),$AA$6,IF(AND($E63=$Y$4,$F63=$Y$4),$AA$7,"-"))))))</f>
        <v>E/S - E/S</v>
      </c>
      <c r="H63" s="26">
        <f>IF(AND($E63=$Y$2,$F63=$Y$2),2*$AA$12,IF(OR(AND($E63=$Y$2, $F63=$Y$3),AND($E63=$Y$3,$F63=$Y$2)),$AA$12+$AA$13,IF(OR(AND($E63=$Y$2,$F63=$Y$4),AND($E63=$Y$4,$F63=$Y$2)),$AA$12,IF(OR(AND($E63=$Y$3,$F63=$Y$4),AND($E63=$Y$4,$F63=$Y$3)),$AA$13,IF(AND($E63=$Y$3,$F63=$Y$3),2*$AA$13,0)))))</f>
        <v>3</v>
      </c>
      <c r="I63" s="27">
        <f>IF(AND($E63=$Y$2,$F63=$Y$2),2*$AD$12*$K63/27,IF(OR(AND($E63=$Y$2,$F63=$Y$3),AND($E63=$Y$3,$F63=$Y$2)),($AD$12+$AD$13)*$K63/27,IF(OR(AND($E63=$Y$2,$F63=$Y$4),AND($E63=$Y$4,$F63=$Y$2)),$AD$12*$K63/27,IF(OR(AND($E63=$Y$3,$F63=$Y$4),AND($E63=$Y$4,$F63=$Y$3)),$AD$13*$K63/27,IF(AND($E63=$Y$3,$F63=$Y$3),2*$AD$13*$K63/27,0)))))</f>
        <v>68.819999999999709</v>
      </c>
      <c r="J63" s="78">
        <f>IF(OR(AND($E63=$Y$2,$F63=$Y$4),AND($E63=$Y$4,$F63=$Y$2)),$AG$14,IF(OR(AND($E63=$Y$3,$F63=$Y$4),AND($E63=$Y$4,$F63=$Y$3)),$AG$14,IF(AND($E63=$Y$4,$F63=$Y$4),2*$AG$14,0)))</f>
        <v>0</v>
      </c>
      <c r="K63" s="83">
        <f t="shared" si="51"/>
        <v>1238.7599999999948</v>
      </c>
      <c r="L63" s="342">
        <v>25</v>
      </c>
      <c r="M63" s="124">
        <f t="shared" si="14"/>
        <v>30969</v>
      </c>
      <c r="N63" s="344">
        <v>0</v>
      </c>
      <c r="O63" s="123">
        <f t="shared" si="1"/>
        <v>30969</v>
      </c>
      <c r="P63" s="344">
        <v>0</v>
      </c>
      <c r="Q63" s="210">
        <f t="shared" ref="Q63" si="69">IF(AND(P63=0,S63=0),0,IF(S63=0,P63/2000,S63/2000))</f>
        <v>1.9269599999999991</v>
      </c>
      <c r="R63" s="85">
        <f>IF(A63="APP SLAB",0,S63)</f>
        <v>3853.9199999999983</v>
      </c>
      <c r="S63" s="135">
        <f t="shared" ref="S63" si="70">IF(OR(A63="APP SLAB",P63&lt;&gt;0),0,(O63+H63*K63)/9)</f>
        <v>3853.9199999999983</v>
      </c>
      <c r="T63" s="85">
        <f>IF(A63="APP SLAB",0,$S$1*S63*110*0.06*0.75/2000)</f>
        <v>114.46142399999994</v>
      </c>
      <c r="U63" s="85">
        <f t="shared" ref="U63" si="71">IF(O63=0,0,(O63*$U$1/12)/27+I63)</f>
        <v>642.31999999999971</v>
      </c>
      <c r="V63" s="111">
        <f t="shared" ref="V63" si="72">IF(OR(A63="APP SLAB",O63=0),0,(O63+J63*K63)/9)</f>
        <v>3441</v>
      </c>
      <c r="W63" s="454">
        <f t="shared" ref="W63" si="73">IF(AND($E63=$F63="Uncurbed"),(2*$K63*2*$W$1/12)/27,IF(OR($E63="Uncurbed",$F63="Uncurbed"),($K63*2*$W$1/12)/27,IF(OR(AND($E63="Med. Barr.",$F63="Curbed"),AND($E63="Curbed",$F63="Med. Barr."),$E63=$F63,$E63="Unique",$F63="Unique",$E63="-",$F63="-"),0,"?")))</f>
        <v>45.879999999999804</v>
      </c>
    </row>
    <row r="64" spans="1:23" ht="12.75" customHeight="1" thickBot="1" x14ac:dyDescent="0.25">
      <c r="B64" s="107"/>
      <c r="C64" s="8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</row>
    <row r="65" spans="1:23" ht="12.75" customHeight="1" x14ac:dyDescent="0.2">
      <c r="A65" s="94"/>
      <c r="B65" s="725" t="s">
        <v>257</v>
      </c>
      <c r="C65" s="726"/>
      <c r="D65" s="602" t="s">
        <v>237</v>
      </c>
      <c r="E65" s="603"/>
      <c r="F65" s="603"/>
      <c r="G65" s="603"/>
      <c r="H65" s="603"/>
      <c r="I65" s="603"/>
      <c r="J65" s="603"/>
      <c r="K65" s="603"/>
      <c r="L65" s="603"/>
      <c r="M65" s="603"/>
      <c r="N65" s="603"/>
      <c r="O65" s="604"/>
      <c r="P65" s="610">
        <f>ROUNDUP(SUM(P18:P63),0)</f>
        <v>10818</v>
      </c>
      <c r="Q65" s="610">
        <f>ROUNDUP(SUM(Q18:Q63),0)</f>
        <v>13</v>
      </c>
      <c r="R65" s="610">
        <f t="shared" ref="R65:V65" si="74">ROUNDUP(SUM(R18:R63),0)</f>
        <v>14192</v>
      </c>
      <c r="S65" s="610">
        <f t="shared" si="74"/>
        <v>14192</v>
      </c>
      <c r="T65" s="610">
        <f t="shared" si="74"/>
        <v>422</v>
      </c>
      <c r="U65" s="610">
        <f t="shared" si="74"/>
        <v>4181</v>
      </c>
      <c r="V65" s="610">
        <f t="shared" si="74"/>
        <v>22567</v>
      </c>
      <c r="W65" s="610">
        <f t="shared" ref="W65" si="75">ROUNDUP(SUM(W18:W63),0)</f>
        <v>229</v>
      </c>
    </row>
    <row r="66" spans="1:23" ht="12.75" customHeight="1" thickBot="1" x14ac:dyDescent="0.25">
      <c r="A66" s="94"/>
      <c r="B66" s="727"/>
      <c r="C66" s="728"/>
      <c r="D66" s="605"/>
      <c r="E66" s="606"/>
      <c r="F66" s="606"/>
      <c r="G66" s="606"/>
      <c r="H66" s="606"/>
      <c r="I66" s="606"/>
      <c r="J66" s="606"/>
      <c r="K66" s="606"/>
      <c r="L66" s="606"/>
      <c r="M66" s="606"/>
      <c r="N66" s="606"/>
      <c r="O66" s="607"/>
      <c r="P66" s="611"/>
      <c r="Q66" s="611"/>
      <c r="R66" s="611"/>
      <c r="S66" s="611"/>
      <c r="T66" s="611"/>
      <c r="U66" s="611"/>
      <c r="V66" s="611"/>
      <c r="W66" s="611"/>
    </row>
    <row r="67" spans="1:23" ht="12.75" customHeight="1" x14ac:dyDescent="0.2"/>
    <row r="68" spans="1:23" ht="12.75" customHeight="1" x14ac:dyDescent="0.2">
      <c r="A68" s="94"/>
      <c r="C68" s="96"/>
    </row>
    <row r="69" spans="1:23" ht="12.75" customHeight="1" x14ac:dyDescent="0.2">
      <c r="A69" s="94"/>
      <c r="C69" s="96"/>
    </row>
    <row r="70" spans="1:23" ht="12.75" customHeight="1" x14ac:dyDescent="0.25">
      <c r="C70" s="96"/>
      <c r="O70" s="184">
        <f>SUM(O18:O63)</f>
        <v>203245</v>
      </c>
      <c r="P70" s="504"/>
      <c r="Q70" s="179" t="s">
        <v>172</v>
      </c>
    </row>
    <row r="71" spans="1:23" ht="12.75" customHeight="1" x14ac:dyDescent="0.2">
      <c r="C71" s="96"/>
    </row>
    <row r="72" spans="1:23" ht="12.75" customHeight="1" x14ac:dyDescent="0.2">
      <c r="C72" s="96"/>
    </row>
    <row r="73" spans="1:23" ht="12.75" customHeight="1" x14ac:dyDescent="0.2">
      <c r="C73" s="96"/>
    </row>
    <row r="74" spans="1:23" ht="12.75" customHeight="1" x14ac:dyDescent="0.2">
      <c r="C74" s="96"/>
    </row>
    <row r="75" spans="1:23" ht="12.75" customHeight="1" x14ac:dyDescent="0.2">
      <c r="C75" s="96"/>
    </row>
    <row r="76" spans="1:23" ht="12.75" customHeight="1" x14ac:dyDescent="0.2"/>
    <row r="77" spans="1:23" ht="12.75" customHeight="1" x14ac:dyDescent="0.2"/>
    <row r="78" spans="1:23" ht="12.75" customHeight="1" x14ac:dyDescent="0.2"/>
    <row r="79" spans="1:23" ht="12.75" customHeight="1" x14ac:dyDescent="0.2"/>
    <row r="80" spans="1:23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spans="21:44" ht="12.75" customHeight="1" x14ac:dyDescent="0.2">
      <c r="U113" s="94"/>
      <c r="V113" s="94"/>
      <c r="W113" s="94"/>
      <c r="X113" s="94"/>
      <c r="Y113" s="94"/>
      <c r="Z113" s="94"/>
      <c r="AA113" s="94"/>
      <c r="AB113" s="94"/>
      <c r="AC113" s="94"/>
      <c r="AD113" s="94"/>
      <c r="AE113" s="94"/>
      <c r="AF113" s="94"/>
    </row>
    <row r="114" spans="21:44" ht="12.75" customHeight="1" x14ac:dyDescent="0.2">
      <c r="U114" s="94"/>
      <c r="V114" s="94"/>
      <c r="W114" s="94"/>
      <c r="X114" s="94"/>
      <c r="Y114" s="94"/>
      <c r="Z114" s="94"/>
      <c r="AA114" s="94"/>
      <c r="AB114" s="94"/>
      <c r="AC114" s="94"/>
      <c r="AD114" s="94"/>
      <c r="AE114" s="94"/>
      <c r="AF114" s="94"/>
    </row>
    <row r="115" spans="21:44" ht="12.75" customHeight="1" x14ac:dyDescent="0.2"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  <c r="AR115" s="94"/>
    </row>
    <row r="116" spans="21:44" ht="12.75" customHeight="1" x14ac:dyDescent="0.2">
      <c r="AG116" s="94"/>
      <c r="AH116" s="94"/>
      <c r="AI116" s="94"/>
      <c r="AJ116" s="94"/>
      <c r="AK116" s="94"/>
      <c r="AL116" s="94"/>
      <c r="AM116" s="94"/>
      <c r="AN116" s="94"/>
      <c r="AO116" s="94"/>
      <c r="AP116" s="94"/>
      <c r="AQ116" s="94"/>
      <c r="AR116" s="94"/>
    </row>
    <row r="117" spans="21:44" ht="12.75" customHeight="1" x14ac:dyDescent="0.2"/>
    <row r="118" spans="21:44" ht="12.75" customHeight="1" x14ac:dyDescent="0.2"/>
    <row r="119" spans="21:44" ht="12.75" customHeight="1" x14ac:dyDescent="0.2"/>
    <row r="120" spans="21:44" ht="12.75" customHeight="1" x14ac:dyDescent="0.2"/>
    <row r="121" spans="21:44" ht="12.75" customHeight="1" x14ac:dyDescent="0.2"/>
    <row r="122" spans="21:44" ht="12.75" customHeight="1" x14ac:dyDescent="0.2"/>
    <row r="123" spans="21:44" ht="12.75" customHeight="1" x14ac:dyDescent="0.2"/>
    <row r="124" spans="21:44" ht="12.75" customHeight="1" x14ac:dyDescent="0.2"/>
    <row r="125" spans="21:44" ht="12.75" customHeight="1" x14ac:dyDescent="0.2"/>
    <row r="126" spans="21:44" ht="12.75" customHeight="1" x14ac:dyDescent="0.2"/>
    <row r="127" spans="21:44" ht="12.75" customHeight="1" x14ac:dyDescent="0.2"/>
    <row r="128" spans="21:44" ht="12.75" customHeight="1" x14ac:dyDescent="0.2"/>
    <row r="129" spans="1:44" ht="12.75" customHeight="1" x14ac:dyDescent="0.2"/>
    <row r="130" spans="1:44" ht="12.75" customHeight="1" x14ac:dyDescent="0.2"/>
    <row r="131" spans="1:44" ht="12.75" customHeight="1" x14ac:dyDescent="0.2"/>
    <row r="132" spans="1:44" ht="12.75" customHeight="1" x14ac:dyDescent="0.2"/>
    <row r="133" spans="1:44" ht="12.75" customHeight="1" x14ac:dyDescent="0.2"/>
    <row r="134" spans="1:44" ht="12.75" customHeight="1" x14ac:dyDescent="0.2"/>
    <row r="135" spans="1:44" s="94" customFormat="1" ht="12.75" customHeight="1" x14ac:dyDescent="0.2">
      <c r="A135" s="81"/>
      <c r="B135" s="95"/>
      <c r="C135" s="95"/>
      <c r="D135" s="81"/>
      <c r="E135" s="81"/>
      <c r="F135" s="81"/>
      <c r="G135" s="81"/>
      <c r="H135" s="81"/>
      <c r="I135" s="81"/>
      <c r="J135" s="81"/>
      <c r="K135" s="87"/>
      <c r="L135" s="87"/>
      <c r="Q135" s="88"/>
      <c r="R135" s="81"/>
      <c r="S135" s="81"/>
      <c r="U135" s="81"/>
      <c r="V135" s="81"/>
      <c r="W135" s="81"/>
      <c r="X135" s="81"/>
      <c r="Y135" s="81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81"/>
      <c r="AM135" s="81"/>
      <c r="AN135" s="81"/>
      <c r="AO135" s="81"/>
      <c r="AP135" s="81"/>
      <c r="AQ135" s="81"/>
      <c r="AR135" s="81"/>
    </row>
    <row r="136" spans="1:44" s="94" customFormat="1" ht="12.75" customHeight="1" x14ac:dyDescent="0.2">
      <c r="A136" s="81"/>
      <c r="B136" s="95"/>
      <c r="C136" s="95"/>
      <c r="D136" s="81"/>
      <c r="E136" s="81"/>
      <c r="F136" s="81"/>
      <c r="G136" s="81"/>
      <c r="H136" s="81"/>
      <c r="I136" s="81"/>
      <c r="J136" s="81"/>
      <c r="K136" s="87"/>
      <c r="L136" s="87"/>
      <c r="Q136" s="88"/>
      <c r="R136" s="81"/>
      <c r="S136" s="81"/>
      <c r="U136" s="81"/>
      <c r="V136" s="81"/>
      <c r="W136" s="81"/>
      <c r="X136" s="81"/>
      <c r="Y136" s="81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81"/>
      <c r="AM136" s="81"/>
      <c r="AN136" s="81"/>
      <c r="AO136" s="81"/>
      <c r="AP136" s="81"/>
      <c r="AQ136" s="81"/>
      <c r="AR136" s="81"/>
    </row>
  </sheetData>
  <customSheetViews>
    <customSheetView guid="{221143F3-72E3-4C4A-9811-2F859DD19779}" fitToPage="1">
      <pane ySplit="13" topLeftCell="A38" activePane="bottomLeft" state="frozen"/>
      <selection pane="bottomLeft" activeCell="P65" sqref="P65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63">
    <mergeCell ref="P6:P15"/>
    <mergeCell ref="P65:P66"/>
    <mergeCell ref="AA14:AC14"/>
    <mergeCell ref="AD14:AF14"/>
    <mergeCell ref="AG14:AI14"/>
    <mergeCell ref="AA12:AC12"/>
    <mergeCell ref="AD12:AF12"/>
    <mergeCell ref="AG12:AI12"/>
    <mergeCell ref="AA13:AC13"/>
    <mergeCell ref="AD13:AF13"/>
    <mergeCell ref="AG13:AI13"/>
    <mergeCell ref="AA16:AC16"/>
    <mergeCell ref="AD16:AF16"/>
    <mergeCell ref="AG16:AI16"/>
    <mergeCell ref="AA15:AC15"/>
    <mergeCell ref="AD15:AF15"/>
    <mergeCell ref="AG15:AI15"/>
    <mergeCell ref="Y9:AI9"/>
    <mergeCell ref="Y10:Y11"/>
    <mergeCell ref="Z10:Z11"/>
    <mergeCell ref="AA10:AC10"/>
    <mergeCell ref="AD10:AF10"/>
    <mergeCell ref="AG10:AI10"/>
    <mergeCell ref="AA11:AC11"/>
    <mergeCell ref="AD11:AF11"/>
    <mergeCell ref="AG11:AI11"/>
    <mergeCell ref="U65:U66"/>
    <mergeCell ref="V65:V66"/>
    <mergeCell ref="B17:C17"/>
    <mergeCell ref="B25:C25"/>
    <mergeCell ref="B31:C31"/>
    <mergeCell ref="B43:C43"/>
    <mergeCell ref="B58:C58"/>
    <mergeCell ref="B62:C62"/>
    <mergeCell ref="B50:C50"/>
    <mergeCell ref="B65:C66"/>
    <mergeCell ref="D65:O66"/>
    <mergeCell ref="R65:R66"/>
    <mergeCell ref="S65:S66"/>
    <mergeCell ref="T65:T66"/>
    <mergeCell ref="Q65:Q66"/>
    <mergeCell ref="Q6:Q15"/>
    <mergeCell ref="U6:U15"/>
    <mergeCell ref="V6:V15"/>
    <mergeCell ref="R6:R15"/>
    <mergeCell ref="S6:S15"/>
    <mergeCell ref="T6:T15"/>
    <mergeCell ref="W6:W15"/>
    <mergeCell ref="W65:W66"/>
    <mergeCell ref="H5:H15"/>
    <mergeCell ref="B5:C15"/>
    <mergeCell ref="D5:D16"/>
    <mergeCell ref="E5:E16"/>
    <mergeCell ref="F5:F16"/>
    <mergeCell ref="G5:G16"/>
    <mergeCell ref="M5:M15"/>
    <mergeCell ref="N5:N15"/>
    <mergeCell ref="O5:O15"/>
    <mergeCell ref="R5:T5"/>
    <mergeCell ref="I5:I15"/>
    <mergeCell ref="J5:J15"/>
    <mergeCell ref="K5:K15"/>
    <mergeCell ref="L5:L15"/>
  </mergeCells>
  <dataValidations disablePrompts="1" count="1">
    <dataValidation type="list" allowBlank="1" showInputMessage="1" showErrorMessage="1" sqref="E18:F63">
      <formula1>$Y$2:$Y$6</formula1>
    </dataValidation>
  </dataValidations>
  <printOptions horizontalCentered="1" verticalCentered="1"/>
  <pageMargins left="0.73" right="0.75" top="0.66" bottom="0.4" header="0.65" footer="0.25"/>
  <pageSetup paperSize="17" scale="68" orientation="landscape" r:id="rId2"/>
  <headerFooter scaleWithDoc="0" alignWithMargins="0">
    <oddHeader>&amp;LHAN-75-14.39</oddHeader>
    <oddFooter>&amp;R&amp;A</oddFooter>
  </headerFooter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4"/>
  <sheetViews>
    <sheetView view="pageBreakPreview" zoomScaleNormal="100" zoomScaleSheetLayoutView="100" workbookViewId="0">
      <pane ySplit="16" topLeftCell="A44" activePane="bottomLeft" state="frozen"/>
      <selection pane="bottomLeft" activeCell="X16" sqref="X16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2" width="9.28515625" style="87" customWidth="1"/>
    <col min="13" max="13" width="10.7109375" style="94" customWidth="1"/>
    <col min="14" max="14" width="10" style="94" customWidth="1"/>
    <col min="15" max="15" width="12.5703125" style="94" customWidth="1"/>
    <col min="16" max="17" width="9.28515625" style="88" customWidth="1"/>
    <col min="18" max="19" width="10.28515625" style="81" bestFit="1" customWidth="1"/>
    <col min="20" max="20" width="9.140625" style="81"/>
    <col min="21" max="21" width="11.85546875" style="81" bestFit="1" customWidth="1"/>
    <col min="22" max="22" width="9.85546875" style="81" bestFit="1" customWidth="1"/>
    <col min="23" max="24" width="9.140625" style="81"/>
    <col min="25" max="26" width="11.85546875" style="81" bestFit="1" customWidth="1"/>
    <col min="27" max="27" width="9.85546875" style="81" bestFit="1" customWidth="1"/>
    <col min="28" max="28" width="9.140625" style="81" customWidth="1"/>
    <col min="29" max="16384" width="9.140625" style="81"/>
  </cols>
  <sheetData>
    <row r="1" spans="2:36" s="90" customFormat="1" ht="13.5" thickBot="1" x14ac:dyDescent="0.25">
      <c r="B1" s="97"/>
      <c r="C1" s="97"/>
      <c r="K1" s="88"/>
      <c r="L1" s="88"/>
      <c r="M1" s="105"/>
      <c r="N1" s="105"/>
      <c r="O1" s="105"/>
      <c r="P1" s="105"/>
      <c r="Q1" s="88"/>
      <c r="R1" s="88">
        <v>12</v>
      </c>
      <c r="S1" s="88"/>
      <c r="T1" s="88"/>
      <c r="U1" s="125">
        <v>6</v>
      </c>
      <c r="X1" s="90">
        <v>6</v>
      </c>
    </row>
    <row r="2" spans="2:36" s="90" customFormat="1" x14ac:dyDescent="0.2">
      <c r="B2" s="97"/>
      <c r="C2" s="97"/>
      <c r="R2" s="146"/>
      <c r="S2" s="145" t="s">
        <v>35</v>
      </c>
      <c r="T2" s="168" t="s">
        <v>144</v>
      </c>
      <c r="U2" s="168"/>
      <c r="V2" s="168"/>
      <c r="W2" s="170" t="s">
        <v>34</v>
      </c>
      <c r="X2" s="211">
        <v>41920</v>
      </c>
      <c r="Z2" s="224" t="s">
        <v>101</v>
      </c>
      <c r="AA2" s="81"/>
      <c r="AB2" s="224" t="s">
        <v>103</v>
      </c>
      <c r="AC2" s="219" t="s">
        <v>202</v>
      </c>
    </row>
    <row r="3" spans="2:36" s="90" customFormat="1" ht="13.5" thickBot="1" x14ac:dyDescent="0.25">
      <c r="B3" s="97"/>
      <c r="C3" s="97"/>
      <c r="R3" s="45"/>
      <c r="S3" s="46" t="s">
        <v>36</v>
      </c>
      <c r="T3" s="169" t="s">
        <v>266</v>
      </c>
      <c r="U3" s="216"/>
      <c r="V3" s="216"/>
      <c r="W3" s="217" t="s">
        <v>34</v>
      </c>
      <c r="X3" s="459">
        <v>41926</v>
      </c>
      <c r="Z3" s="225" t="s">
        <v>102</v>
      </c>
      <c r="AA3" s="81"/>
      <c r="AB3" s="225" t="s">
        <v>104</v>
      </c>
      <c r="AC3" s="106" t="s">
        <v>203</v>
      </c>
    </row>
    <row r="4" spans="2:36" s="90" customFormat="1" ht="13.5" thickBot="1" x14ac:dyDescent="0.25">
      <c r="B4" s="97"/>
      <c r="C4" s="97"/>
      <c r="K4" s="88"/>
      <c r="L4" s="88"/>
      <c r="M4" s="105"/>
      <c r="N4" s="105"/>
      <c r="O4" s="105"/>
      <c r="P4" s="105"/>
      <c r="Q4" s="105"/>
      <c r="R4" s="88"/>
      <c r="S4" s="88"/>
      <c r="T4" s="88"/>
      <c r="U4" s="88"/>
      <c r="V4" s="125"/>
      <c r="Z4" s="225" t="s">
        <v>107</v>
      </c>
      <c r="AA4" s="81"/>
      <c r="AB4" s="225" t="s">
        <v>109</v>
      </c>
      <c r="AC4" s="106" t="s">
        <v>204</v>
      </c>
    </row>
    <row r="5" spans="2:36" s="91" customFormat="1" ht="12.75" customHeight="1" x14ac:dyDescent="0.2">
      <c r="B5" s="657" t="s">
        <v>1</v>
      </c>
      <c r="C5" s="658"/>
      <c r="D5" s="653" t="s">
        <v>0</v>
      </c>
      <c r="E5" s="667" t="s">
        <v>99</v>
      </c>
      <c r="F5" s="667" t="s">
        <v>100</v>
      </c>
      <c r="G5" s="667" t="s">
        <v>106</v>
      </c>
      <c r="H5" s="667" t="s">
        <v>190</v>
      </c>
      <c r="I5" s="667" t="s">
        <v>46</v>
      </c>
      <c r="J5" s="667" t="s">
        <v>114</v>
      </c>
      <c r="K5" s="663" t="s">
        <v>4</v>
      </c>
      <c r="L5" s="663" t="s">
        <v>21</v>
      </c>
      <c r="M5" s="717" t="s">
        <v>17</v>
      </c>
      <c r="N5" s="717" t="s">
        <v>20</v>
      </c>
      <c r="O5" s="717" t="s">
        <v>14</v>
      </c>
      <c r="P5" s="62">
        <v>202</v>
      </c>
      <c r="Q5" s="203">
        <v>204</v>
      </c>
      <c r="R5" s="542">
        <v>206</v>
      </c>
      <c r="S5" s="543"/>
      <c r="T5" s="543"/>
      <c r="U5" s="2">
        <v>252</v>
      </c>
      <c r="V5" s="2">
        <v>304</v>
      </c>
      <c r="W5" s="2">
        <v>452</v>
      </c>
      <c r="X5" s="49">
        <v>617</v>
      </c>
      <c r="Z5" s="225" t="s">
        <v>108</v>
      </c>
      <c r="AA5" s="81"/>
      <c r="AB5" s="225" t="s">
        <v>110</v>
      </c>
      <c r="AC5" s="106" t="s">
        <v>205</v>
      </c>
    </row>
    <row r="6" spans="2:36" ht="12.75" customHeight="1" thickBot="1" x14ac:dyDescent="0.25">
      <c r="B6" s="659"/>
      <c r="C6" s="660"/>
      <c r="D6" s="654"/>
      <c r="E6" s="712"/>
      <c r="F6" s="714"/>
      <c r="G6" s="714"/>
      <c r="H6" s="710"/>
      <c r="I6" s="710"/>
      <c r="J6" s="710"/>
      <c r="K6" s="664"/>
      <c r="L6" s="664"/>
      <c r="M6" s="718"/>
      <c r="N6" s="718"/>
      <c r="O6" s="718"/>
      <c r="P6" s="640" t="s">
        <v>40</v>
      </c>
      <c r="Q6" s="676" t="s">
        <v>7</v>
      </c>
      <c r="R6" s="676" t="s">
        <v>18</v>
      </c>
      <c r="S6" s="545" t="s">
        <v>19</v>
      </c>
      <c r="T6" s="553" t="s">
        <v>23</v>
      </c>
      <c r="U6" s="553" t="s">
        <v>24</v>
      </c>
      <c r="V6" s="559" t="s">
        <v>9</v>
      </c>
      <c r="W6" s="559" t="s">
        <v>29</v>
      </c>
      <c r="X6" s="675" t="s">
        <v>282</v>
      </c>
      <c r="Z6" s="226" t="s">
        <v>97</v>
      </c>
      <c r="AB6" s="225" t="s">
        <v>105</v>
      </c>
      <c r="AC6" s="220" t="s">
        <v>206</v>
      </c>
    </row>
    <row r="7" spans="2:36" ht="12.75" customHeight="1" thickBot="1" x14ac:dyDescent="0.25">
      <c r="B7" s="659"/>
      <c r="C7" s="660"/>
      <c r="D7" s="654"/>
      <c r="E7" s="712"/>
      <c r="F7" s="714"/>
      <c r="G7" s="714"/>
      <c r="H7" s="710"/>
      <c r="I7" s="710"/>
      <c r="J7" s="710"/>
      <c r="K7" s="664"/>
      <c r="L7" s="664"/>
      <c r="M7" s="718"/>
      <c r="N7" s="718"/>
      <c r="O7" s="718"/>
      <c r="P7" s="641"/>
      <c r="Q7" s="676"/>
      <c r="R7" s="676"/>
      <c r="S7" s="720"/>
      <c r="T7" s="720"/>
      <c r="U7" s="720"/>
      <c r="V7" s="560"/>
      <c r="W7" s="560"/>
      <c r="X7" s="676"/>
      <c r="AB7" s="226" t="s">
        <v>112</v>
      </c>
      <c r="AC7" s="220" t="s">
        <v>207</v>
      </c>
    </row>
    <row r="8" spans="2:36" ht="12.75" customHeight="1" thickBot="1" x14ac:dyDescent="0.25">
      <c r="B8" s="659"/>
      <c r="C8" s="660"/>
      <c r="D8" s="654"/>
      <c r="E8" s="712"/>
      <c r="F8" s="714"/>
      <c r="G8" s="714"/>
      <c r="H8" s="710"/>
      <c r="I8" s="710"/>
      <c r="J8" s="710"/>
      <c r="K8" s="664"/>
      <c r="L8" s="664"/>
      <c r="M8" s="718"/>
      <c r="N8" s="718"/>
      <c r="O8" s="718"/>
      <c r="P8" s="641"/>
      <c r="Q8" s="676"/>
      <c r="R8" s="676"/>
      <c r="S8" s="720"/>
      <c r="T8" s="720"/>
      <c r="U8" s="720"/>
      <c r="V8" s="560"/>
      <c r="W8" s="560"/>
      <c r="X8" s="676"/>
      <c r="Z8" s="116"/>
    </row>
    <row r="9" spans="2:36" ht="12.75" customHeight="1" thickBot="1" x14ac:dyDescent="0.25">
      <c r="B9" s="659"/>
      <c r="C9" s="660"/>
      <c r="D9" s="654"/>
      <c r="E9" s="712"/>
      <c r="F9" s="714"/>
      <c r="G9" s="714"/>
      <c r="H9" s="710"/>
      <c r="I9" s="710"/>
      <c r="J9" s="710"/>
      <c r="K9" s="664"/>
      <c r="L9" s="664"/>
      <c r="M9" s="718"/>
      <c r="N9" s="718"/>
      <c r="O9" s="718"/>
      <c r="P9" s="641"/>
      <c r="Q9" s="676"/>
      <c r="R9" s="676"/>
      <c r="S9" s="720"/>
      <c r="T9" s="720"/>
      <c r="U9" s="720"/>
      <c r="V9" s="560"/>
      <c r="W9" s="560"/>
      <c r="X9" s="676"/>
      <c r="Z9" s="697" t="s">
        <v>201</v>
      </c>
      <c r="AA9" s="698"/>
      <c r="AB9" s="698"/>
      <c r="AC9" s="698"/>
      <c r="AD9" s="698"/>
      <c r="AE9" s="698"/>
      <c r="AF9" s="698"/>
      <c r="AG9" s="698"/>
      <c r="AH9" s="698"/>
      <c r="AI9" s="698"/>
      <c r="AJ9" s="699"/>
    </row>
    <row r="10" spans="2:36" ht="12.75" customHeight="1" x14ac:dyDescent="0.2">
      <c r="B10" s="659"/>
      <c r="C10" s="660"/>
      <c r="D10" s="654"/>
      <c r="E10" s="712"/>
      <c r="F10" s="714"/>
      <c r="G10" s="714"/>
      <c r="H10" s="710"/>
      <c r="I10" s="710"/>
      <c r="J10" s="710"/>
      <c r="K10" s="664"/>
      <c r="L10" s="664"/>
      <c r="M10" s="718"/>
      <c r="N10" s="718"/>
      <c r="O10" s="718"/>
      <c r="P10" s="641"/>
      <c r="Q10" s="676"/>
      <c r="R10" s="676"/>
      <c r="S10" s="720"/>
      <c r="T10" s="720"/>
      <c r="U10" s="720"/>
      <c r="V10" s="560"/>
      <c r="W10" s="560"/>
      <c r="X10" s="676"/>
      <c r="Z10" s="671" t="s">
        <v>208</v>
      </c>
      <c r="AA10" s="673" t="s">
        <v>214</v>
      </c>
      <c r="AB10" s="704" t="s">
        <v>189</v>
      </c>
      <c r="AC10" s="681"/>
      <c r="AD10" s="705"/>
      <c r="AE10" s="680" t="s">
        <v>45</v>
      </c>
      <c r="AF10" s="681"/>
      <c r="AG10" s="705"/>
      <c r="AH10" s="680" t="s">
        <v>113</v>
      </c>
      <c r="AI10" s="681"/>
      <c r="AJ10" s="682"/>
    </row>
    <row r="11" spans="2:36" ht="12.75" customHeight="1" thickBot="1" x14ac:dyDescent="0.25">
      <c r="B11" s="659"/>
      <c r="C11" s="660"/>
      <c r="D11" s="654"/>
      <c r="E11" s="712"/>
      <c r="F11" s="714"/>
      <c r="G11" s="714"/>
      <c r="H11" s="710"/>
      <c r="I11" s="710"/>
      <c r="J11" s="710"/>
      <c r="K11" s="664"/>
      <c r="L11" s="664"/>
      <c r="M11" s="718"/>
      <c r="N11" s="718"/>
      <c r="O11" s="718"/>
      <c r="P11" s="641"/>
      <c r="Q11" s="676"/>
      <c r="R11" s="676"/>
      <c r="S11" s="720"/>
      <c r="T11" s="720"/>
      <c r="U11" s="720"/>
      <c r="V11" s="560"/>
      <c r="W11" s="560"/>
      <c r="X11" s="676"/>
      <c r="Z11" s="672"/>
      <c r="AA11" s="674"/>
      <c r="AB11" s="683" t="s">
        <v>209</v>
      </c>
      <c r="AC11" s="684"/>
      <c r="AD11" s="685"/>
      <c r="AE11" s="686" t="s">
        <v>210</v>
      </c>
      <c r="AF11" s="684"/>
      <c r="AG11" s="685"/>
      <c r="AH11" s="686" t="s">
        <v>217</v>
      </c>
      <c r="AI11" s="684"/>
      <c r="AJ11" s="687"/>
    </row>
    <row r="12" spans="2:36" ht="12.75" customHeight="1" x14ac:dyDescent="0.2">
      <c r="B12" s="659"/>
      <c r="C12" s="660"/>
      <c r="D12" s="654"/>
      <c r="E12" s="712"/>
      <c r="F12" s="714"/>
      <c r="G12" s="714"/>
      <c r="H12" s="710"/>
      <c r="I12" s="710"/>
      <c r="J12" s="710"/>
      <c r="K12" s="664"/>
      <c r="L12" s="664"/>
      <c r="M12" s="718"/>
      <c r="N12" s="718"/>
      <c r="O12" s="718"/>
      <c r="P12" s="641"/>
      <c r="Q12" s="676"/>
      <c r="R12" s="676"/>
      <c r="S12" s="720"/>
      <c r="T12" s="720"/>
      <c r="U12" s="720"/>
      <c r="V12" s="560"/>
      <c r="W12" s="560"/>
      <c r="X12" s="676"/>
      <c r="Z12" s="222" t="s">
        <v>101</v>
      </c>
      <c r="AA12" s="104" t="s">
        <v>211</v>
      </c>
      <c r="AB12" s="695">
        <v>1.5</v>
      </c>
      <c r="AC12" s="617"/>
      <c r="AD12" s="618"/>
      <c r="AE12" s="616">
        <v>0.75</v>
      </c>
      <c r="AF12" s="617"/>
      <c r="AG12" s="618"/>
      <c r="AH12" s="616" t="s">
        <v>97</v>
      </c>
      <c r="AI12" s="617"/>
      <c r="AJ12" s="694"/>
    </row>
    <row r="13" spans="2:36" ht="12.75" customHeight="1" x14ac:dyDescent="0.2">
      <c r="B13" s="659"/>
      <c r="C13" s="660"/>
      <c r="D13" s="654"/>
      <c r="E13" s="712"/>
      <c r="F13" s="714"/>
      <c r="G13" s="714"/>
      <c r="H13" s="710"/>
      <c r="I13" s="710"/>
      <c r="J13" s="710"/>
      <c r="K13" s="664"/>
      <c r="L13" s="664"/>
      <c r="M13" s="718"/>
      <c r="N13" s="718"/>
      <c r="O13" s="718"/>
      <c r="P13" s="641"/>
      <c r="Q13" s="676"/>
      <c r="R13" s="676"/>
      <c r="S13" s="720"/>
      <c r="T13" s="720"/>
      <c r="U13" s="720"/>
      <c r="V13" s="560"/>
      <c r="W13" s="560"/>
      <c r="X13" s="676"/>
      <c r="Z13" s="221" t="s">
        <v>102</v>
      </c>
      <c r="AA13" s="103" t="s">
        <v>212</v>
      </c>
      <c r="AB13" s="688">
        <v>2</v>
      </c>
      <c r="AC13" s="689"/>
      <c r="AD13" s="690"/>
      <c r="AE13" s="691">
        <v>0.75</v>
      </c>
      <c r="AF13" s="692"/>
      <c r="AG13" s="693"/>
      <c r="AH13" s="691" t="s">
        <v>97</v>
      </c>
      <c r="AI13" s="692"/>
      <c r="AJ13" s="729"/>
    </row>
    <row r="14" spans="2:36" ht="12.75" customHeight="1" x14ac:dyDescent="0.2">
      <c r="B14" s="659"/>
      <c r="C14" s="660"/>
      <c r="D14" s="654"/>
      <c r="E14" s="712"/>
      <c r="F14" s="714"/>
      <c r="G14" s="714"/>
      <c r="H14" s="710"/>
      <c r="I14" s="710"/>
      <c r="J14" s="710"/>
      <c r="K14" s="664"/>
      <c r="L14" s="664"/>
      <c r="M14" s="718"/>
      <c r="N14" s="718"/>
      <c r="O14" s="718"/>
      <c r="P14" s="641"/>
      <c r="Q14" s="676"/>
      <c r="R14" s="676"/>
      <c r="S14" s="720"/>
      <c r="T14" s="720"/>
      <c r="U14" s="720"/>
      <c r="V14" s="560"/>
      <c r="W14" s="560"/>
      <c r="X14" s="676"/>
      <c r="Z14" s="221" t="s">
        <v>107</v>
      </c>
      <c r="AA14" s="103" t="s">
        <v>213</v>
      </c>
      <c r="AB14" s="688" t="s">
        <v>97</v>
      </c>
      <c r="AC14" s="689"/>
      <c r="AD14" s="690"/>
      <c r="AE14" s="691" t="s">
        <v>97</v>
      </c>
      <c r="AF14" s="692"/>
      <c r="AG14" s="693"/>
      <c r="AH14" s="691">
        <v>-1.42</v>
      </c>
      <c r="AI14" s="692"/>
      <c r="AJ14" s="729"/>
    </row>
    <row r="15" spans="2:36" ht="12.75" customHeight="1" x14ac:dyDescent="0.2">
      <c r="B15" s="659"/>
      <c r="C15" s="660"/>
      <c r="D15" s="654"/>
      <c r="E15" s="712"/>
      <c r="F15" s="714"/>
      <c r="G15" s="714"/>
      <c r="H15" s="710"/>
      <c r="I15" s="710"/>
      <c r="J15" s="710"/>
      <c r="K15" s="665"/>
      <c r="L15" s="665"/>
      <c r="M15" s="719"/>
      <c r="N15" s="719"/>
      <c r="O15" s="719"/>
      <c r="P15" s="641"/>
      <c r="Q15" s="676"/>
      <c r="R15" s="676"/>
      <c r="S15" s="721"/>
      <c r="T15" s="721"/>
      <c r="U15" s="721"/>
      <c r="V15" s="561"/>
      <c r="W15" s="561"/>
      <c r="X15" s="676"/>
      <c r="Z15" s="221" t="s">
        <v>215</v>
      </c>
      <c r="AA15" s="103" t="s">
        <v>211</v>
      </c>
      <c r="AB15" s="695">
        <v>3.83</v>
      </c>
      <c r="AC15" s="617"/>
      <c r="AD15" s="618"/>
      <c r="AE15" s="616">
        <v>1.42</v>
      </c>
      <c r="AF15" s="617"/>
      <c r="AG15" s="618"/>
      <c r="AH15" s="616" t="s">
        <v>97</v>
      </c>
      <c r="AI15" s="617"/>
      <c r="AJ15" s="694"/>
    </row>
    <row r="16" spans="2:36" ht="12.75" customHeight="1" thickBot="1" x14ac:dyDescent="0.25">
      <c r="B16" s="98" t="s">
        <v>2</v>
      </c>
      <c r="C16" s="99" t="s">
        <v>3</v>
      </c>
      <c r="D16" s="711"/>
      <c r="E16" s="713"/>
      <c r="F16" s="715"/>
      <c r="G16" s="715"/>
      <c r="H16" s="5" t="s">
        <v>5</v>
      </c>
      <c r="I16" s="5" t="s">
        <v>12</v>
      </c>
      <c r="J16" s="84" t="s">
        <v>5</v>
      </c>
      <c r="K16" s="5" t="s">
        <v>5</v>
      </c>
      <c r="L16" s="5" t="s">
        <v>5</v>
      </c>
      <c r="M16" s="73" t="s">
        <v>6</v>
      </c>
      <c r="N16" s="73" t="s">
        <v>6</v>
      </c>
      <c r="O16" s="73" t="s">
        <v>6</v>
      </c>
      <c r="P16" s="119" t="s">
        <v>10</v>
      </c>
      <c r="Q16" s="5" t="s">
        <v>11</v>
      </c>
      <c r="R16" s="5" t="s">
        <v>10</v>
      </c>
      <c r="S16" s="5" t="s">
        <v>10</v>
      </c>
      <c r="T16" s="5" t="s">
        <v>22</v>
      </c>
      <c r="U16" s="5" t="s">
        <v>5</v>
      </c>
      <c r="V16" s="108" t="s">
        <v>12</v>
      </c>
      <c r="W16" s="55" t="s">
        <v>10</v>
      </c>
      <c r="X16" s="458" t="s">
        <v>12</v>
      </c>
      <c r="Z16" s="223" t="s">
        <v>216</v>
      </c>
      <c r="AA16" s="158" t="s">
        <v>211</v>
      </c>
      <c r="AB16" s="677">
        <v>3.17</v>
      </c>
      <c r="AC16" s="678"/>
      <c r="AD16" s="679"/>
      <c r="AE16" s="696">
        <v>1.0900000000000001</v>
      </c>
      <c r="AF16" s="678"/>
      <c r="AG16" s="679"/>
      <c r="AH16" s="696" t="s">
        <v>97</v>
      </c>
      <c r="AI16" s="678"/>
      <c r="AJ16" s="701"/>
    </row>
    <row r="17" spans="1:26" ht="12.75" customHeight="1" x14ac:dyDescent="0.2">
      <c r="B17" s="661" t="s">
        <v>62</v>
      </c>
      <c r="C17" s="662"/>
      <c r="D17" s="100"/>
      <c r="E17" s="100"/>
      <c r="F17" s="100"/>
      <c r="G17" s="100"/>
      <c r="H17" s="100"/>
      <c r="I17" s="100"/>
      <c r="J17" s="100"/>
      <c r="K17" s="101"/>
      <c r="L17" s="101"/>
      <c r="M17" s="118"/>
      <c r="N17" s="118"/>
      <c r="O17" s="118"/>
      <c r="P17" s="118"/>
      <c r="Q17" s="118"/>
      <c r="R17" s="101"/>
      <c r="S17" s="101"/>
      <c r="T17" s="102"/>
      <c r="U17" s="49"/>
      <c r="V17" s="110"/>
      <c r="W17" s="109"/>
      <c r="X17" s="101"/>
      <c r="Z17" s="116"/>
    </row>
    <row r="18" spans="1:26" ht="12.75" customHeight="1" x14ac:dyDescent="0.2">
      <c r="B18" s="335">
        <v>85534.63</v>
      </c>
      <c r="C18" s="336">
        <v>86043.89</v>
      </c>
      <c r="D18" s="337" t="s">
        <v>30</v>
      </c>
      <c r="E18" s="337" t="s">
        <v>101</v>
      </c>
      <c r="F18" s="337" t="s">
        <v>101</v>
      </c>
      <c r="G18" s="103" t="str">
        <f>IF(AND($E18=$Z$2,$F18=$Z$2),$AB$2,IF(OR(AND($E18=$Z$2,$F18=$Z$3),AND($E18=$Z$3,$F18=$Z$2)),$AB$3,IF(OR(AND($E18=$Z$2,$F18=$Z$4),AND($E18=$Z$4,$F18=$Z$2)),$AB$4,IF(OR(AND($E18=$Z$3,$F18=$Z$4),AND($E18=$Z$4,$F18=$Z$3)),$AB$5,IF(AND($E18=$Z$3,$F18=$Z$3),$AB$6,IF(AND($E18=$Z$4,$F18=$Z$4),$AB$7,"-"))))))</f>
        <v>E/S - E/S</v>
      </c>
      <c r="H18" s="26">
        <f>IF(AND($E18=$Z$2,$F18=$Z$2),2*$AB$12,IF(OR(AND($E18=$Z$2, $F18=$Z$3),AND($E18=$Z$3,$F18=$Z$2)),$AB$12+$AB$13,IF(OR(AND($E18=$Z$2,$F18=$Z$4),AND($E18=$Z$4,$F18=$Z$2)),$AB$12,IF(OR(AND($E18=$Z$3,$F18=$Z$4),AND($E18=$Z$4,$F18=$Z$3)),$AB$13,IF(AND($E18=$Z$3,$F18=$Z$3),2*$AB$13,0)))))</f>
        <v>3</v>
      </c>
      <c r="I18" s="27">
        <f>IF(AND($E18=$Z$2,$F18=$Z$2),2*$AE$12*$K18/27,IF(OR(AND($E18=$Z$2,$F18=$Z$3),AND($E18=$Z$3,$F18=$Z$2)),($AE$12+$AE$13)*$K18/27,IF(OR(AND($E18=$Z$2,$F18=$Z$4),AND($E18=$Z$4,$F18=$Z$2)),$AE$12*$K18/27,IF(OR(AND($E18=$Z$3,$F18=$Z$4),AND($E18=$Z$4,$F18=$Z$3)),$AE$13*$K18/27,IF(AND($E18=$Z$3,$F18=$Z$3),2*$AE$13*$K18/27,0)))))</f>
        <v>28.29222222222193</v>
      </c>
      <c r="J18" s="78">
        <f>IF(OR(AND($E18=$Z$2,$F18=$Z$4),AND($E18=$Z$4,$F18=$Z$2)),$AH$14,IF(OR(AND($E18=$Z$3,$F18=$Z$4),AND($E18=$Z$4,$F18=$Z$3)),$AH$14,IF(AND($E18=$Z$4,$F18=$Z$4),2*$AH$14,0)))</f>
        <v>0</v>
      </c>
      <c r="K18" s="83">
        <f>C18-B18</f>
        <v>509.25999999999476</v>
      </c>
      <c r="L18" s="342">
        <v>25</v>
      </c>
      <c r="M18" s="124">
        <f>IF(L18="-",0,ROUNDUP($K18*L18,0))</f>
        <v>12732</v>
      </c>
      <c r="N18" s="344">
        <v>0</v>
      </c>
      <c r="O18" s="123">
        <f t="shared" ref="O18:O36" si="0">SUM(M18:N18)</f>
        <v>12732</v>
      </c>
      <c r="P18" s="344">
        <v>0</v>
      </c>
      <c r="Q18" s="83">
        <f>S18/2000</f>
        <v>0.79220999999999908</v>
      </c>
      <c r="R18" s="85">
        <f>IF(A18="APP SLAB",0,S18)</f>
        <v>1584.4199999999983</v>
      </c>
      <c r="S18" s="85">
        <f>IF(OR(A18="APP SLAB",O18=0),0,(O18+H18*K18)/9)</f>
        <v>1584.4199999999983</v>
      </c>
      <c r="T18" s="85">
        <f>IF(A18="APP SLAB",0,$R$1*S18*110*0.06*0.75/2000)</f>
        <v>47.05727399999995</v>
      </c>
      <c r="U18" s="348">
        <v>0</v>
      </c>
      <c r="V18" s="85">
        <f>IF(O18=0,0,(O18*$U$1/12)/27+I18)</f>
        <v>264.06999999999971</v>
      </c>
      <c r="W18" s="111">
        <f>IF(OR(A18="APP SLAB",O18=0),0,(O18+J18*K18)/9)</f>
        <v>1414.6666666666667</v>
      </c>
      <c r="X18" s="454">
        <f>IF(AND($E18=$F18="Uncurbed"),(2*$K18*2*$X$1/12)/27,IF(OR($E18="Uncurbed",$F18="Uncurbed"),($K18*2*$X$1/12)/27,IF(OR(AND($E18="Med. Barr.",$F18="Curbed"),AND($E18="Curbed",$F18="Med. Barr."),$E18=$F18,$E18="Unique",$F18="Unique",$E18="-",$F18="-"),0,"?")))</f>
        <v>18.861481481481288</v>
      </c>
    </row>
    <row r="19" spans="1:26" ht="12.75" customHeight="1" x14ac:dyDescent="0.2">
      <c r="B19" s="736">
        <v>86043.89</v>
      </c>
      <c r="C19" s="737"/>
      <c r="D19" s="337" t="s">
        <v>30</v>
      </c>
      <c r="E19" s="337" t="s">
        <v>97</v>
      </c>
      <c r="F19" s="337" t="s">
        <v>97</v>
      </c>
      <c r="G19" s="103" t="str">
        <f>IF(AND($E19=$Z$2,$F19=$Z$2),$AB$2,IF(OR(AND($E19=$Z$2,$F19=$Z$3),AND($E19=$Z$3,$F19=$Z$2)),$AB$3,IF(OR(AND($E19=$Z$2,$F19=$Z$4),AND($E19=$Z$4,$F19=$Z$2)),$AB$4,IF(OR(AND($E19=$Z$3,$F19=$Z$4),AND($E19=$Z$4,$F19=$Z$3)),$AB$5,IF(AND($E19=$Z$3,$F19=$Z$3),$AB$6,IF(AND($E19=$Z$4,$F19=$Z$4),$AB$7,"-"))))))</f>
        <v>-</v>
      </c>
      <c r="H19" s="26">
        <f>IF(AND($E19=$Z$2,$F19=$Z$2),2*$AB$12,IF(OR(AND($E19=$Z$2, $F19=$Z$3),AND($E19=$Z$3,$F19=$Z$2)),$AB$12+$AB$13,IF(OR(AND($E19=$Z$2,$F19=$Z$4),AND($E19=$Z$4,$F19=$Z$2)),$AB$12,IF(OR(AND($E19=$Z$3,$F19=$Z$4),AND($E19=$Z$4,$F19=$Z$3)),$AB$13,IF(AND($E19=$Z$3,$F19=$Z$3),2*$AB$13,0)))))</f>
        <v>0</v>
      </c>
      <c r="I19" s="27">
        <f>IF(AND($E19=$Z$2,$F19=$Z$2),2*$AE$12*$K19/27,IF(OR(AND($E19=$Z$2,$F19=$Z$3),AND($E19=$Z$3,$F19=$Z$2)),($AE$12+$AE$13)*$K19/27,IF(OR(AND($E19=$Z$2,$F19=$Z$4),AND($E19=$Z$4,$F19=$Z$2)),$AE$12*$K19/27,IF(OR(AND($E19=$Z$3,$F19=$Z$4),AND($E19=$Z$4,$F19=$Z$3)),$AE$13*$K19/27,IF(AND($E19=$Z$3,$F19=$Z$3),2*$AE$13*$K19/27,0)))))</f>
        <v>0</v>
      </c>
      <c r="J19" s="78">
        <f>IF(OR(AND($E19=$Z$2,$F19=$Z$4),AND($E19=$Z$4,$F19=$Z$2)),$AH$14,IF(OR(AND($E19=$Z$3,$F19=$Z$4),AND($E19=$Z$4,$F19=$Z$3)),$AH$14,IF(AND($E19=$Z$4,$F19=$Z$4),2*$AH$14,0)))</f>
        <v>0</v>
      </c>
      <c r="K19" s="343" t="s">
        <v>97</v>
      </c>
      <c r="L19" s="342" t="s">
        <v>97</v>
      </c>
      <c r="M19" s="124">
        <f t="shared" ref="M19:M25" si="1">IF(L19="-",0,ROUNDUP($K19*L19,0))</f>
        <v>0</v>
      </c>
      <c r="N19" s="344">
        <v>0</v>
      </c>
      <c r="O19" s="123">
        <f t="shared" si="0"/>
        <v>0</v>
      </c>
      <c r="P19" s="344">
        <v>0</v>
      </c>
      <c r="Q19" s="83">
        <f>S19/2000</f>
        <v>0</v>
      </c>
      <c r="R19" s="347">
        <v>0</v>
      </c>
      <c r="S19" s="347">
        <v>0</v>
      </c>
      <c r="T19" s="347">
        <v>0</v>
      </c>
      <c r="U19" s="348">
        <v>25</v>
      </c>
      <c r="V19" s="347">
        <v>0</v>
      </c>
      <c r="W19" s="367">
        <v>0</v>
      </c>
      <c r="X19" s="454">
        <f>IF(AND($E19=$F19="Uncurbed"),(2*$K19*2*$X$1/12)/27,IF(OR($E19="Uncurbed",$F19="Uncurbed"),($K19*2*$X$1/12)/27,IF(OR(AND($E19="Med. Barr.",$F19="Curbed"),AND($E19="Curbed",$F19="Med. Barr."),$E19=$F19,$E19="Unique",$F19="Unique",$E19="-",$F19="-"),0,"?")))</f>
        <v>0</v>
      </c>
    </row>
    <row r="20" spans="1:26" ht="12.75" customHeight="1" thickBot="1" x14ac:dyDescent="0.25">
      <c r="A20" s="106"/>
      <c r="B20" s="107"/>
      <c r="C20" s="8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70"/>
      <c r="V20" s="32"/>
      <c r="W20" s="32"/>
      <c r="X20" s="32"/>
    </row>
    <row r="21" spans="1:26" ht="12.75" customHeight="1" x14ac:dyDescent="0.2">
      <c r="A21" s="106"/>
      <c r="B21" s="661" t="s">
        <v>69</v>
      </c>
      <c r="C21" s="662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49"/>
      <c r="V21" s="100"/>
      <c r="W21" s="100"/>
      <c r="X21" s="100"/>
    </row>
    <row r="22" spans="1:26" ht="12.75" customHeight="1" x14ac:dyDescent="0.2">
      <c r="B22" s="335">
        <v>85417.8</v>
      </c>
      <c r="C22" s="336">
        <v>85467.8</v>
      </c>
      <c r="D22" s="337" t="s">
        <v>30</v>
      </c>
      <c r="E22" s="337" t="s">
        <v>101</v>
      </c>
      <c r="F22" s="337" t="s">
        <v>101</v>
      </c>
      <c r="G22" s="103" t="str">
        <f>IF(AND($E22=$Z$2,$F22=$Z$2),$AB$2,IF(OR(AND($E22=$Z$2,$F22=$Z$3),AND($E22=$Z$3,$F22=$Z$2)),$AB$3,IF(OR(AND($E22=$Z$2,$F22=$Z$4),AND($E22=$Z$4,$F22=$Z$2)),$AB$4,IF(OR(AND($E22=$Z$3,$F22=$Z$4),AND($E22=$Z$4,$F22=$Z$3)),$AB$5,IF(AND($E22=$Z$3,$F22=$Z$3),$AB$6,IF(AND($E22=$Z$4,$F22=$Z$4),$AB$7,"-"))))))</f>
        <v>E/S - E/S</v>
      </c>
      <c r="H22" s="26">
        <f>IF(AND($E22=$Z$2,$F22=$Z$2),2*$AB$12,IF(OR(AND($E22=$Z$2, $F22=$Z$3),AND($E22=$Z$3,$F22=$Z$2)),$AB$12+$AB$13,IF(OR(AND($E22=$Z$2,$F22=$Z$4),AND($E22=$Z$4,$F22=$Z$2)),$AB$12,IF(OR(AND($E22=$Z$3,$F22=$Z$4),AND($E22=$Z$4,$F22=$Z$3)),$AB$13,IF(AND($E22=$Z$3,$F22=$Z$3),2*$AB$13,0)))))</f>
        <v>3</v>
      </c>
      <c r="I22" s="27">
        <f>IF(AND($E22=$Z$2,$F22=$Z$2),2*$AE$12*$K22/27,IF(OR(AND($E22=$Z$2,$F22=$Z$3),AND($E22=$Z$3,$F22=$Z$2)),($AE$12+$AE$13)*$K22/27,IF(OR(AND($E22=$Z$2,$F22=$Z$4),AND($E22=$Z$4,$F22=$Z$2)),$AE$12*$K22/27,IF(OR(AND($E22=$Z$3,$F22=$Z$4),AND($E22=$Z$4,$F22=$Z$3)),$AE$13*$K22/27,IF(AND($E22=$Z$3,$F22=$Z$3),2*$AE$13*$K22/27,0)))))</f>
        <v>2.7777777777777777</v>
      </c>
      <c r="J22" s="78">
        <f>IF(OR(AND($E22=$Z$2,$F22=$Z$4),AND($E22=$Z$4,$F22=$Z$2)),$AH$14,IF(OR(AND($E22=$Z$3,$F22=$Z$4),AND($E22=$Z$4,$F22=$Z$3)),$AH$14,IF(AND($E22=$Z$4,$F22=$Z$4),2*$AH$14,0)))</f>
        <v>0</v>
      </c>
      <c r="K22" s="83">
        <f t="shared" ref="K22" si="2">C22-B22</f>
        <v>50</v>
      </c>
      <c r="L22" s="342">
        <v>26</v>
      </c>
      <c r="M22" s="124">
        <f t="shared" si="1"/>
        <v>1300</v>
      </c>
      <c r="N22" s="344">
        <v>0</v>
      </c>
      <c r="O22" s="123">
        <f t="shared" si="0"/>
        <v>1300</v>
      </c>
      <c r="P22" s="344">
        <v>0</v>
      </c>
      <c r="Q22" s="83">
        <f>S22/2000</f>
        <v>8.0555555555555561E-2</v>
      </c>
      <c r="R22" s="85">
        <f>IF(A22="APP SLAB",0,S22)</f>
        <v>161.11111111111111</v>
      </c>
      <c r="S22" s="85">
        <f>IF(OR(A22="APP SLAB",O22=0),0,(O22+H22*K22)/9)</f>
        <v>161.11111111111111</v>
      </c>
      <c r="T22" s="85">
        <f>IF(A22="APP SLAB",0,$R$1*S22*110*0.06*0.75/2000)</f>
        <v>4.7850000000000001</v>
      </c>
      <c r="U22" s="348">
        <v>0</v>
      </c>
      <c r="V22" s="85">
        <f>IF(O22=0,0,(O22*$U$1/12)/27+I22)</f>
        <v>26.851851851851851</v>
      </c>
      <c r="W22" s="111">
        <f>IF(OR(A22="APP SLAB",O22=0),0,(O22+J22*K22)/9)</f>
        <v>144.44444444444446</v>
      </c>
      <c r="X22" s="454">
        <f>IF(AND($E22=$F22="Uncurbed"),(2*$K22*2*$X$1/12)/27,IF(OR($E22="Uncurbed",$F22="Uncurbed"),($K22*2*$X$1/12)/27,IF(OR(AND($E22="Med. Barr.",$F22="Curbed"),AND($E22="Curbed",$F22="Med. Barr."),$E22=$F22,$E22="Unique",$F22="Unique",$E22="-",$F22="-"),0,"?")))</f>
        <v>1.8518518518518519</v>
      </c>
    </row>
    <row r="23" spans="1:26" ht="12.75" customHeight="1" x14ac:dyDescent="0.2">
      <c r="B23" s="335">
        <v>85467.8</v>
      </c>
      <c r="C23" s="336">
        <v>85799.64</v>
      </c>
      <c r="D23" s="337" t="s">
        <v>30</v>
      </c>
      <c r="E23" s="337" t="s">
        <v>101</v>
      </c>
      <c r="F23" s="337" t="s">
        <v>101</v>
      </c>
      <c r="G23" s="103" t="str">
        <f>IF(AND($E23=$Z$2,$F23=$Z$2),$AB$2,IF(OR(AND($E23=$Z$2,$F23=$Z$3),AND($E23=$Z$3,$F23=$Z$2)),$AB$3,IF(OR(AND($E23=$Z$2,$F23=$Z$4),AND($E23=$Z$4,$F23=$Z$2)),$AB$4,IF(OR(AND($E23=$Z$3,$F23=$Z$4),AND($E23=$Z$4,$F23=$Z$3)),$AB$5,IF(AND($E23=$Z$3,$F23=$Z$3),$AB$6,IF(AND($E23=$Z$4,$F23=$Z$4),$AB$7,"-"))))))</f>
        <v>E/S - E/S</v>
      </c>
      <c r="H23" s="26">
        <f>IF(AND($E23=$Z$2,$F23=$Z$2),2*$AB$12,IF(OR(AND($E23=$Z$2, $F23=$Z$3),AND($E23=$Z$3,$F23=$Z$2)),$AB$12+$AB$13,IF(OR(AND($E23=$Z$2,$F23=$Z$4),AND($E23=$Z$4,$F23=$Z$2)),$AB$12,IF(OR(AND($E23=$Z$3,$F23=$Z$4),AND($E23=$Z$4,$F23=$Z$3)),$AB$13,IF(AND($E23=$Z$3,$F23=$Z$3),2*$AB$13,0)))))</f>
        <v>3</v>
      </c>
      <c r="I23" s="27">
        <f>IF(AND($E23=$Z$2,$F23=$Z$2),2*$AE$12*$K23/27,IF(OR(AND($E23=$Z$2,$F23=$Z$3),AND($E23=$Z$3,$F23=$Z$2)),($AE$12+$AE$13)*$K23/27,IF(OR(AND($E23=$Z$2,$F23=$Z$4),AND($E23=$Z$4,$F23=$Z$2)),$AE$12*$K23/27,IF(OR(AND($E23=$Z$3,$F23=$Z$4),AND($E23=$Z$4,$F23=$Z$3)),$AE$13*$K23/27,IF(AND($E23=$Z$3,$F23=$Z$3),2*$AE$13*$K23/27,0)))))</f>
        <v>18.435555555555361</v>
      </c>
      <c r="J23" s="78">
        <f>IF(OR(AND($E23=$Z$2,$F23=$Z$4),AND($E23=$Z$4,$F23=$Z$2)),$AH$14,IF(OR(AND($E23=$Z$3,$F23=$Z$4),AND($E23=$Z$4,$F23=$Z$3)),$AH$14,IF(AND($E23=$Z$4,$F23=$Z$4),2*$AH$14,0)))</f>
        <v>0</v>
      </c>
      <c r="K23" s="83">
        <f t="shared" ref="K23:K24" si="3">C23-B23</f>
        <v>331.83999999999651</v>
      </c>
      <c r="L23" s="342">
        <v>25</v>
      </c>
      <c r="M23" s="124">
        <f t="shared" si="1"/>
        <v>8296</v>
      </c>
      <c r="N23" s="344">
        <v>0</v>
      </c>
      <c r="O23" s="123">
        <f t="shared" ref="O23:O25" si="4">SUM(M23:N23)</f>
        <v>8296</v>
      </c>
      <c r="P23" s="344">
        <v>0</v>
      </c>
      <c r="Q23" s="83">
        <f t="shared" ref="Q23:Q25" si="5">S23/2000</f>
        <v>0.51619555555555496</v>
      </c>
      <c r="R23" s="85">
        <f>IF(A23="APP SLAB",0,S23)</f>
        <v>1032.3911111111099</v>
      </c>
      <c r="S23" s="85">
        <f>IF(OR(A23="APP SLAB",O23=0),0,(O23+H23*K23)/9)</f>
        <v>1032.3911111111099</v>
      </c>
      <c r="T23" s="85">
        <f>IF(A23="APP SLAB",0,$R$1*S23*110*0.06*0.75/2000)</f>
        <v>30.662015999999962</v>
      </c>
      <c r="U23" s="348">
        <v>0</v>
      </c>
      <c r="V23" s="85">
        <f>IF(O23=0,0,(O23*$U$1/12)/27+I23)</f>
        <v>172.06518518518499</v>
      </c>
      <c r="W23" s="111">
        <f>IF(OR(A23="APP SLAB",O23=0),0,(O23+J23*K23)/9)</f>
        <v>921.77777777777783</v>
      </c>
      <c r="X23" s="454">
        <f t="shared" ref="X23:X25" si="6">IF(AND($E23=$F23="Uncurbed"),(2*$K23*2*$X$1/12)/27,IF(OR($E23="Uncurbed",$F23="Uncurbed"),($K23*2*$X$1/12)/27,IF(OR(AND($E23="Med. Barr.",$F23="Curbed"),AND($E23="Curbed",$F23="Med. Barr."),$E23=$F23,$E23="Unique",$F23="Unique",$E23="-",$F23="-"),0,"?")))</f>
        <v>12.29037037037024</v>
      </c>
    </row>
    <row r="24" spans="1:26" ht="12.75" customHeight="1" x14ac:dyDescent="0.2">
      <c r="B24" s="335">
        <v>85799.64</v>
      </c>
      <c r="C24" s="336">
        <v>86000.33</v>
      </c>
      <c r="D24" s="337" t="s">
        <v>30</v>
      </c>
      <c r="E24" s="337" t="s">
        <v>101</v>
      </c>
      <c r="F24" s="337" t="s">
        <v>101</v>
      </c>
      <c r="G24" s="103" t="str">
        <f>IF(AND($E24=$Z$2,$F24=$Z$2),$AB$2,IF(OR(AND($E24=$Z$2,$F24=$Z$3),AND($E24=$Z$3,$F24=$Z$2)),$AB$3,IF(OR(AND($E24=$Z$2,$F24=$Z$4),AND($E24=$Z$4,$F24=$Z$2)),$AB$4,IF(OR(AND($E24=$Z$3,$F24=$Z$4),AND($E24=$Z$4,$F24=$Z$3)),$AB$5,IF(AND($E24=$Z$3,$F24=$Z$3),$AB$6,IF(AND($E24=$Z$4,$F24=$Z$4),$AB$7,"-"))))))</f>
        <v>E/S - E/S</v>
      </c>
      <c r="H24" s="26">
        <f>IF(AND($E24=$Z$2,$F24=$Z$2),2*$AB$12,IF(OR(AND($E24=$Z$2, $F24=$Z$3),AND($E24=$Z$3,$F24=$Z$2)),$AB$12+$AB$13,IF(OR(AND($E24=$Z$2,$F24=$Z$4),AND($E24=$Z$4,$F24=$Z$2)),$AB$12,IF(OR(AND($E24=$Z$3,$F24=$Z$4),AND($E24=$Z$4,$F24=$Z$3)),$AB$13,IF(AND($E24=$Z$3,$F24=$Z$3),2*$AB$13,0)))))</f>
        <v>3</v>
      </c>
      <c r="I24" s="27">
        <f>IF(AND($E24=$Z$2,$F24=$Z$2),2*$AE$12*$K24/27,IF(OR(AND($E24=$Z$2,$F24=$Z$3),AND($E24=$Z$3,$F24=$Z$2)),($AE$12+$AE$13)*$K24/27,IF(OR(AND($E24=$Z$2,$F24=$Z$4),AND($E24=$Z$4,$F24=$Z$2)),$AE$12*$K24/27,IF(OR(AND($E24=$Z$3,$F24=$Z$4),AND($E24=$Z$4,$F24=$Z$3)),$AE$13*$K24/27,IF(AND($E24=$Z$3,$F24=$Z$3),2*$AE$13*$K24/27,0)))))</f>
        <v>11.149444444444574</v>
      </c>
      <c r="J24" s="78">
        <f>IF(OR(AND($E24=$Z$2,$F24=$Z$4),AND($E24=$Z$4,$F24=$Z$2)),$AH$14,IF(OR(AND($E24=$Z$3,$F24=$Z$4),AND($E24=$Z$4,$F24=$Z$3)),$AH$14,IF(AND($E24=$Z$4,$F24=$Z$4),2*$AH$14,0)))</f>
        <v>0</v>
      </c>
      <c r="K24" s="83">
        <f t="shared" si="3"/>
        <v>200.69000000000233</v>
      </c>
      <c r="L24" s="342">
        <v>28.97</v>
      </c>
      <c r="M24" s="124">
        <f t="shared" si="1"/>
        <v>5814</v>
      </c>
      <c r="N24" s="344">
        <v>0</v>
      </c>
      <c r="O24" s="123">
        <f t="shared" si="4"/>
        <v>5814</v>
      </c>
      <c r="P24" s="344">
        <v>0</v>
      </c>
      <c r="Q24" s="83">
        <f t="shared" si="5"/>
        <v>0.3564483333333337</v>
      </c>
      <c r="R24" s="85">
        <f>IF(A24="APP SLAB",0,S24)</f>
        <v>712.89666666666744</v>
      </c>
      <c r="S24" s="85">
        <f>IF(OR(A24="APP SLAB",O24=0),0,(O24+H24*K24)/9)</f>
        <v>712.89666666666744</v>
      </c>
      <c r="T24" s="85">
        <f>IF(A24="APP SLAB",0,$R$1*S24*110*0.06*0.75/2000)</f>
        <v>21.173031000000023</v>
      </c>
      <c r="U24" s="348">
        <v>0</v>
      </c>
      <c r="V24" s="85">
        <f>IF(O24=0,0,(O24*$U$1/12)/27+I24)</f>
        <v>118.81611111111124</v>
      </c>
      <c r="W24" s="111">
        <f>IF(OR(A24="APP SLAB",O24=0),0,(O24+J24*K24)/9)</f>
        <v>646</v>
      </c>
      <c r="X24" s="454">
        <f t="shared" si="6"/>
        <v>7.4329629629630496</v>
      </c>
    </row>
    <row r="25" spans="1:26" ht="12.75" customHeight="1" x14ac:dyDescent="0.2">
      <c r="B25" s="736">
        <v>86000.33</v>
      </c>
      <c r="C25" s="737"/>
      <c r="D25" s="337" t="s">
        <v>30</v>
      </c>
      <c r="E25" s="337" t="s">
        <v>97</v>
      </c>
      <c r="F25" s="337" t="s">
        <v>97</v>
      </c>
      <c r="G25" s="103" t="str">
        <f>IF(AND($E25=$Z$2,$F25=$Z$2),$AB$2,IF(OR(AND($E25=$Z$2,$F25=$Z$3),AND($E25=$Z$3,$F25=$Z$2)),$AB$3,IF(OR(AND($E25=$Z$2,$F25=$Z$4),AND($E25=$Z$4,$F25=$Z$2)),$AB$4,IF(OR(AND($E25=$Z$3,$F25=$Z$4),AND($E25=$Z$4,$F25=$Z$3)),$AB$5,IF(AND($E25=$Z$3,$F25=$Z$3),$AB$6,IF(AND($E25=$Z$4,$F25=$Z$4),$AB$7,"-"))))))</f>
        <v>-</v>
      </c>
      <c r="H25" s="26">
        <f>IF(AND($E25=$Z$2,$F25=$Z$2),2*$AB$12,IF(OR(AND($E25=$Z$2, $F25=$Z$3),AND($E25=$Z$3,$F25=$Z$2)),$AB$12+$AB$13,IF(OR(AND($E25=$Z$2,$F25=$Z$4),AND($E25=$Z$4,$F25=$Z$2)),$AB$12,IF(OR(AND($E25=$Z$3,$F25=$Z$4),AND($E25=$Z$4,$F25=$Z$3)),$AB$13,IF(AND($E25=$Z$3,$F25=$Z$3),2*$AB$13,0)))))</f>
        <v>0</v>
      </c>
      <c r="I25" s="27">
        <f>IF(AND($E25=$Z$2,$F25=$Z$2),2*$AE$12*$K25/27,IF(OR(AND($E25=$Z$2,$F25=$Z$3),AND($E25=$Z$3,$F25=$Z$2)),($AE$12+$AE$13)*$K25/27,IF(OR(AND($E25=$Z$2,$F25=$Z$4),AND($E25=$Z$4,$F25=$Z$2)),$AE$12*$K25/27,IF(OR(AND($E25=$Z$3,$F25=$Z$4),AND($E25=$Z$4,$F25=$Z$3)),$AE$13*$K25/27,IF(AND($E25=$Z$3,$F25=$Z$3),2*$AE$13*$K25/27,0)))))</f>
        <v>0</v>
      </c>
      <c r="J25" s="78">
        <f>IF(OR(AND($E25=$Z$2,$F25=$Z$4),AND($E25=$Z$4,$F25=$Z$2)),$AH$14,IF(OR(AND($E25=$Z$3,$F25=$Z$4),AND($E25=$Z$4,$F25=$Z$3)),$AH$14,IF(AND($E25=$Z$4,$F25=$Z$4),2*$AH$14,0)))</f>
        <v>0</v>
      </c>
      <c r="K25" s="343" t="s">
        <v>97</v>
      </c>
      <c r="L25" s="342" t="s">
        <v>97</v>
      </c>
      <c r="M25" s="124">
        <f t="shared" si="1"/>
        <v>0</v>
      </c>
      <c r="N25" s="344">
        <v>0</v>
      </c>
      <c r="O25" s="123">
        <f t="shared" si="4"/>
        <v>0</v>
      </c>
      <c r="P25" s="344">
        <v>0</v>
      </c>
      <c r="Q25" s="83">
        <f t="shared" si="5"/>
        <v>0</v>
      </c>
      <c r="R25" s="347">
        <v>0</v>
      </c>
      <c r="S25" s="347">
        <v>0</v>
      </c>
      <c r="T25" s="347">
        <v>0</v>
      </c>
      <c r="U25" s="348">
        <v>33</v>
      </c>
      <c r="V25" s="347">
        <v>0</v>
      </c>
      <c r="W25" s="367">
        <v>0</v>
      </c>
      <c r="X25" s="454">
        <f t="shared" si="6"/>
        <v>0</v>
      </c>
    </row>
    <row r="26" spans="1:26" ht="12.75" customHeight="1" thickBot="1" x14ac:dyDescent="0.25">
      <c r="B26" s="107"/>
      <c r="C26" s="8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70"/>
      <c r="V26" s="32"/>
      <c r="W26" s="32"/>
      <c r="X26" s="32"/>
    </row>
    <row r="27" spans="1:26" ht="12.75" customHeight="1" x14ac:dyDescent="0.2">
      <c r="B27" s="661" t="s">
        <v>70</v>
      </c>
      <c r="C27" s="662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49"/>
      <c r="V27" s="100"/>
      <c r="W27" s="100"/>
      <c r="X27" s="100"/>
    </row>
    <row r="28" spans="1:26" ht="12.75" customHeight="1" x14ac:dyDescent="0.2">
      <c r="B28" s="736">
        <v>86300</v>
      </c>
      <c r="C28" s="737"/>
      <c r="D28" s="337" t="s">
        <v>30</v>
      </c>
      <c r="E28" s="337" t="s">
        <v>97</v>
      </c>
      <c r="F28" s="337" t="s">
        <v>97</v>
      </c>
      <c r="G28" s="103" t="str">
        <f>IF(AND($E28=$Z$2,$F28=$Z$2),$AB$2,IF(OR(AND($E28=$Z$2,$F28=$Z$3),AND($E28=$Z$3,$F28=$Z$2)),$AB$3,IF(OR(AND($E28=$Z$2,$F28=$Z$4),AND($E28=$Z$4,$F28=$Z$2)),$AB$4,IF(OR(AND($E28=$Z$3,$F28=$Z$4),AND($E28=$Z$4,$F28=$Z$3)),$AB$5,IF(AND($E28=$Z$3,$F28=$Z$3),$AB$6,IF(AND($E28=$Z$4,$F28=$Z$4),$AB$7,"-"))))))</f>
        <v>-</v>
      </c>
      <c r="H28" s="26">
        <f>IF(AND($E28=$Z$2,$F28=$Z$2),2*$AB$12,IF(OR(AND($E28=$Z$2, $F28=$Z$3),AND($E28=$Z$3,$F28=$Z$2)),$AB$12+$AB$13,IF(OR(AND($E28=$Z$2,$F28=$Z$4),AND($E28=$Z$4,$F28=$Z$2)),$AB$12,IF(OR(AND($E28=$Z$3,$F28=$Z$4),AND($E28=$Z$4,$F28=$Z$3)),$AB$13,IF(AND($E28=$Z$3,$F28=$Z$3),2*$AB$13,0)))))</f>
        <v>0</v>
      </c>
      <c r="I28" s="27">
        <f>IF(AND($E28=$Z$2,$F28=$Z$2),2*$AE$12*$K28/27,IF(OR(AND($E28=$Z$2,$F28=$Z$3),AND($E28=$Z$3,$F28=$Z$2)),($AE$12+$AE$13)*$K28/27,IF(OR(AND($E28=$Z$2,$F28=$Z$4),AND($E28=$Z$4,$F28=$Z$2)),$AE$12*$K28/27,IF(OR(AND($E28=$Z$3,$F28=$Z$4),AND($E28=$Z$4,$F28=$Z$3)),$AE$13*$K28/27,IF(AND($E28=$Z$3,$F28=$Z$3),2*$AE$13*$K28/27,0)))))</f>
        <v>0</v>
      </c>
      <c r="J28" s="78">
        <f>IF(OR(AND($E28=$Z$2,$F28=$Z$4),AND($E28=$Z$4,$F28=$Z$2)),$AH$14,IF(OR(AND($E28=$Z$3,$F28=$Z$4),AND($E28=$Z$4,$F28=$Z$3)),$AH$14,IF(AND($E28=$Z$4,$F28=$Z$4),2*$AH$14,0)))</f>
        <v>0</v>
      </c>
      <c r="K28" s="343" t="s">
        <v>97</v>
      </c>
      <c r="L28" s="342" t="s">
        <v>97</v>
      </c>
      <c r="M28" s="124">
        <f t="shared" ref="M28:M36" si="7">IF(L28="-",0,ROUNDUP($K28*L28,0))</f>
        <v>0</v>
      </c>
      <c r="N28" s="344">
        <v>0</v>
      </c>
      <c r="O28" s="123">
        <f t="shared" si="0"/>
        <v>0</v>
      </c>
      <c r="P28" s="344">
        <v>0</v>
      </c>
      <c r="Q28" s="83">
        <f t="shared" ref="Q28:Q32" si="8">S28/2000</f>
        <v>0</v>
      </c>
      <c r="R28" s="347">
        <v>0</v>
      </c>
      <c r="S28" s="347">
        <v>0</v>
      </c>
      <c r="T28" s="347">
        <v>0</v>
      </c>
      <c r="U28" s="348">
        <v>33</v>
      </c>
      <c r="V28" s="347">
        <v>0</v>
      </c>
      <c r="W28" s="367">
        <v>0</v>
      </c>
      <c r="X28" s="454">
        <f t="shared" ref="X28:X32" si="9">IF(AND($E28=$F28="Uncurbed"),(2*$K28*2*$X$1/12)/27,IF(OR($E28="Uncurbed",$F28="Uncurbed"),($K28*2*$X$1/12)/27,IF(OR(AND($E28="Med. Barr.",$F28="Curbed"),AND($E28="Curbed",$F28="Med. Barr."),$E28=$F28,$E28="Unique",$F28="Unique",$E28="-",$F28="-"),0,"?")))</f>
        <v>0</v>
      </c>
    </row>
    <row r="29" spans="1:26" ht="12.75" customHeight="1" x14ac:dyDescent="0.2">
      <c r="B29" s="335">
        <v>86300</v>
      </c>
      <c r="C29" s="336">
        <v>86449.64</v>
      </c>
      <c r="D29" s="337" t="s">
        <v>30</v>
      </c>
      <c r="E29" s="337" t="s">
        <v>101</v>
      </c>
      <c r="F29" s="337" t="s">
        <v>101</v>
      </c>
      <c r="G29" s="103" t="str">
        <f>IF(AND($E29=$Z$2,$F29=$Z$2),$AB$2,IF(OR(AND($E29=$Z$2,$F29=$Z$3),AND($E29=$Z$3,$F29=$Z$2)),$AB$3,IF(OR(AND($E29=$Z$2,$F29=$Z$4),AND($E29=$Z$4,$F29=$Z$2)),$AB$4,IF(OR(AND($E29=$Z$3,$F29=$Z$4),AND($E29=$Z$4,$F29=$Z$3)),$AB$5,IF(AND($E29=$Z$3,$F29=$Z$3),$AB$6,IF(AND($E29=$Z$4,$F29=$Z$4),$AB$7,"-"))))))</f>
        <v>E/S - E/S</v>
      </c>
      <c r="H29" s="26">
        <f>IF(AND($E29=$Z$2,$F29=$Z$2),2*$AB$12,IF(OR(AND($E29=$Z$2, $F29=$Z$3),AND($E29=$Z$3,$F29=$Z$2)),$AB$12+$AB$13,IF(OR(AND($E29=$Z$2,$F29=$Z$4),AND($E29=$Z$4,$F29=$Z$2)),$AB$12,IF(OR(AND($E29=$Z$3,$F29=$Z$4),AND($E29=$Z$4,$F29=$Z$3)),$AB$13,IF(AND($E29=$Z$3,$F29=$Z$3),2*$AB$13,0)))))</f>
        <v>3</v>
      </c>
      <c r="I29" s="27">
        <f>IF(AND($E29=$Z$2,$F29=$Z$2),2*$AE$12*$K29/27,IF(OR(AND($E29=$Z$2,$F29=$Z$3),AND($E29=$Z$3,$F29=$Z$2)),($AE$12+$AE$13)*$K29/27,IF(OR(AND($E29=$Z$2,$F29=$Z$4),AND($E29=$Z$4,$F29=$Z$2)),$AE$12*$K29/27,IF(OR(AND($E29=$Z$3,$F29=$Z$4),AND($E29=$Z$4,$F29=$Z$3)),$AE$13*$K29/27,IF(AND($E29=$Z$3,$F29=$Z$3),2*$AE$13*$K29/27,0)))))</f>
        <v>8.3133333333333006</v>
      </c>
      <c r="J29" s="78">
        <f>IF(OR(AND($E29=$Z$2,$F29=$Z$4),AND($E29=$Z$4,$F29=$Z$2)),$AH$14,IF(OR(AND($E29=$Z$3,$F29=$Z$4),AND($E29=$Z$4,$F29=$Z$3)),$AH$14,IF(AND($E29=$Z$4,$F29=$Z$4),2*$AH$14,0)))</f>
        <v>0</v>
      </c>
      <c r="K29" s="83">
        <f t="shared" ref="K29:K32" si="10">C29-B29</f>
        <v>149.63999999999942</v>
      </c>
      <c r="L29" s="342">
        <v>33</v>
      </c>
      <c r="M29" s="124">
        <f t="shared" si="7"/>
        <v>4939</v>
      </c>
      <c r="N29" s="344">
        <v>0</v>
      </c>
      <c r="O29" s="123">
        <f t="shared" ref="O29:O31" si="11">SUM(M29:N29)</f>
        <v>4939</v>
      </c>
      <c r="P29" s="344">
        <v>0</v>
      </c>
      <c r="Q29" s="83">
        <f t="shared" si="8"/>
        <v>0.29932888888888881</v>
      </c>
      <c r="R29" s="85">
        <f>IF(A29="APP SLAB",0,S29)</f>
        <v>598.6577777777776</v>
      </c>
      <c r="S29" s="85">
        <f>IF(OR(A29="APP SLAB",O29=0),0,(O29+H29*K29)/9)</f>
        <v>598.6577777777776</v>
      </c>
      <c r="T29" s="85">
        <f>IF(A29="APP SLAB",0,$R$1*S29*110*0.06*0.75/2000)</f>
        <v>17.780135999999995</v>
      </c>
      <c r="U29" s="348">
        <v>0</v>
      </c>
      <c r="V29" s="85">
        <f>IF(O29=0,0,(O29*$U$1/12)/27+I29)</f>
        <v>99.776296296296266</v>
      </c>
      <c r="W29" s="111">
        <f>IF(OR(A29="APP SLAB",O29=0),0,(O29+J29*K29)/9)</f>
        <v>548.77777777777783</v>
      </c>
      <c r="X29" s="454">
        <f t="shared" si="9"/>
        <v>5.5422222222222004</v>
      </c>
    </row>
    <row r="30" spans="1:26" ht="12.75" customHeight="1" x14ac:dyDescent="0.2">
      <c r="A30" s="113"/>
      <c r="B30" s="335">
        <v>86449.64</v>
      </c>
      <c r="C30" s="336">
        <v>86499.64</v>
      </c>
      <c r="D30" s="337" t="s">
        <v>30</v>
      </c>
      <c r="E30" s="337" t="s">
        <v>101</v>
      </c>
      <c r="F30" s="337" t="s">
        <v>101</v>
      </c>
      <c r="G30" s="103" t="str">
        <f>IF(AND($E30=$Z$2,$F30=$Z$2),$AB$2,IF(OR(AND($E30=$Z$2,$F30=$Z$3),AND($E30=$Z$3,$F30=$Z$2)),$AB$3,IF(OR(AND($E30=$Z$2,$F30=$Z$4),AND($E30=$Z$4,$F30=$Z$2)),$AB$4,IF(OR(AND($E30=$Z$3,$F30=$Z$4),AND($E30=$Z$4,$F30=$Z$3)),$AB$5,IF(AND($E30=$Z$3,$F30=$Z$3),$AB$6,IF(AND($E30=$Z$4,$F30=$Z$4),$AB$7,"-"))))))</f>
        <v>E/S - E/S</v>
      </c>
      <c r="H30" s="26">
        <f>IF(AND($E30=$Z$2,$F30=$Z$2),2*$AB$12,IF(OR(AND($E30=$Z$2, $F30=$Z$3),AND($E30=$Z$3,$F30=$Z$2)),$AB$12+$AB$13,IF(OR(AND($E30=$Z$2,$F30=$Z$4),AND($E30=$Z$4,$F30=$Z$2)),$AB$12,IF(OR(AND($E30=$Z$3,$F30=$Z$4),AND($E30=$Z$4,$F30=$Z$3)),$AB$13,IF(AND($E30=$Z$3,$F30=$Z$3),2*$AB$13,0)))))</f>
        <v>3</v>
      </c>
      <c r="I30" s="27">
        <f>IF(AND($E30=$Z$2,$F30=$Z$2),2*$AE$12*$K30/27,IF(OR(AND($E30=$Z$2,$F30=$Z$3),AND($E30=$Z$3,$F30=$Z$2)),($AE$12+$AE$13)*$K30/27,IF(OR(AND($E30=$Z$2,$F30=$Z$4),AND($E30=$Z$4,$F30=$Z$2)),$AE$12*$K30/27,IF(OR(AND($E30=$Z$3,$F30=$Z$4),AND($E30=$Z$4,$F30=$Z$3)),$AE$13*$K30/27,IF(AND($E30=$Z$3,$F30=$Z$3),2*$AE$13*$K30/27,0)))))</f>
        <v>2.7777777777777777</v>
      </c>
      <c r="J30" s="78">
        <f>IF(OR(AND($E30=$Z$2,$F30=$Z$4),AND($E30=$Z$4,$F30=$Z$2)),$AH$14,IF(OR(AND($E30=$Z$3,$F30=$Z$4),AND($E30=$Z$4,$F30=$Z$3)),$AH$14,IF(AND($E30=$Z$4,$F30=$Z$4),2*$AH$14,0)))</f>
        <v>0</v>
      </c>
      <c r="K30" s="83">
        <f t="shared" si="10"/>
        <v>50</v>
      </c>
      <c r="L30" s="342">
        <v>29</v>
      </c>
      <c r="M30" s="124">
        <f t="shared" si="7"/>
        <v>1450</v>
      </c>
      <c r="N30" s="344">
        <v>0</v>
      </c>
      <c r="O30" s="123">
        <f t="shared" si="11"/>
        <v>1450</v>
      </c>
      <c r="P30" s="344">
        <v>0</v>
      </c>
      <c r="Q30" s="83">
        <f t="shared" si="8"/>
        <v>8.8888888888888892E-2</v>
      </c>
      <c r="R30" s="85">
        <f>IF(A30="APP SLAB",0,S30)</f>
        <v>177.77777777777777</v>
      </c>
      <c r="S30" s="85">
        <f>IF(OR(A30="APP SLAB",O30=0),0,(O30+H30*K30)/9)</f>
        <v>177.77777777777777</v>
      </c>
      <c r="T30" s="85">
        <f>IF(A30="APP SLAB",0,$R$1*S30*110*0.06*0.75/2000)</f>
        <v>5.2799999999999985</v>
      </c>
      <c r="U30" s="348">
        <v>0</v>
      </c>
      <c r="V30" s="85">
        <f>IF(O30=0,0,(O30*$U$1/12)/27+I30)</f>
        <v>29.62962962962963</v>
      </c>
      <c r="W30" s="111">
        <f>IF(OR(A30="APP SLAB",O30=0),0,(O30+J30*K30)/9)</f>
        <v>161.11111111111111</v>
      </c>
      <c r="X30" s="454">
        <f t="shared" si="9"/>
        <v>1.8518518518518519</v>
      </c>
    </row>
    <row r="31" spans="1:26" ht="12.75" customHeight="1" x14ac:dyDescent="0.2">
      <c r="A31" s="113"/>
      <c r="B31" s="335">
        <v>86499.64</v>
      </c>
      <c r="C31" s="336">
        <v>86826.03</v>
      </c>
      <c r="D31" s="337" t="s">
        <v>30</v>
      </c>
      <c r="E31" s="337" t="s">
        <v>101</v>
      </c>
      <c r="F31" s="337" t="s">
        <v>101</v>
      </c>
      <c r="G31" s="103" t="str">
        <f>IF(AND($E31=$Z$2,$F31=$Z$2),$AB$2,IF(OR(AND($E31=$Z$2,$F31=$Z$3),AND($E31=$Z$3,$F31=$Z$2)),$AB$3,IF(OR(AND($E31=$Z$2,$F31=$Z$4),AND($E31=$Z$4,$F31=$Z$2)),$AB$4,IF(OR(AND($E31=$Z$3,$F31=$Z$4),AND($E31=$Z$4,$F31=$Z$3)),$AB$5,IF(AND($E31=$Z$3,$F31=$Z$3),$AB$6,IF(AND($E31=$Z$4,$F31=$Z$4),$AB$7,"-"))))))</f>
        <v>E/S - E/S</v>
      </c>
      <c r="H31" s="26">
        <f>IF(AND($E31=$Z$2,$F31=$Z$2),2*$AB$12,IF(OR(AND($E31=$Z$2, $F31=$Z$3),AND($E31=$Z$3,$F31=$Z$2)),$AB$12+$AB$13,IF(OR(AND($E31=$Z$2,$F31=$Z$4),AND($E31=$Z$4,$F31=$Z$2)),$AB$12,IF(OR(AND($E31=$Z$3,$F31=$Z$4),AND($E31=$Z$4,$F31=$Z$3)),$AB$13,IF(AND($E31=$Z$3,$F31=$Z$3),2*$AB$13,0)))))</f>
        <v>3</v>
      </c>
      <c r="I31" s="27">
        <f>IF(AND($E31=$Z$2,$F31=$Z$2),2*$AE$12*$K31/27,IF(OR(AND($E31=$Z$2,$F31=$Z$3),AND($E31=$Z$3,$F31=$Z$2)),($AE$12+$AE$13)*$K31/27,IF(OR(AND($E31=$Z$2,$F31=$Z$4),AND($E31=$Z$4,$F31=$Z$2)),$AE$12*$K31/27,IF(OR(AND($E31=$Z$3,$F31=$Z$4),AND($E31=$Z$4,$F31=$Z$3)),$AE$13*$K31/27,IF(AND($E31=$Z$3,$F31=$Z$3),2*$AE$13*$K31/27,0)))))</f>
        <v>18.132777777777747</v>
      </c>
      <c r="J31" s="78">
        <f>IF(OR(AND($E31=$Z$2,$F31=$Z$4),AND($E31=$Z$4,$F31=$Z$2)),$AH$14,IF(OR(AND($E31=$Z$3,$F31=$Z$4),AND($E31=$Z$4,$F31=$Z$3)),$AH$14,IF(AND($E31=$Z$4,$F31=$Z$4),2*$AH$14,0)))</f>
        <v>0</v>
      </c>
      <c r="K31" s="83">
        <f t="shared" si="10"/>
        <v>326.38999999999942</v>
      </c>
      <c r="L31" s="342">
        <v>25</v>
      </c>
      <c r="M31" s="124">
        <f t="shared" si="7"/>
        <v>8160</v>
      </c>
      <c r="N31" s="344">
        <v>0</v>
      </c>
      <c r="O31" s="123">
        <f t="shared" si="11"/>
        <v>8160</v>
      </c>
      <c r="P31" s="344">
        <v>0</v>
      </c>
      <c r="Q31" s="83">
        <f t="shared" si="8"/>
        <v>0.50773166666666658</v>
      </c>
      <c r="R31" s="85">
        <f>IF(A31="APP SLAB",0,S31)</f>
        <v>1015.4633333333331</v>
      </c>
      <c r="S31" s="85">
        <f>IF(OR(A31="APP SLAB",O31=0),0,(O31+H31*K31)/9)</f>
        <v>1015.4633333333331</v>
      </c>
      <c r="T31" s="85">
        <f>IF(A31="APP SLAB",0,$R$1*S31*110*0.06*0.75/2000)</f>
        <v>30.15926099999999</v>
      </c>
      <c r="U31" s="348">
        <v>0</v>
      </c>
      <c r="V31" s="85">
        <f>IF(O31=0,0,(O31*$U$1/12)/27+I31)</f>
        <v>169.24388888888888</v>
      </c>
      <c r="W31" s="111">
        <f>IF(OR(A31="APP SLAB",O31=0),0,(O31+J31*K31)/9)</f>
        <v>906.66666666666663</v>
      </c>
      <c r="X31" s="454">
        <f t="shared" si="9"/>
        <v>12.088518518518496</v>
      </c>
    </row>
    <row r="32" spans="1:26" ht="12.75" customHeight="1" x14ac:dyDescent="0.2">
      <c r="A32" s="106"/>
      <c r="B32" s="335">
        <v>86826.03</v>
      </c>
      <c r="C32" s="336">
        <v>86876.03</v>
      </c>
      <c r="D32" s="337" t="s">
        <v>30</v>
      </c>
      <c r="E32" s="337" t="s">
        <v>101</v>
      </c>
      <c r="F32" s="337" t="s">
        <v>101</v>
      </c>
      <c r="G32" s="103" t="str">
        <f>IF(AND($E32=$Z$2,$F32=$Z$2),$AB$2,IF(OR(AND($E32=$Z$2,$F32=$Z$3),AND($E32=$Z$3,$F32=$Z$2)),$AB$3,IF(OR(AND($E32=$Z$2,$F32=$Z$4),AND($E32=$Z$4,$F32=$Z$2)),$AB$4,IF(OR(AND($E32=$Z$3,$F32=$Z$4),AND($E32=$Z$4,$F32=$Z$3)),$AB$5,IF(AND($E32=$Z$3,$F32=$Z$3),$AB$6,IF(AND($E32=$Z$4,$F32=$Z$4),$AB$7,"-"))))))</f>
        <v>E/S - E/S</v>
      </c>
      <c r="H32" s="26">
        <f>IF(AND($E32=$Z$2,$F32=$Z$2),2*$AB$12,IF(OR(AND($E32=$Z$2, $F32=$Z$3),AND($E32=$Z$3,$F32=$Z$2)),$AB$12+$AB$13,IF(OR(AND($E32=$Z$2,$F32=$Z$4),AND($E32=$Z$4,$F32=$Z$2)),$AB$12,IF(OR(AND($E32=$Z$3,$F32=$Z$4),AND($E32=$Z$4,$F32=$Z$3)),$AB$13,IF(AND($E32=$Z$3,$F32=$Z$3),2*$AB$13,0)))))</f>
        <v>3</v>
      </c>
      <c r="I32" s="27">
        <f>IF(AND($E32=$Z$2,$F32=$Z$2),2*$AE$12*$K32/27,IF(OR(AND($E32=$Z$2,$F32=$Z$3),AND($E32=$Z$3,$F32=$Z$2)),($AE$12+$AE$13)*$K32/27,IF(OR(AND($E32=$Z$2,$F32=$Z$4),AND($E32=$Z$4,$F32=$Z$2)),$AE$12*$K32/27,IF(OR(AND($E32=$Z$3,$F32=$Z$4),AND($E32=$Z$4,$F32=$Z$3)),$AE$13*$K32/27,IF(AND($E32=$Z$3,$F32=$Z$3),2*$AE$13*$K32/27,0)))))</f>
        <v>2.7777777777777777</v>
      </c>
      <c r="J32" s="78">
        <f>IF(OR(AND($E32=$Z$2,$F32=$Z$4),AND($E32=$Z$4,$F32=$Z$2)),$AH$14,IF(OR(AND($E32=$Z$3,$F32=$Z$4),AND($E32=$Z$4,$F32=$Z$3)),$AH$14,IF(AND($E32=$Z$4,$F32=$Z$4),2*$AH$14,0)))</f>
        <v>0</v>
      </c>
      <c r="K32" s="83">
        <f t="shared" si="10"/>
        <v>50</v>
      </c>
      <c r="L32" s="342">
        <v>26</v>
      </c>
      <c r="M32" s="124">
        <f t="shared" si="7"/>
        <v>1300</v>
      </c>
      <c r="N32" s="344">
        <v>0</v>
      </c>
      <c r="O32" s="123">
        <f t="shared" si="0"/>
        <v>1300</v>
      </c>
      <c r="P32" s="344">
        <v>0</v>
      </c>
      <c r="Q32" s="83">
        <f t="shared" si="8"/>
        <v>8.0555555555555561E-2</v>
      </c>
      <c r="R32" s="85">
        <f>IF(A32="APP SLAB",0,S32)</f>
        <v>161.11111111111111</v>
      </c>
      <c r="S32" s="85">
        <f>IF(OR(A32="APP SLAB",O32=0),0,(O32+H32*K32)/9)</f>
        <v>161.11111111111111</v>
      </c>
      <c r="T32" s="85">
        <f>IF(A32="APP SLAB",0,$R$1*S32*110*0.06*0.75/2000)</f>
        <v>4.7850000000000001</v>
      </c>
      <c r="U32" s="348">
        <v>0</v>
      </c>
      <c r="V32" s="85">
        <f>IF(O32=0,0,(O32*$U$1/12)/27+I32)</f>
        <v>26.851851851851851</v>
      </c>
      <c r="W32" s="111">
        <f>IF(OR(A32="APP SLAB",O32=0),0,(O32+J32*K32)/9)</f>
        <v>144.44444444444446</v>
      </c>
      <c r="X32" s="454">
        <f t="shared" si="9"/>
        <v>1.8518518518518519</v>
      </c>
    </row>
    <row r="33" spans="1:24" ht="12.75" customHeight="1" thickBot="1" x14ac:dyDescent="0.25">
      <c r="A33" s="106"/>
      <c r="B33" s="107"/>
      <c r="C33" s="8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70"/>
      <c r="V33" s="32"/>
      <c r="W33" s="32"/>
      <c r="X33" s="32"/>
    </row>
    <row r="34" spans="1:24" ht="12.75" customHeight="1" x14ac:dyDescent="0.2">
      <c r="A34" s="106"/>
      <c r="B34" s="661" t="s">
        <v>71</v>
      </c>
      <c r="C34" s="662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49"/>
      <c r="V34" s="100"/>
      <c r="W34" s="100"/>
      <c r="X34" s="100"/>
    </row>
    <row r="35" spans="1:24" ht="12.75" customHeight="1" x14ac:dyDescent="0.2">
      <c r="A35" s="106"/>
      <c r="B35" s="736">
        <v>86171.29</v>
      </c>
      <c r="C35" s="737"/>
      <c r="D35" s="337" t="s">
        <v>30</v>
      </c>
      <c r="E35" s="337" t="s">
        <v>97</v>
      </c>
      <c r="F35" s="337" t="s">
        <v>97</v>
      </c>
      <c r="G35" s="103" t="str">
        <f>IF(AND($E35=$Z$2,$F35=$Z$2),$AB$2,IF(OR(AND($E35=$Z$2,$F35=$Z$3),AND($E35=$Z$3,$F35=$Z$2)),$AB$3,IF(OR(AND($E35=$Z$2,$F35=$Z$4),AND($E35=$Z$4,$F35=$Z$2)),$AB$4,IF(OR(AND($E35=$Z$3,$F35=$Z$4),AND($E35=$Z$4,$F35=$Z$3)),$AB$5,IF(AND($E35=$Z$3,$F35=$Z$3),$AB$6,IF(AND($E35=$Z$4,$F35=$Z$4),$AB$7,"-"))))))</f>
        <v>-</v>
      </c>
      <c r="H35" s="26">
        <f>IF(AND($E35=$Z$2,$F35=$Z$2),2*$AB$12,IF(OR(AND($E35=$Z$2, $F35=$Z$3),AND($E35=$Z$3,$F35=$Z$2)),$AB$12+$AB$13,IF(OR(AND($E35=$Z$2,$F35=$Z$4),AND($E35=$Z$4,$F35=$Z$2)),$AB$12,IF(OR(AND($E35=$Z$3,$F35=$Z$4),AND($E35=$Z$4,$F35=$Z$3)),$AB$13,IF(AND($E35=$Z$3,$F35=$Z$3),2*$AB$13,0)))))</f>
        <v>0</v>
      </c>
      <c r="I35" s="27">
        <f>IF(AND($E35=$Z$2,$F35=$Z$2),2*$AE$12*$K35/27,IF(OR(AND($E35=$Z$2,$F35=$Z$3),AND($E35=$Z$3,$F35=$Z$2)),($AE$12+$AE$13)*$K35/27,IF(OR(AND($E35=$Z$2,$F35=$Z$4),AND($E35=$Z$4,$F35=$Z$2)),$AE$12*$K35/27,IF(OR(AND($E35=$Z$3,$F35=$Z$4),AND($E35=$Z$4,$F35=$Z$3)),$AE$13*$K35/27,IF(AND($E35=$Z$3,$F35=$Z$3),2*$AE$13*$K35/27,0)))))</f>
        <v>0</v>
      </c>
      <c r="J35" s="78">
        <f>IF(OR(AND($E35=$Z$2,$F35=$Z$4),AND($E35=$Z$4,$F35=$Z$2)),$AH$14,IF(OR(AND($E35=$Z$3,$F35=$Z$4),AND($E35=$Z$4,$F35=$Z$3)),$AH$14,IF(AND($E35=$Z$4,$F35=$Z$4),2*$AH$14,0)))</f>
        <v>0</v>
      </c>
      <c r="K35" s="343" t="s">
        <v>97</v>
      </c>
      <c r="L35" s="342" t="s">
        <v>97</v>
      </c>
      <c r="M35" s="124">
        <f t="shared" si="7"/>
        <v>0</v>
      </c>
      <c r="N35" s="344">
        <v>0</v>
      </c>
      <c r="O35" s="123">
        <f t="shared" si="0"/>
        <v>0</v>
      </c>
      <c r="P35" s="344">
        <v>0</v>
      </c>
      <c r="Q35" s="83">
        <f t="shared" ref="Q35:Q36" si="12">S35/2000</f>
        <v>0</v>
      </c>
      <c r="R35" s="347">
        <v>0</v>
      </c>
      <c r="S35" s="347">
        <v>0</v>
      </c>
      <c r="T35" s="347">
        <v>0</v>
      </c>
      <c r="U35" s="348">
        <v>25</v>
      </c>
      <c r="V35" s="347">
        <v>0</v>
      </c>
      <c r="W35" s="367">
        <v>0</v>
      </c>
      <c r="X35" s="454">
        <f t="shared" ref="X35:X36" si="13">IF(AND($E35=$F35="Uncurbed"),(2*$K35*2*$X$1/12)/27,IF(OR($E35="Uncurbed",$F35="Uncurbed"),($K35*2*$X$1/12)/27,IF(OR(AND($E35="Med. Barr.",$F35="Curbed"),AND($E35="Curbed",$F35="Med. Barr."),$E35=$F35,$E35="Unique",$F35="Unique",$E35="-",$F35="-"),0,"?")))</f>
        <v>0</v>
      </c>
    </row>
    <row r="36" spans="1:24" ht="12.75" customHeight="1" x14ac:dyDescent="0.2">
      <c r="A36" s="106"/>
      <c r="B36" s="335">
        <v>86171.29</v>
      </c>
      <c r="C36" s="336">
        <v>86937.47</v>
      </c>
      <c r="D36" s="337" t="s">
        <v>30</v>
      </c>
      <c r="E36" s="337" t="s">
        <v>101</v>
      </c>
      <c r="F36" s="337" t="s">
        <v>101</v>
      </c>
      <c r="G36" s="103" t="str">
        <f>IF(AND($E36=$Z$2,$F36=$Z$2),$AB$2,IF(OR(AND($E36=$Z$2,$F36=$Z$3),AND($E36=$Z$3,$F36=$Z$2)),$AB$3,IF(OR(AND($E36=$Z$2,$F36=$Z$4),AND($E36=$Z$4,$F36=$Z$2)),$AB$4,IF(OR(AND($E36=$Z$3,$F36=$Z$4),AND($E36=$Z$4,$F36=$Z$3)),$AB$5,IF(AND($E36=$Z$3,$F36=$Z$3),$AB$6,IF(AND($E36=$Z$4,$F36=$Z$4),$AB$7,"-"))))))</f>
        <v>E/S - E/S</v>
      </c>
      <c r="H36" s="26">
        <f>IF(AND($E36=$Z$2,$F36=$Z$2),2*$AB$12,IF(OR(AND($E36=$Z$2, $F36=$Z$3),AND($E36=$Z$3,$F36=$Z$2)),$AB$12+$AB$13,IF(OR(AND($E36=$Z$2,$F36=$Z$4),AND($E36=$Z$4,$F36=$Z$2)),$AB$12,IF(OR(AND($E36=$Z$3,$F36=$Z$4),AND($E36=$Z$4,$F36=$Z$3)),$AB$13,IF(AND($E36=$Z$3,$F36=$Z$3),2*$AB$13,0)))))</f>
        <v>3</v>
      </c>
      <c r="I36" s="27">
        <f>IF(AND($E36=$Z$2,$F36=$Z$2),2*$AE$12*$K36/27,IF(OR(AND($E36=$Z$2,$F36=$Z$3),AND($E36=$Z$3,$F36=$Z$2)),($AE$12+$AE$13)*$K36/27,IF(OR(AND($E36=$Z$2,$F36=$Z$4),AND($E36=$Z$4,$F36=$Z$2)),$AE$12*$K36/27,IF(OR(AND($E36=$Z$3,$F36=$Z$4),AND($E36=$Z$4,$F36=$Z$3)),$AE$13*$K36/27,IF(AND($E36=$Z$3,$F36=$Z$3),2*$AE$13*$K36/27,0)))))</f>
        <v>42.565555555555974</v>
      </c>
      <c r="J36" s="78">
        <f>IF(OR(AND($E36=$Z$2,$F36=$Z$4),AND($E36=$Z$4,$F36=$Z$2)),$AH$14,IF(OR(AND($E36=$Z$3,$F36=$Z$4),AND($E36=$Z$4,$F36=$Z$3)),$AH$14,IF(AND($E36=$Z$4,$F36=$Z$4),2*$AH$14,0)))</f>
        <v>0</v>
      </c>
      <c r="K36" s="83">
        <f t="shared" ref="K36" si="14">C36-B36</f>
        <v>766.18000000000757</v>
      </c>
      <c r="L36" s="342">
        <v>25</v>
      </c>
      <c r="M36" s="124">
        <f t="shared" si="7"/>
        <v>19155</v>
      </c>
      <c r="N36" s="344">
        <v>0</v>
      </c>
      <c r="O36" s="123">
        <f t="shared" si="0"/>
        <v>19155</v>
      </c>
      <c r="P36" s="344">
        <v>0</v>
      </c>
      <c r="Q36" s="83">
        <f t="shared" si="12"/>
        <v>1.1918633333333346</v>
      </c>
      <c r="R36" s="85">
        <f>IF(A36="APP SLAB",0,S36)</f>
        <v>2383.7266666666692</v>
      </c>
      <c r="S36" s="85">
        <f>IF(OR(A36="APP SLAB",O36=0),0,(O36+H36*K36)/9)</f>
        <v>2383.7266666666692</v>
      </c>
      <c r="T36" s="85">
        <f>IF(A36="APP SLAB",0,$R$1*S36*110*0.06*0.75/2000)</f>
        <v>70.796682000000075</v>
      </c>
      <c r="U36" s="348">
        <v>0</v>
      </c>
      <c r="V36" s="85">
        <f>IF(O36=0,0,(O36*$U$1/12)/27+I36)</f>
        <v>397.28777777777822</v>
      </c>
      <c r="W36" s="111">
        <f>IF(OR(A36="APP SLAB",O36=0),0,(O36+J36*K36)/9)</f>
        <v>2128.3333333333335</v>
      </c>
      <c r="X36" s="454">
        <f t="shared" si="13"/>
        <v>28.377037037037319</v>
      </c>
    </row>
    <row r="37" spans="1:24" ht="12.75" customHeight="1" thickBot="1" x14ac:dyDescent="0.25">
      <c r="A37" s="106"/>
      <c r="B37" s="107"/>
      <c r="C37" s="82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70"/>
      <c r="V37" s="104"/>
      <c r="W37" s="104"/>
      <c r="X37" s="104"/>
    </row>
    <row r="38" spans="1:24" ht="12.75" customHeight="1" x14ac:dyDescent="0.2">
      <c r="B38" s="661" t="s">
        <v>72</v>
      </c>
      <c r="C38" s="662"/>
      <c r="D38" s="100"/>
      <c r="E38" s="100"/>
      <c r="F38" s="100"/>
      <c r="G38" s="100"/>
      <c r="H38" s="100"/>
      <c r="I38" s="100"/>
      <c r="J38" s="100"/>
      <c r="K38" s="101"/>
      <c r="L38" s="101"/>
      <c r="M38" s="118"/>
      <c r="N38" s="118"/>
      <c r="O38" s="118"/>
      <c r="P38" s="118"/>
      <c r="Q38" s="118"/>
      <c r="R38" s="101"/>
      <c r="S38" s="101"/>
      <c r="T38" s="102"/>
      <c r="U38" s="49"/>
      <c r="V38" s="110"/>
      <c r="W38" s="109"/>
      <c r="X38" s="109"/>
    </row>
    <row r="39" spans="1:24" ht="12.75" customHeight="1" x14ac:dyDescent="0.2">
      <c r="B39" s="335">
        <v>91744.72</v>
      </c>
      <c r="C39" s="336">
        <v>92200</v>
      </c>
      <c r="D39" s="337" t="s">
        <v>30</v>
      </c>
      <c r="E39" s="337" t="s">
        <v>102</v>
      </c>
      <c r="F39" s="337" t="s">
        <v>101</v>
      </c>
      <c r="G39" s="103" t="str">
        <f>IF(AND($E39=$Z$2,$F39=$Z$2),$AB$2,IF(OR(AND($E39=$Z$2,$F39=$Z$3),AND($E39=$Z$3,$F39=$Z$2)),$AB$3,IF(OR(AND($E39=$Z$2,$F39=$Z$4),AND($E39=$Z$4,$F39=$Z$2)),$AB$4,IF(OR(AND($E39=$Z$3,$F39=$Z$4),AND($E39=$Z$4,$F39=$Z$3)),$AB$5,IF(AND($E39=$Z$3,$F39=$Z$3),$AB$6,IF(AND($E39=$Z$4,$F39=$Z$4),$AB$7,"-"))))))</f>
        <v>E/S - F/C</v>
      </c>
      <c r="H39" s="26">
        <f>IF(AND($E39=$Z$2,$F39=$Z$2),2*$AB$12,IF(OR(AND($E39=$Z$2, $F39=$Z$3),AND($E39=$Z$3,$F39=$Z$2)),$AB$12+$AB$13,IF(OR(AND($E39=$Z$2,$F39=$Z$4),AND($E39=$Z$4,$F39=$Z$2)),$AB$12,IF(OR(AND($E39=$Z$3,$F39=$Z$4),AND($E39=$Z$4,$F39=$Z$3)),$AB$13,IF(AND($E39=$Z$3,$F39=$Z$3),2*$AB$13,0)))))</f>
        <v>3.5</v>
      </c>
      <c r="I39" s="27">
        <f>IF(AND($E39=$Z$2,$F39=$Z$2),2*$AE$12*$K39/27,IF(OR(AND($E39=$Z$2,$F39=$Z$3),AND($E39=$Z$3,$F39=$Z$2)),($AE$12+$AE$13)*$K39/27,IF(OR(AND($E39=$Z$2,$F39=$Z$4),AND($E39=$Z$4,$F39=$Z$2)),$AE$12*$K39/27,IF(OR(AND($E39=$Z$3,$F39=$Z$4),AND($E39=$Z$4,$F39=$Z$3)),$AE$13*$K39/27,IF(AND($E39=$Z$3,$F39=$Z$3),2*$AE$13*$K39/27,0)))))</f>
        <v>25.293333333333269</v>
      </c>
      <c r="J39" s="78">
        <f>IF(OR(AND($E39=$Z$2,$F39=$Z$4),AND($E39=$Z$4,$F39=$Z$2)),$AH$14,IF(OR(AND($E39=$Z$3,$F39=$Z$4),AND($E39=$Z$4,$F39=$Z$3)),$AH$14,IF(AND($E39=$Z$4,$F39=$Z$4),2*$AH$14,0)))</f>
        <v>0</v>
      </c>
      <c r="K39" s="83">
        <f>C39-B39</f>
        <v>455.27999999999884</v>
      </c>
      <c r="L39" s="342">
        <v>27</v>
      </c>
      <c r="M39" s="124">
        <f>IF(L39="-",0,ROUNDUP($K39*L39,0))</f>
        <v>12293</v>
      </c>
      <c r="N39" s="344">
        <v>0</v>
      </c>
      <c r="O39" s="123">
        <f t="shared" ref="O39:O57" si="15">SUM(M39:N39)</f>
        <v>12293</v>
      </c>
      <c r="P39" s="344">
        <v>0</v>
      </c>
      <c r="Q39" s="83">
        <f t="shared" ref="Q39:Q40" si="16">S39/2000</f>
        <v>0.77147111111111089</v>
      </c>
      <c r="R39" s="85">
        <f>IF(A39="APP SLAB",0,S39)</f>
        <v>1542.9422222222217</v>
      </c>
      <c r="S39" s="85">
        <f>IF(OR(A39="APP SLAB",O39=0),0,(O39+H39*K39)/9)</f>
        <v>1542.9422222222217</v>
      </c>
      <c r="T39" s="85">
        <f>IF(A39="APP SLAB",0,$R$1*S39*110*0.06*0.75/2000)</f>
        <v>45.825383999999985</v>
      </c>
      <c r="U39" s="348">
        <v>0</v>
      </c>
      <c r="V39" s="85">
        <f>IF(O39=0,0,(O39*$U$1/12)/27+I39)</f>
        <v>252.94148148148142</v>
      </c>
      <c r="W39" s="111">
        <f>IF(OR(A39="APP SLAB",O39=0),0,(O39+J39*K39)/9)</f>
        <v>1365.8888888888889</v>
      </c>
      <c r="X39" s="454">
        <f t="shared" ref="X39:X40" si="17">IF(AND($E39=$F39="Uncurbed"),(2*$K39*2*$X$1/12)/27,IF(OR($E39="Uncurbed",$F39="Uncurbed"),($K39*2*$X$1/12)/27,IF(OR(AND($E39="Med. Barr.",$F39="Curbed"),AND($E39="Curbed",$F39="Med. Barr."),$E39=$F39,$E39="Unique",$F39="Unique",$E39="-",$F39="-"),0,"?")))</f>
        <v>16.862222222222179</v>
      </c>
    </row>
    <row r="40" spans="1:24" ht="12.75" customHeight="1" x14ac:dyDescent="0.2">
      <c r="B40" s="736">
        <v>92200</v>
      </c>
      <c r="C40" s="737"/>
      <c r="D40" s="337" t="s">
        <v>30</v>
      </c>
      <c r="E40" s="337" t="s">
        <v>97</v>
      </c>
      <c r="F40" s="337" t="s">
        <v>97</v>
      </c>
      <c r="G40" s="103" t="str">
        <f>IF(AND($E40=$Z$2,$F40=$Z$2),$AB$2,IF(OR(AND($E40=$Z$2,$F40=$Z$3),AND($E40=$Z$3,$F40=$Z$2)),$AB$3,IF(OR(AND($E40=$Z$2,$F40=$Z$4),AND($E40=$Z$4,$F40=$Z$2)),$AB$4,IF(OR(AND($E40=$Z$3,$F40=$Z$4),AND($E40=$Z$4,$F40=$Z$3)),$AB$5,IF(AND($E40=$Z$3,$F40=$Z$3),$AB$6,IF(AND($E40=$Z$4,$F40=$Z$4),$AB$7,"-"))))))</f>
        <v>-</v>
      </c>
      <c r="H40" s="26">
        <f>IF(AND($E40=$Z$2,$F40=$Z$2),2*$AB$12,IF(OR(AND($E40=$Z$2, $F40=$Z$3),AND($E40=$Z$3,$F40=$Z$2)),$AB$12+$AB$13,IF(OR(AND($E40=$Z$2,$F40=$Z$4),AND($E40=$Z$4,$F40=$Z$2)),$AB$12,IF(OR(AND($E40=$Z$3,$F40=$Z$4),AND($E40=$Z$4,$F40=$Z$3)),$AB$13,IF(AND($E40=$Z$3,$F40=$Z$3),2*$AB$13,0)))))</f>
        <v>0</v>
      </c>
      <c r="I40" s="27">
        <f>IF(AND($E40=$Z$2,$F40=$Z$2),2*$AE$12*$K40/27,IF(OR(AND($E40=$Z$2,$F40=$Z$3),AND($E40=$Z$3,$F40=$Z$2)),($AE$12+$AE$13)*$K40/27,IF(OR(AND($E40=$Z$2,$F40=$Z$4),AND($E40=$Z$4,$F40=$Z$2)),$AE$12*$K40/27,IF(OR(AND($E40=$Z$3,$F40=$Z$4),AND($E40=$Z$4,$F40=$Z$3)),$AE$13*$K40/27,IF(AND($E40=$Z$3,$F40=$Z$3),2*$AE$13*$K40/27,0)))))</f>
        <v>0</v>
      </c>
      <c r="J40" s="78">
        <f>IF(OR(AND($E40=$Z$2,$F40=$Z$4),AND($E40=$Z$4,$F40=$Z$2)),$AH$14,IF(OR(AND($E40=$Z$3,$F40=$Z$4),AND($E40=$Z$4,$F40=$Z$3)),$AH$14,IF(AND($E40=$Z$4,$F40=$Z$4),2*$AH$14,0)))</f>
        <v>0</v>
      </c>
      <c r="K40" s="343" t="s">
        <v>97</v>
      </c>
      <c r="L40" s="342" t="s">
        <v>97</v>
      </c>
      <c r="M40" s="124">
        <f t="shared" ref="M40:M46" si="18">IF(L40="-",0,ROUNDUP($K40*L40,0))</f>
        <v>0</v>
      </c>
      <c r="N40" s="344">
        <v>0</v>
      </c>
      <c r="O40" s="123">
        <f t="shared" si="15"/>
        <v>0</v>
      </c>
      <c r="P40" s="344">
        <v>0</v>
      </c>
      <c r="Q40" s="83">
        <f t="shared" si="16"/>
        <v>0</v>
      </c>
      <c r="R40" s="347">
        <v>0</v>
      </c>
      <c r="S40" s="347">
        <v>0</v>
      </c>
      <c r="T40" s="347">
        <v>0</v>
      </c>
      <c r="U40" s="348">
        <v>27</v>
      </c>
      <c r="V40" s="347">
        <v>0</v>
      </c>
      <c r="W40" s="367">
        <v>0</v>
      </c>
      <c r="X40" s="454">
        <f t="shared" si="17"/>
        <v>0</v>
      </c>
    </row>
    <row r="41" spans="1:24" ht="12.75" customHeight="1" thickBot="1" x14ac:dyDescent="0.25">
      <c r="A41" s="106"/>
      <c r="B41" s="107"/>
      <c r="C41" s="8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70"/>
      <c r="V41" s="32"/>
      <c r="W41" s="32"/>
      <c r="X41" s="32"/>
    </row>
    <row r="42" spans="1:24" ht="12.75" customHeight="1" x14ac:dyDescent="0.2">
      <c r="A42" s="106"/>
      <c r="B42" s="661" t="s">
        <v>73</v>
      </c>
      <c r="C42" s="662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49"/>
      <c r="V42" s="100"/>
      <c r="W42" s="100"/>
      <c r="X42" s="100"/>
    </row>
    <row r="43" spans="1:24" ht="12.75" customHeight="1" x14ac:dyDescent="0.2">
      <c r="B43" s="335">
        <v>91676.03</v>
      </c>
      <c r="C43" s="336">
        <v>91814.59</v>
      </c>
      <c r="D43" s="337" t="s">
        <v>30</v>
      </c>
      <c r="E43" s="337" t="s">
        <v>101</v>
      </c>
      <c r="F43" s="337" t="s">
        <v>102</v>
      </c>
      <c r="G43" s="103" t="str">
        <f>IF(AND($E43=$Z$2,$F43=$Z$2),$AB$2,IF(OR(AND($E43=$Z$2,$F43=$Z$3),AND($E43=$Z$3,$F43=$Z$2)),$AB$3,IF(OR(AND($E43=$Z$2,$F43=$Z$4),AND($E43=$Z$4,$F43=$Z$2)),$AB$4,IF(OR(AND($E43=$Z$3,$F43=$Z$4),AND($E43=$Z$4,$F43=$Z$3)),$AB$5,IF(AND($E43=$Z$3,$F43=$Z$3),$AB$6,IF(AND($E43=$Z$4,$F43=$Z$4),$AB$7,"-"))))))</f>
        <v>E/S - F/C</v>
      </c>
      <c r="H43" s="26">
        <f>IF(AND($E43=$Z$2,$F43=$Z$2),2*$AB$12,IF(OR(AND($E43=$Z$2, $F43=$Z$3),AND($E43=$Z$3,$F43=$Z$2)),$AB$12+$AB$13,IF(OR(AND($E43=$Z$2,$F43=$Z$4),AND($E43=$Z$4,$F43=$Z$2)),$AB$12,IF(OR(AND($E43=$Z$3,$F43=$Z$4),AND($E43=$Z$4,$F43=$Z$3)),$AB$13,IF(AND($E43=$Z$3,$F43=$Z$3),2*$AB$13,0)))))</f>
        <v>3.5</v>
      </c>
      <c r="I43" s="27">
        <f>IF(AND($E43=$Z$2,$F43=$Z$2),2*$AE$12*$K43/27,IF(OR(AND($E43=$Z$2,$F43=$Z$3),AND($E43=$Z$3,$F43=$Z$2)),($AE$12+$AE$13)*$K43/27,IF(OR(AND($E43=$Z$2,$F43=$Z$4),AND($E43=$Z$4,$F43=$Z$2)),$AE$12*$K43/27,IF(OR(AND($E43=$Z$3,$F43=$Z$4),AND($E43=$Z$4,$F43=$Z$3)),$AE$13*$K43/27,IF(AND($E43=$Z$3,$F43=$Z$3),2*$AE$13*$K43/27,0)))))</f>
        <v>7.6977777777776488</v>
      </c>
      <c r="J43" s="78">
        <f>IF(OR(AND($E43=$Z$2,$F43=$Z$4),AND($E43=$Z$4,$F43=$Z$2)),$AH$14,IF(OR(AND($E43=$Z$3,$F43=$Z$4),AND($E43=$Z$4,$F43=$Z$3)),$AH$14,IF(AND($E43=$Z$4,$F43=$Z$4),2*$AH$14,0)))</f>
        <v>0</v>
      </c>
      <c r="K43" s="83">
        <f t="shared" ref="K43:K45" si="19">C43-B43</f>
        <v>138.55999999999767</v>
      </c>
      <c r="L43" s="342">
        <v>29</v>
      </c>
      <c r="M43" s="124">
        <f t="shared" si="18"/>
        <v>4019</v>
      </c>
      <c r="N43" s="344">
        <v>0</v>
      </c>
      <c r="O43" s="123">
        <f t="shared" si="15"/>
        <v>4019</v>
      </c>
      <c r="P43" s="344">
        <v>0</v>
      </c>
      <c r="Q43" s="83">
        <f t="shared" ref="Q43:Q46" si="20">S43/2000</f>
        <v>0.25021999999999955</v>
      </c>
      <c r="R43" s="85">
        <f>IF(A43="APP SLAB",0,S43)</f>
        <v>500.43999999999909</v>
      </c>
      <c r="S43" s="85">
        <f>IF(OR(A43="APP SLAB",O43=0),0,(O43+H43*K43)/9)</f>
        <v>500.43999999999909</v>
      </c>
      <c r="T43" s="85">
        <f>IF(A43="APP SLAB",0,$R$1*S43*110*0.06*0.75/2000)</f>
        <v>14.863067999999972</v>
      </c>
      <c r="U43" s="348">
        <v>0</v>
      </c>
      <c r="V43" s="85">
        <f>IF(O43=0,0,(O43*$U$1/12)/27+I43)</f>
        <v>82.123703703703569</v>
      </c>
      <c r="W43" s="111">
        <f>IF(OR(A43="APP SLAB",O43=0),0,(O43+J43*K43)/9)</f>
        <v>446.55555555555554</v>
      </c>
      <c r="X43" s="454">
        <f t="shared" ref="X43:X46" si="21">IF(AND($E43=$F43="Uncurbed"),(2*$K43*2*$X$1/12)/27,IF(OR($E43="Uncurbed",$F43="Uncurbed"),($K43*2*$X$1/12)/27,IF(OR(AND($E43="Med. Barr.",$F43="Curbed"),AND($E43="Curbed",$F43="Med. Barr."),$E43=$F43,$E43="Unique",$F43="Unique",$E43="-",$F43="-"),0,"?")))</f>
        <v>5.1318518518517653</v>
      </c>
    </row>
    <row r="44" spans="1:24" ht="12.75" customHeight="1" x14ac:dyDescent="0.2">
      <c r="B44" s="335">
        <v>91814.59</v>
      </c>
      <c r="C44" s="336">
        <v>91864.639999999999</v>
      </c>
      <c r="D44" s="337" t="s">
        <v>30</v>
      </c>
      <c r="E44" s="337" t="s">
        <v>101</v>
      </c>
      <c r="F44" s="337" t="s">
        <v>102</v>
      </c>
      <c r="G44" s="103" t="str">
        <f>IF(AND($E44=$Z$2,$F44=$Z$2),$AB$2,IF(OR(AND($E44=$Z$2,$F44=$Z$3),AND($E44=$Z$3,$F44=$Z$2)),$AB$3,IF(OR(AND($E44=$Z$2,$F44=$Z$4),AND($E44=$Z$4,$F44=$Z$2)),$AB$4,IF(OR(AND($E44=$Z$3,$F44=$Z$4),AND($E44=$Z$4,$F44=$Z$3)),$AB$5,IF(AND($E44=$Z$3,$F44=$Z$3),$AB$6,IF(AND($E44=$Z$4,$F44=$Z$4),$AB$7,"-"))))))</f>
        <v>E/S - F/C</v>
      </c>
      <c r="H44" s="26">
        <f>IF(AND($E44=$Z$2,$F44=$Z$2),2*$AB$12,IF(OR(AND($E44=$Z$2, $F44=$Z$3),AND($E44=$Z$3,$F44=$Z$2)),$AB$12+$AB$13,IF(OR(AND($E44=$Z$2,$F44=$Z$4),AND($E44=$Z$4,$F44=$Z$2)),$AB$12,IF(OR(AND($E44=$Z$3,$F44=$Z$4),AND($E44=$Z$4,$F44=$Z$3)),$AB$13,IF(AND($E44=$Z$3,$F44=$Z$3),2*$AB$13,0)))))</f>
        <v>3.5</v>
      </c>
      <c r="I44" s="27">
        <f>IF(AND($E44=$Z$2,$F44=$Z$2),2*$AE$12*$K44/27,IF(OR(AND($E44=$Z$2,$F44=$Z$3),AND($E44=$Z$3,$F44=$Z$2)),($AE$12+$AE$13)*$K44/27,IF(OR(AND($E44=$Z$2,$F44=$Z$4),AND($E44=$Z$4,$F44=$Z$2)),$AE$12*$K44/27,IF(OR(AND($E44=$Z$3,$F44=$Z$4),AND($E44=$Z$4,$F44=$Z$3)),$AE$13*$K44/27,IF(AND($E44=$Z$3,$F44=$Z$3),2*$AE$13*$K44/27,0)))))</f>
        <v>2.7805555555557171</v>
      </c>
      <c r="J44" s="78">
        <f>IF(OR(AND($E44=$Z$2,$F44=$Z$4),AND($E44=$Z$4,$F44=$Z$2)),$AH$14,IF(OR(AND($E44=$Z$3,$F44=$Z$4),AND($E44=$Z$4,$F44=$Z$3)),$AH$14,IF(AND($E44=$Z$4,$F44=$Z$4),2*$AH$14,0)))</f>
        <v>0</v>
      </c>
      <c r="K44" s="83">
        <f t="shared" si="19"/>
        <v>50.05000000000291</v>
      </c>
      <c r="L44" s="342">
        <v>38</v>
      </c>
      <c r="M44" s="124">
        <f t="shared" si="18"/>
        <v>1902</v>
      </c>
      <c r="N44" s="344">
        <v>0</v>
      </c>
      <c r="O44" s="123">
        <f t="shared" si="15"/>
        <v>1902</v>
      </c>
      <c r="P44" s="344">
        <v>0</v>
      </c>
      <c r="Q44" s="83">
        <f t="shared" si="20"/>
        <v>0.11539861111111167</v>
      </c>
      <c r="R44" s="85">
        <f>IF(A44="APP SLAB",0,S44)</f>
        <v>230.79722222222335</v>
      </c>
      <c r="S44" s="85">
        <f>IF(OR(A44="APP SLAB",O44=0),0,(O44+H44*K44)/9)</f>
        <v>230.79722222222335</v>
      </c>
      <c r="T44" s="85">
        <f>IF(A44="APP SLAB",0,$R$1*S44*110*0.06*0.75/2000)</f>
        <v>6.854677500000034</v>
      </c>
      <c r="U44" s="348">
        <v>0</v>
      </c>
      <c r="V44" s="85">
        <f>IF(O44=0,0,(O44*$U$1/12)/27+I44)</f>
        <v>38.002777777777936</v>
      </c>
      <c r="W44" s="111">
        <f>IF(OR(A44="APP SLAB",O44=0),0,(O44+J44*K44)/9)</f>
        <v>211.33333333333334</v>
      </c>
      <c r="X44" s="454">
        <f t="shared" si="21"/>
        <v>1.8537037037038115</v>
      </c>
    </row>
    <row r="45" spans="1:24" ht="12.75" customHeight="1" x14ac:dyDescent="0.2">
      <c r="B45" s="335">
        <v>91864.639999999999</v>
      </c>
      <c r="C45" s="336">
        <v>92367.96</v>
      </c>
      <c r="D45" s="337" t="s">
        <v>30</v>
      </c>
      <c r="E45" s="337" t="s">
        <v>101</v>
      </c>
      <c r="F45" s="337" t="s">
        <v>102</v>
      </c>
      <c r="G45" s="103" t="str">
        <f>IF(AND($E45=$Z$2,$F45=$Z$2),$AB$2,IF(OR(AND($E45=$Z$2,$F45=$Z$3),AND($E45=$Z$3,$F45=$Z$2)),$AB$3,IF(OR(AND($E45=$Z$2,$F45=$Z$4),AND($E45=$Z$4,$F45=$Z$2)),$AB$4,IF(OR(AND($E45=$Z$3,$F45=$Z$4),AND($E45=$Z$4,$F45=$Z$3)),$AB$5,IF(AND($E45=$Z$3,$F45=$Z$3),$AB$6,IF(AND($E45=$Z$4,$F45=$Z$4),$AB$7,"-"))))))</f>
        <v>E/S - F/C</v>
      </c>
      <c r="H45" s="26">
        <f>IF(AND($E45=$Z$2,$F45=$Z$2),2*$AB$12,IF(OR(AND($E45=$Z$2, $F45=$Z$3),AND($E45=$Z$3,$F45=$Z$2)),$AB$12+$AB$13,IF(OR(AND($E45=$Z$2,$F45=$Z$4),AND($E45=$Z$4,$F45=$Z$2)),$AB$12,IF(OR(AND($E45=$Z$3,$F45=$Z$4),AND($E45=$Z$4,$F45=$Z$3)),$AB$13,IF(AND($E45=$Z$3,$F45=$Z$3),2*$AB$13,0)))))</f>
        <v>3.5</v>
      </c>
      <c r="I45" s="27">
        <f>IF(AND($E45=$Z$2,$F45=$Z$2),2*$AE$12*$K45/27,IF(OR(AND($E45=$Z$2,$F45=$Z$3),AND($E45=$Z$3,$F45=$Z$2)),($AE$12+$AE$13)*$K45/27,IF(OR(AND($E45=$Z$2,$F45=$Z$4),AND($E45=$Z$4,$F45=$Z$2)),$AE$12*$K45/27,IF(OR(AND($E45=$Z$3,$F45=$Z$4),AND($E45=$Z$4,$F45=$Z$3)),$AE$13*$K45/27,IF(AND($E45=$Z$3,$F45=$Z$3),2*$AE$13*$K45/27,0)))))</f>
        <v>27.962222222222611</v>
      </c>
      <c r="J45" s="78">
        <f>IF(OR(AND($E45=$Z$2,$F45=$Z$4),AND($E45=$Z$4,$F45=$Z$2)),$AH$14,IF(OR(AND($E45=$Z$3,$F45=$Z$4),AND($E45=$Z$4,$F45=$Z$3)),$AH$14,IF(AND($E45=$Z$4,$F45=$Z$4),2*$AH$14,0)))</f>
        <v>0</v>
      </c>
      <c r="K45" s="83">
        <f t="shared" si="19"/>
        <v>503.32000000000698</v>
      </c>
      <c r="L45" s="342">
        <v>47</v>
      </c>
      <c r="M45" s="124">
        <f t="shared" si="18"/>
        <v>23657</v>
      </c>
      <c r="N45" s="344">
        <v>0</v>
      </c>
      <c r="O45" s="123">
        <f t="shared" si="15"/>
        <v>23657</v>
      </c>
      <c r="P45" s="344">
        <v>0</v>
      </c>
      <c r="Q45" s="83">
        <f t="shared" si="20"/>
        <v>1.4121455555555569</v>
      </c>
      <c r="R45" s="85">
        <f>IF(A45="APP SLAB",0,S45)</f>
        <v>2824.2911111111139</v>
      </c>
      <c r="S45" s="85">
        <f>IF(OR(A45="APP SLAB",O45=0),0,(O45+H45*K45)/9)</f>
        <v>2824.2911111111139</v>
      </c>
      <c r="T45" s="85">
        <f>IF(A45="APP SLAB",0,$R$1*S45*110*0.06*0.75/2000)</f>
        <v>83.881446000000082</v>
      </c>
      <c r="U45" s="348">
        <v>0</v>
      </c>
      <c r="V45" s="85">
        <f>IF(O45=0,0,(O45*$U$1/12)/27+I45)</f>
        <v>466.05481481481524</v>
      </c>
      <c r="W45" s="111">
        <f>IF(OR(A45="APP SLAB",O45=0),0,(O45+J45*K45)/9)</f>
        <v>2628.5555555555557</v>
      </c>
      <c r="X45" s="454">
        <f t="shared" si="21"/>
        <v>18.64148148148174</v>
      </c>
    </row>
    <row r="46" spans="1:24" ht="12.75" customHeight="1" x14ac:dyDescent="0.2">
      <c r="B46" s="736">
        <v>92367.96</v>
      </c>
      <c r="C46" s="737"/>
      <c r="D46" s="337" t="s">
        <v>30</v>
      </c>
      <c r="E46" s="337" t="s">
        <v>97</v>
      </c>
      <c r="F46" s="337" t="s">
        <v>97</v>
      </c>
      <c r="G46" s="103" t="str">
        <f>IF(AND($E46=$Z$2,$F46=$Z$2),$AB$2,IF(OR(AND($E46=$Z$2,$F46=$Z$3),AND($E46=$Z$3,$F46=$Z$2)),$AB$3,IF(OR(AND($E46=$Z$2,$F46=$Z$4),AND($E46=$Z$4,$F46=$Z$2)),$AB$4,IF(OR(AND($E46=$Z$3,$F46=$Z$4),AND($E46=$Z$4,$F46=$Z$3)),$AB$5,IF(AND($E46=$Z$3,$F46=$Z$3),$AB$6,IF(AND($E46=$Z$4,$F46=$Z$4),$AB$7,"-"))))))</f>
        <v>-</v>
      </c>
      <c r="H46" s="26">
        <f>IF(AND($E46=$Z$2,$F46=$Z$2),2*$AB$12,IF(OR(AND($E46=$Z$2, $F46=$Z$3),AND($E46=$Z$3,$F46=$Z$2)),$AB$12+$AB$13,IF(OR(AND($E46=$Z$2,$F46=$Z$4),AND($E46=$Z$4,$F46=$Z$2)),$AB$12,IF(OR(AND($E46=$Z$3,$F46=$Z$4),AND($E46=$Z$4,$F46=$Z$3)),$AB$13,IF(AND($E46=$Z$3,$F46=$Z$3),2*$AB$13,0)))))</f>
        <v>0</v>
      </c>
      <c r="I46" s="27">
        <f>IF(AND($E46=$Z$2,$F46=$Z$2),2*$AE$12*$K46/27,IF(OR(AND($E46=$Z$2,$F46=$Z$3),AND($E46=$Z$3,$F46=$Z$2)),($AE$12+$AE$13)*$K46/27,IF(OR(AND($E46=$Z$2,$F46=$Z$4),AND($E46=$Z$4,$F46=$Z$2)),$AE$12*$K46/27,IF(OR(AND($E46=$Z$3,$F46=$Z$4),AND($E46=$Z$4,$F46=$Z$3)),$AE$13*$K46/27,IF(AND($E46=$Z$3,$F46=$Z$3),2*$AE$13*$K46/27,0)))))</f>
        <v>0</v>
      </c>
      <c r="J46" s="78">
        <f>IF(OR(AND($E46=$Z$2,$F46=$Z$4),AND($E46=$Z$4,$F46=$Z$2)),$AH$14,IF(OR(AND($E46=$Z$3,$F46=$Z$4),AND($E46=$Z$4,$F46=$Z$3)),$AH$14,IF(AND($E46=$Z$4,$F46=$Z$4),2*$AH$14,0)))</f>
        <v>0</v>
      </c>
      <c r="K46" s="343" t="s">
        <v>97</v>
      </c>
      <c r="L46" s="342" t="s">
        <v>97</v>
      </c>
      <c r="M46" s="124">
        <f t="shared" si="18"/>
        <v>0</v>
      </c>
      <c r="N46" s="344">
        <v>0</v>
      </c>
      <c r="O46" s="123">
        <f t="shared" si="15"/>
        <v>0</v>
      </c>
      <c r="P46" s="344">
        <v>0</v>
      </c>
      <c r="Q46" s="83">
        <f t="shared" si="20"/>
        <v>0</v>
      </c>
      <c r="R46" s="347">
        <v>0</v>
      </c>
      <c r="S46" s="347">
        <v>0</v>
      </c>
      <c r="T46" s="347">
        <v>0</v>
      </c>
      <c r="U46" s="348">
        <v>47</v>
      </c>
      <c r="V46" s="347">
        <v>0</v>
      </c>
      <c r="W46" s="367">
        <v>0</v>
      </c>
      <c r="X46" s="454">
        <f t="shared" si="21"/>
        <v>0</v>
      </c>
    </row>
    <row r="47" spans="1:24" ht="12.75" customHeight="1" thickBot="1" x14ac:dyDescent="0.25">
      <c r="B47" s="107"/>
      <c r="C47" s="8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67"/>
      <c r="V47" s="32"/>
      <c r="W47" s="32"/>
      <c r="X47" s="32"/>
    </row>
    <row r="48" spans="1:24" ht="12.75" customHeight="1" x14ac:dyDescent="0.2">
      <c r="B48" s="661" t="s">
        <v>74</v>
      </c>
      <c r="C48" s="662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49"/>
      <c r="V48" s="100"/>
      <c r="W48" s="100"/>
      <c r="X48" s="100"/>
    </row>
    <row r="49" spans="1:37" ht="12.75" customHeight="1" x14ac:dyDescent="0.2">
      <c r="B49" s="736">
        <v>93025.83</v>
      </c>
      <c r="C49" s="737"/>
      <c r="D49" s="337" t="s">
        <v>30</v>
      </c>
      <c r="E49" s="337" t="s">
        <v>97</v>
      </c>
      <c r="F49" s="337" t="s">
        <v>97</v>
      </c>
      <c r="G49" s="103" t="str">
        <f>IF(AND($E49=$Z$2,$F49=$Z$2),$AB$2,IF(OR(AND($E49=$Z$2,$F49=$Z$3),AND($E49=$Z$3,$F49=$Z$2)),$AB$3,IF(OR(AND($E49=$Z$2,$F49=$Z$4),AND($E49=$Z$4,$F49=$Z$2)),$AB$4,IF(OR(AND($E49=$Z$3,$F49=$Z$4),AND($E49=$Z$4,$F49=$Z$3)),$AB$5,IF(AND($E49=$Z$3,$F49=$Z$3),$AB$6,IF(AND($E49=$Z$4,$F49=$Z$4),$AB$7,"-"))))))</f>
        <v>-</v>
      </c>
      <c r="H49" s="26">
        <f>IF(AND($E49=$Z$2,$F49=$Z$2),2*$AB$12,IF(OR(AND($E49=$Z$2, $F49=$Z$3),AND($E49=$Z$3,$F49=$Z$2)),$AB$12+$AB$13,IF(OR(AND($E49=$Z$2,$F49=$Z$4),AND($E49=$Z$4,$F49=$Z$2)),$AB$12,IF(OR(AND($E49=$Z$3,$F49=$Z$4),AND($E49=$Z$4,$F49=$Z$3)),$AB$13,IF(AND($E49=$Z$3,$F49=$Z$3),2*$AB$13,0)))))</f>
        <v>0</v>
      </c>
      <c r="I49" s="27">
        <f>IF(AND($E49=$Z$2,$F49=$Z$2),2*$AE$12*$K49/27,IF(OR(AND($E49=$Z$2,$F49=$Z$3),AND($E49=$Z$3,$F49=$Z$2)),($AE$12+$AE$13)*$K49/27,IF(OR(AND($E49=$Z$2,$F49=$Z$4),AND($E49=$Z$4,$F49=$Z$2)),$AE$12*$K49/27,IF(OR(AND($E49=$Z$3,$F49=$Z$4),AND($E49=$Z$4,$F49=$Z$3)),$AE$13*$K49/27,IF(AND($E49=$Z$3,$F49=$Z$3),2*$AE$13*$K49/27,0)))))</f>
        <v>0</v>
      </c>
      <c r="J49" s="78">
        <f>IF(OR(AND($E49=$Z$2,$F49=$Z$4),AND($E49=$Z$4,$F49=$Z$2)),$AH$14,IF(OR(AND($E49=$Z$3,$F49=$Z$4),AND($E49=$Z$4,$F49=$Z$3)),$AH$14,IF(AND($E49=$Z$4,$F49=$Z$4),2*$AH$14,0)))</f>
        <v>0</v>
      </c>
      <c r="K49" s="343" t="s">
        <v>97</v>
      </c>
      <c r="L49" s="342" t="s">
        <v>97</v>
      </c>
      <c r="M49" s="124">
        <f t="shared" ref="M49:M57" si="22">IF(L49="-",0,ROUNDUP($K49*L49,0))</f>
        <v>0</v>
      </c>
      <c r="N49" s="344">
        <v>0</v>
      </c>
      <c r="O49" s="123">
        <f t="shared" si="15"/>
        <v>0</v>
      </c>
      <c r="P49" s="344">
        <v>0</v>
      </c>
      <c r="Q49" s="83">
        <f t="shared" ref="Q49:Q53" si="23">S49/2000</f>
        <v>0</v>
      </c>
      <c r="R49" s="347">
        <v>0</v>
      </c>
      <c r="S49" s="347">
        <v>0</v>
      </c>
      <c r="T49" s="347">
        <v>0</v>
      </c>
      <c r="U49" s="348">
        <v>35</v>
      </c>
      <c r="V49" s="347">
        <v>0</v>
      </c>
      <c r="W49" s="367">
        <v>0</v>
      </c>
      <c r="X49" s="454">
        <f t="shared" ref="X49:X53" si="24">IF(AND($E49=$F49="Uncurbed"),(2*$K49*2*$X$1/12)/27,IF(OR($E49="Uncurbed",$F49="Uncurbed"),($K49*2*$X$1/12)/27,IF(OR(AND($E49="Med. Barr.",$F49="Curbed"),AND($E49="Curbed",$F49="Med. Barr."),$E49=$F49,$E49="Unique",$F49="Unique",$E49="-",$F49="-"),0,"?")))</f>
        <v>0</v>
      </c>
      <c r="AG49" s="93"/>
      <c r="AH49" s="93"/>
      <c r="AI49" s="93"/>
      <c r="AJ49" s="93"/>
      <c r="AK49" s="93"/>
    </row>
    <row r="50" spans="1:37" ht="12.75" customHeight="1" x14ac:dyDescent="0.2">
      <c r="B50" s="335">
        <v>93025.83</v>
      </c>
      <c r="C50" s="336">
        <v>93093.38</v>
      </c>
      <c r="D50" s="337" t="s">
        <v>30</v>
      </c>
      <c r="E50" s="337" t="s">
        <v>101</v>
      </c>
      <c r="F50" s="337" t="s">
        <v>101</v>
      </c>
      <c r="G50" s="103" t="str">
        <f>IF(AND($E50=$Z$2,$F50=$Z$2),$AB$2,IF(OR(AND($E50=$Z$2,$F50=$Z$3),AND($E50=$Z$3,$F50=$Z$2)),$AB$3,IF(OR(AND($E50=$Z$2,$F50=$Z$4),AND($E50=$Z$4,$F50=$Z$2)),$AB$4,IF(OR(AND($E50=$Z$3,$F50=$Z$4),AND($E50=$Z$4,$F50=$Z$3)),$AB$5,IF(AND($E50=$Z$3,$F50=$Z$3),$AB$6,IF(AND($E50=$Z$4,$F50=$Z$4),$AB$7,"-"))))))</f>
        <v>E/S - E/S</v>
      </c>
      <c r="H50" s="26">
        <f>IF(AND($E50=$Z$2,$F50=$Z$2),2*$AB$12,IF(OR(AND($E50=$Z$2, $F50=$Z$3),AND($E50=$Z$3,$F50=$Z$2)),$AB$12+$AB$13,IF(OR(AND($E50=$Z$2,$F50=$Z$4),AND($E50=$Z$4,$F50=$Z$2)),$AB$12,IF(OR(AND($E50=$Z$3,$F50=$Z$4),AND($E50=$Z$4,$F50=$Z$3)),$AB$13,IF(AND($E50=$Z$3,$F50=$Z$3),2*$AB$13,0)))))</f>
        <v>3</v>
      </c>
      <c r="I50" s="27">
        <f>IF(AND($E50=$Z$2,$F50=$Z$2),2*$AE$12*$K50/27,IF(OR(AND($E50=$Z$2,$F50=$Z$3),AND($E50=$Z$3,$F50=$Z$2)),($AE$12+$AE$13)*$K50/27,IF(OR(AND($E50=$Z$2,$F50=$Z$4),AND($E50=$Z$4,$F50=$Z$2)),$AE$12*$K50/27,IF(OR(AND($E50=$Z$3,$F50=$Z$4),AND($E50=$Z$4,$F50=$Z$3)),$AE$13*$K50/27,IF(AND($E50=$Z$3,$F50=$Z$3),2*$AE$13*$K50/27,0)))))</f>
        <v>3.7527777777779394</v>
      </c>
      <c r="J50" s="78">
        <f>IF(OR(AND($E50=$Z$2,$F50=$Z$4),AND($E50=$Z$4,$F50=$Z$2)),$AH$14,IF(OR(AND($E50=$Z$3,$F50=$Z$4),AND($E50=$Z$4,$F50=$Z$3)),$AH$14,IF(AND($E50=$Z$4,$F50=$Z$4),2*$AH$14,0)))</f>
        <v>0</v>
      </c>
      <c r="K50" s="83">
        <f t="shared" ref="K50:K53" si="25">C50-B50</f>
        <v>67.55000000000291</v>
      </c>
      <c r="L50" s="342">
        <v>35</v>
      </c>
      <c r="M50" s="124">
        <f t="shared" si="22"/>
        <v>2365</v>
      </c>
      <c r="N50" s="344">
        <v>0</v>
      </c>
      <c r="O50" s="123">
        <f t="shared" si="15"/>
        <v>2365</v>
      </c>
      <c r="P50" s="344">
        <v>0</v>
      </c>
      <c r="Q50" s="83">
        <f t="shared" si="23"/>
        <v>0.1426472222222227</v>
      </c>
      <c r="R50" s="85">
        <f>IF(A50="APP SLAB",0,S50)</f>
        <v>285.29444444444539</v>
      </c>
      <c r="S50" s="85">
        <f>IF(OR(A50="APP SLAB",O50=0),0,(O50+H50*K50)/9)</f>
        <v>285.29444444444539</v>
      </c>
      <c r="T50" s="85">
        <f>IF(A50="APP SLAB",0,$R$1*S50*110*0.06*0.75/2000)</f>
        <v>8.4732450000000288</v>
      </c>
      <c r="U50" s="348">
        <v>0</v>
      </c>
      <c r="V50" s="85">
        <f>IF(O50=0,0,(O50*$U$1/12)/27+I50)</f>
        <v>47.549074074074234</v>
      </c>
      <c r="W50" s="111">
        <f>IF(OR(A50="APP SLAB",O50=0),0,(O50+J50*K50)/9)</f>
        <v>262.77777777777777</v>
      </c>
      <c r="X50" s="454">
        <f t="shared" si="24"/>
        <v>2.5018518518519595</v>
      </c>
    </row>
    <row r="51" spans="1:37" ht="12.75" customHeight="1" x14ac:dyDescent="0.2">
      <c r="A51" s="113"/>
      <c r="B51" s="335">
        <v>93093.38</v>
      </c>
      <c r="C51" s="336">
        <v>93143.05</v>
      </c>
      <c r="D51" s="337" t="s">
        <v>30</v>
      </c>
      <c r="E51" s="337" t="s">
        <v>101</v>
      </c>
      <c r="F51" s="337" t="s">
        <v>101</v>
      </c>
      <c r="G51" s="103" t="str">
        <f>IF(AND($E51=$Z$2,$F51=$Z$2),$AB$2,IF(OR(AND($E51=$Z$2,$F51=$Z$3),AND($E51=$Z$3,$F51=$Z$2)),$AB$3,IF(OR(AND($E51=$Z$2,$F51=$Z$4),AND($E51=$Z$4,$F51=$Z$2)),$AB$4,IF(OR(AND($E51=$Z$3,$F51=$Z$4),AND($E51=$Z$4,$F51=$Z$3)),$AB$5,IF(AND($E51=$Z$3,$F51=$Z$3),$AB$6,IF(AND($E51=$Z$4,$F51=$Z$4),$AB$7,"-"))))))</f>
        <v>E/S - E/S</v>
      </c>
      <c r="H51" s="26">
        <f>IF(AND($E51=$Z$2,$F51=$Z$2),2*$AB$12,IF(OR(AND($E51=$Z$2, $F51=$Z$3),AND($E51=$Z$3,$F51=$Z$2)),$AB$12+$AB$13,IF(OR(AND($E51=$Z$2,$F51=$Z$4),AND($E51=$Z$4,$F51=$Z$2)),$AB$12,IF(OR(AND($E51=$Z$3,$F51=$Z$4),AND($E51=$Z$4,$F51=$Z$3)),$AB$13,IF(AND($E51=$Z$3,$F51=$Z$3),2*$AB$13,0)))))</f>
        <v>3</v>
      </c>
      <c r="I51" s="27">
        <f>IF(AND($E51=$Z$2,$F51=$Z$2),2*$AE$12*$K51/27,IF(OR(AND($E51=$Z$2,$F51=$Z$3),AND($E51=$Z$3,$F51=$Z$2)),($AE$12+$AE$13)*$K51/27,IF(OR(AND($E51=$Z$2,$F51=$Z$4),AND($E51=$Z$4,$F51=$Z$2)),$AE$12*$K51/27,IF(OR(AND($E51=$Z$3,$F51=$Z$4),AND($E51=$Z$4,$F51=$Z$3)),$AE$13*$K51/27,IF(AND($E51=$Z$3,$F51=$Z$3),2*$AE$13*$K51/27,0)))))</f>
        <v>2.7594444444443473</v>
      </c>
      <c r="J51" s="78">
        <f>IF(OR(AND($E51=$Z$2,$F51=$Z$4),AND($E51=$Z$4,$F51=$Z$2)),$AH$14,IF(OR(AND($E51=$Z$3,$F51=$Z$4),AND($E51=$Z$4,$F51=$Z$3)),$AH$14,IF(AND($E51=$Z$4,$F51=$Z$4),2*$AH$14,0)))</f>
        <v>0</v>
      </c>
      <c r="K51" s="83">
        <f t="shared" si="25"/>
        <v>49.669999999998254</v>
      </c>
      <c r="L51" s="342">
        <v>30</v>
      </c>
      <c r="M51" s="124">
        <f t="shared" si="22"/>
        <v>1491</v>
      </c>
      <c r="N51" s="344">
        <v>0</v>
      </c>
      <c r="O51" s="123">
        <f t="shared" si="15"/>
        <v>1491</v>
      </c>
      <c r="P51" s="344">
        <v>0</v>
      </c>
      <c r="Q51" s="83">
        <f t="shared" si="23"/>
        <v>9.1111666666666383E-2</v>
      </c>
      <c r="R51" s="85">
        <f>IF(A51="APP SLAB",0,S51)</f>
        <v>182.22333333333276</v>
      </c>
      <c r="S51" s="85">
        <f>IF(OR(A51="APP SLAB",O51=0),0,(O51+H51*K51)/9)</f>
        <v>182.22333333333276</v>
      </c>
      <c r="T51" s="85">
        <f>IF(A51="APP SLAB",0,$R$1*S51*110*0.06*0.75/2000)</f>
        <v>5.4120329999999832</v>
      </c>
      <c r="U51" s="348">
        <v>0</v>
      </c>
      <c r="V51" s="85">
        <f>IF(O51=0,0,(O51*$U$1/12)/27+I51)</f>
        <v>30.370555555555459</v>
      </c>
      <c r="W51" s="111">
        <f>IF(OR(A51="APP SLAB",O51=0),0,(O51+J51*K51)/9)</f>
        <v>165.66666666666666</v>
      </c>
      <c r="X51" s="454">
        <f t="shared" si="24"/>
        <v>1.8396296296295649</v>
      </c>
    </row>
    <row r="52" spans="1:37" ht="12.75" customHeight="1" x14ac:dyDescent="0.2">
      <c r="A52" s="113"/>
      <c r="B52" s="335">
        <v>93143.05</v>
      </c>
      <c r="C52" s="336">
        <v>93209.63</v>
      </c>
      <c r="D52" s="337" t="s">
        <v>30</v>
      </c>
      <c r="E52" s="337" t="s">
        <v>101</v>
      </c>
      <c r="F52" s="337" t="s">
        <v>101</v>
      </c>
      <c r="G52" s="103" t="str">
        <f>IF(AND($E52=$Z$2,$F52=$Z$2),$AB$2,IF(OR(AND($E52=$Z$2,$F52=$Z$3),AND($E52=$Z$3,$F52=$Z$2)),$AB$3,IF(OR(AND($E52=$Z$2,$F52=$Z$4),AND($E52=$Z$4,$F52=$Z$2)),$AB$4,IF(OR(AND($E52=$Z$3,$F52=$Z$4),AND($E52=$Z$4,$F52=$Z$3)),$AB$5,IF(AND($E52=$Z$3,$F52=$Z$3),$AB$6,IF(AND($E52=$Z$4,$F52=$Z$4),$AB$7,"-"))))))</f>
        <v>E/S - E/S</v>
      </c>
      <c r="H52" s="26">
        <f>IF(AND($E52=$Z$2,$F52=$Z$2),2*$AB$12,IF(OR(AND($E52=$Z$2, $F52=$Z$3),AND($E52=$Z$3,$F52=$Z$2)),$AB$12+$AB$13,IF(OR(AND($E52=$Z$2,$F52=$Z$4),AND($E52=$Z$4,$F52=$Z$2)),$AB$12,IF(OR(AND($E52=$Z$3,$F52=$Z$4),AND($E52=$Z$4,$F52=$Z$3)),$AB$13,IF(AND($E52=$Z$3,$F52=$Z$3),2*$AB$13,0)))))</f>
        <v>3</v>
      </c>
      <c r="I52" s="27">
        <f>IF(AND($E52=$Z$2,$F52=$Z$2),2*$AE$12*$K52/27,IF(OR(AND($E52=$Z$2,$F52=$Z$3),AND($E52=$Z$3,$F52=$Z$2)),($AE$12+$AE$13)*$K52/27,IF(OR(AND($E52=$Z$2,$F52=$Z$4),AND($E52=$Z$4,$F52=$Z$2)),$AE$12*$K52/27,IF(OR(AND($E52=$Z$3,$F52=$Z$4),AND($E52=$Z$4,$F52=$Z$3)),$AE$13*$K52/27,IF(AND($E52=$Z$3,$F52=$Z$3),2*$AE$13*$K52/27,0)))))</f>
        <v>3.6988888888889857</v>
      </c>
      <c r="J52" s="78">
        <f>IF(OR(AND($E52=$Z$2,$F52=$Z$4),AND($E52=$Z$4,$F52=$Z$2)),$AH$14,IF(OR(AND($E52=$Z$3,$F52=$Z$4),AND($E52=$Z$4,$F52=$Z$3)),$AH$14,IF(AND($E52=$Z$4,$F52=$Z$4),2*$AH$14,0)))</f>
        <v>0</v>
      </c>
      <c r="K52" s="83">
        <f t="shared" si="25"/>
        <v>66.580000000001746</v>
      </c>
      <c r="L52" s="342">
        <v>25</v>
      </c>
      <c r="M52" s="124">
        <f t="shared" si="22"/>
        <v>1665</v>
      </c>
      <c r="N52" s="344">
        <v>0</v>
      </c>
      <c r="O52" s="123">
        <f t="shared" si="15"/>
        <v>1665</v>
      </c>
      <c r="P52" s="344">
        <v>0</v>
      </c>
      <c r="Q52" s="83">
        <f t="shared" si="23"/>
        <v>0.10359666666666696</v>
      </c>
      <c r="R52" s="85">
        <f>IF(A52="APP SLAB",0,S52)</f>
        <v>207.19333333333392</v>
      </c>
      <c r="S52" s="85">
        <f>IF(OR(A52="APP SLAB",O52=0),0,(O52+H52*K52)/9)</f>
        <v>207.19333333333392</v>
      </c>
      <c r="T52" s="85">
        <f>IF(A52="APP SLAB",0,$R$1*S52*110*0.06*0.75/2000)</f>
        <v>6.1536420000000183</v>
      </c>
      <c r="U52" s="348">
        <v>0</v>
      </c>
      <c r="V52" s="85">
        <f>IF(O52=0,0,(O52*$U$1/12)/27+I52)</f>
        <v>34.532222222222316</v>
      </c>
      <c r="W52" s="111">
        <f>IF(OR(A52="APP SLAB",O52=0),0,(O52+J52*K52)/9)</f>
        <v>185</v>
      </c>
      <c r="X52" s="454">
        <f t="shared" si="24"/>
        <v>2.4659259259259905</v>
      </c>
    </row>
    <row r="53" spans="1:37" ht="12.75" customHeight="1" x14ac:dyDescent="0.2">
      <c r="A53" s="106"/>
      <c r="B53" s="335">
        <v>93209.63</v>
      </c>
      <c r="C53" s="336">
        <v>93259.63</v>
      </c>
      <c r="D53" s="337" t="s">
        <v>30</v>
      </c>
      <c r="E53" s="337" t="s">
        <v>101</v>
      </c>
      <c r="F53" s="337" t="s">
        <v>101</v>
      </c>
      <c r="G53" s="103" t="str">
        <f>IF(AND($E53=$Z$2,$F53=$Z$2),$AB$2,IF(OR(AND($E53=$Z$2,$F53=$Z$3),AND($E53=$Z$3,$F53=$Z$2)),$AB$3,IF(OR(AND($E53=$Z$2,$F53=$Z$4),AND($E53=$Z$4,$F53=$Z$2)),$AB$4,IF(OR(AND($E53=$Z$3,$F53=$Z$4),AND($E53=$Z$4,$F53=$Z$3)),$AB$5,IF(AND($E53=$Z$3,$F53=$Z$3),$AB$6,IF(AND($E53=$Z$4,$F53=$Z$4),$AB$7,"-"))))))</f>
        <v>E/S - E/S</v>
      </c>
      <c r="H53" s="26">
        <f>IF(AND($E53=$Z$2,$F53=$Z$2),2*$AB$12,IF(OR(AND($E53=$Z$2, $F53=$Z$3),AND($E53=$Z$3,$F53=$Z$2)),$AB$12+$AB$13,IF(OR(AND($E53=$Z$2,$F53=$Z$4),AND($E53=$Z$4,$F53=$Z$2)),$AB$12,IF(OR(AND($E53=$Z$3,$F53=$Z$4),AND($E53=$Z$4,$F53=$Z$3)),$AB$13,IF(AND($E53=$Z$3,$F53=$Z$3),2*$AB$13,0)))))</f>
        <v>3</v>
      </c>
      <c r="I53" s="27">
        <f>IF(AND($E53=$Z$2,$F53=$Z$2),2*$AE$12*$K53/27,IF(OR(AND($E53=$Z$2,$F53=$Z$3),AND($E53=$Z$3,$F53=$Z$2)),($AE$12+$AE$13)*$K53/27,IF(OR(AND($E53=$Z$2,$F53=$Z$4),AND($E53=$Z$4,$F53=$Z$2)),$AE$12*$K53/27,IF(OR(AND($E53=$Z$3,$F53=$Z$4),AND($E53=$Z$4,$F53=$Z$3)),$AE$13*$K53/27,IF(AND($E53=$Z$3,$F53=$Z$3),2*$AE$13*$K53/27,0)))))</f>
        <v>2.7777777777777777</v>
      </c>
      <c r="J53" s="78">
        <f>IF(OR(AND($E53=$Z$2,$F53=$Z$4),AND($E53=$Z$4,$F53=$Z$2)),$AH$14,IF(OR(AND($E53=$Z$3,$F53=$Z$4),AND($E53=$Z$4,$F53=$Z$3)),$AH$14,IF(AND($E53=$Z$4,$F53=$Z$4),2*$AH$14,0)))</f>
        <v>0</v>
      </c>
      <c r="K53" s="83">
        <f t="shared" si="25"/>
        <v>50</v>
      </c>
      <c r="L53" s="342">
        <v>26</v>
      </c>
      <c r="M53" s="124">
        <f t="shared" si="22"/>
        <v>1300</v>
      </c>
      <c r="N53" s="344">
        <v>0</v>
      </c>
      <c r="O53" s="123">
        <f t="shared" si="15"/>
        <v>1300</v>
      </c>
      <c r="P53" s="344">
        <v>0</v>
      </c>
      <c r="Q53" s="83">
        <f t="shared" si="23"/>
        <v>8.0555555555555561E-2</v>
      </c>
      <c r="R53" s="85">
        <f>IF(A53="APP SLAB",0,S53)</f>
        <v>161.11111111111111</v>
      </c>
      <c r="S53" s="85">
        <f>IF(OR(A53="APP SLAB",O53=0),0,(O53+H53*K53)/9)</f>
        <v>161.11111111111111</v>
      </c>
      <c r="T53" s="85">
        <f>IF(A53="APP SLAB",0,$R$1*S53*110*0.06*0.75/2000)</f>
        <v>4.7850000000000001</v>
      </c>
      <c r="U53" s="348">
        <v>0</v>
      </c>
      <c r="V53" s="85">
        <f>IF(O53=0,0,(O53*$U$1/12)/27+I53)</f>
        <v>26.851851851851851</v>
      </c>
      <c r="W53" s="111">
        <f>IF(OR(A53="APP SLAB",O53=0),0,(O53+J53*K53)/9)</f>
        <v>144.44444444444446</v>
      </c>
      <c r="X53" s="454">
        <f t="shared" si="24"/>
        <v>1.8518518518518519</v>
      </c>
    </row>
    <row r="54" spans="1:37" ht="12.75" customHeight="1" thickBot="1" x14ac:dyDescent="0.25">
      <c r="A54" s="106"/>
      <c r="B54" s="107"/>
      <c r="C54" s="8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67"/>
      <c r="V54" s="32"/>
      <c r="W54" s="32"/>
      <c r="X54" s="32"/>
    </row>
    <row r="55" spans="1:37" ht="12.75" customHeight="1" x14ac:dyDescent="0.2">
      <c r="A55" s="106"/>
      <c r="B55" s="661" t="s">
        <v>75</v>
      </c>
      <c r="C55" s="662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49"/>
      <c r="V55" s="100"/>
      <c r="W55" s="100"/>
      <c r="X55" s="100"/>
    </row>
    <row r="56" spans="1:37" ht="12.75" customHeight="1" x14ac:dyDescent="0.2">
      <c r="A56" s="106"/>
      <c r="B56" s="736">
        <v>92900</v>
      </c>
      <c r="C56" s="737"/>
      <c r="D56" s="337" t="s">
        <v>30</v>
      </c>
      <c r="E56" s="337" t="s">
        <v>97</v>
      </c>
      <c r="F56" s="337" t="s">
        <v>97</v>
      </c>
      <c r="G56" s="103" t="str">
        <f>IF(AND($E56=$Z$2,$F56=$Z$2),$AB$2,IF(OR(AND($E56=$Z$2,$F56=$Z$3),AND($E56=$Z$3,$F56=$Z$2)),$AB$3,IF(OR(AND($E56=$Z$2,$F56=$Z$4),AND($E56=$Z$4,$F56=$Z$2)),$AB$4,IF(OR(AND($E56=$Z$3,$F56=$Z$4),AND($E56=$Z$4,$F56=$Z$3)),$AB$5,IF(AND($E56=$Z$3,$F56=$Z$3),$AB$6,IF(AND($E56=$Z$4,$F56=$Z$4),$AB$7,"-"))))))</f>
        <v>-</v>
      </c>
      <c r="H56" s="26">
        <f>IF(AND($E56=$Z$2,$F56=$Z$2),2*$AB$12,IF(OR(AND($E56=$Z$2, $F56=$Z$3),AND($E56=$Z$3,$F56=$Z$2)),$AB$12+$AB$13,IF(OR(AND($E56=$Z$2,$F56=$Z$4),AND($E56=$Z$4,$F56=$Z$2)),$AB$12,IF(OR(AND($E56=$Z$3,$F56=$Z$4),AND($E56=$Z$4,$F56=$Z$3)),$AB$13,IF(AND($E56=$Z$3,$F56=$Z$3),2*$AB$13,0)))))</f>
        <v>0</v>
      </c>
      <c r="I56" s="27">
        <f>IF(AND($E56=$Z$2,$F56=$Z$2),2*$AE$12*$K56/27,IF(OR(AND($E56=$Z$2,$F56=$Z$3),AND($E56=$Z$3,$F56=$Z$2)),($AE$12+$AE$13)*$K56/27,IF(OR(AND($E56=$Z$2,$F56=$Z$4),AND($E56=$Z$4,$F56=$Z$2)),$AE$12*$K56/27,IF(OR(AND($E56=$Z$3,$F56=$Z$4),AND($E56=$Z$4,$F56=$Z$3)),$AE$13*$K56/27,IF(AND($E56=$Z$3,$F56=$Z$3),2*$AE$13*$K56/27,0)))))</f>
        <v>0</v>
      </c>
      <c r="J56" s="78">
        <f>IF(OR(AND($E56=$Z$2,$F56=$Z$4),AND($E56=$Z$4,$F56=$Z$2)),$AH$14,IF(OR(AND($E56=$Z$3,$F56=$Z$4),AND($E56=$Z$4,$F56=$Z$3)),$AH$14,IF(AND($E56=$Z$4,$F56=$Z$4),2*$AH$14,0)))</f>
        <v>0</v>
      </c>
      <c r="K56" s="343" t="s">
        <v>97</v>
      </c>
      <c r="L56" s="342" t="s">
        <v>97</v>
      </c>
      <c r="M56" s="124">
        <f t="shared" si="22"/>
        <v>0</v>
      </c>
      <c r="N56" s="344">
        <v>0</v>
      </c>
      <c r="O56" s="123">
        <f t="shared" si="15"/>
        <v>0</v>
      </c>
      <c r="P56" s="344">
        <v>0</v>
      </c>
      <c r="Q56" s="83">
        <f t="shared" ref="Q56:Q57" si="26">S56/2000</f>
        <v>0</v>
      </c>
      <c r="R56" s="347">
        <v>0</v>
      </c>
      <c r="S56" s="347">
        <v>0</v>
      </c>
      <c r="T56" s="347">
        <v>0</v>
      </c>
      <c r="U56" s="348">
        <v>25</v>
      </c>
      <c r="V56" s="347">
        <v>0</v>
      </c>
      <c r="W56" s="367">
        <v>0</v>
      </c>
      <c r="X56" s="454">
        <f t="shared" ref="X56:X57" si="27">IF(AND($E56=$F56="Uncurbed"),(2*$K56*2*$X$1/12)/27,IF(OR($E56="Uncurbed",$F56="Uncurbed"),($K56*2*$X$1/12)/27,IF(OR(AND($E56="Med. Barr.",$F56="Curbed"),AND($E56="Curbed",$F56="Med. Barr."),$E56=$F56,$E56="Unique",$F56="Unique",$E56="-",$F56="-"),0,"?")))</f>
        <v>0</v>
      </c>
    </row>
    <row r="57" spans="1:37" ht="12.75" customHeight="1" x14ac:dyDescent="0.2">
      <c r="A57" s="106"/>
      <c r="B57" s="335">
        <v>92900</v>
      </c>
      <c r="C57" s="336">
        <v>93267.61</v>
      </c>
      <c r="D57" s="337" t="s">
        <v>30</v>
      </c>
      <c r="E57" s="337" t="s">
        <v>101</v>
      </c>
      <c r="F57" s="337" t="s">
        <v>101</v>
      </c>
      <c r="G57" s="103" t="str">
        <f>IF(AND($E57=$Z$2,$F57=$Z$2),$AB$2,IF(OR(AND($E57=$Z$2,$F57=$Z$3),AND($E57=$Z$3,$F57=$Z$2)),$AB$3,IF(OR(AND($E57=$Z$2,$F57=$Z$4),AND($E57=$Z$4,$F57=$Z$2)),$AB$4,IF(OR(AND($E57=$Z$3,$F57=$Z$4),AND($E57=$Z$4,$F57=$Z$3)),$AB$5,IF(AND($E57=$Z$3,$F57=$Z$3),$AB$6,IF(AND($E57=$Z$4,$F57=$Z$4),$AB$7,"-"))))))</f>
        <v>E/S - E/S</v>
      </c>
      <c r="H57" s="26">
        <f>IF(AND($E57=$Z$2,$F57=$Z$2),2*$AB$12,IF(OR(AND($E57=$Z$2, $F57=$Z$3),AND($E57=$Z$3,$F57=$Z$2)),$AB$12+$AB$13,IF(OR(AND($E57=$Z$2,$F57=$Z$4),AND($E57=$Z$4,$F57=$Z$2)),$AB$12,IF(OR(AND($E57=$Z$3,$F57=$Z$4),AND($E57=$Z$4,$F57=$Z$3)),$AB$13,IF(AND($E57=$Z$3,$F57=$Z$3),2*$AB$13,0)))))</f>
        <v>3</v>
      </c>
      <c r="I57" s="27">
        <f>IF(AND($E57=$Z$2,$F57=$Z$2),2*$AE$12*$K57/27,IF(OR(AND($E57=$Z$2,$F57=$Z$3),AND($E57=$Z$3,$F57=$Z$2)),($AE$12+$AE$13)*$K57/27,IF(OR(AND($E57=$Z$2,$F57=$Z$4),AND($E57=$Z$4,$F57=$Z$2)),$AE$12*$K57/27,IF(OR(AND($E57=$Z$3,$F57=$Z$4),AND($E57=$Z$4,$F57=$Z$3)),$AE$13*$K57/27,IF(AND($E57=$Z$3,$F57=$Z$3),2*$AE$13*$K57/27,0)))))</f>
        <v>20.42277777777781</v>
      </c>
      <c r="J57" s="78">
        <f>IF(OR(AND($E57=$Z$2,$F57=$Z$4),AND($E57=$Z$4,$F57=$Z$2)),$AH$14,IF(OR(AND($E57=$Z$3,$F57=$Z$4),AND($E57=$Z$4,$F57=$Z$3)),$AH$14,IF(AND($E57=$Z$4,$F57=$Z$4),2*$AH$14,0)))</f>
        <v>0</v>
      </c>
      <c r="K57" s="83">
        <f t="shared" ref="K57" si="28">C57-B57</f>
        <v>367.61000000000058</v>
      </c>
      <c r="L57" s="342">
        <v>25</v>
      </c>
      <c r="M57" s="124">
        <f t="shared" si="22"/>
        <v>9191</v>
      </c>
      <c r="N57" s="344">
        <v>0</v>
      </c>
      <c r="O57" s="123">
        <f t="shared" si="15"/>
        <v>9191</v>
      </c>
      <c r="P57" s="344">
        <v>0</v>
      </c>
      <c r="Q57" s="83">
        <f t="shared" si="26"/>
        <v>0.5718794444444445</v>
      </c>
      <c r="R57" s="85">
        <f>IF(A57="APP SLAB",0,S57)</f>
        <v>1143.758888888889</v>
      </c>
      <c r="S57" s="85">
        <f>IF(OR(A57="APP SLAB",O57=0),0,(O57+H57*K57)/9)</f>
        <v>1143.758888888889</v>
      </c>
      <c r="T57" s="85">
        <f>IF(A57="APP SLAB",0,$R$1*S57*110*0.06*0.75/2000)</f>
        <v>33.969639000000001</v>
      </c>
      <c r="U57" s="348">
        <v>0</v>
      </c>
      <c r="V57" s="85">
        <f>IF(O57=0,0,(O57*$U$1/12)/27+I57)</f>
        <v>190.62648148148151</v>
      </c>
      <c r="W57" s="111">
        <f>IF(A57="APP SLAB",0,(O57+J57*K57)/9)</f>
        <v>1021.2222222222222</v>
      </c>
      <c r="X57" s="454">
        <f t="shared" si="27"/>
        <v>13.615185185185206</v>
      </c>
    </row>
    <row r="58" spans="1:37" ht="12.75" customHeight="1" thickBot="1" x14ac:dyDescent="0.25">
      <c r="A58" s="106"/>
      <c r="B58" s="355"/>
      <c r="C58" s="356"/>
      <c r="D58" s="357"/>
      <c r="E58" s="357"/>
      <c r="F58" s="357"/>
      <c r="G58" s="471"/>
      <c r="H58" s="472"/>
      <c r="I58" s="256"/>
      <c r="J58" s="256"/>
      <c r="K58" s="154"/>
      <c r="L58" s="473"/>
      <c r="M58" s="474"/>
      <c r="N58" s="475"/>
      <c r="O58" s="474"/>
      <c r="P58" s="366"/>
      <c r="Q58" s="364"/>
      <c r="R58" s="470"/>
      <c r="S58" s="470"/>
      <c r="T58" s="470"/>
      <c r="U58" s="348"/>
      <c r="V58" s="470"/>
      <c r="W58" s="470"/>
      <c r="X58" s="364"/>
    </row>
    <row r="59" spans="1:37" ht="12.75" customHeight="1" x14ac:dyDescent="0.2">
      <c r="A59" s="106"/>
      <c r="B59" s="602" t="s">
        <v>271</v>
      </c>
      <c r="C59" s="603"/>
      <c r="D59" s="603"/>
      <c r="E59" s="603"/>
      <c r="F59" s="603"/>
      <c r="G59" s="603"/>
      <c r="H59" s="603"/>
      <c r="I59" s="603"/>
      <c r="J59" s="603"/>
      <c r="K59" s="603"/>
      <c r="L59" s="603"/>
      <c r="M59" s="603"/>
      <c r="N59" s="603"/>
      <c r="O59" s="604"/>
      <c r="P59" s="610">
        <f>ROUNDUP(SUM(P17:P58),0)</f>
        <v>0</v>
      </c>
      <c r="Q59" s="610">
        <f t="shared" ref="Q59:X59" si="29">ROUNDUP(SUM(Q17:Q58),0)</f>
        <v>8</v>
      </c>
      <c r="R59" s="610">
        <f t="shared" si="29"/>
        <v>14906</v>
      </c>
      <c r="S59" s="610">
        <f t="shared" si="29"/>
        <v>14906</v>
      </c>
      <c r="T59" s="610">
        <f t="shared" si="29"/>
        <v>443</v>
      </c>
      <c r="U59" s="610">
        <f t="shared" si="29"/>
        <v>250</v>
      </c>
      <c r="V59" s="610">
        <f t="shared" si="29"/>
        <v>2474</v>
      </c>
      <c r="W59" s="610">
        <f t="shared" si="29"/>
        <v>13448</v>
      </c>
      <c r="X59" s="610">
        <f t="shared" si="29"/>
        <v>155</v>
      </c>
    </row>
    <row r="60" spans="1:37" ht="12.75" customHeight="1" thickBot="1" x14ac:dyDescent="0.25">
      <c r="A60" s="106"/>
      <c r="B60" s="605"/>
      <c r="C60" s="606"/>
      <c r="D60" s="606"/>
      <c r="E60" s="606"/>
      <c r="F60" s="606"/>
      <c r="G60" s="606"/>
      <c r="H60" s="606"/>
      <c r="I60" s="606"/>
      <c r="J60" s="606"/>
      <c r="K60" s="606"/>
      <c r="L60" s="606"/>
      <c r="M60" s="606"/>
      <c r="N60" s="606"/>
      <c r="O60" s="607"/>
      <c r="P60" s="611"/>
      <c r="Q60" s="611"/>
      <c r="R60" s="611"/>
      <c r="S60" s="611"/>
      <c r="T60" s="611"/>
      <c r="U60" s="611"/>
      <c r="V60" s="611"/>
      <c r="W60" s="611"/>
      <c r="X60" s="611"/>
    </row>
    <row r="61" spans="1:37" customFormat="1" x14ac:dyDescent="0.2">
      <c r="B61" s="661" t="s">
        <v>234</v>
      </c>
      <c r="C61" s="662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49"/>
      <c r="V61" s="100"/>
      <c r="W61" s="112"/>
      <c r="X61" s="112"/>
      <c r="Y61" s="234"/>
    </row>
    <row r="62" spans="1:37" customFormat="1" x14ac:dyDescent="0.2">
      <c r="B62" s="335" t="s">
        <v>117</v>
      </c>
      <c r="C62" s="336" t="s">
        <v>116</v>
      </c>
      <c r="D62" s="341" t="s">
        <v>30</v>
      </c>
      <c r="E62" s="239"/>
      <c r="F62" s="240"/>
      <c r="G62" s="241"/>
      <c r="H62" s="242"/>
      <c r="I62" s="242"/>
      <c r="J62" s="242"/>
      <c r="K62" s="242"/>
      <c r="L62" s="242"/>
      <c r="M62" s="242"/>
      <c r="N62" s="344">
        <v>6435</v>
      </c>
      <c r="O62" s="123">
        <f t="shared" ref="O62" si="30">SUM(M62:N62)</f>
        <v>6435</v>
      </c>
      <c r="P62" s="345">
        <v>715</v>
      </c>
      <c r="Q62" s="242"/>
      <c r="R62" s="242"/>
      <c r="S62" s="242"/>
      <c r="T62" s="242"/>
      <c r="U62" s="245"/>
      <c r="V62" s="242"/>
      <c r="W62" s="242"/>
      <c r="X62" s="242"/>
      <c r="Y62" s="234"/>
    </row>
    <row r="63" spans="1:37" customFormat="1" ht="13.5" thickBot="1" x14ac:dyDescent="0.25">
      <c r="B63" s="131"/>
      <c r="C63" s="132"/>
      <c r="D63" s="237"/>
      <c r="E63" s="104"/>
      <c r="F63" s="243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6"/>
      <c r="V63" s="244"/>
      <c r="W63" s="244"/>
      <c r="X63" s="244"/>
      <c r="Y63" s="234"/>
    </row>
    <row r="64" spans="1:37" customFormat="1" x14ac:dyDescent="0.2">
      <c r="B64" s="661" t="s">
        <v>235</v>
      </c>
      <c r="C64" s="662"/>
      <c r="D64" s="100"/>
      <c r="E64" s="100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49"/>
      <c r="V64" s="112"/>
      <c r="W64" s="112"/>
      <c r="X64" s="112"/>
      <c r="Y64" s="234"/>
    </row>
    <row r="65" spans="1:25" customFormat="1" x14ac:dyDescent="0.2">
      <c r="B65" s="335" t="s">
        <v>118</v>
      </c>
      <c r="C65" s="336" t="s">
        <v>119</v>
      </c>
      <c r="D65" s="341" t="s">
        <v>30</v>
      </c>
      <c r="E65" s="121"/>
      <c r="F65" s="235"/>
      <c r="G65" s="236"/>
      <c r="H65" s="233"/>
      <c r="I65" s="233"/>
      <c r="J65" s="233"/>
      <c r="K65" s="233"/>
      <c r="L65" s="233"/>
      <c r="M65" s="233"/>
      <c r="N65" s="344">
        <v>8694</v>
      </c>
      <c r="O65" s="123">
        <f t="shared" ref="O65" si="31">SUM(M65:N65)</f>
        <v>8694</v>
      </c>
      <c r="P65" s="345">
        <v>966</v>
      </c>
      <c r="Q65" s="233"/>
      <c r="R65" s="233"/>
      <c r="S65" s="233"/>
      <c r="T65" s="233"/>
      <c r="U65" s="247"/>
      <c r="V65" s="233"/>
      <c r="W65" s="233"/>
      <c r="X65" s="233"/>
      <c r="Y65" s="234"/>
    </row>
    <row r="66" spans="1:25" customFormat="1" ht="13.5" thickBot="1" x14ac:dyDescent="0.25">
      <c r="B66" s="131"/>
      <c r="C66" s="132"/>
      <c r="D66" s="237"/>
      <c r="E66" s="237"/>
      <c r="F66" s="238"/>
      <c r="G66" s="238"/>
      <c r="H66" s="238"/>
      <c r="I66" s="238"/>
      <c r="J66" s="238"/>
      <c r="K66" s="238"/>
      <c r="L66" s="238"/>
      <c r="M66" s="238"/>
      <c r="N66" s="238"/>
      <c r="O66" s="238"/>
      <c r="P66" s="238"/>
      <c r="Q66" s="238"/>
      <c r="R66" s="238"/>
      <c r="S66" s="238"/>
      <c r="T66" s="238"/>
      <c r="U66" s="248"/>
      <c r="V66" s="238"/>
      <c r="W66" s="238"/>
      <c r="X66" s="238"/>
      <c r="Y66" s="234"/>
    </row>
    <row r="67" spans="1:25" ht="12.75" customHeight="1" x14ac:dyDescent="0.2">
      <c r="A67" s="106"/>
      <c r="B67" s="730" t="s">
        <v>258</v>
      </c>
      <c r="C67" s="731"/>
      <c r="D67" s="602" t="s">
        <v>250</v>
      </c>
      <c r="E67" s="603"/>
      <c r="F67" s="603"/>
      <c r="G67" s="603"/>
      <c r="H67" s="603"/>
      <c r="I67" s="603"/>
      <c r="J67" s="603"/>
      <c r="K67" s="603"/>
      <c r="L67" s="603"/>
      <c r="M67" s="603"/>
      <c r="N67" s="603"/>
      <c r="O67" s="604"/>
      <c r="P67" s="610">
        <f>ROUNDUP(SUM(P62:P65),0)</f>
        <v>1681</v>
      </c>
      <c r="Q67" s="610">
        <f t="shared" ref="Q67:W67" si="32">ROUNDUP(SUM(Q62:Q65),0)</f>
        <v>0</v>
      </c>
      <c r="R67" s="610">
        <f t="shared" si="32"/>
        <v>0</v>
      </c>
      <c r="S67" s="610">
        <f t="shared" si="32"/>
        <v>0</v>
      </c>
      <c r="T67" s="610">
        <f t="shared" si="32"/>
        <v>0</v>
      </c>
      <c r="U67" s="610">
        <f t="shared" si="32"/>
        <v>0</v>
      </c>
      <c r="V67" s="610">
        <f t="shared" si="32"/>
        <v>0</v>
      </c>
      <c r="W67" s="610">
        <f t="shared" si="32"/>
        <v>0</v>
      </c>
      <c r="X67" s="610">
        <f t="shared" ref="X67" si="33">ROUNDUP(SUM(X62:X65),0)</f>
        <v>0</v>
      </c>
    </row>
    <row r="68" spans="1:25" ht="12.75" customHeight="1" thickBot="1" x14ac:dyDescent="0.25">
      <c r="A68" s="106"/>
      <c r="B68" s="732"/>
      <c r="C68" s="733"/>
      <c r="D68" s="605"/>
      <c r="E68" s="606"/>
      <c r="F68" s="606"/>
      <c r="G68" s="606"/>
      <c r="H68" s="606"/>
      <c r="I68" s="606"/>
      <c r="J68" s="606"/>
      <c r="K68" s="606"/>
      <c r="L68" s="606"/>
      <c r="M68" s="606"/>
      <c r="N68" s="606"/>
      <c r="O68" s="607"/>
      <c r="P68" s="611"/>
      <c r="Q68" s="611"/>
      <c r="R68" s="611"/>
      <c r="S68" s="611"/>
      <c r="T68" s="611"/>
      <c r="U68" s="611"/>
      <c r="V68" s="611"/>
      <c r="W68" s="611"/>
      <c r="X68" s="611"/>
    </row>
    <row r="69" spans="1:25" ht="12.75" customHeight="1" x14ac:dyDescent="0.2">
      <c r="A69" s="106"/>
      <c r="B69" s="732"/>
      <c r="C69" s="733"/>
      <c r="D69" s="602" t="s">
        <v>270</v>
      </c>
      <c r="E69" s="603"/>
      <c r="F69" s="603"/>
      <c r="G69" s="603"/>
      <c r="H69" s="603"/>
      <c r="I69" s="603"/>
      <c r="J69" s="603"/>
      <c r="K69" s="603"/>
      <c r="L69" s="603"/>
      <c r="M69" s="603"/>
      <c r="N69" s="603"/>
      <c r="O69" s="604"/>
      <c r="P69" s="610">
        <f>P59+P67</f>
        <v>1681</v>
      </c>
      <c r="Q69" s="610">
        <f t="shared" ref="Q69:X69" si="34">Q59+Q67</f>
        <v>8</v>
      </c>
      <c r="R69" s="610">
        <f t="shared" si="34"/>
        <v>14906</v>
      </c>
      <c r="S69" s="610">
        <f t="shared" si="34"/>
        <v>14906</v>
      </c>
      <c r="T69" s="610">
        <f t="shared" si="34"/>
        <v>443</v>
      </c>
      <c r="U69" s="610">
        <f t="shared" si="34"/>
        <v>250</v>
      </c>
      <c r="V69" s="610">
        <f t="shared" si="34"/>
        <v>2474</v>
      </c>
      <c r="W69" s="610">
        <f t="shared" si="34"/>
        <v>13448</v>
      </c>
      <c r="X69" s="610">
        <f t="shared" si="34"/>
        <v>155</v>
      </c>
    </row>
    <row r="70" spans="1:25" ht="12.75" customHeight="1" thickBot="1" x14ac:dyDescent="0.25">
      <c r="A70" s="106"/>
      <c r="B70" s="734"/>
      <c r="C70" s="735"/>
      <c r="D70" s="605"/>
      <c r="E70" s="606"/>
      <c r="F70" s="606"/>
      <c r="G70" s="606"/>
      <c r="H70" s="606"/>
      <c r="I70" s="606"/>
      <c r="J70" s="606"/>
      <c r="K70" s="606"/>
      <c r="L70" s="606"/>
      <c r="M70" s="606"/>
      <c r="N70" s="606"/>
      <c r="O70" s="607"/>
      <c r="P70" s="611"/>
      <c r="Q70" s="611"/>
      <c r="R70" s="611"/>
      <c r="S70" s="611"/>
      <c r="T70" s="611"/>
      <c r="U70" s="611"/>
      <c r="V70" s="611"/>
      <c r="W70" s="611"/>
      <c r="X70" s="611"/>
    </row>
    <row r="71" spans="1:25" ht="12.75" customHeight="1" x14ac:dyDescent="0.2">
      <c r="A71" s="94"/>
    </row>
    <row r="72" spans="1:25" ht="12.75" customHeight="1" x14ac:dyDescent="0.2">
      <c r="A72" s="94"/>
      <c r="C72" s="96"/>
    </row>
    <row r="73" spans="1:25" ht="12.75" customHeight="1" x14ac:dyDescent="0.2">
      <c r="C73" s="96"/>
    </row>
    <row r="74" spans="1:25" ht="12.75" customHeight="1" x14ac:dyDescent="0.25">
      <c r="A74" s="94"/>
      <c r="C74" s="96"/>
      <c r="O74" s="184">
        <f>SUM(O18:O57)</f>
        <v>121029</v>
      </c>
      <c r="P74" s="179" t="s">
        <v>172</v>
      </c>
    </row>
    <row r="75" spans="1:25" ht="12.75" customHeight="1" x14ac:dyDescent="0.2">
      <c r="A75" s="94"/>
      <c r="C75" s="96"/>
    </row>
    <row r="76" spans="1:25" ht="12.75" customHeight="1" x14ac:dyDescent="0.2">
      <c r="C76" s="96"/>
    </row>
    <row r="77" spans="1:25" ht="12.75" customHeight="1" x14ac:dyDescent="0.2">
      <c r="C77" s="96"/>
    </row>
    <row r="78" spans="1:25" ht="12.75" customHeight="1" x14ac:dyDescent="0.2">
      <c r="C78" s="96"/>
    </row>
    <row r="79" spans="1:25" ht="12.75" customHeight="1" x14ac:dyDescent="0.2">
      <c r="C79" s="96"/>
    </row>
    <row r="80" spans="1:25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spans="1:19" ht="12.75" customHeight="1" x14ac:dyDescent="0.2"/>
    <row r="130" spans="1:19" ht="12.75" customHeight="1" x14ac:dyDescent="0.2"/>
    <row r="131" spans="1:19" ht="12.75" customHeight="1" x14ac:dyDescent="0.2"/>
    <row r="132" spans="1:19" ht="12.75" customHeight="1" x14ac:dyDescent="0.2"/>
    <row r="133" spans="1:19" ht="12.75" customHeight="1" x14ac:dyDescent="0.2"/>
    <row r="134" spans="1:19" ht="12.75" customHeight="1" x14ac:dyDescent="0.2"/>
    <row r="135" spans="1:19" ht="12.75" customHeight="1" x14ac:dyDescent="0.2"/>
    <row r="136" spans="1:19" ht="12.75" customHeight="1" x14ac:dyDescent="0.2"/>
    <row r="137" spans="1:19" ht="12.75" customHeight="1" x14ac:dyDescent="0.2"/>
    <row r="138" spans="1:19" ht="12.75" customHeight="1" x14ac:dyDescent="0.2"/>
    <row r="139" spans="1:19" ht="12.75" customHeight="1" x14ac:dyDescent="0.2"/>
    <row r="140" spans="1:19" ht="12.75" customHeight="1" x14ac:dyDescent="0.2"/>
    <row r="141" spans="1:19" ht="12.75" customHeight="1" x14ac:dyDescent="0.2"/>
    <row r="142" spans="1:19" ht="12.75" customHeight="1" x14ac:dyDescent="0.2"/>
    <row r="143" spans="1:19" s="94" customFormat="1" ht="12.75" customHeight="1" x14ac:dyDescent="0.2">
      <c r="A143" s="81"/>
      <c r="B143" s="95"/>
      <c r="C143" s="95"/>
      <c r="D143" s="81"/>
      <c r="E143" s="81"/>
      <c r="F143" s="81"/>
      <c r="G143" s="81"/>
      <c r="H143" s="81"/>
      <c r="I143" s="81"/>
      <c r="J143" s="81"/>
      <c r="K143" s="87"/>
      <c r="L143" s="87"/>
      <c r="P143" s="88"/>
      <c r="Q143" s="88"/>
      <c r="R143" s="81"/>
      <c r="S143" s="81"/>
    </row>
    <row r="144" spans="1:19" s="94" customFormat="1" ht="12.75" customHeight="1" x14ac:dyDescent="0.2">
      <c r="A144" s="81"/>
      <c r="B144" s="95"/>
      <c r="C144" s="95"/>
      <c r="D144" s="81"/>
      <c r="E144" s="81"/>
      <c r="F144" s="81"/>
      <c r="G144" s="81"/>
      <c r="H144" s="81"/>
      <c r="I144" s="81"/>
      <c r="J144" s="81"/>
      <c r="K144" s="87"/>
      <c r="L144" s="87"/>
      <c r="P144" s="88"/>
      <c r="Q144" s="88"/>
      <c r="R144" s="81"/>
      <c r="S144" s="81"/>
    </row>
  </sheetData>
  <customSheetViews>
    <customSheetView guid="{221143F3-72E3-4C4A-9811-2F859DD19779}" fitToPage="1">
      <pane ySplit="13" topLeftCell="A14" activePane="bottomLeft" state="frozen"/>
      <selection pane="bottomLeft" activeCell="P40" sqref="P40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96">
    <mergeCell ref="Z9:AJ9"/>
    <mergeCell ref="Z10:Z11"/>
    <mergeCell ref="AA10:AA11"/>
    <mergeCell ref="AB10:AD10"/>
    <mergeCell ref="AE10:AG10"/>
    <mergeCell ref="AH10:AJ10"/>
    <mergeCell ref="AB11:AD11"/>
    <mergeCell ref="AE11:AG11"/>
    <mergeCell ref="AH11:AJ11"/>
    <mergeCell ref="AB16:AD16"/>
    <mergeCell ref="AE16:AG16"/>
    <mergeCell ref="AH16:AJ16"/>
    <mergeCell ref="AB12:AD12"/>
    <mergeCell ref="AE12:AG12"/>
    <mergeCell ref="AH12:AJ12"/>
    <mergeCell ref="AB13:AD13"/>
    <mergeCell ref="AE13:AG13"/>
    <mergeCell ref="AH13:AJ13"/>
    <mergeCell ref="AB14:AD14"/>
    <mergeCell ref="AE14:AG14"/>
    <mergeCell ref="AH14:AJ14"/>
    <mergeCell ref="AB15:AD15"/>
    <mergeCell ref="AE15:AG15"/>
    <mergeCell ref="AH15:AJ15"/>
    <mergeCell ref="T6:T15"/>
    <mergeCell ref="I5:I15"/>
    <mergeCell ref="J5:J15"/>
    <mergeCell ref="K5:K15"/>
    <mergeCell ref="L5:L15"/>
    <mergeCell ref="M5:M15"/>
    <mergeCell ref="N5:N15"/>
    <mergeCell ref="B28:C28"/>
    <mergeCell ref="B34:C34"/>
    <mergeCell ref="B25:C25"/>
    <mergeCell ref="B19:C19"/>
    <mergeCell ref="B21:C21"/>
    <mergeCell ref="B5:C15"/>
    <mergeCell ref="D5:D16"/>
    <mergeCell ref="V6:V15"/>
    <mergeCell ref="W6:W15"/>
    <mergeCell ref="B27:C27"/>
    <mergeCell ref="H5:H15"/>
    <mergeCell ref="U6:U15"/>
    <mergeCell ref="Q6:Q15"/>
    <mergeCell ref="E5:E16"/>
    <mergeCell ref="F5:F16"/>
    <mergeCell ref="G5:G16"/>
    <mergeCell ref="B17:C17"/>
    <mergeCell ref="O5:O15"/>
    <mergeCell ref="R5:T5"/>
    <mergeCell ref="R6:R15"/>
    <mergeCell ref="S6:S15"/>
    <mergeCell ref="W69:W70"/>
    <mergeCell ref="V69:V70"/>
    <mergeCell ref="B61:C61"/>
    <mergeCell ref="B64:C64"/>
    <mergeCell ref="P6:P15"/>
    <mergeCell ref="P69:P70"/>
    <mergeCell ref="P67:P68"/>
    <mergeCell ref="B35:C35"/>
    <mergeCell ref="B42:C42"/>
    <mergeCell ref="B46:C46"/>
    <mergeCell ref="B48:C48"/>
    <mergeCell ref="B49:C49"/>
    <mergeCell ref="B55:C55"/>
    <mergeCell ref="B56:C56"/>
    <mergeCell ref="B38:C38"/>
    <mergeCell ref="B40:C40"/>
    <mergeCell ref="U67:U68"/>
    <mergeCell ref="D67:O68"/>
    <mergeCell ref="R69:R70"/>
    <mergeCell ref="S69:S70"/>
    <mergeCell ref="T69:T70"/>
    <mergeCell ref="U69:U70"/>
    <mergeCell ref="Q69:Q70"/>
    <mergeCell ref="D69:O70"/>
    <mergeCell ref="Q67:Q68"/>
    <mergeCell ref="R67:R68"/>
    <mergeCell ref="S67:S68"/>
    <mergeCell ref="T67:T68"/>
    <mergeCell ref="B59:O60"/>
    <mergeCell ref="X6:X15"/>
    <mergeCell ref="X67:X68"/>
    <mergeCell ref="X69:X70"/>
    <mergeCell ref="P59:P60"/>
    <mergeCell ref="Q59:Q60"/>
    <mergeCell ref="R59:R60"/>
    <mergeCell ref="S59:S60"/>
    <mergeCell ref="T59:T60"/>
    <mergeCell ref="U59:U60"/>
    <mergeCell ref="V59:V60"/>
    <mergeCell ref="W59:W60"/>
    <mergeCell ref="X59:X60"/>
    <mergeCell ref="V67:V68"/>
    <mergeCell ref="W67:W68"/>
    <mergeCell ref="B67:C70"/>
  </mergeCells>
  <dataValidations count="2">
    <dataValidation type="list" allowBlank="1" showInputMessage="1" showErrorMessage="1" sqref="E18:F37">
      <formula1>$Z$2:$Z$6</formula1>
    </dataValidation>
    <dataValidation type="list" allowBlank="1" showInputMessage="1" showErrorMessage="1" sqref="E39:F58">
      <formula1>$AA$3:$AA$7</formula1>
    </dataValidation>
  </dataValidations>
  <printOptions horizontalCentered="1" verticalCentered="1"/>
  <pageMargins left="0.73" right="0.75" top="0.66" bottom="0.4" header="0.65" footer="0.25"/>
  <pageSetup paperSize="17" scale="64" orientation="landscape" r:id="rId2"/>
  <headerFooter scaleWithDoc="0" alignWithMargins="0">
    <oddHeader>&amp;LHAN-75-14.39</oddHeader>
    <oddFooter>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159"/>
  <sheetViews>
    <sheetView view="pageBreakPreview" zoomScale="90" zoomScaleNormal="100" zoomScaleSheetLayoutView="90" workbookViewId="0">
      <pane ySplit="17" topLeftCell="A45" activePane="bottomLeft" state="frozen"/>
      <selection pane="bottomLeft" activeCell="R68" sqref="R68:R69"/>
    </sheetView>
  </sheetViews>
  <sheetFormatPr defaultRowHeight="12.75" x14ac:dyDescent="0.2"/>
  <cols>
    <col min="1" max="1" width="10.42578125" style="1" bestFit="1" customWidth="1"/>
    <col min="2" max="3" width="17.7109375" style="21" customWidth="1"/>
    <col min="4" max="4" width="8.5703125" style="1" customWidth="1"/>
    <col min="5" max="7" width="8.5703125" style="1" hidden="1" customWidth="1"/>
    <col min="8" max="9" width="9.28515625" style="8" customWidth="1"/>
    <col min="10" max="10" width="13.85546875" style="16" customWidth="1"/>
    <col min="11" max="11" width="10" style="16" customWidth="1"/>
    <col min="12" max="12" width="13.42578125" style="16" customWidth="1"/>
    <col min="13" max="13" width="9.7109375" style="91" customWidth="1"/>
    <col min="14" max="14" width="9.7109375" style="8" customWidth="1"/>
    <col min="15" max="15" width="9.7109375" style="17" customWidth="1"/>
    <col min="16" max="16" width="9.7109375" style="13" customWidth="1"/>
    <col min="17" max="18" width="9.7109375" style="8" customWidth="1"/>
    <col min="19" max="19" width="9.7109375" style="87" customWidth="1"/>
    <col min="20" max="21" width="9.7109375" style="8" customWidth="1"/>
    <col min="22" max="23" width="9.7109375" style="91" customWidth="1"/>
    <col min="24" max="24" width="9.140625" style="91"/>
    <col min="25" max="25" width="11.85546875" style="1" bestFit="1" customWidth="1"/>
    <col min="26" max="26" width="9.85546875" style="1" bestFit="1" customWidth="1"/>
    <col min="27" max="27" width="9.140625" style="1"/>
    <col min="28" max="28" width="9.140625" style="1" customWidth="1"/>
    <col min="29" max="16384" width="9.140625" style="1"/>
  </cols>
  <sheetData>
    <row r="1" spans="2:35" s="15" customFormat="1" ht="13.5" thickBot="1" x14ac:dyDescent="0.25">
      <c r="B1" s="23"/>
      <c r="C1" s="23"/>
      <c r="H1" s="11"/>
      <c r="I1" s="11"/>
      <c r="J1" s="40"/>
      <c r="K1" s="40"/>
      <c r="L1" s="40"/>
      <c r="M1" s="40"/>
      <c r="N1" s="11"/>
      <c r="O1" s="68"/>
      <c r="P1" s="10">
        <v>6</v>
      </c>
      <c r="Q1" s="11">
        <v>6</v>
      </c>
      <c r="R1" s="31">
        <v>5.5E-2</v>
      </c>
      <c r="S1" s="88">
        <v>2</v>
      </c>
      <c r="T1" s="11">
        <v>1.75</v>
      </c>
      <c r="U1" s="11">
        <v>1.25</v>
      </c>
      <c r="V1" s="40"/>
      <c r="W1" s="40"/>
      <c r="X1" s="40"/>
      <c r="AB1" s="114"/>
      <c r="AC1" s="59"/>
      <c r="AD1" s="59"/>
      <c r="AE1" s="59"/>
    </row>
    <row r="2" spans="2:35" s="90" customFormat="1" x14ac:dyDescent="0.2">
      <c r="B2" s="97"/>
      <c r="C2" s="97"/>
      <c r="H2" s="88"/>
      <c r="I2" s="88"/>
      <c r="J2" s="40"/>
      <c r="R2" s="146"/>
      <c r="S2" s="145" t="s">
        <v>35</v>
      </c>
      <c r="T2" s="168" t="s">
        <v>144</v>
      </c>
      <c r="U2" s="168"/>
      <c r="V2" s="170" t="s">
        <v>34</v>
      </c>
      <c r="W2" s="211">
        <v>41920</v>
      </c>
      <c r="X2" s="40"/>
      <c r="Y2" s="227" t="s">
        <v>95</v>
      </c>
      <c r="Z2" s="114"/>
      <c r="AB2" s="114"/>
      <c r="AC2" s="114"/>
      <c r="AD2" s="114"/>
      <c r="AE2" s="114"/>
    </row>
    <row r="3" spans="2:35" s="90" customFormat="1" x14ac:dyDescent="0.2">
      <c r="B3" s="97"/>
      <c r="C3" s="97"/>
      <c r="H3" s="88"/>
      <c r="I3" s="88"/>
      <c r="J3" s="40"/>
      <c r="R3" s="517"/>
      <c r="S3" s="518" t="s">
        <v>36</v>
      </c>
      <c r="T3" s="519" t="s">
        <v>266</v>
      </c>
      <c r="U3" s="519"/>
      <c r="V3" s="520" t="s">
        <v>34</v>
      </c>
      <c r="W3" s="521">
        <v>41926</v>
      </c>
      <c r="X3" s="40"/>
      <c r="Y3" s="201" t="s">
        <v>96</v>
      </c>
      <c r="Z3" s="114"/>
      <c r="AB3" s="114"/>
      <c r="AC3" s="114"/>
      <c r="AD3" s="114"/>
      <c r="AE3" s="114"/>
    </row>
    <row r="4" spans="2:35" s="90" customFormat="1" ht="13.5" thickBot="1" x14ac:dyDescent="0.25">
      <c r="B4" s="97"/>
      <c r="C4" s="97"/>
      <c r="H4" s="88"/>
      <c r="I4" s="88"/>
      <c r="J4" s="40"/>
      <c r="R4" s="522"/>
      <c r="S4" s="523" t="s">
        <v>280</v>
      </c>
      <c r="T4" s="216" t="s">
        <v>266</v>
      </c>
      <c r="U4" s="216"/>
      <c r="V4" s="217" t="s">
        <v>34</v>
      </c>
      <c r="W4" s="459">
        <v>42598</v>
      </c>
      <c r="X4" s="40"/>
      <c r="Y4" s="515"/>
      <c r="Z4" s="114"/>
      <c r="AB4" s="114"/>
      <c r="AC4" s="114"/>
      <c r="AD4" s="114"/>
      <c r="AE4" s="114"/>
    </row>
    <row r="5" spans="2:35" s="90" customFormat="1" ht="13.5" thickBot="1" x14ac:dyDescent="0.25">
      <c r="B5" s="97"/>
      <c r="C5" s="97"/>
      <c r="H5" s="88"/>
      <c r="I5" s="88"/>
      <c r="J5" s="40"/>
      <c r="K5" s="40"/>
      <c r="L5" s="40"/>
      <c r="M5" s="40"/>
      <c r="N5" s="88"/>
      <c r="O5" s="68"/>
      <c r="P5" s="10"/>
      <c r="Q5" s="88"/>
      <c r="R5" s="88"/>
      <c r="S5" s="88"/>
      <c r="T5" s="88"/>
      <c r="U5" s="88"/>
      <c r="V5" s="40"/>
      <c r="W5" s="40"/>
      <c r="X5" s="40"/>
      <c r="Y5" s="214" t="s">
        <v>97</v>
      </c>
      <c r="AC5" s="114"/>
      <c r="AD5" s="114"/>
      <c r="AE5" s="114"/>
    </row>
    <row r="6" spans="2:35" s="16" customFormat="1" ht="12.75" customHeight="1" thickBot="1" x14ac:dyDescent="0.25">
      <c r="B6" s="657" t="s">
        <v>1</v>
      </c>
      <c r="C6" s="658"/>
      <c r="D6" s="653" t="s">
        <v>0</v>
      </c>
      <c r="E6" s="667" t="s">
        <v>27</v>
      </c>
      <c r="F6" s="667" t="s">
        <v>94</v>
      </c>
      <c r="G6" s="667" t="s">
        <v>46</v>
      </c>
      <c r="H6" s="663" t="s">
        <v>4</v>
      </c>
      <c r="I6" s="663" t="s">
        <v>21</v>
      </c>
      <c r="J6" s="743" t="s">
        <v>17</v>
      </c>
      <c r="K6" s="743" t="s">
        <v>20</v>
      </c>
      <c r="L6" s="743" t="s">
        <v>14</v>
      </c>
      <c r="M6" s="642">
        <v>204</v>
      </c>
      <c r="N6" s="644"/>
      <c r="O6" s="2">
        <v>252</v>
      </c>
      <c r="P6" s="57">
        <v>301</v>
      </c>
      <c r="Q6" s="57">
        <v>304</v>
      </c>
      <c r="R6" s="2">
        <v>407</v>
      </c>
      <c r="S6" s="542">
        <v>441</v>
      </c>
      <c r="T6" s="544"/>
      <c r="U6" s="2">
        <v>442</v>
      </c>
      <c r="V6" s="542">
        <v>452</v>
      </c>
      <c r="W6" s="544"/>
      <c r="X6" s="176"/>
    </row>
    <row r="7" spans="2:35" ht="12.75" customHeight="1" thickBot="1" x14ac:dyDescent="0.25">
      <c r="B7" s="659"/>
      <c r="C7" s="660"/>
      <c r="D7" s="654"/>
      <c r="E7" s="712"/>
      <c r="F7" s="712"/>
      <c r="G7" s="710"/>
      <c r="H7" s="664"/>
      <c r="I7" s="664"/>
      <c r="J7" s="744"/>
      <c r="K7" s="744"/>
      <c r="L7" s="744"/>
      <c r="M7" s="675" t="s">
        <v>8</v>
      </c>
      <c r="N7" s="676" t="s">
        <v>7</v>
      </c>
      <c r="O7" s="740" t="s">
        <v>24</v>
      </c>
      <c r="P7" s="675" t="s">
        <v>52</v>
      </c>
      <c r="Q7" s="676" t="s">
        <v>9</v>
      </c>
      <c r="R7" s="675" t="s">
        <v>279</v>
      </c>
      <c r="S7" s="559" t="s">
        <v>129</v>
      </c>
      <c r="T7" s="559" t="s">
        <v>130</v>
      </c>
      <c r="U7" s="559" t="s">
        <v>98</v>
      </c>
      <c r="V7" s="738" t="s">
        <v>134</v>
      </c>
      <c r="W7" s="738" t="s">
        <v>120</v>
      </c>
      <c r="X7" s="177"/>
      <c r="Y7" s="697" t="s">
        <v>201</v>
      </c>
      <c r="Z7" s="698"/>
      <c r="AA7" s="698"/>
      <c r="AB7" s="698"/>
      <c r="AC7" s="698"/>
      <c r="AD7" s="698"/>
      <c r="AE7" s="698"/>
      <c r="AF7" s="698"/>
      <c r="AG7" s="698"/>
      <c r="AH7" s="698"/>
      <c r="AI7" s="699"/>
    </row>
    <row r="8" spans="2:35" ht="12.75" customHeight="1" x14ac:dyDescent="0.2">
      <c r="B8" s="659"/>
      <c r="C8" s="660"/>
      <c r="D8" s="654"/>
      <c r="E8" s="712"/>
      <c r="F8" s="712"/>
      <c r="G8" s="710"/>
      <c r="H8" s="664"/>
      <c r="I8" s="664"/>
      <c r="J8" s="744"/>
      <c r="K8" s="744"/>
      <c r="L8" s="744"/>
      <c r="M8" s="676"/>
      <c r="N8" s="676"/>
      <c r="O8" s="741"/>
      <c r="P8" s="676"/>
      <c r="Q8" s="676"/>
      <c r="R8" s="676"/>
      <c r="S8" s="560"/>
      <c r="T8" s="560"/>
      <c r="U8" s="560"/>
      <c r="V8" s="739"/>
      <c r="W8" s="739"/>
      <c r="X8" s="178"/>
      <c r="Y8" s="671" t="s">
        <v>208</v>
      </c>
      <c r="Z8" s="673" t="s">
        <v>214</v>
      </c>
      <c r="AA8" s="704" t="s">
        <v>45</v>
      </c>
      <c r="AB8" s="681"/>
      <c r="AC8" s="705"/>
      <c r="AD8" s="680" t="s">
        <v>45</v>
      </c>
      <c r="AE8" s="681"/>
      <c r="AF8" s="705"/>
      <c r="AG8" s="680" t="s">
        <v>45</v>
      </c>
      <c r="AH8" s="681"/>
      <c r="AI8" s="682"/>
    </row>
    <row r="9" spans="2:35" ht="12.75" customHeight="1" thickBot="1" x14ac:dyDescent="0.25">
      <c r="B9" s="659"/>
      <c r="C9" s="660"/>
      <c r="D9" s="654"/>
      <c r="E9" s="712"/>
      <c r="F9" s="712"/>
      <c r="G9" s="710"/>
      <c r="H9" s="664"/>
      <c r="I9" s="664"/>
      <c r="J9" s="744"/>
      <c r="K9" s="744"/>
      <c r="L9" s="744"/>
      <c r="M9" s="676"/>
      <c r="N9" s="676"/>
      <c r="O9" s="741"/>
      <c r="P9" s="676"/>
      <c r="Q9" s="676"/>
      <c r="R9" s="676"/>
      <c r="S9" s="560"/>
      <c r="T9" s="560"/>
      <c r="U9" s="560"/>
      <c r="V9" s="739"/>
      <c r="W9" s="739"/>
      <c r="X9" s="178"/>
      <c r="Y9" s="672"/>
      <c r="Z9" s="674"/>
      <c r="AA9" s="686" t="s">
        <v>210</v>
      </c>
      <c r="AB9" s="684"/>
      <c r="AC9" s="685"/>
      <c r="AD9" s="686" t="s">
        <v>223</v>
      </c>
      <c r="AE9" s="684"/>
      <c r="AF9" s="685"/>
      <c r="AG9" s="686" t="s">
        <v>224</v>
      </c>
      <c r="AH9" s="684"/>
      <c r="AI9" s="687"/>
    </row>
    <row r="10" spans="2:35" ht="12.75" customHeight="1" x14ac:dyDescent="0.2">
      <c r="B10" s="659"/>
      <c r="C10" s="660"/>
      <c r="D10" s="654"/>
      <c r="E10" s="712"/>
      <c r="F10" s="712"/>
      <c r="G10" s="710"/>
      <c r="H10" s="664"/>
      <c r="I10" s="664"/>
      <c r="J10" s="744"/>
      <c r="K10" s="744"/>
      <c r="L10" s="744"/>
      <c r="M10" s="676"/>
      <c r="N10" s="676"/>
      <c r="O10" s="741"/>
      <c r="P10" s="676"/>
      <c r="Q10" s="676"/>
      <c r="R10" s="676"/>
      <c r="S10" s="560"/>
      <c r="T10" s="560"/>
      <c r="U10" s="560"/>
      <c r="V10" s="739"/>
      <c r="W10" s="739"/>
      <c r="X10" s="178"/>
      <c r="Y10" s="222" t="s">
        <v>218</v>
      </c>
      <c r="Z10" s="104" t="s">
        <v>220</v>
      </c>
      <c r="AA10" s="695">
        <v>1.42</v>
      </c>
      <c r="AB10" s="617"/>
      <c r="AC10" s="618"/>
      <c r="AD10" s="616" t="s">
        <v>97</v>
      </c>
      <c r="AE10" s="617"/>
      <c r="AF10" s="618"/>
      <c r="AG10" s="616" t="s">
        <v>97</v>
      </c>
      <c r="AH10" s="617"/>
      <c r="AI10" s="694"/>
    </row>
    <row r="11" spans="2:35" ht="12.75" customHeight="1" x14ac:dyDescent="0.2">
      <c r="B11" s="659"/>
      <c r="C11" s="660"/>
      <c r="D11" s="654"/>
      <c r="E11" s="712"/>
      <c r="F11" s="712"/>
      <c r="G11" s="710"/>
      <c r="H11" s="664"/>
      <c r="I11" s="664"/>
      <c r="J11" s="744"/>
      <c r="K11" s="744"/>
      <c r="L11" s="744"/>
      <c r="M11" s="676"/>
      <c r="N11" s="676"/>
      <c r="O11" s="741"/>
      <c r="P11" s="676"/>
      <c r="Q11" s="676"/>
      <c r="R11" s="676"/>
      <c r="S11" s="560"/>
      <c r="T11" s="560"/>
      <c r="U11" s="560"/>
      <c r="V11" s="739"/>
      <c r="W11" s="739"/>
      <c r="X11" s="178"/>
      <c r="Y11" s="221" t="s">
        <v>219</v>
      </c>
      <c r="Z11" s="103" t="s">
        <v>220</v>
      </c>
      <c r="AA11" s="688">
        <v>2.67</v>
      </c>
      <c r="AB11" s="689"/>
      <c r="AC11" s="690"/>
      <c r="AD11" s="691" t="s">
        <v>97</v>
      </c>
      <c r="AE11" s="692"/>
      <c r="AF11" s="693"/>
      <c r="AG11" s="691" t="s">
        <v>97</v>
      </c>
      <c r="AH11" s="692"/>
      <c r="AI11" s="729"/>
    </row>
    <row r="12" spans="2:35" ht="12.75" customHeight="1" x14ac:dyDescent="0.2">
      <c r="B12" s="659"/>
      <c r="C12" s="660"/>
      <c r="D12" s="654"/>
      <c r="E12" s="712"/>
      <c r="F12" s="712"/>
      <c r="G12" s="710"/>
      <c r="H12" s="664"/>
      <c r="I12" s="664"/>
      <c r="J12" s="744"/>
      <c r="K12" s="744"/>
      <c r="L12" s="744"/>
      <c r="M12" s="676"/>
      <c r="N12" s="676"/>
      <c r="O12" s="741"/>
      <c r="P12" s="676"/>
      <c r="Q12" s="676"/>
      <c r="R12" s="676"/>
      <c r="S12" s="560"/>
      <c r="T12" s="560"/>
      <c r="U12" s="560"/>
      <c r="V12" s="739"/>
      <c r="W12" s="739"/>
      <c r="X12" s="178"/>
      <c r="Y12" s="221" t="s">
        <v>221</v>
      </c>
      <c r="Z12" s="103" t="s">
        <v>225</v>
      </c>
      <c r="AA12" s="688" t="s">
        <v>97</v>
      </c>
      <c r="AB12" s="689"/>
      <c r="AC12" s="690"/>
      <c r="AD12" s="750">
        <v>2397</v>
      </c>
      <c r="AE12" s="751"/>
      <c r="AF12" s="752"/>
      <c r="AG12" s="750">
        <v>160</v>
      </c>
      <c r="AH12" s="751"/>
      <c r="AI12" s="753"/>
    </row>
    <row r="13" spans="2:35" ht="12.75" customHeight="1" thickBot="1" x14ac:dyDescent="0.25">
      <c r="B13" s="659"/>
      <c r="C13" s="660"/>
      <c r="D13" s="654"/>
      <c r="E13" s="712"/>
      <c r="F13" s="712"/>
      <c r="G13" s="710"/>
      <c r="H13" s="664"/>
      <c r="I13" s="664"/>
      <c r="J13" s="744"/>
      <c r="K13" s="744"/>
      <c r="L13" s="744"/>
      <c r="M13" s="676"/>
      <c r="N13" s="676"/>
      <c r="O13" s="741"/>
      <c r="P13" s="676"/>
      <c r="Q13" s="676"/>
      <c r="R13" s="676"/>
      <c r="S13" s="560"/>
      <c r="T13" s="560"/>
      <c r="U13" s="560"/>
      <c r="V13" s="739"/>
      <c r="W13" s="739"/>
      <c r="X13" s="178"/>
      <c r="Y13" s="223" t="s">
        <v>222</v>
      </c>
      <c r="Z13" s="158" t="s">
        <v>225</v>
      </c>
      <c r="AA13" s="677" t="s">
        <v>97</v>
      </c>
      <c r="AB13" s="678"/>
      <c r="AC13" s="679"/>
      <c r="AD13" s="746">
        <v>2189</v>
      </c>
      <c r="AE13" s="747"/>
      <c r="AF13" s="748"/>
      <c r="AG13" s="746">
        <v>167</v>
      </c>
      <c r="AH13" s="747"/>
      <c r="AI13" s="749"/>
    </row>
    <row r="14" spans="2:35" ht="12.75" customHeight="1" x14ac:dyDescent="0.2">
      <c r="B14" s="659"/>
      <c r="C14" s="660"/>
      <c r="D14" s="654"/>
      <c r="E14" s="712"/>
      <c r="F14" s="712"/>
      <c r="G14" s="710"/>
      <c r="H14" s="664"/>
      <c r="I14" s="664"/>
      <c r="J14" s="744"/>
      <c r="K14" s="744"/>
      <c r="L14" s="744"/>
      <c r="M14" s="676"/>
      <c r="N14" s="676"/>
      <c r="O14" s="741"/>
      <c r="P14" s="676"/>
      <c r="Q14" s="676"/>
      <c r="R14" s="676"/>
      <c r="S14" s="560"/>
      <c r="T14" s="560"/>
      <c r="U14" s="560"/>
      <c r="V14" s="739"/>
      <c r="W14" s="739"/>
      <c r="X14" s="178"/>
    </row>
    <row r="15" spans="2:35" ht="12.75" customHeight="1" x14ac:dyDescent="0.2">
      <c r="B15" s="659"/>
      <c r="C15" s="660"/>
      <c r="D15" s="654"/>
      <c r="E15" s="712"/>
      <c r="F15" s="712"/>
      <c r="G15" s="710"/>
      <c r="H15" s="664"/>
      <c r="I15" s="664"/>
      <c r="J15" s="744"/>
      <c r="K15" s="744"/>
      <c r="L15" s="744"/>
      <c r="M15" s="676"/>
      <c r="N15" s="676"/>
      <c r="O15" s="741"/>
      <c r="P15" s="676"/>
      <c r="Q15" s="676"/>
      <c r="R15" s="676"/>
      <c r="S15" s="560"/>
      <c r="T15" s="560"/>
      <c r="U15" s="560"/>
      <c r="V15" s="739"/>
      <c r="W15" s="739"/>
      <c r="X15" s="178"/>
    </row>
    <row r="16" spans="2:35" ht="12.75" customHeight="1" x14ac:dyDescent="0.2">
      <c r="B16" s="659"/>
      <c r="C16" s="660"/>
      <c r="D16" s="654"/>
      <c r="E16" s="712"/>
      <c r="F16" s="712"/>
      <c r="G16" s="710"/>
      <c r="H16" s="665"/>
      <c r="I16" s="665"/>
      <c r="J16" s="745"/>
      <c r="K16" s="745"/>
      <c r="L16" s="745"/>
      <c r="M16" s="676"/>
      <c r="N16" s="676"/>
      <c r="O16" s="742"/>
      <c r="P16" s="676"/>
      <c r="Q16" s="676"/>
      <c r="R16" s="676"/>
      <c r="S16" s="561"/>
      <c r="T16" s="561"/>
      <c r="U16" s="561"/>
      <c r="V16" s="739"/>
      <c r="W16" s="739"/>
      <c r="X16" s="178"/>
    </row>
    <row r="17" spans="1:30" ht="12.75" customHeight="1" thickBot="1" x14ac:dyDescent="0.25">
      <c r="B17" s="24" t="s">
        <v>2</v>
      </c>
      <c r="C17" s="25" t="s">
        <v>3</v>
      </c>
      <c r="D17" s="711"/>
      <c r="E17" s="713"/>
      <c r="F17" s="713"/>
      <c r="G17" s="5" t="s">
        <v>12</v>
      </c>
      <c r="H17" s="5" t="s">
        <v>5</v>
      </c>
      <c r="I17" s="5" t="s">
        <v>5</v>
      </c>
      <c r="J17" s="63" t="s">
        <v>6</v>
      </c>
      <c r="K17" s="63" t="s">
        <v>6</v>
      </c>
      <c r="L17" s="63" t="s">
        <v>6</v>
      </c>
      <c r="M17" s="128" t="s">
        <v>10</v>
      </c>
      <c r="N17" s="5" t="s">
        <v>11</v>
      </c>
      <c r="O17" s="63" t="s">
        <v>5</v>
      </c>
      <c r="P17" s="5" t="s">
        <v>12</v>
      </c>
      <c r="Q17" s="5" t="s">
        <v>12</v>
      </c>
      <c r="R17" s="5" t="s">
        <v>13</v>
      </c>
      <c r="S17" s="5" t="s">
        <v>12</v>
      </c>
      <c r="T17" s="5" t="s">
        <v>12</v>
      </c>
      <c r="U17" s="5" t="s">
        <v>12</v>
      </c>
      <c r="V17" s="128" t="s">
        <v>10</v>
      </c>
      <c r="W17" s="128" t="s">
        <v>10</v>
      </c>
      <c r="X17" s="164"/>
    </row>
    <row r="18" spans="1:30" ht="12.75" customHeight="1" x14ac:dyDescent="0.2">
      <c r="B18" s="661" t="s">
        <v>53</v>
      </c>
      <c r="C18" s="662"/>
      <c r="D18" s="28"/>
      <c r="E18" s="28"/>
      <c r="F18" s="28"/>
      <c r="G18" s="28"/>
      <c r="H18" s="29"/>
      <c r="I18" s="29"/>
      <c r="J18" s="64"/>
      <c r="K18" s="64"/>
      <c r="L18" s="64"/>
      <c r="M18" s="64"/>
      <c r="N18" s="29"/>
      <c r="O18" s="49"/>
      <c r="P18" s="30"/>
      <c r="Q18" s="29"/>
      <c r="R18" s="29"/>
      <c r="S18" s="101"/>
      <c r="T18" s="29"/>
      <c r="U18" s="29"/>
      <c r="V18" s="64"/>
      <c r="W18" s="64"/>
      <c r="X18" s="164"/>
    </row>
    <row r="19" spans="1:30" ht="12.75" customHeight="1" x14ac:dyDescent="0.2">
      <c r="B19" s="335">
        <v>5187.43</v>
      </c>
      <c r="C19" s="336">
        <v>5251.38</v>
      </c>
      <c r="D19" s="337" t="s">
        <v>30</v>
      </c>
      <c r="E19" s="337" t="s">
        <v>97</v>
      </c>
      <c r="F19" s="337" t="s">
        <v>97</v>
      </c>
      <c r="G19" s="27">
        <f t="shared" ref="G19:G27" si="0">IF(F19=$Y$2,E19*$AA$10*H19/27,IF(F19=$Y$3,E19*$AA$11*H19/27,0))</f>
        <v>0</v>
      </c>
      <c r="H19" s="4">
        <f t="shared" ref="H19:H28" si="1">C19-B19</f>
        <v>63.949999999999818</v>
      </c>
      <c r="I19" s="342">
        <v>37.47</v>
      </c>
      <c r="J19" s="71">
        <f>IF(I19="-","-",ROUNDUP(H19*I19,0))</f>
        <v>2397</v>
      </c>
      <c r="K19" s="348">
        <v>0</v>
      </c>
      <c r="L19" s="67">
        <f t="shared" ref="L19" si="2">SUM(J19:K19)</f>
        <v>2397</v>
      </c>
      <c r="M19" s="85">
        <f>((Q19*27)/0.5)/9</f>
        <v>266.33333333333331</v>
      </c>
      <c r="N19" s="6">
        <f>(M19)/2000</f>
        <v>0.13316666666666666</v>
      </c>
      <c r="O19" s="348">
        <v>99</v>
      </c>
      <c r="P19" s="34">
        <f t="shared" ref="P19:P28" si="3">(L19*$P$1/12)/27</f>
        <v>44.388888888888886</v>
      </c>
      <c r="Q19" s="4">
        <f t="shared" ref="Q19:Q28" si="4">(L19*$Q$1/12)/27+G19</f>
        <v>44.388888888888886</v>
      </c>
      <c r="R19" s="6">
        <f t="shared" ref="R19:R27" si="5">($L19/9)*$R$1</f>
        <v>14.648333333333332</v>
      </c>
      <c r="S19" s="343">
        <v>0</v>
      </c>
      <c r="T19" s="4">
        <f t="shared" ref="T19:T27" si="6">(L19*$T$1/12)/27</f>
        <v>12.94675925925926</v>
      </c>
      <c r="U19" s="4">
        <f t="shared" ref="U19:U27" si="7">($L19*($U$1/12))/27</f>
        <v>9.2476851851851851</v>
      </c>
      <c r="V19" s="370">
        <v>0</v>
      </c>
      <c r="W19" s="370">
        <v>0</v>
      </c>
      <c r="X19" s="72"/>
    </row>
    <row r="20" spans="1:30" ht="12.75" customHeight="1" x14ac:dyDescent="0.2">
      <c r="B20" s="335">
        <v>5251.38</v>
      </c>
      <c r="C20" s="336">
        <v>5327.84</v>
      </c>
      <c r="D20" s="337" t="s">
        <v>30</v>
      </c>
      <c r="E20" s="337">
        <v>1</v>
      </c>
      <c r="F20" s="337" t="s">
        <v>95</v>
      </c>
      <c r="G20" s="27">
        <f t="shared" si="0"/>
        <v>4.021229629629631</v>
      </c>
      <c r="H20" s="4">
        <f t="shared" si="1"/>
        <v>76.460000000000036</v>
      </c>
      <c r="I20" s="342" t="s">
        <v>97</v>
      </c>
      <c r="J20" s="71" t="str">
        <f t="shared" ref="J20:J46" si="8">IF(I20="-","-",ROUNDUP(H20*I20,0))</f>
        <v>-</v>
      </c>
      <c r="K20" s="348">
        <v>3145.99</v>
      </c>
      <c r="L20" s="67">
        <f t="shared" ref="L20" si="9">SUM(J20:K20)</f>
        <v>3145.99</v>
      </c>
      <c r="M20" s="85">
        <f t="shared" ref="M20:M45" si="10">((Q20*27)/0.5)/9</f>
        <v>373.68182222222219</v>
      </c>
      <c r="N20" s="85">
        <f t="shared" ref="N20:N45" si="11">(M20)/2000</f>
        <v>0.18684091111111109</v>
      </c>
      <c r="O20" s="348">
        <v>25</v>
      </c>
      <c r="P20" s="34">
        <f t="shared" si="3"/>
        <v>58.259074074074071</v>
      </c>
      <c r="Q20" s="4">
        <f t="shared" si="4"/>
        <v>62.280303703703702</v>
      </c>
      <c r="R20" s="6">
        <f t="shared" si="5"/>
        <v>19.225494444444443</v>
      </c>
      <c r="S20" s="343">
        <v>0</v>
      </c>
      <c r="T20" s="4">
        <f t="shared" si="6"/>
        <v>16.992229938271606</v>
      </c>
      <c r="U20" s="4">
        <f t="shared" si="7"/>
        <v>12.137307098765431</v>
      </c>
      <c r="V20" s="370">
        <v>0</v>
      </c>
      <c r="W20" s="370">
        <v>0</v>
      </c>
      <c r="X20" s="72"/>
    </row>
    <row r="21" spans="1:30" ht="12.75" customHeight="1" x14ac:dyDescent="0.2">
      <c r="B21" s="335">
        <v>5327.84</v>
      </c>
      <c r="C21" s="336">
        <v>5347.43</v>
      </c>
      <c r="D21" s="337" t="s">
        <v>30</v>
      </c>
      <c r="E21" s="337">
        <v>2</v>
      </c>
      <c r="F21" s="337" t="s">
        <v>95</v>
      </c>
      <c r="G21" s="27">
        <f t="shared" si="0"/>
        <v>2.0605777777777927</v>
      </c>
      <c r="H21" s="4">
        <f t="shared" si="1"/>
        <v>19.590000000000146</v>
      </c>
      <c r="I21" s="342">
        <v>35.35</v>
      </c>
      <c r="J21" s="71">
        <f t="shared" si="8"/>
        <v>693</v>
      </c>
      <c r="K21" s="348">
        <v>0</v>
      </c>
      <c r="L21" s="67">
        <f t="shared" ref="L21" si="12">SUM(J21:K21)</f>
        <v>693</v>
      </c>
      <c r="M21" s="85">
        <f t="shared" si="10"/>
        <v>89.363466666666753</v>
      </c>
      <c r="N21" s="85">
        <f t="shared" si="11"/>
        <v>4.4681733333333376E-2</v>
      </c>
      <c r="O21" s="348">
        <v>0</v>
      </c>
      <c r="P21" s="34">
        <f t="shared" si="3"/>
        <v>12.833333333333334</v>
      </c>
      <c r="Q21" s="4">
        <f t="shared" si="4"/>
        <v>14.893911111111127</v>
      </c>
      <c r="R21" s="6">
        <f t="shared" si="5"/>
        <v>4.2350000000000003</v>
      </c>
      <c r="S21" s="343">
        <v>0</v>
      </c>
      <c r="T21" s="4">
        <f t="shared" si="6"/>
        <v>3.7430555555555554</v>
      </c>
      <c r="U21" s="4">
        <f t="shared" si="7"/>
        <v>2.6736111111111112</v>
      </c>
      <c r="V21" s="370">
        <v>0</v>
      </c>
      <c r="W21" s="370">
        <v>0</v>
      </c>
      <c r="X21" s="72"/>
    </row>
    <row r="22" spans="1:30" ht="12.75" customHeight="1" x14ac:dyDescent="0.2">
      <c r="A22" s="48"/>
      <c r="B22" s="335">
        <v>5347.43</v>
      </c>
      <c r="C22" s="336">
        <v>5418.77</v>
      </c>
      <c r="D22" s="337" t="s">
        <v>30</v>
      </c>
      <c r="E22" s="337">
        <v>2</v>
      </c>
      <c r="F22" s="337" t="s">
        <v>95</v>
      </c>
      <c r="G22" s="27">
        <f t="shared" si="0"/>
        <v>7.5039111111111261</v>
      </c>
      <c r="H22" s="4">
        <f t="shared" si="1"/>
        <v>71.340000000000146</v>
      </c>
      <c r="I22" s="342">
        <v>36</v>
      </c>
      <c r="J22" s="71">
        <f t="shared" si="8"/>
        <v>2569</v>
      </c>
      <c r="K22" s="348">
        <v>0</v>
      </c>
      <c r="L22" s="67">
        <f t="shared" ref="L22:L27" si="13">SUM(J22:K22)</f>
        <v>2569</v>
      </c>
      <c r="M22" s="85">
        <f t="shared" si="10"/>
        <v>330.46791111111116</v>
      </c>
      <c r="N22" s="85">
        <f t="shared" si="11"/>
        <v>0.16523395555555559</v>
      </c>
      <c r="O22" s="348">
        <v>0</v>
      </c>
      <c r="P22" s="34">
        <f t="shared" si="3"/>
        <v>47.574074074074076</v>
      </c>
      <c r="Q22" s="4">
        <f t="shared" si="4"/>
        <v>55.077985185185199</v>
      </c>
      <c r="R22" s="6">
        <f t="shared" si="5"/>
        <v>15.699444444444445</v>
      </c>
      <c r="S22" s="343">
        <v>0</v>
      </c>
      <c r="T22" s="4">
        <f t="shared" si="6"/>
        <v>13.87577160493827</v>
      </c>
      <c r="U22" s="4">
        <f t="shared" si="7"/>
        <v>9.9112654320987659</v>
      </c>
      <c r="V22" s="370">
        <v>0</v>
      </c>
      <c r="W22" s="370">
        <v>0</v>
      </c>
      <c r="X22" s="72"/>
    </row>
    <row r="23" spans="1:30" ht="12.75" customHeight="1" x14ac:dyDescent="0.2">
      <c r="A23" s="48"/>
      <c r="B23" s="335">
        <v>5418.77</v>
      </c>
      <c r="C23" s="336">
        <v>5458.6</v>
      </c>
      <c r="D23" s="337" t="s">
        <v>30</v>
      </c>
      <c r="E23" s="337">
        <v>1</v>
      </c>
      <c r="F23" s="337" t="s">
        <v>95</v>
      </c>
      <c r="G23" s="27">
        <f t="shared" si="0"/>
        <v>2.0947629629629589</v>
      </c>
      <c r="H23" s="4">
        <f t="shared" si="1"/>
        <v>39.829999999999927</v>
      </c>
      <c r="I23" s="342">
        <v>36</v>
      </c>
      <c r="J23" s="71">
        <f t="shared" si="8"/>
        <v>1434</v>
      </c>
      <c r="K23" s="348">
        <v>0</v>
      </c>
      <c r="L23" s="67">
        <f t="shared" si="13"/>
        <v>1434</v>
      </c>
      <c r="M23" s="85">
        <f t="shared" si="10"/>
        <v>171.9019111111111</v>
      </c>
      <c r="N23" s="85">
        <f t="shared" si="11"/>
        <v>8.5950955555555555E-2</v>
      </c>
      <c r="O23" s="348">
        <v>0</v>
      </c>
      <c r="P23" s="12">
        <f t="shared" si="3"/>
        <v>26.555555555555557</v>
      </c>
      <c r="Q23" s="4">
        <f t="shared" si="4"/>
        <v>28.650318518518517</v>
      </c>
      <c r="R23" s="4">
        <f t="shared" si="5"/>
        <v>8.7633333333333336</v>
      </c>
      <c r="S23" s="343">
        <v>0</v>
      </c>
      <c r="T23" s="4">
        <f t="shared" si="6"/>
        <v>7.7453703703703702</v>
      </c>
      <c r="U23" s="4">
        <f t="shared" si="7"/>
        <v>5.5324074074074074</v>
      </c>
      <c r="V23" s="370">
        <v>0</v>
      </c>
      <c r="W23" s="370">
        <v>0</v>
      </c>
      <c r="X23" s="72"/>
      <c r="AD23" s="59"/>
    </row>
    <row r="24" spans="1:30" ht="12.75" customHeight="1" x14ac:dyDescent="0.2">
      <c r="B24" s="335">
        <v>5458.6</v>
      </c>
      <c r="C24" s="336">
        <v>5527.27</v>
      </c>
      <c r="D24" s="337" t="s">
        <v>30</v>
      </c>
      <c r="E24" s="337" t="s">
        <v>97</v>
      </c>
      <c r="F24" s="337" t="s">
        <v>97</v>
      </c>
      <c r="G24" s="27">
        <f t="shared" si="0"/>
        <v>0</v>
      </c>
      <c r="H24" s="4">
        <f t="shared" si="1"/>
        <v>68.670000000000073</v>
      </c>
      <c r="I24" s="342">
        <v>36</v>
      </c>
      <c r="J24" s="71">
        <f t="shared" si="8"/>
        <v>2473</v>
      </c>
      <c r="K24" s="348">
        <v>0</v>
      </c>
      <c r="L24" s="67">
        <f t="shared" si="13"/>
        <v>2473</v>
      </c>
      <c r="M24" s="85">
        <f t="shared" si="10"/>
        <v>274.77777777777777</v>
      </c>
      <c r="N24" s="85">
        <f t="shared" si="11"/>
        <v>0.13738888888888889</v>
      </c>
      <c r="O24" s="348">
        <v>0</v>
      </c>
      <c r="P24" s="12">
        <f t="shared" si="3"/>
        <v>45.796296296296298</v>
      </c>
      <c r="Q24" s="4">
        <f t="shared" si="4"/>
        <v>45.796296296296298</v>
      </c>
      <c r="R24" s="4">
        <f t="shared" si="5"/>
        <v>15.112777777777778</v>
      </c>
      <c r="S24" s="343">
        <v>0</v>
      </c>
      <c r="T24" s="4">
        <f t="shared" si="6"/>
        <v>13.357253086419753</v>
      </c>
      <c r="U24" s="4">
        <f t="shared" si="7"/>
        <v>9.5408950617283956</v>
      </c>
      <c r="V24" s="370">
        <v>0</v>
      </c>
      <c r="W24" s="370">
        <v>0</v>
      </c>
      <c r="X24" s="72"/>
    </row>
    <row r="25" spans="1:30" ht="12.75" customHeight="1" x14ac:dyDescent="0.2">
      <c r="B25" s="335">
        <v>5527.27</v>
      </c>
      <c r="C25" s="336">
        <v>5599.21</v>
      </c>
      <c r="D25" s="337" t="s">
        <v>30</v>
      </c>
      <c r="E25" s="337">
        <v>1</v>
      </c>
      <c r="F25" s="337" t="s">
        <v>95</v>
      </c>
      <c r="G25" s="27">
        <f t="shared" si="0"/>
        <v>3.78351111111109</v>
      </c>
      <c r="H25" s="4">
        <f t="shared" si="1"/>
        <v>71.9399999999996</v>
      </c>
      <c r="I25" s="342">
        <v>36</v>
      </c>
      <c r="J25" s="71">
        <f t="shared" si="8"/>
        <v>2590</v>
      </c>
      <c r="K25" s="348">
        <v>0</v>
      </c>
      <c r="L25" s="67">
        <f t="shared" si="13"/>
        <v>2590</v>
      </c>
      <c r="M25" s="85">
        <f t="shared" si="10"/>
        <v>310.47884444444429</v>
      </c>
      <c r="N25" s="85">
        <f t="shared" si="11"/>
        <v>0.15523942222222215</v>
      </c>
      <c r="O25" s="348">
        <v>0</v>
      </c>
      <c r="P25" s="12">
        <f t="shared" si="3"/>
        <v>47.962962962962962</v>
      </c>
      <c r="Q25" s="4">
        <f t="shared" si="4"/>
        <v>51.746474074074051</v>
      </c>
      <c r="R25" s="4">
        <f t="shared" si="5"/>
        <v>15.827777777777778</v>
      </c>
      <c r="S25" s="343">
        <v>0</v>
      </c>
      <c r="T25" s="4">
        <f t="shared" si="6"/>
        <v>13.989197530864196</v>
      </c>
      <c r="U25" s="4">
        <f t="shared" si="7"/>
        <v>9.9922839506172849</v>
      </c>
      <c r="V25" s="370">
        <v>0</v>
      </c>
      <c r="W25" s="370">
        <v>0</v>
      </c>
      <c r="X25" s="72"/>
    </row>
    <row r="26" spans="1:30" ht="12.75" customHeight="1" x14ac:dyDescent="0.2">
      <c r="B26" s="335">
        <v>5599.21</v>
      </c>
      <c r="C26" s="336">
        <v>5849.98</v>
      </c>
      <c r="D26" s="337" t="s">
        <v>30</v>
      </c>
      <c r="E26" s="337">
        <v>2</v>
      </c>
      <c r="F26" s="337" t="s">
        <v>95</v>
      </c>
      <c r="G26" s="27">
        <f t="shared" si="0"/>
        <v>26.377288888888838</v>
      </c>
      <c r="H26" s="4">
        <f t="shared" si="1"/>
        <v>250.76999999999953</v>
      </c>
      <c r="I26" s="342">
        <v>36</v>
      </c>
      <c r="J26" s="71">
        <f t="shared" si="8"/>
        <v>9028</v>
      </c>
      <c r="K26" s="348">
        <v>0</v>
      </c>
      <c r="L26" s="67">
        <f t="shared" si="13"/>
        <v>9028</v>
      </c>
      <c r="M26" s="85">
        <f t="shared" si="10"/>
        <v>1161.3748444444441</v>
      </c>
      <c r="N26" s="85">
        <f t="shared" si="11"/>
        <v>0.58068742222222203</v>
      </c>
      <c r="O26" s="348">
        <v>0</v>
      </c>
      <c r="P26" s="12">
        <f t="shared" si="3"/>
        <v>167.18518518518519</v>
      </c>
      <c r="Q26" s="4">
        <f t="shared" si="4"/>
        <v>193.56247407407403</v>
      </c>
      <c r="R26" s="4">
        <f t="shared" si="5"/>
        <v>55.171111111111109</v>
      </c>
      <c r="S26" s="343">
        <v>0</v>
      </c>
      <c r="T26" s="4">
        <f t="shared" si="6"/>
        <v>48.762345679012341</v>
      </c>
      <c r="U26" s="4">
        <f t="shared" si="7"/>
        <v>34.830246913580247</v>
      </c>
      <c r="V26" s="370">
        <v>0</v>
      </c>
      <c r="W26" s="370">
        <v>0</v>
      </c>
      <c r="X26" s="72"/>
      <c r="AD26" s="200"/>
    </row>
    <row r="27" spans="1:30" ht="12.75" customHeight="1" x14ac:dyDescent="0.2">
      <c r="B27" s="335">
        <v>5849.98</v>
      </c>
      <c r="C27" s="336">
        <v>5925</v>
      </c>
      <c r="D27" s="337" t="s">
        <v>30</v>
      </c>
      <c r="E27" s="337">
        <v>2</v>
      </c>
      <c r="F27" s="337" t="s">
        <v>95</v>
      </c>
      <c r="G27" s="27">
        <f t="shared" si="0"/>
        <v>7.8909925925926379</v>
      </c>
      <c r="H27" s="4">
        <f t="shared" si="1"/>
        <v>75.020000000000437</v>
      </c>
      <c r="I27" s="342">
        <v>36.9</v>
      </c>
      <c r="J27" s="71">
        <f t="shared" si="8"/>
        <v>2769</v>
      </c>
      <c r="K27" s="348">
        <v>0</v>
      </c>
      <c r="L27" s="67">
        <f t="shared" si="13"/>
        <v>2769</v>
      </c>
      <c r="M27" s="85">
        <f t="shared" si="10"/>
        <v>355.01262222222249</v>
      </c>
      <c r="N27" s="85">
        <f t="shared" si="11"/>
        <v>0.17750631111111123</v>
      </c>
      <c r="O27" s="348">
        <v>0</v>
      </c>
      <c r="P27" s="12">
        <f t="shared" si="3"/>
        <v>51.277777777777779</v>
      </c>
      <c r="Q27" s="4">
        <f t="shared" si="4"/>
        <v>59.168770370370417</v>
      </c>
      <c r="R27" s="4">
        <f t="shared" si="5"/>
        <v>16.921666666666667</v>
      </c>
      <c r="S27" s="343">
        <v>0</v>
      </c>
      <c r="T27" s="4">
        <f t="shared" si="6"/>
        <v>14.956018518518519</v>
      </c>
      <c r="U27" s="4">
        <f t="shared" si="7"/>
        <v>10.68287037037037</v>
      </c>
      <c r="V27" s="370">
        <v>0</v>
      </c>
      <c r="W27" s="370">
        <v>0</v>
      </c>
      <c r="X27" s="72"/>
    </row>
    <row r="28" spans="1:30" ht="12.75" customHeight="1" x14ac:dyDescent="0.2">
      <c r="A28" s="81"/>
      <c r="B28" s="335">
        <v>5925</v>
      </c>
      <c r="C28" s="336">
        <v>6352.78</v>
      </c>
      <c r="D28" s="337" t="s">
        <v>30</v>
      </c>
      <c r="E28" s="337" t="s">
        <v>97</v>
      </c>
      <c r="F28" s="337" t="s">
        <v>97</v>
      </c>
      <c r="G28" s="27">
        <f>(AD12+AG12)/27</f>
        <v>94.703703703703709</v>
      </c>
      <c r="H28" s="4">
        <f t="shared" si="1"/>
        <v>427.77999999999975</v>
      </c>
      <c r="I28" s="342" t="s">
        <v>97</v>
      </c>
      <c r="J28" s="71" t="str">
        <f t="shared" si="8"/>
        <v>-</v>
      </c>
      <c r="K28" s="348">
        <v>24800</v>
      </c>
      <c r="L28" s="67">
        <f t="shared" ref="L28" si="14">SUM(J28:K28)</f>
        <v>24800</v>
      </c>
      <c r="M28" s="85">
        <f t="shared" si="10"/>
        <v>3323.7777777777778</v>
      </c>
      <c r="N28" s="85">
        <f t="shared" si="11"/>
        <v>1.661888888888889</v>
      </c>
      <c r="O28" s="348">
        <v>0</v>
      </c>
      <c r="P28" s="12">
        <f t="shared" si="3"/>
        <v>459.25925925925924</v>
      </c>
      <c r="Q28" s="4">
        <f t="shared" si="4"/>
        <v>553.96296296296293</v>
      </c>
      <c r="R28" s="343">
        <v>0</v>
      </c>
      <c r="S28" s="343">
        <v>0</v>
      </c>
      <c r="T28" s="343">
        <v>0</v>
      </c>
      <c r="U28" s="343">
        <v>0</v>
      </c>
      <c r="V28" s="370">
        <v>0</v>
      </c>
      <c r="W28" s="370">
        <v>0</v>
      </c>
      <c r="X28" s="72"/>
    </row>
    <row r="29" spans="1:30" ht="12.75" customHeight="1" x14ac:dyDescent="0.2">
      <c r="A29" s="81"/>
      <c r="B29" s="335">
        <v>5925</v>
      </c>
      <c r="C29" s="336">
        <v>6352.78</v>
      </c>
      <c r="D29" s="337" t="s">
        <v>30</v>
      </c>
      <c r="E29" s="337" t="s">
        <v>97</v>
      </c>
      <c r="F29" s="337" t="s">
        <v>97</v>
      </c>
      <c r="G29" s="27">
        <f>IF(F29=$Y$2,E29*$AA$10*H29/27,IF(F29=$Y$3,E29*$AA$11*H29/27,0))</f>
        <v>0</v>
      </c>
      <c r="H29" s="4">
        <f t="shared" ref="H29:H32" si="15">C29-B29</f>
        <v>427.77999999999975</v>
      </c>
      <c r="I29" s="342" t="s">
        <v>97</v>
      </c>
      <c r="J29" s="71" t="str">
        <f t="shared" si="8"/>
        <v>-</v>
      </c>
      <c r="K29" s="348">
        <v>20172</v>
      </c>
      <c r="L29" s="67">
        <f t="shared" ref="L29" si="16">SUM(J29:K29)</f>
        <v>20172</v>
      </c>
      <c r="M29" s="346">
        <v>0</v>
      </c>
      <c r="N29" s="346">
        <v>0</v>
      </c>
      <c r="O29" s="348">
        <v>0</v>
      </c>
      <c r="P29" s="342">
        <v>0</v>
      </c>
      <c r="Q29" s="343">
        <v>0</v>
      </c>
      <c r="R29" s="4">
        <f>($L29/9)*$R$1</f>
        <v>123.27333333333334</v>
      </c>
      <c r="S29" s="343">
        <v>0</v>
      </c>
      <c r="T29" s="4">
        <f>(L29*$T$1/12)/27</f>
        <v>108.95370370370371</v>
      </c>
      <c r="U29" s="4">
        <f>($L29*($U$1/12))/27</f>
        <v>77.824074074074076</v>
      </c>
      <c r="V29" s="370">
        <v>0</v>
      </c>
      <c r="W29" s="370">
        <v>0</v>
      </c>
      <c r="X29" s="72"/>
    </row>
    <row r="30" spans="1:30" ht="12.75" customHeight="1" x14ac:dyDescent="0.2">
      <c r="A30" s="81"/>
      <c r="B30" s="335">
        <v>5979.44</v>
      </c>
      <c r="C30" s="336">
        <v>6028.36</v>
      </c>
      <c r="D30" s="337" t="s">
        <v>30</v>
      </c>
      <c r="E30" s="337" t="s">
        <v>97</v>
      </c>
      <c r="F30" s="337" t="s">
        <v>97</v>
      </c>
      <c r="G30" s="27">
        <f>IF(F30=$Y$2,E30*$AA$10*H30/27,IF(F30=$Y$3,E30*$AA$11*H30/27,0))</f>
        <v>0</v>
      </c>
      <c r="H30" s="4">
        <f t="shared" si="15"/>
        <v>48.920000000000073</v>
      </c>
      <c r="I30" s="342" t="s">
        <v>97</v>
      </c>
      <c r="J30" s="71" t="str">
        <f t="shared" si="8"/>
        <v>-</v>
      </c>
      <c r="K30" s="348">
        <v>645</v>
      </c>
      <c r="L30" s="67">
        <f t="shared" ref="L30:L31" si="17">SUM(J30:K30)</f>
        <v>645</v>
      </c>
      <c r="M30" s="346">
        <v>0</v>
      </c>
      <c r="N30" s="346">
        <v>0</v>
      </c>
      <c r="O30" s="348">
        <v>0</v>
      </c>
      <c r="P30" s="342">
        <v>0</v>
      </c>
      <c r="Q30" s="343">
        <v>0</v>
      </c>
      <c r="R30" s="343">
        <v>0</v>
      </c>
      <c r="S30" s="343">
        <v>0</v>
      </c>
      <c r="T30" s="343">
        <v>0</v>
      </c>
      <c r="U30" s="343">
        <v>0</v>
      </c>
      <c r="V30" s="370">
        <v>0</v>
      </c>
      <c r="W30" s="218">
        <f>L30/9</f>
        <v>71.666666666666671</v>
      </c>
      <c r="X30" s="72"/>
    </row>
    <row r="31" spans="1:30" s="81" customFormat="1" ht="12.75" customHeight="1" x14ac:dyDescent="0.2">
      <c r="B31" s="355">
        <v>6053.36</v>
      </c>
      <c r="C31" s="356">
        <v>6188.47</v>
      </c>
      <c r="D31" s="337" t="s">
        <v>30</v>
      </c>
      <c r="E31" s="337"/>
      <c r="F31" s="337"/>
      <c r="G31" s="27">
        <f>IF(F31=$Y$2,E31*$AA$10*H31/27,IF(F31=$Y$3,E31*$AA$11*H31/27,0))</f>
        <v>0</v>
      </c>
      <c r="H31" s="83">
        <f t="shared" si="15"/>
        <v>135.11000000000058</v>
      </c>
      <c r="I31" s="342" t="s">
        <v>97</v>
      </c>
      <c r="J31" s="71" t="str">
        <f t="shared" si="8"/>
        <v>-</v>
      </c>
      <c r="K31" s="348">
        <v>2593</v>
      </c>
      <c r="L31" s="67">
        <f t="shared" si="17"/>
        <v>2593</v>
      </c>
      <c r="M31" s="346">
        <v>0</v>
      </c>
      <c r="N31" s="346">
        <v>0</v>
      </c>
      <c r="O31" s="348">
        <v>0</v>
      </c>
      <c r="P31" s="342">
        <v>0</v>
      </c>
      <c r="Q31" s="343">
        <v>0</v>
      </c>
      <c r="R31" s="343">
        <v>0</v>
      </c>
      <c r="S31" s="343">
        <v>0</v>
      </c>
      <c r="T31" s="343">
        <v>0</v>
      </c>
      <c r="U31" s="343">
        <v>0</v>
      </c>
      <c r="V31" s="69">
        <f>L31/9</f>
        <v>288.11111111111109</v>
      </c>
      <c r="W31" s="370">
        <v>0</v>
      </c>
      <c r="X31" s="72"/>
    </row>
    <row r="32" spans="1:30" ht="12.75" customHeight="1" x14ac:dyDescent="0.2">
      <c r="B32" s="355">
        <v>6352.78</v>
      </c>
      <c r="C32" s="356">
        <v>6482.44</v>
      </c>
      <c r="D32" s="337" t="s">
        <v>30</v>
      </c>
      <c r="E32" s="337">
        <v>2</v>
      </c>
      <c r="F32" s="337" t="s">
        <v>96</v>
      </c>
      <c r="G32" s="27">
        <f>IF(F32=$Y$2,E32*$AA$10*H32/27,IF(F32=$Y$3,E32*$AA$11*H32/27,0))</f>
        <v>25.643866666666639</v>
      </c>
      <c r="H32" s="4">
        <f t="shared" si="15"/>
        <v>129.65999999999985</v>
      </c>
      <c r="I32" s="342">
        <v>37</v>
      </c>
      <c r="J32" s="71">
        <f t="shared" si="8"/>
        <v>4798</v>
      </c>
      <c r="K32" s="348">
        <v>0</v>
      </c>
      <c r="L32" s="67">
        <f t="shared" ref="L32:L33" si="18">SUM(J32:K32)</f>
        <v>4798</v>
      </c>
      <c r="M32" s="85">
        <f t="shared" si="10"/>
        <v>686.97431111111086</v>
      </c>
      <c r="N32" s="85">
        <f t="shared" si="11"/>
        <v>0.34348715555555542</v>
      </c>
      <c r="O32" s="348">
        <v>0</v>
      </c>
      <c r="P32" s="12">
        <f>(L32*$P$1/12)/27</f>
        <v>88.851851851851848</v>
      </c>
      <c r="Q32" s="4">
        <f>(L32*$Q$1/12)/27+G32</f>
        <v>114.49571851851849</v>
      </c>
      <c r="R32" s="343">
        <v>0</v>
      </c>
      <c r="S32" s="343">
        <v>0</v>
      </c>
      <c r="T32" s="343">
        <v>0</v>
      </c>
      <c r="U32" s="343">
        <v>0</v>
      </c>
      <c r="V32" s="370">
        <v>0</v>
      </c>
      <c r="W32" s="370">
        <v>0</v>
      </c>
      <c r="X32" s="72"/>
    </row>
    <row r="33" spans="1:24" ht="12.75" customHeight="1" x14ac:dyDescent="0.2">
      <c r="B33" s="355">
        <v>6352.78</v>
      </c>
      <c r="C33" s="356">
        <v>6482.44</v>
      </c>
      <c r="D33" s="337" t="s">
        <v>30</v>
      </c>
      <c r="E33" s="337" t="s">
        <v>97</v>
      </c>
      <c r="F33" s="337" t="s">
        <v>97</v>
      </c>
      <c r="G33" s="27">
        <f>IF(F33=$Y$2,E33*$AA$10*H33/27,IF(F33=$Y$3,E33*$AA$11*H33/27,0))</f>
        <v>0</v>
      </c>
      <c r="H33" s="4">
        <f t="shared" ref="H33:H34" si="19">C33-B33</f>
        <v>129.65999999999985</v>
      </c>
      <c r="I33" s="365">
        <v>28</v>
      </c>
      <c r="J33" s="71">
        <f t="shared" si="8"/>
        <v>3631</v>
      </c>
      <c r="K33" s="348">
        <v>0</v>
      </c>
      <c r="L33" s="67">
        <f t="shared" si="18"/>
        <v>3631</v>
      </c>
      <c r="M33" s="346">
        <v>0</v>
      </c>
      <c r="N33" s="346">
        <v>0</v>
      </c>
      <c r="O33" s="348">
        <v>0</v>
      </c>
      <c r="P33" s="342">
        <v>0</v>
      </c>
      <c r="Q33" s="343">
        <v>0</v>
      </c>
      <c r="R33" s="4">
        <f>($L33/9)*$R$1</f>
        <v>22.189444444444444</v>
      </c>
      <c r="S33" s="343">
        <v>0</v>
      </c>
      <c r="T33" s="4">
        <f>(L33*$T$1/12)/27</f>
        <v>19.611882716049383</v>
      </c>
      <c r="U33" s="4">
        <f>($L33*($U$1/12))/27</f>
        <v>14.008487654320989</v>
      </c>
      <c r="V33" s="370">
        <v>0</v>
      </c>
      <c r="W33" s="370">
        <v>0</v>
      </c>
      <c r="X33" s="72"/>
    </row>
    <row r="34" spans="1:24" ht="12.75" customHeight="1" x14ac:dyDescent="0.2">
      <c r="B34" s="355">
        <v>6482.44</v>
      </c>
      <c r="C34" s="356">
        <v>6862.41</v>
      </c>
      <c r="D34" s="337" t="s">
        <v>30</v>
      </c>
      <c r="E34" s="337" t="s">
        <v>97</v>
      </c>
      <c r="F34" s="337" t="s">
        <v>97</v>
      </c>
      <c r="G34" s="27">
        <f>(AD13+AG13)/27</f>
        <v>87.259259259259252</v>
      </c>
      <c r="H34" s="60">
        <f t="shared" si="19"/>
        <v>379.97000000000025</v>
      </c>
      <c r="I34" s="365" t="s">
        <v>97</v>
      </c>
      <c r="J34" s="71" t="str">
        <f t="shared" si="8"/>
        <v>-</v>
      </c>
      <c r="K34" s="369">
        <v>22903</v>
      </c>
      <c r="L34" s="67">
        <f t="shared" ref="L34:L36" si="20">SUM(J34:K34)</f>
        <v>22903</v>
      </c>
      <c r="M34" s="85">
        <f t="shared" si="10"/>
        <v>3068.3333333333335</v>
      </c>
      <c r="N34" s="85">
        <f t="shared" si="11"/>
        <v>1.5341666666666667</v>
      </c>
      <c r="O34" s="348">
        <v>0</v>
      </c>
      <c r="P34" s="12">
        <f>(L34*$P$1/12)/27</f>
        <v>424.12962962962962</v>
      </c>
      <c r="Q34" s="4">
        <f>(L34*$Q$1/12)/27+G34</f>
        <v>511.38888888888886</v>
      </c>
      <c r="R34" s="343">
        <v>0</v>
      </c>
      <c r="S34" s="343">
        <v>0</v>
      </c>
      <c r="T34" s="343">
        <v>0</v>
      </c>
      <c r="U34" s="343">
        <v>0</v>
      </c>
      <c r="V34" s="370">
        <v>0</v>
      </c>
      <c r="W34" s="370">
        <v>0</v>
      </c>
      <c r="X34" s="72"/>
    </row>
    <row r="35" spans="1:24" ht="12.75" customHeight="1" x14ac:dyDescent="0.2">
      <c r="B35" s="355">
        <v>6482.44</v>
      </c>
      <c r="C35" s="356">
        <v>6862.41</v>
      </c>
      <c r="D35" s="337" t="s">
        <v>30</v>
      </c>
      <c r="E35" s="337" t="s">
        <v>97</v>
      </c>
      <c r="F35" s="337" t="s">
        <v>97</v>
      </c>
      <c r="G35" s="27">
        <f t="shared" ref="G35:G46" si="21">IF(F35=$Y$2,E35*$AA$10*H35/27,IF(F35=$Y$3,E35*$AA$11*H35/27,0))</f>
        <v>0</v>
      </c>
      <c r="H35" s="4">
        <f t="shared" ref="H35" si="22">C35-B35</f>
        <v>379.97000000000025</v>
      </c>
      <c r="I35" s="365" t="s">
        <v>97</v>
      </c>
      <c r="J35" s="71" t="str">
        <f t="shared" si="8"/>
        <v>-</v>
      </c>
      <c r="K35" s="369">
        <v>18031</v>
      </c>
      <c r="L35" s="67">
        <f t="shared" si="20"/>
        <v>18031</v>
      </c>
      <c r="M35" s="346">
        <v>0</v>
      </c>
      <c r="N35" s="346">
        <v>0</v>
      </c>
      <c r="O35" s="348">
        <v>0</v>
      </c>
      <c r="P35" s="342">
        <v>0</v>
      </c>
      <c r="Q35" s="343">
        <v>0</v>
      </c>
      <c r="R35" s="4">
        <f>($L35/9)*$R$1</f>
        <v>110.18944444444443</v>
      </c>
      <c r="S35" s="343">
        <v>0</v>
      </c>
      <c r="T35" s="4">
        <f>(L35*$T$1/12)/27</f>
        <v>97.389660493827165</v>
      </c>
      <c r="U35" s="4">
        <f>($L35*($U$1/12))/27</f>
        <v>69.564043209876544</v>
      </c>
      <c r="V35" s="370">
        <v>0</v>
      </c>
      <c r="W35" s="370">
        <v>0</v>
      </c>
      <c r="X35" s="72"/>
    </row>
    <row r="36" spans="1:24" ht="12.75" customHeight="1" x14ac:dyDescent="0.2">
      <c r="B36" s="355">
        <v>6588.87</v>
      </c>
      <c r="C36" s="356">
        <v>6725.19</v>
      </c>
      <c r="D36" s="337" t="s">
        <v>30</v>
      </c>
      <c r="E36" s="337" t="s">
        <v>97</v>
      </c>
      <c r="F36" s="337" t="s">
        <v>97</v>
      </c>
      <c r="G36" s="27">
        <f t="shared" si="21"/>
        <v>0</v>
      </c>
      <c r="H36" s="4">
        <f t="shared" ref="H36:H38" si="23">C36-B36</f>
        <v>136.31999999999971</v>
      </c>
      <c r="I36" s="365" t="s">
        <v>97</v>
      </c>
      <c r="J36" s="71" t="str">
        <f t="shared" si="8"/>
        <v>-</v>
      </c>
      <c r="K36" s="369">
        <v>2751</v>
      </c>
      <c r="L36" s="67">
        <f t="shared" si="20"/>
        <v>2751</v>
      </c>
      <c r="M36" s="346">
        <v>0</v>
      </c>
      <c r="N36" s="346">
        <v>0</v>
      </c>
      <c r="O36" s="348">
        <v>0</v>
      </c>
      <c r="P36" s="342">
        <v>0</v>
      </c>
      <c r="Q36" s="343">
        <v>0</v>
      </c>
      <c r="R36" s="343">
        <v>0</v>
      </c>
      <c r="S36" s="343">
        <v>0</v>
      </c>
      <c r="T36" s="343">
        <v>0</v>
      </c>
      <c r="U36" s="343">
        <v>0</v>
      </c>
      <c r="V36" s="69">
        <f>L36/9</f>
        <v>305.66666666666669</v>
      </c>
      <c r="W36" s="370">
        <v>0</v>
      </c>
      <c r="X36" s="72"/>
    </row>
    <row r="37" spans="1:24" ht="12.75" customHeight="1" x14ac:dyDescent="0.2">
      <c r="A37" s="81"/>
      <c r="B37" s="355">
        <v>6749.77</v>
      </c>
      <c r="C37" s="356">
        <v>6798.14</v>
      </c>
      <c r="D37" s="337" t="s">
        <v>30</v>
      </c>
      <c r="E37" s="337" t="s">
        <v>97</v>
      </c>
      <c r="F37" s="337" t="s">
        <v>97</v>
      </c>
      <c r="G37" s="27">
        <f t="shared" si="21"/>
        <v>0</v>
      </c>
      <c r="H37" s="115">
        <f t="shared" si="23"/>
        <v>48.369999999999891</v>
      </c>
      <c r="I37" s="365" t="s">
        <v>97</v>
      </c>
      <c r="J37" s="71" t="str">
        <f t="shared" si="8"/>
        <v>-</v>
      </c>
      <c r="K37" s="369">
        <v>725</v>
      </c>
      <c r="L37" s="67">
        <f t="shared" ref="L37" si="24">SUM(J37:K37)</f>
        <v>725</v>
      </c>
      <c r="M37" s="346">
        <v>0</v>
      </c>
      <c r="N37" s="346">
        <v>0</v>
      </c>
      <c r="O37" s="348">
        <v>0</v>
      </c>
      <c r="P37" s="342">
        <v>0</v>
      </c>
      <c r="Q37" s="343">
        <v>0</v>
      </c>
      <c r="R37" s="343">
        <v>0</v>
      </c>
      <c r="S37" s="343">
        <v>0</v>
      </c>
      <c r="T37" s="343">
        <v>0</v>
      </c>
      <c r="U37" s="343">
        <v>0</v>
      </c>
      <c r="V37" s="370">
        <v>0</v>
      </c>
      <c r="W37" s="218">
        <f>L37/9</f>
        <v>80.555555555555557</v>
      </c>
      <c r="X37" s="72"/>
    </row>
    <row r="38" spans="1:24" ht="12.75" customHeight="1" x14ac:dyDescent="0.2">
      <c r="B38" s="355">
        <v>6862.41</v>
      </c>
      <c r="C38" s="356">
        <v>6923.34</v>
      </c>
      <c r="D38" s="337" t="s">
        <v>30</v>
      </c>
      <c r="E38" s="337">
        <v>2</v>
      </c>
      <c r="F38" s="337" t="s">
        <v>96</v>
      </c>
      <c r="G38" s="27">
        <f t="shared" si="21"/>
        <v>12.050600000000056</v>
      </c>
      <c r="H38" s="60">
        <f t="shared" si="23"/>
        <v>60.930000000000291</v>
      </c>
      <c r="I38" s="365">
        <v>40</v>
      </c>
      <c r="J38" s="71">
        <f t="shared" si="8"/>
        <v>2438</v>
      </c>
      <c r="K38" s="369">
        <v>0</v>
      </c>
      <c r="L38" s="67">
        <f t="shared" ref="L38:L43" si="25">SUM(J38:K38)</f>
        <v>2438</v>
      </c>
      <c r="M38" s="85">
        <f t="shared" si="10"/>
        <v>343.19248888888916</v>
      </c>
      <c r="N38" s="85">
        <f t="shared" si="11"/>
        <v>0.17159624444444457</v>
      </c>
      <c r="O38" s="348">
        <v>0</v>
      </c>
      <c r="P38" s="12">
        <f>(L38*$P$1/12)/27</f>
        <v>45.148148148148145</v>
      </c>
      <c r="Q38" s="4">
        <f>(L38*$Q$1/12)/27+G38</f>
        <v>57.198748148148198</v>
      </c>
      <c r="R38" s="343">
        <v>0</v>
      </c>
      <c r="S38" s="343">
        <v>0</v>
      </c>
      <c r="T38" s="343">
        <v>0</v>
      </c>
      <c r="U38" s="343">
        <v>0</v>
      </c>
      <c r="V38" s="370">
        <v>0</v>
      </c>
      <c r="W38" s="370">
        <v>0</v>
      </c>
      <c r="X38" s="72"/>
    </row>
    <row r="39" spans="1:24" ht="12.75" customHeight="1" x14ac:dyDescent="0.2">
      <c r="B39" s="355">
        <v>6862.41</v>
      </c>
      <c r="C39" s="356">
        <v>6923.34</v>
      </c>
      <c r="D39" s="337" t="s">
        <v>30</v>
      </c>
      <c r="E39" s="337" t="s">
        <v>97</v>
      </c>
      <c r="F39" s="337" t="s">
        <v>97</v>
      </c>
      <c r="G39" s="27">
        <f t="shared" si="21"/>
        <v>0</v>
      </c>
      <c r="H39" s="60">
        <f t="shared" ref="H39:H41" si="26">C39-B39</f>
        <v>60.930000000000291</v>
      </c>
      <c r="I39" s="365">
        <v>34</v>
      </c>
      <c r="J39" s="71">
        <f t="shared" si="8"/>
        <v>2072</v>
      </c>
      <c r="K39" s="369">
        <v>0</v>
      </c>
      <c r="L39" s="67">
        <f t="shared" si="25"/>
        <v>2072</v>
      </c>
      <c r="M39" s="346">
        <v>0</v>
      </c>
      <c r="N39" s="346">
        <v>0</v>
      </c>
      <c r="O39" s="348">
        <v>0</v>
      </c>
      <c r="P39" s="342">
        <v>0</v>
      </c>
      <c r="Q39" s="343">
        <v>0</v>
      </c>
      <c r="R39" s="4">
        <f t="shared" ref="R39:R45" si="27">($L39/9)*$R$1</f>
        <v>12.662222222222223</v>
      </c>
      <c r="S39" s="343">
        <v>0</v>
      </c>
      <c r="T39" s="4">
        <f t="shared" ref="T39:T45" si="28">(L39*$T$1/12)/27</f>
        <v>11.191358024691359</v>
      </c>
      <c r="U39" s="4">
        <f t="shared" ref="U39:U45" si="29">($L39*($U$1/12))/27</f>
        <v>7.9938271604938276</v>
      </c>
      <c r="V39" s="370">
        <v>0</v>
      </c>
      <c r="W39" s="370">
        <v>0</v>
      </c>
      <c r="X39" s="72"/>
    </row>
    <row r="40" spans="1:24" ht="12.75" customHeight="1" x14ac:dyDescent="0.2">
      <c r="B40" s="355">
        <v>6923.34</v>
      </c>
      <c r="C40" s="356">
        <v>6973.34</v>
      </c>
      <c r="D40" s="337" t="s">
        <v>30</v>
      </c>
      <c r="E40" s="337">
        <v>2</v>
      </c>
      <c r="F40" s="337" t="s">
        <v>96</v>
      </c>
      <c r="G40" s="27">
        <f t="shared" si="21"/>
        <v>9.8888888888888893</v>
      </c>
      <c r="H40" s="60">
        <f t="shared" si="26"/>
        <v>50</v>
      </c>
      <c r="I40" s="365">
        <v>45</v>
      </c>
      <c r="J40" s="71">
        <f t="shared" si="8"/>
        <v>2250</v>
      </c>
      <c r="K40" s="369">
        <v>0</v>
      </c>
      <c r="L40" s="67">
        <f t="shared" si="25"/>
        <v>2250</v>
      </c>
      <c r="M40" s="85">
        <f t="shared" si="10"/>
        <v>309.33333333333331</v>
      </c>
      <c r="N40" s="85">
        <f t="shared" si="11"/>
        <v>0.15466666666666665</v>
      </c>
      <c r="O40" s="348">
        <v>0</v>
      </c>
      <c r="P40" s="12">
        <f t="shared" ref="P40:P45" si="30">(L40*$P$1/12)/27</f>
        <v>41.666666666666664</v>
      </c>
      <c r="Q40" s="4">
        <f t="shared" ref="Q40:Q45" si="31">(L40*$Q$1/12)/27+G40</f>
        <v>51.555555555555557</v>
      </c>
      <c r="R40" s="4">
        <f t="shared" si="27"/>
        <v>13.75</v>
      </c>
      <c r="S40" s="343">
        <v>0</v>
      </c>
      <c r="T40" s="4">
        <f t="shared" si="28"/>
        <v>12.152777777777779</v>
      </c>
      <c r="U40" s="4">
        <f t="shared" si="29"/>
        <v>8.6805555555555554</v>
      </c>
      <c r="V40" s="370">
        <v>0</v>
      </c>
      <c r="W40" s="370">
        <v>0</v>
      </c>
      <c r="X40" s="72"/>
    </row>
    <row r="41" spans="1:24" ht="12.75" customHeight="1" x14ac:dyDescent="0.2">
      <c r="B41" s="355">
        <v>6973.34</v>
      </c>
      <c r="C41" s="356">
        <v>7013.64</v>
      </c>
      <c r="D41" s="337" t="s">
        <v>16</v>
      </c>
      <c r="E41" s="337">
        <v>1</v>
      </c>
      <c r="F41" s="337" t="s">
        <v>95</v>
      </c>
      <c r="G41" s="27">
        <f t="shared" si="21"/>
        <v>2.1194814814814911</v>
      </c>
      <c r="H41" s="60">
        <f t="shared" si="26"/>
        <v>40.300000000000182</v>
      </c>
      <c r="I41" s="365">
        <v>30</v>
      </c>
      <c r="J41" s="71">
        <f t="shared" si="8"/>
        <v>1210</v>
      </c>
      <c r="K41" s="369">
        <v>0</v>
      </c>
      <c r="L41" s="67">
        <f t="shared" si="25"/>
        <v>1210</v>
      </c>
      <c r="M41" s="85">
        <f>((Q41*27)/0.5)/9</f>
        <v>147.16133333333337</v>
      </c>
      <c r="N41" s="85">
        <f t="shared" si="11"/>
        <v>7.3580666666666683E-2</v>
      </c>
      <c r="O41" s="348">
        <v>0</v>
      </c>
      <c r="P41" s="12">
        <f t="shared" si="30"/>
        <v>22.407407407407408</v>
      </c>
      <c r="Q41" s="4">
        <f t="shared" si="31"/>
        <v>24.526888888888898</v>
      </c>
      <c r="R41" s="4">
        <f t="shared" si="27"/>
        <v>7.3944444444444448</v>
      </c>
      <c r="S41" s="343">
        <v>0</v>
      </c>
      <c r="T41" s="4">
        <f t="shared" si="28"/>
        <v>6.5354938271604945</v>
      </c>
      <c r="U41" s="4">
        <f t="shared" si="29"/>
        <v>4.6682098765432096</v>
      </c>
      <c r="V41" s="370">
        <v>0</v>
      </c>
      <c r="W41" s="370">
        <v>0</v>
      </c>
      <c r="X41" s="72"/>
    </row>
    <row r="42" spans="1:24" ht="12.75" customHeight="1" x14ac:dyDescent="0.2">
      <c r="B42" s="355">
        <v>6973.34</v>
      </c>
      <c r="C42" s="356">
        <v>7013.64</v>
      </c>
      <c r="D42" s="337" t="s">
        <v>15</v>
      </c>
      <c r="E42" s="337">
        <v>1</v>
      </c>
      <c r="F42" s="337" t="s">
        <v>96</v>
      </c>
      <c r="G42" s="27">
        <f t="shared" si="21"/>
        <v>3.98522222222224</v>
      </c>
      <c r="H42" s="60">
        <f t="shared" ref="H42:H43" si="32">C42-B42</f>
        <v>40.300000000000182</v>
      </c>
      <c r="I42" s="365">
        <v>20</v>
      </c>
      <c r="J42" s="71">
        <f t="shared" si="8"/>
        <v>807</v>
      </c>
      <c r="K42" s="369">
        <v>0</v>
      </c>
      <c r="L42" s="67">
        <f t="shared" si="25"/>
        <v>807</v>
      </c>
      <c r="M42" s="85">
        <f t="shared" si="10"/>
        <v>113.5780000000001</v>
      </c>
      <c r="N42" s="85">
        <f t="shared" si="11"/>
        <v>5.6789000000000048E-2</v>
      </c>
      <c r="O42" s="348">
        <v>0</v>
      </c>
      <c r="P42" s="12">
        <f t="shared" si="30"/>
        <v>14.944444444444445</v>
      </c>
      <c r="Q42" s="4">
        <f t="shared" si="31"/>
        <v>18.929666666666684</v>
      </c>
      <c r="R42" s="4">
        <f t="shared" si="27"/>
        <v>4.9316666666666666</v>
      </c>
      <c r="S42" s="343">
        <v>0</v>
      </c>
      <c r="T42" s="4">
        <f t="shared" si="28"/>
        <v>4.3587962962962967</v>
      </c>
      <c r="U42" s="4">
        <f t="shared" si="29"/>
        <v>3.113425925925926</v>
      </c>
      <c r="V42" s="370">
        <v>0</v>
      </c>
      <c r="W42" s="370">
        <v>0</v>
      </c>
      <c r="X42" s="72"/>
    </row>
    <row r="43" spans="1:24" ht="12.75" customHeight="1" x14ac:dyDescent="0.2">
      <c r="B43" s="355">
        <v>7013.64</v>
      </c>
      <c r="C43" s="356">
        <v>7232.55</v>
      </c>
      <c r="D43" s="337" t="s">
        <v>16</v>
      </c>
      <c r="E43" s="337">
        <v>1</v>
      </c>
      <c r="F43" s="337" t="s">
        <v>95</v>
      </c>
      <c r="G43" s="27">
        <f t="shared" si="21"/>
        <v>11.513044444444436</v>
      </c>
      <c r="H43" s="60">
        <f t="shared" si="32"/>
        <v>218.90999999999985</v>
      </c>
      <c r="I43" s="365">
        <v>30</v>
      </c>
      <c r="J43" s="71">
        <f t="shared" si="8"/>
        <v>6568</v>
      </c>
      <c r="K43" s="369">
        <v>0</v>
      </c>
      <c r="L43" s="67">
        <f t="shared" si="25"/>
        <v>6568</v>
      </c>
      <c r="M43" s="85">
        <f t="shared" si="10"/>
        <v>798.85604444444448</v>
      </c>
      <c r="N43" s="85">
        <f t="shared" si="11"/>
        <v>0.39942802222222223</v>
      </c>
      <c r="O43" s="348">
        <v>0</v>
      </c>
      <c r="P43" s="12">
        <f t="shared" si="30"/>
        <v>121.62962962962963</v>
      </c>
      <c r="Q43" s="4">
        <f t="shared" si="31"/>
        <v>133.14267407407408</v>
      </c>
      <c r="R43" s="4">
        <f t="shared" si="27"/>
        <v>40.137777777777778</v>
      </c>
      <c r="S43" s="343">
        <v>0</v>
      </c>
      <c r="T43" s="4">
        <f t="shared" si="28"/>
        <v>35.47530864197531</v>
      </c>
      <c r="U43" s="4">
        <f t="shared" si="29"/>
        <v>25.33950617283951</v>
      </c>
      <c r="V43" s="370">
        <v>0</v>
      </c>
      <c r="W43" s="370">
        <v>0</v>
      </c>
      <c r="X43" s="72"/>
    </row>
    <row r="44" spans="1:24" ht="12.75" customHeight="1" x14ac:dyDescent="0.2">
      <c r="B44" s="355">
        <v>7013.64</v>
      </c>
      <c r="C44" s="356">
        <v>7307.33</v>
      </c>
      <c r="D44" s="337" t="s">
        <v>15</v>
      </c>
      <c r="E44" s="337">
        <v>1</v>
      </c>
      <c r="F44" s="337" t="s">
        <v>95</v>
      </c>
      <c r="G44" s="27">
        <f t="shared" si="21"/>
        <v>14.357777777777777</v>
      </c>
      <c r="H44" s="368">
        <v>273</v>
      </c>
      <c r="I44" s="365" t="s">
        <v>97</v>
      </c>
      <c r="J44" s="71" t="str">
        <f t="shared" si="8"/>
        <v>-</v>
      </c>
      <c r="K44" s="369">
        <v>7740</v>
      </c>
      <c r="L44" s="67">
        <f t="shared" ref="L44:L45" si="33">SUM(J44:K44)</f>
        <v>7740</v>
      </c>
      <c r="M44" s="85">
        <f t="shared" si="10"/>
        <v>946.14666666666687</v>
      </c>
      <c r="N44" s="85">
        <f t="shared" si="11"/>
        <v>0.47307333333333346</v>
      </c>
      <c r="O44" s="348">
        <v>0</v>
      </c>
      <c r="P44" s="12">
        <f t="shared" si="30"/>
        <v>143.33333333333334</v>
      </c>
      <c r="Q44" s="4">
        <f t="shared" si="31"/>
        <v>157.69111111111113</v>
      </c>
      <c r="R44" s="4">
        <f t="shared" si="27"/>
        <v>47.3</v>
      </c>
      <c r="S44" s="343">
        <v>0</v>
      </c>
      <c r="T44" s="4">
        <f t="shared" si="28"/>
        <v>41.805555555555557</v>
      </c>
      <c r="U44" s="4">
        <f t="shared" si="29"/>
        <v>29.861111111111111</v>
      </c>
      <c r="V44" s="370">
        <v>0</v>
      </c>
      <c r="W44" s="370">
        <v>0</v>
      </c>
      <c r="X44" s="72"/>
    </row>
    <row r="45" spans="1:24" ht="12.75" customHeight="1" x14ac:dyDescent="0.2">
      <c r="B45" s="355">
        <v>7232.55</v>
      </c>
      <c r="C45" s="356">
        <v>7307.33</v>
      </c>
      <c r="D45" s="337" t="s">
        <v>16</v>
      </c>
      <c r="E45" s="337">
        <v>1</v>
      </c>
      <c r="F45" s="337" t="s">
        <v>95</v>
      </c>
      <c r="G45" s="27">
        <f t="shared" si="21"/>
        <v>8.3096296296296295</v>
      </c>
      <c r="H45" s="368">
        <v>158</v>
      </c>
      <c r="I45" s="365" t="s">
        <v>97</v>
      </c>
      <c r="J45" s="71" t="str">
        <f t="shared" si="8"/>
        <v>-</v>
      </c>
      <c r="K45" s="369">
        <v>3496</v>
      </c>
      <c r="L45" s="67">
        <f t="shared" si="33"/>
        <v>3496</v>
      </c>
      <c r="M45" s="85">
        <f t="shared" si="10"/>
        <v>438.30222222222227</v>
      </c>
      <c r="N45" s="85">
        <f t="shared" si="11"/>
        <v>0.21915111111111113</v>
      </c>
      <c r="O45" s="348">
        <v>0</v>
      </c>
      <c r="P45" s="12">
        <f t="shared" si="30"/>
        <v>64.740740740740748</v>
      </c>
      <c r="Q45" s="4">
        <f t="shared" si="31"/>
        <v>73.050370370370374</v>
      </c>
      <c r="R45" s="4">
        <f t="shared" si="27"/>
        <v>21.364444444444445</v>
      </c>
      <c r="S45" s="343">
        <v>0</v>
      </c>
      <c r="T45" s="4">
        <f t="shared" si="28"/>
        <v>18.882716049382715</v>
      </c>
      <c r="U45" s="4">
        <f t="shared" si="29"/>
        <v>13.487654320987655</v>
      </c>
      <c r="V45" s="370">
        <v>0</v>
      </c>
      <c r="W45" s="370">
        <v>0</v>
      </c>
      <c r="X45" s="72"/>
    </row>
    <row r="46" spans="1:24" ht="12.75" customHeight="1" x14ac:dyDescent="0.2">
      <c r="B46" s="355">
        <v>2865.59</v>
      </c>
      <c r="C46" s="356">
        <v>7450.58</v>
      </c>
      <c r="D46" s="337" t="s">
        <v>30</v>
      </c>
      <c r="E46" s="337" t="s">
        <v>97</v>
      </c>
      <c r="F46" s="337" t="s">
        <v>97</v>
      </c>
      <c r="G46" s="27">
        <f t="shared" si="21"/>
        <v>0</v>
      </c>
      <c r="H46" s="368" t="s">
        <v>97</v>
      </c>
      <c r="I46" s="365" t="s">
        <v>97</v>
      </c>
      <c r="J46" s="71" t="str">
        <f t="shared" si="8"/>
        <v>-</v>
      </c>
      <c r="K46" s="369">
        <v>0</v>
      </c>
      <c r="L46" s="67">
        <f t="shared" ref="L46" si="34">SUM(J46:K46)</f>
        <v>0</v>
      </c>
      <c r="M46" s="346">
        <v>0</v>
      </c>
      <c r="N46" s="346">
        <v>0</v>
      </c>
      <c r="O46" s="348">
        <v>306</v>
      </c>
      <c r="P46" s="342">
        <v>0</v>
      </c>
      <c r="Q46" s="343">
        <v>0</v>
      </c>
      <c r="R46" s="343">
        <v>0</v>
      </c>
      <c r="S46" s="343">
        <v>0</v>
      </c>
      <c r="T46" s="343">
        <v>0</v>
      </c>
      <c r="U46" s="343">
        <v>0</v>
      </c>
      <c r="V46" s="370">
        <v>0</v>
      </c>
      <c r="W46" s="370">
        <v>0</v>
      </c>
      <c r="X46" s="72"/>
    </row>
    <row r="47" spans="1:24" ht="12.75" customHeight="1" thickBot="1" x14ac:dyDescent="0.25">
      <c r="B47" s="54"/>
      <c r="C47" s="3"/>
      <c r="D47" s="32"/>
      <c r="E47" s="32"/>
      <c r="F47" s="32"/>
      <c r="G47" s="32"/>
      <c r="H47" s="26"/>
      <c r="I47" s="27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164"/>
    </row>
    <row r="48" spans="1:24" ht="12.75" customHeight="1" x14ac:dyDescent="0.2">
      <c r="B48" s="661" t="s">
        <v>226</v>
      </c>
      <c r="C48" s="662"/>
      <c r="D48" s="28"/>
      <c r="E48" s="29"/>
      <c r="F48" s="29"/>
      <c r="G48" s="64"/>
      <c r="H48" s="64"/>
      <c r="I48" s="64"/>
      <c r="J48" s="29"/>
      <c r="K48" s="29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"/>
    </row>
    <row r="49" spans="2:25" ht="12.75" customHeight="1" x14ac:dyDescent="0.2">
      <c r="B49" s="335">
        <v>5583.2</v>
      </c>
      <c r="C49" s="336">
        <v>5849.99</v>
      </c>
      <c r="D49" s="337" t="s">
        <v>15</v>
      </c>
      <c r="E49" s="337" t="s">
        <v>97</v>
      </c>
      <c r="F49" s="337" t="s">
        <v>97</v>
      </c>
      <c r="G49" s="27">
        <f t="shared" ref="G49:G56" si="35">IF(F49=$Y$2,E49*$AA$10*H49/27,IF(F49=$Y$3,E49*$AA$11*H49/27,0))</f>
        <v>0</v>
      </c>
      <c r="H49" s="4">
        <f>C49-B49</f>
        <v>266.78999999999996</v>
      </c>
      <c r="I49" s="342">
        <v>10</v>
      </c>
      <c r="J49" s="71">
        <f t="shared" ref="J49:J56" si="36">IF(I49="-","-",ROUNDUP(H49*I49,0))</f>
        <v>2668</v>
      </c>
      <c r="K49" s="348">
        <v>0</v>
      </c>
      <c r="L49" s="67">
        <f t="shared" ref="L49:L56" si="37">SUM(J49:K49)</f>
        <v>2668</v>
      </c>
      <c r="M49" s="346">
        <v>0</v>
      </c>
      <c r="N49" s="346">
        <v>0</v>
      </c>
      <c r="O49" s="348">
        <v>0</v>
      </c>
      <c r="P49" s="342">
        <v>0</v>
      </c>
      <c r="Q49" s="4">
        <f t="shared" ref="Q49:Q56" si="38">(L49*$Q$1/12)/27</f>
        <v>49.407407407407405</v>
      </c>
      <c r="R49" s="343">
        <v>0</v>
      </c>
      <c r="S49" s="4">
        <f t="shared" ref="S49:S56" si="39">(L49*$S$1/12)/27</f>
        <v>16.469135802469136</v>
      </c>
      <c r="T49" s="343">
        <v>0</v>
      </c>
      <c r="U49" s="343">
        <v>0</v>
      </c>
      <c r="V49" s="370">
        <v>0</v>
      </c>
      <c r="W49" s="370">
        <v>0</v>
      </c>
      <c r="X49" s="1"/>
    </row>
    <row r="50" spans="2:25" ht="12.75" customHeight="1" x14ac:dyDescent="0.2">
      <c r="B50" s="335">
        <v>5849.99</v>
      </c>
      <c r="C50" s="336">
        <v>77835.509999999995</v>
      </c>
      <c r="D50" s="337" t="s">
        <v>15</v>
      </c>
      <c r="E50" s="337" t="s">
        <v>97</v>
      </c>
      <c r="F50" s="337" t="s">
        <v>97</v>
      </c>
      <c r="G50" s="27">
        <f t="shared" si="35"/>
        <v>0</v>
      </c>
      <c r="H50" s="343">
        <v>397</v>
      </c>
      <c r="I50" s="342">
        <v>10</v>
      </c>
      <c r="J50" s="71">
        <f t="shared" si="36"/>
        <v>3970</v>
      </c>
      <c r="K50" s="348">
        <v>0</v>
      </c>
      <c r="L50" s="67">
        <f t="shared" si="37"/>
        <v>3970</v>
      </c>
      <c r="M50" s="346">
        <v>0</v>
      </c>
      <c r="N50" s="346">
        <v>0</v>
      </c>
      <c r="O50" s="348">
        <v>0</v>
      </c>
      <c r="P50" s="342">
        <v>0</v>
      </c>
      <c r="Q50" s="83">
        <f t="shared" si="38"/>
        <v>73.518518518518519</v>
      </c>
      <c r="R50" s="343">
        <v>0</v>
      </c>
      <c r="S50" s="83">
        <f t="shared" si="39"/>
        <v>24.506172839506171</v>
      </c>
      <c r="T50" s="343">
        <v>0</v>
      </c>
      <c r="U50" s="343">
        <v>0</v>
      </c>
      <c r="V50" s="370">
        <v>0</v>
      </c>
      <c r="W50" s="370">
        <v>0</v>
      </c>
      <c r="X50" s="1"/>
    </row>
    <row r="51" spans="2:25" ht="12.75" customHeight="1" x14ac:dyDescent="0.2">
      <c r="B51" s="335">
        <v>77835.509999999995</v>
      </c>
      <c r="C51" s="336">
        <v>6327.13</v>
      </c>
      <c r="D51" s="337" t="s">
        <v>15</v>
      </c>
      <c r="E51" s="337" t="s">
        <v>97</v>
      </c>
      <c r="F51" s="337" t="s">
        <v>97</v>
      </c>
      <c r="G51" s="27">
        <f t="shared" si="35"/>
        <v>0</v>
      </c>
      <c r="H51" s="343">
        <v>176</v>
      </c>
      <c r="I51" s="342">
        <v>10</v>
      </c>
      <c r="J51" s="71">
        <f t="shared" si="36"/>
        <v>1760</v>
      </c>
      <c r="K51" s="348">
        <v>0</v>
      </c>
      <c r="L51" s="67">
        <f t="shared" si="37"/>
        <v>1760</v>
      </c>
      <c r="M51" s="346">
        <v>0</v>
      </c>
      <c r="N51" s="346">
        <v>0</v>
      </c>
      <c r="O51" s="348">
        <v>0</v>
      </c>
      <c r="P51" s="342">
        <v>0</v>
      </c>
      <c r="Q51" s="83">
        <f t="shared" si="38"/>
        <v>32.592592592592595</v>
      </c>
      <c r="R51" s="343">
        <v>0</v>
      </c>
      <c r="S51" s="83">
        <f t="shared" si="39"/>
        <v>10.864197530864196</v>
      </c>
      <c r="T51" s="343">
        <v>0</v>
      </c>
      <c r="U51" s="343">
        <v>0</v>
      </c>
      <c r="V51" s="370">
        <v>0</v>
      </c>
      <c r="W51" s="370">
        <v>0</v>
      </c>
      <c r="X51" s="1"/>
    </row>
    <row r="52" spans="2:25" ht="12.75" customHeight="1" x14ac:dyDescent="0.2">
      <c r="B52" s="335">
        <v>6327.13</v>
      </c>
      <c r="C52" s="336">
        <v>6441.16</v>
      </c>
      <c r="D52" s="337" t="s">
        <v>15</v>
      </c>
      <c r="E52" s="337" t="s">
        <v>97</v>
      </c>
      <c r="F52" s="337" t="s">
        <v>97</v>
      </c>
      <c r="G52" s="27">
        <f t="shared" si="35"/>
        <v>0</v>
      </c>
      <c r="H52" s="4">
        <f>C52-B52</f>
        <v>114.02999999999975</v>
      </c>
      <c r="I52" s="342" t="s">
        <v>97</v>
      </c>
      <c r="J52" s="71" t="str">
        <f t="shared" si="36"/>
        <v>-</v>
      </c>
      <c r="K52" s="348">
        <v>1468</v>
      </c>
      <c r="L52" s="67">
        <f t="shared" si="37"/>
        <v>1468</v>
      </c>
      <c r="M52" s="346">
        <v>0</v>
      </c>
      <c r="N52" s="346">
        <v>0</v>
      </c>
      <c r="O52" s="348">
        <v>0</v>
      </c>
      <c r="P52" s="342">
        <v>0</v>
      </c>
      <c r="Q52" s="83">
        <f t="shared" si="38"/>
        <v>27.185185185185187</v>
      </c>
      <c r="R52" s="343">
        <v>0</v>
      </c>
      <c r="S52" s="83">
        <f t="shared" si="39"/>
        <v>9.0617283950617278</v>
      </c>
      <c r="T52" s="343">
        <v>0</v>
      </c>
      <c r="U52" s="343">
        <v>0</v>
      </c>
      <c r="V52" s="370">
        <v>0</v>
      </c>
      <c r="W52" s="370">
        <v>0</v>
      </c>
      <c r="X52" s="1"/>
    </row>
    <row r="53" spans="2:25" ht="12.75" customHeight="1" x14ac:dyDescent="0.2">
      <c r="B53" s="335">
        <v>6441.16</v>
      </c>
      <c r="C53" s="336">
        <v>78929.3</v>
      </c>
      <c r="D53" s="337" t="s">
        <v>15</v>
      </c>
      <c r="E53" s="337" t="s">
        <v>97</v>
      </c>
      <c r="F53" s="337" t="s">
        <v>97</v>
      </c>
      <c r="G53" s="27">
        <f t="shared" si="35"/>
        <v>0</v>
      </c>
      <c r="H53" s="343">
        <v>275</v>
      </c>
      <c r="I53" s="342">
        <v>10</v>
      </c>
      <c r="J53" s="71">
        <f t="shared" si="36"/>
        <v>2750</v>
      </c>
      <c r="K53" s="348">
        <v>0</v>
      </c>
      <c r="L53" s="67">
        <f t="shared" si="37"/>
        <v>2750</v>
      </c>
      <c r="M53" s="346">
        <v>0</v>
      </c>
      <c r="N53" s="346">
        <v>0</v>
      </c>
      <c r="O53" s="348">
        <v>0</v>
      </c>
      <c r="P53" s="342">
        <v>0</v>
      </c>
      <c r="Q53" s="83">
        <f t="shared" si="38"/>
        <v>50.925925925925924</v>
      </c>
      <c r="R53" s="343">
        <v>0</v>
      </c>
      <c r="S53" s="83">
        <f t="shared" si="39"/>
        <v>16.975308641975307</v>
      </c>
      <c r="T53" s="343">
        <v>0</v>
      </c>
      <c r="U53" s="343">
        <v>0</v>
      </c>
      <c r="V53" s="370">
        <v>0</v>
      </c>
      <c r="W53" s="370">
        <v>0</v>
      </c>
      <c r="X53" s="1"/>
    </row>
    <row r="54" spans="2:25" ht="12.75" customHeight="1" x14ac:dyDescent="0.2">
      <c r="B54" s="335">
        <v>78929.009999999995</v>
      </c>
      <c r="C54" s="336">
        <v>6774.24</v>
      </c>
      <c r="D54" s="337" t="s">
        <v>15</v>
      </c>
      <c r="E54" s="337" t="s">
        <v>97</v>
      </c>
      <c r="F54" s="337" t="s">
        <v>97</v>
      </c>
      <c r="G54" s="27">
        <f t="shared" si="35"/>
        <v>0</v>
      </c>
      <c r="H54" s="343">
        <v>144</v>
      </c>
      <c r="I54" s="342">
        <v>10</v>
      </c>
      <c r="J54" s="71">
        <f t="shared" si="36"/>
        <v>1440</v>
      </c>
      <c r="K54" s="348">
        <v>0</v>
      </c>
      <c r="L54" s="67">
        <f t="shared" si="37"/>
        <v>1440</v>
      </c>
      <c r="M54" s="346">
        <v>0</v>
      </c>
      <c r="N54" s="346">
        <v>0</v>
      </c>
      <c r="O54" s="348">
        <v>0</v>
      </c>
      <c r="P54" s="342">
        <v>0</v>
      </c>
      <c r="Q54" s="83">
        <f t="shared" si="38"/>
        <v>26.666666666666668</v>
      </c>
      <c r="R54" s="343">
        <v>0</v>
      </c>
      <c r="S54" s="83">
        <f t="shared" si="39"/>
        <v>8.8888888888888893</v>
      </c>
      <c r="T54" s="343">
        <v>0</v>
      </c>
      <c r="U54" s="343">
        <v>0</v>
      </c>
      <c r="V54" s="370">
        <v>0</v>
      </c>
      <c r="W54" s="370">
        <v>0</v>
      </c>
      <c r="X54" s="1"/>
    </row>
    <row r="55" spans="2:25" ht="12.75" customHeight="1" x14ac:dyDescent="0.2">
      <c r="B55" s="335">
        <v>6774.24</v>
      </c>
      <c r="C55" s="336">
        <v>7168.42</v>
      </c>
      <c r="D55" s="337" t="s">
        <v>15</v>
      </c>
      <c r="E55" s="337" t="s">
        <v>97</v>
      </c>
      <c r="F55" s="337" t="s">
        <v>97</v>
      </c>
      <c r="G55" s="27">
        <f t="shared" si="35"/>
        <v>0</v>
      </c>
      <c r="H55" s="4">
        <f>C55-B55</f>
        <v>394.18000000000029</v>
      </c>
      <c r="I55" s="342">
        <v>10</v>
      </c>
      <c r="J55" s="71">
        <f t="shared" si="36"/>
        <v>3942</v>
      </c>
      <c r="K55" s="348">
        <v>0</v>
      </c>
      <c r="L55" s="67">
        <f t="shared" si="37"/>
        <v>3942</v>
      </c>
      <c r="M55" s="346">
        <v>0</v>
      </c>
      <c r="N55" s="346">
        <v>0</v>
      </c>
      <c r="O55" s="348">
        <v>0</v>
      </c>
      <c r="P55" s="342">
        <v>0</v>
      </c>
      <c r="Q55" s="83">
        <f t="shared" si="38"/>
        <v>73</v>
      </c>
      <c r="R55" s="343">
        <v>0</v>
      </c>
      <c r="S55" s="83">
        <f t="shared" si="39"/>
        <v>24.333333333333332</v>
      </c>
      <c r="T55" s="343">
        <v>0</v>
      </c>
      <c r="U55" s="343">
        <v>0</v>
      </c>
      <c r="V55" s="370">
        <v>0</v>
      </c>
      <c r="W55" s="370">
        <v>0</v>
      </c>
      <c r="X55" s="1"/>
    </row>
    <row r="56" spans="2:25" ht="12.75" customHeight="1" x14ac:dyDescent="0.2">
      <c r="B56" s="335">
        <v>7168.42</v>
      </c>
      <c r="C56" s="336">
        <v>7300.52</v>
      </c>
      <c r="D56" s="337" t="s">
        <v>15</v>
      </c>
      <c r="E56" s="337" t="s">
        <v>97</v>
      </c>
      <c r="F56" s="337" t="s">
        <v>97</v>
      </c>
      <c r="G56" s="27">
        <f t="shared" si="35"/>
        <v>0</v>
      </c>
      <c r="H56" s="4">
        <f>C56-B56</f>
        <v>132.10000000000036</v>
      </c>
      <c r="I56" s="342" t="s">
        <v>97</v>
      </c>
      <c r="J56" s="71" t="str">
        <f t="shared" si="36"/>
        <v>-</v>
      </c>
      <c r="K56" s="348">
        <v>1411</v>
      </c>
      <c r="L56" s="67">
        <f t="shared" si="37"/>
        <v>1411</v>
      </c>
      <c r="M56" s="346">
        <v>0</v>
      </c>
      <c r="N56" s="346">
        <v>0</v>
      </c>
      <c r="O56" s="348">
        <v>0</v>
      </c>
      <c r="P56" s="342">
        <v>0</v>
      </c>
      <c r="Q56" s="83">
        <f t="shared" si="38"/>
        <v>26.12962962962963</v>
      </c>
      <c r="R56" s="343">
        <v>0</v>
      </c>
      <c r="S56" s="83">
        <f t="shared" si="39"/>
        <v>8.7098765432098766</v>
      </c>
      <c r="T56" s="343">
        <v>0</v>
      </c>
      <c r="U56" s="343">
        <v>0</v>
      </c>
      <c r="V56" s="370">
        <v>0</v>
      </c>
      <c r="W56" s="370">
        <v>0</v>
      </c>
      <c r="X56" s="1"/>
    </row>
    <row r="57" spans="2:25" s="81" customFormat="1" ht="12.75" customHeight="1" thickBot="1" x14ac:dyDescent="0.25">
      <c r="B57" s="107"/>
      <c r="C57" s="82"/>
      <c r="D57" s="32"/>
      <c r="E57" s="32"/>
      <c r="F57" s="32"/>
      <c r="G57" s="32"/>
      <c r="H57" s="26"/>
      <c r="I57" s="27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</row>
    <row r="58" spans="2:25" ht="12.75" customHeight="1" x14ac:dyDescent="0.2">
      <c r="B58" s="661" t="s">
        <v>41</v>
      </c>
      <c r="C58" s="662"/>
      <c r="D58" s="28"/>
      <c r="E58" s="28"/>
      <c r="F58" s="28"/>
      <c r="G58" s="28"/>
      <c r="H58" s="28"/>
      <c r="I58" s="28"/>
      <c r="J58" s="66"/>
      <c r="K58" s="66"/>
      <c r="L58" s="64"/>
      <c r="M58" s="64"/>
      <c r="N58" s="29"/>
      <c r="O58" s="64"/>
      <c r="P58" s="29"/>
      <c r="Q58" s="29"/>
      <c r="R58" s="30"/>
      <c r="S58" s="101"/>
      <c r="T58" s="29"/>
      <c r="U58" s="30"/>
      <c r="V58" s="64"/>
      <c r="W58" s="64"/>
      <c r="X58" s="164"/>
    </row>
    <row r="59" spans="2:25" ht="12.75" customHeight="1" x14ac:dyDescent="0.2">
      <c r="B59" s="736">
        <v>865</v>
      </c>
      <c r="C59" s="737"/>
      <c r="D59" s="337" t="s">
        <v>30</v>
      </c>
      <c r="E59" s="337" t="s">
        <v>97</v>
      </c>
      <c r="F59" s="337" t="s">
        <v>97</v>
      </c>
      <c r="G59" s="338">
        <v>0</v>
      </c>
      <c r="H59" s="343" t="s">
        <v>97</v>
      </c>
      <c r="I59" s="342" t="s">
        <v>97</v>
      </c>
      <c r="J59" s="71" t="str">
        <f t="shared" ref="J59:J62" si="40">IF(I59="-","-",ROUNDUP(H59*I59,0))</f>
        <v>-</v>
      </c>
      <c r="K59" s="369">
        <v>0</v>
      </c>
      <c r="L59" s="67">
        <f t="shared" ref="L59:L62" si="41">SUM(J59:K59)</f>
        <v>0</v>
      </c>
      <c r="M59" s="346">
        <v>0</v>
      </c>
      <c r="N59" s="346">
        <v>0</v>
      </c>
      <c r="O59" s="348">
        <v>21</v>
      </c>
      <c r="P59" s="342">
        <v>0</v>
      </c>
      <c r="Q59" s="343">
        <v>0</v>
      </c>
      <c r="R59" s="343">
        <v>0</v>
      </c>
      <c r="S59" s="343">
        <v>0</v>
      </c>
      <c r="T59" s="343">
        <v>0</v>
      </c>
      <c r="U59" s="343">
        <v>0</v>
      </c>
      <c r="V59" s="370">
        <v>0</v>
      </c>
      <c r="W59" s="370">
        <v>0</v>
      </c>
      <c r="X59" s="72"/>
    </row>
    <row r="60" spans="2:25" ht="12.75" customHeight="1" x14ac:dyDescent="0.2">
      <c r="B60" s="335">
        <v>865</v>
      </c>
      <c r="C60" s="336">
        <v>900</v>
      </c>
      <c r="D60" s="337" t="s">
        <v>30</v>
      </c>
      <c r="E60" s="337">
        <v>2</v>
      </c>
      <c r="F60" s="337" t="s">
        <v>97</v>
      </c>
      <c r="G60" s="27">
        <f>E60*$AA$10*H60/27</f>
        <v>3.6814814814814811</v>
      </c>
      <c r="H60" s="4">
        <f>C60-B60</f>
        <v>35</v>
      </c>
      <c r="I60" s="342">
        <v>21.48</v>
      </c>
      <c r="J60" s="71">
        <f t="shared" si="40"/>
        <v>752</v>
      </c>
      <c r="K60" s="369">
        <v>0</v>
      </c>
      <c r="L60" s="67">
        <f t="shared" si="41"/>
        <v>752</v>
      </c>
      <c r="M60" s="85">
        <f t="shared" ref="M60:M62" si="42">((Q60*27)/0.5)/9</f>
        <v>105.64444444444445</v>
      </c>
      <c r="N60" s="85">
        <f t="shared" ref="N60:N62" si="43">(M60)/2000</f>
        <v>5.2822222222222222E-2</v>
      </c>
      <c r="O60" s="348">
        <v>0</v>
      </c>
      <c r="P60" s="12">
        <f>(L60*$P$1/12)/27</f>
        <v>13.925925925925926</v>
      </c>
      <c r="Q60" s="4">
        <f>(L60*$Q$1/12)/27+G60</f>
        <v>17.607407407407408</v>
      </c>
      <c r="R60" s="4">
        <f>($L60/9)*$R$1</f>
        <v>4.5955555555555554</v>
      </c>
      <c r="S60" s="343">
        <v>0</v>
      </c>
      <c r="T60" s="4">
        <f>(L60*$T$1/12)/27</f>
        <v>4.0617283950617287</v>
      </c>
      <c r="U60" s="4">
        <f>($L60*($U$1/12))/27</f>
        <v>2.901234567901235</v>
      </c>
      <c r="V60" s="370">
        <v>0</v>
      </c>
      <c r="W60" s="370">
        <v>0</v>
      </c>
      <c r="X60" s="72"/>
    </row>
    <row r="61" spans="2:25" ht="12.75" customHeight="1" x14ac:dyDescent="0.2">
      <c r="B61" s="335">
        <v>900</v>
      </c>
      <c r="C61" s="336">
        <v>915.61</v>
      </c>
      <c r="D61" s="337" t="s">
        <v>30</v>
      </c>
      <c r="E61" s="337">
        <v>2</v>
      </c>
      <c r="F61" s="337" t="s">
        <v>97</v>
      </c>
      <c r="G61" s="27">
        <f>E61*$AA$10*H61/27</f>
        <v>1.641940740740742</v>
      </c>
      <c r="H61" s="4">
        <f>C61-B61</f>
        <v>15.610000000000014</v>
      </c>
      <c r="I61" s="342">
        <v>22</v>
      </c>
      <c r="J61" s="71">
        <f t="shared" si="40"/>
        <v>344</v>
      </c>
      <c r="K61" s="369">
        <v>0</v>
      </c>
      <c r="L61" s="67">
        <f t="shared" si="41"/>
        <v>344</v>
      </c>
      <c r="M61" s="85">
        <f t="shared" si="42"/>
        <v>48.073866666666667</v>
      </c>
      <c r="N61" s="85">
        <f t="shared" si="43"/>
        <v>2.4036933333333333E-2</v>
      </c>
      <c r="O61" s="348">
        <v>0</v>
      </c>
      <c r="P61" s="12">
        <f>(L61*$P$1/12)/27</f>
        <v>6.3703703703703702</v>
      </c>
      <c r="Q61" s="4">
        <f>(L61*$Q$1/12)/27+G61</f>
        <v>8.0123111111111118</v>
      </c>
      <c r="R61" s="4">
        <f>($L61/9)*$R$1</f>
        <v>2.1022222222222222</v>
      </c>
      <c r="S61" s="343">
        <v>0</v>
      </c>
      <c r="T61" s="4">
        <f>(L61*$T$1/12)/27</f>
        <v>1.8580246913580245</v>
      </c>
      <c r="U61" s="4">
        <f>($L61*($U$1/12))/27</f>
        <v>1.3271604938271606</v>
      </c>
      <c r="V61" s="370">
        <v>0</v>
      </c>
      <c r="W61" s="370">
        <v>0</v>
      </c>
      <c r="X61" s="72"/>
    </row>
    <row r="62" spans="2:25" ht="12.75" customHeight="1" x14ac:dyDescent="0.2">
      <c r="B62" s="335">
        <v>915.61</v>
      </c>
      <c r="C62" s="336">
        <v>976.89</v>
      </c>
      <c r="D62" s="337" t="s">
        <v>30</v>
      </c>
      <c r="E62" s="337">
        <v>2</v>
      </c>
      <c r="F62" s="337" t="s">
        <v>97</v>
      </c>
      <c r="G62" s="27">
        <f>E62*$AA$10*H62/27</f>
        <v>6.4457481481481453</v>
      </c>
      <c r="H62" s="4">
        <f>C62-B62</f>
        <v>61.279999999999973</v>
      </c>
      <c r="I62" s="342" t="s">
        <v>97</v>
      </c>
      <c r="J62" s="71" t="str">
        <f t="shared" si="40"/>
        <v>-</v>
      </c>
      <c r="K62" s="348">
        <v>2069.39</v>
      </c>
      <c r="L62" s="67">
        <f t="shared" si="41"/>
        <v>2069.39</v>
      </c>
      <c r="M62" s="85">
        <f t="shared" si="42"/>
        <v>268.60671111111111</v>
      </c>
      <c r="N62" s="85">
        <f t="shared" si="43"/>
        <v>0.13430335555555556</v>
      </c>
      <c r="O62" s="348">
        <v>0</v>
      </c>
      <c r="P62" s="12">
        <f>(L62*$P$1/12)/27</f>
        <v>38.322037037037035</v>
      </c>
      <c r="Q62" s="4">
        <f>(L62*$Q$1/12)/27+G62</f>
        <v>44.767785185185183</v>
      </c>
      <c r="R62" s="4">
        <f>($L62/9)*$R$1</f>
        <v>12.646272222222221</v>
      </c>
      <c r="S62" s="343">
        <v>0</v>
      </c>
      <c r="T62" s="4">
        <f>(L62*$T$1/12)/27</f>
        <v>11.177260802469137</v>
      </c>
      <c r="U62" s="4">
        <f>($L62*($U$1/12))/27</f>
        <v>7.9837577160493822</v>
      </c>
      <c r="V62" s="370">
        <v>0</v>
      </c>
      <c r="W62" s="370">
        <v>0</v>
      </c>
      <c r="X62" s="72"/>
    </row>
    <row r="63" spans="2:25" ht="12.75" customHeight="1" thickBot="1" x14ac:dyDescent="0.25">
      <c r="B63" s="54"/>
      <c r="C63" s="3"/>
      <c r="D63" s="32"/>
      <c r="E63" s="32"/>
      <c r="F63" s="32"/>
      <c r="G63" s="32"/>
      <c r="H63" s="26"/>
      <c r="I63" s="27"/>
      <c r="J63" s="65"/>
      <c r="K63" s="65"/>
      <c r="L63" s="67"/>
      <c r="M63" s="67"/>
      <c r="N63" s="4"/>
      <c r="O63" s="69"/>
      <c r="P63" s="6"/>
      <c r="Q63" s="6"/>
      <c r="R63" s="6"/>
      <c r="S63" s="34"/>
      <c r="T63" s="34"/>
      <c r="U63" s="7"/>
      <c r="V63" s="67"/>
      <c r="W63" s="67"/>
      <c r="X63" s="164"/>
      <c r="Y63" s="48"/>
    </row>
    <row r="64" spans="2:25" ht="12.75" customHeight="1" x14ac:dyDescent="0.2">
      <c r="B64" s="661" t="s">
        <v>54</v>
      </c>
      <c r="C64" s="662"/>
      <c r="D64" s="28"/>
      <c r="E64" s="28"/>
      <c r="F64" s="28"/>
      <c r="G64" s="28"/>
      <c r="H64" s="28"/>
      <c r="I64" s="28"/>
      <c r="J64" s="66"/>
      <c r="K64" s="66"/>
      <c r="L64" s="64"/>
      <c r="M64" s="64"/>
      <c r="N64" s="29"/>
      <c r="O64" s="64"/>
      <c r="P64" s="29"/>
      <c r="Q64" s="29"/>
      <c r="R64" s="30"/>
      <c r="S64" s="101"/>
      <c r="T64" s="29"/>
      <c r="U64" s="30"/>
      <c r="V64" s="64"/>
      <c r="W64" s="64"/>
      <c r="X64" s="164"/>
    </row>
    <row r="65" spans="2:24" ht="12.75" customHeight="1" x14ac:dyDescent="0.2">
      <c r="B65" s="335">
        <v>1019.16</v>
      </c>
      <c r="C65" s="336">
        <v>1200</v>
      </c>
      <c r="D65" s="337" t="s">
        <v>30</v>
      </c>
      <c r="E65" s="337">
        <v>2</v>
      </c>
      <c r="F65" s="337" t="s">
        <v>97</v>
      </c>
      <c r="G65" s="27">
        <f>E65*$AA$10*H65/27</f>
        <v>19.021688888888892</v>
      </c>
      <c r="H65" s="4">
        <f>C65-B65</f>
        <v>180.84000000000003</v>
      </c>
      <c r="I65" s="342" t="s">
        <v>97</v>
      </c>
      <c r="J65" s="71" t="str">
        <f t="shared" ref="J65:J66" si="44">IF(I65="-","-",ROUNDUP(H65*I65,0))</f>
        <v>-</v>
      </c>
      <c r="K65" s="348">
        <v>5951.57</v>
      </c>
      <c r="L65" s="67">
        <f t="shared" ref="L65" si="45">SUM(J65:K65)</f>
        <v>5951.57</v>
      </c>
      <c r="M65" s="85">
        <f t="shared" ref="M65" si="46">((Q65*27)/0.5)/9</f>
        <v>775.41568888888878</v>
      </c>
      <c r="N65" s="85">
        <f t="shared" ref="N65" si="47">(M65)/2000</f>
        <v>0.38770784444444439</v>
      </c>
      <c r="O65" s="348">
        <v>0</v>
      </c>
      <c r="P65" s="12">
        <f>(L65*$P$1/12)/27</f>
        <v>110.21425925925925</v>
      </c>
      <c r="Q65" s="4">
        <f>(L65*$Q$1/12)/27+G65</f>
        <v>129.23594814814814</v>
      </c>
      <c r="R65" s="4">
        <f>($L65/9)*$R$1</f>
        <v>36.370705555555553</v>
      </c>
      <c r="S65" s="343">
        <v>0</v>
      </c>
      <c r="T65" s="4">
        <f>(L65*$T$1/12)/27</f>
        <v>32.145825617283947</v>
      </c>
      <c r="U65" s="4">
        <f>($L65*($U$1/12))/27</f>
        <v>22.961304012345678</v>
      </c>
      <c r="V65" s="370">
        <v>0</v>
      </c>
      <c r="W65" s="370">
        <v>0</v>
      </c>
      <c r="X65" s="72"/>
    </row>
    <row r="66" spans="2:24" ht="12.75" customHeight="1" x14ac:dyDescent="0.2">
      <c r="B66" s="736">
        <v>1200</v>
      </c>
      <c r="C66" s="737"/>
      <c r="D66" s="337" t="s">
        <v>30</v>
      </c>
      <c r="E66" s="337" t="s">
        <v>97</v>
      </c>
      <c r="F66" s="337" t="s">
        <v>97</v>
      </c>
      <c r="G66" s="338">
        <v>0</v>
      </c>
      <c r="H66" s="60" t="s">
        <v>97</v>
      </c>
      <c r="I66" s="342" t="s">
        <v>97</v>
      </c>
      <c r="J66" s="71" t="str">
        <f t="shared" si="44"/>
        <v>-</v>
      </c>
      <c r="K66" s="369">
        <v>0</v>
      </c>
      <c r="L66" s="67">
        <f t="shared" ref="L66" si="48">SUM(J66:K66)</f>
        <v>0</v>
      </c>
      <c r="M66" s="346">
        <v>0</v>
      </c>
      <c r="N66" s="346">
        <v>0</v>
      </c>
      <c r="O66" s="348">
        <v>20</v>
      </c>
      <c r="P66" s="342">
        <v>0</v>
      </c>
      <c r="Q66" s="343">
        <v>0</v>
      </c>
      <c r="R66" s="343">
        <v>0</v>
      </c>
      <c r="S66" s="343">
        <v>0</v>
      </c>
      <c r="T66" s="343">
        <v>0</v>
      </c>
      <c r="U66" s="343">
        <v>0</v>
      </c>
      <c r="V66" s="370">
        <v>0</v>
      </c>
      <c r="W66" s="370">
        <v>0</v>
      </c>
      <c r="X66" s="72"/>
    </row>
    <row r="67" spans="2:24" ht="12.75" customHeight="1" thickBot="1" x14ac:dyDescent="0.25">
      <c r="B67" s="54"/>
      <c r="C67" s="3"/>
      <c r="D67" s="32"/>
      <c r="G67" s="27"/>
      <c r="H67" s="4"/>
      <c r="I67" s="4"/>
      <c r="J67" s="71"/>
      <c r="K67" s="67"/>
      <c r="L67" s="67"/>
      <c r="M67" s="67"/>
      <c r="N67" s="6"/>
      <c r="O67" s="70"/>
      <c r="P67" s="7"/>
      <c r="Q67" s="4"/>
      <c r="R67" s="4"/>
      <c r="S67" s="83"/>
      <c r="T67" s="4"/>
      <c r="U67" s="4"/>
      <c r="V67" s="69"/>
      <c r="W67" s="69"/>
      <c r="X67" s="68"/>
    </row>
    <row r="68" spans="2:24" ht="12.75" customHeight="1" x14ac:dyDescent="0.2">
      <c r="B68" s="725" t="s">
        <v>259</v>
      </c>
      <c r="C68" s="726"/>
      <c r="D68" s="602" t="s">
        <v>237</v>
      </c>
      <c r="E68" s="603"/>
      <c r="F68" s="603"/>
      <c r="G68" s="603"/>
      <c r="H68" s="603"/>
      <c r="I68" s="603"/>
      <c r="J68" s="603"/>
      <c r="K68" s="603"/>
      <c r="L68" s="604"/>
      <c r="M68" s="610">
        <f t="shared" ref="M68:W68" si="49">ROUNDUP(SUM(M19:M66),0)</f>
        <v>14707</v>
      </c>
      <c r="N68" s="610">
        <f t="shared" si="49"/>
        <v>8</v>
      </c>
      <c r="O68" s="610">
        <f t="shared" si="49"/>
        <v>471</v>
      </c>
      <c r="P68" s="610">
        <f t="shared" si="49"/>
        <v>2097</v>
      </c>
      <c r="Q68" s="610">
        <f t="shared" si="49"/>
        <v>2811</v>
      </c>
      <c r="R68" s="610">
        <f t="shared" si="49"/>
        <v>625</v>
      </c>
      <c r="S68" s="610">
        <f t="shared" si="49"/>
        <v>120</v>
      </c>
      <c r="T68" s="610">
        <f t="shared" si="49"/>
        <v>552</v>
      </c>
      <c r="U68" s="610">
        <f t="shared" si="49"/>
        <v>395</v>
      </c>
      <c r="V68" s="610">
        <f t="shared" si="49"/>
        <v>594</v>
      </c>
      <c r="W68" s="610">
        <f t="shared" si="49"/>
        <v>153</v>
      </c>
      <c r="X68" s="176"/>
    </row>
    <row r="69" spans="2:24" ht="12.75" customHeight="1" thickBot="1" x14ac:dyDescent="0.25">
      <c r="B69" s="727"/>
      <c r="C69" s="728"/>
      <c r="D69" s="605"/>
      <c r="E69" s="606"/>
      <c r="F69" s="606"/>
      <c r="G69" s="606"/>
      <c r="H69" s="606"/>
      <c r="I69" s="606"/>
      <c r="J69" s="606"/>
      <c r="K69" s="606"/>
      <c r="L69" s="607"/>
      <c r="M69" s="611"/>
      <c r="N69" s="611"/>
      <c r="O69" s="611"/>
      <c r="P69" s="611"/>
      <c r="Q69" s="611"/>
      <c r="R69" s="611"/>
      <c r="S69" s="611"/>
      <c r="T69" s="611"/>
      <c r="U69" s="611"/>
      <c r="V69" s="611"/>
      <c r="W69" s="611"/>
      <c r="X69" s="141"/>
    </row>
    <row r="70" spans="2:24" ht="12.75" customHeight="1" x14ac:dyDescent="0.2"/>
    <row r="71" spans="2:24" ht="12.75" customHeight="1" x14ac:dyDescent="0.2"/>
    <row r="72" spans="2:24" ht="12.75" customHeight="1" x14ac:dyDescent="0.2">
      <c r="C72" s="22"/>
    </row>
    <row r="73" spans="2:24" ht="12.75" customHeight="1" x14ac:dyDescent="0.2">
      <c r="C73" s="22"/>
    </row>
    <row r="74" spans="2:24" ht="12.75" customHeight="1" x14ac:dyDescent="0.25">
      <c r="C74" s="22"/>
      <c r="L74" s="184">
        <f>SUM(L19:L66)</f>
        <v>183254.95</v>
      </c>
      <c r="M74" s="179" t="s">
        <v>172</v>
      </c>
    </row>
    <row r="75" spans="2:24" ht="12.75" customHeight="1" x14ac:dyDescent="0.2">
      <c r="C75" s="22"/>
    </row>
    <row r="76" spans="2:24" ht="12.75" customHeight="1" x14ac:dyDescent="0.2">
      <c r="C76" s="22"/>
    </row>
    <row r="77" spans="2:24" ht="12.75" customHeight="1" x14ac:dyDescent="0.2">
      <c r="C77" s="22"/>
    </row>
    <row r="78" spans="2:24" ht="12.75" customHeight="1" x14ac:dyDescent="0.2">
      <c r="C78" s="22"/>
    </row>
    <row r="79" spans="2:24" ht="12.75" customHeight="1" x14ac:dyDescent="0.2">
      <c r="C79" s="22"/>
    </row>
    <row r="80" spans="2:24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spans="1:1" ht="12.75" customHeight="1" x14ac:dyDescent="0.2"/>
    <row r="98" spans="1:1" ht="12.75" customHeight="1" x14ac:dyDescent="0.2"/>
    <row r="99" spans="1:1" ht="12.75" customHeight="1" x14ac:dyDescent="0.2"/>
    <row r="100" spans="1:1" ht="12.75" customHeight="1" x14ac:dyDescent="0.2"/>
    <row r="101" spans="1:1" ht="12.75" customHeight="1" x14ac:dyDescent="0.2"/>
    <row r="102" spans="1:1" ht="12.75" customHeight="1" x14ac:dyDescent="0.2"/>
    <row r="103" spans="1:1" ht="12.75" customHeight="1" x14ac:dyDescent="0.2"/>
    <row r="104" spans="1:1" ht="12.75" customHeight="1" x14ac:dyDescent="0.2">
      <c r="A104" s="48"/>
    </row>
    <row r="105" spans="1:1" ht="12.75" customHeight="1" x14ac:dyDescent="0.2">
      <c r="A105" s="48"/>
    </row>
    <row r="106" spans="1:1" ht="12.75" customHeight="1" x14ac:dyDescent="0.2"/>
    <row r="107" spans="1:1" ht="12.75" customHeight="1" x14ac:dyDescent="0.2"/>
    <row r="108" spans="1:1" ht="12.75" customHeight="1" x14ac:dyDescent="0.2"/>
    <row r="109" spans="1:1" ht="12.75" customHeight="1" x14ac:dyDescent="0.2"/>
    <row r="110" spans="1:1" ht="12.75" customHeight="1" x14ac:dyDescent="0.2"/>
    <row r="111" spans="1:1" ht="12.75" customHeight="1" x14ac:dyDescent="0.2"/>
    <row r="112" spans="1:1" ht="12.75" customHeight="1" x14ac:dyDescent="0.2"/>
    <row r="113" spans="1:28" ht="12.75" customHeight="1" x14ac:dyDescent="0.2"/>
    <row r="114" spans="1:28" ht="12.75" customHeight="1" x14ac:dyDescent="0.2">
      <c r="A114" s="48"/>
    </row>
    <row r="115" spans="1:28" ht="12.75" customHeight="1" x14ac:dyDescent="0.2">
      <c r="A115" s="48"/>
    </row>
    <row r="116" spans="1:28" ht="12.75" customHeight="1" x14ac:dyDescent="0.2"/>
    <row r="117" spans="1:28" ht="12.75" customHeight="1" x14ac:dyDescent="0.2"/>
    <row r="118" spans="1:28" ht="12.75" customHeight="1" x14ac:dyDescent="0.2"/>
    <row r="119" spans="1:28" ht="12.75" customHeight="1" x14ac:dyDescent="0.2">
      <c r="A119" s="48"/>
      <c r="Z119" s="20"/>
      <c r="AA119" s="20"/>
      <c r="AB119" s="20"/>
    </row>
    <row r="120" spans="1:28" ht="12.75" customHeight="1" x14ac:dyDescent="0.2">
      <c r="A120" s="48"/>
      <c r="Z120" s="20"/>
      <c r="AA120" s="20"/>
      <c r="AB120" s="20"/>
    </row>
    <row r="121" spans="1:28" ht="12.75" customHeight="1" x14ac:dyDescent="0.2"/>
    <row r="122" spans="1:28" ht="12.75" customHeight="1" x14ac:dyDescent="0.2"/>
    <row r="123" spans="1:28" ht="12.75" customHeight="1" x14ac:dyDescent="0.2"/>
    <row r="124" spans="1:28" ht="12.75" customHeight="1" x14ac:dyDescent="0.2"/>
    <row r="125" spans="1:28" ht="12.75" customHeight="1" x14ac:dyDescent="0.2"/>
    <row r="126" spans="1:28" ht="12.75" customHeight="1" x14ac:dyDescent="0.2"/>
    <row r="127" spans="1:28" ht="12.75" customHeight="1" x14ac:dyDescent="0.2"/>
    <row r="128" spans="1:28" ht="12.75" customHeight="1" x14ac:dyDescent="0.2"/>
    <row r="129" spans="1:1" ht="12.75" customHeight="1" x14ac:dyDescent="0.2"/>
    <row r="130" spans="1:1" ht="12.75" customHeight="1" x14ac:dyDescent="0.2"/>
    <row r="131" spans="1:1" ht="12.75" customHeight="1" x14ac:dyDescent="0.2"/>
    <row r="132" spans="1:1" ht="12.75" customHeight="1" x14ac:dyDescent="0.2"/>
    <row r="133" spans="1:1" ht="12.75" customHeight="1" x14ac:dyDescent="0.2"/>
    <row r="134" spans="1:1" ht="12.75" customHeight="1" x14ac:dyDescent="0.2"/>
    <row r="135" spans="1:1" ht="12.75" customHeight="1" x14ac:dyDescent="0.2"/>
    <row r="136" spans="1:1" ht="12.75" customHeight="1" x14ac:dyDescent="0.2"/>
    <row r="137" spans="1:1" ht="12.75" customHeight="1" x14ac:dyDescent="0.2">
      <c r="A137" s="48"/>
    </row>
    <row r="138" spans="1:1" ht="12.75" customHeight="1" x14ac:dyDescent="0.2">
      <c r="A138" s="48"/>
    </row>
    <row r="139" spans="1:1" ht="12.75" customHeight="1" x14ac:dyDescent="0.2"/>
    <row r="140" spans="1:1" ht="12.75" customHeight="1" x14ac:dyDescent="0.2"/>
    <row r="141" spans="1:1" ht="12.75" customHeight="1" x14ac:dyDescent="0.2"/>
    <row r="142" spans="1:1" ht="12.75" customHeight="1" x14ac:dyDescent="0.2"/>
    <row r="143" spans="1:1" ht="12.75" customHeight="1" x14ac:dyDescent="0.2"/>
    <row r="144" spans="1:1" ht="12.75" customHeight="1" x14ac:dyDescent="0.2"/>
    <row r="145" spans="1:35" ht="12.75" customHeight="1" x14ac:dyDescent="0.2">
      <c r="AC145" s="20"/>
      <c r="AD145" s="20"/>
      <c r="AE145" s="20"/>
      <c r="AF145" s="20"/>
      <c r="AG145" s="20"/>
      <c r="AH145" s="20"/>
    </row>
    <row r="146" spans="1:35" ht="12.75" customHeight="1" x14ac:dyDescent="0.2">
      <c r="AC146" s="20"/>
      <c r="AD146" s="20"/>
      <c r="AE146" s="20"/>
      <c r="AF146" s="20"/>
      <c r="AG146" s="20"/>
      <c r="AH146" s="20"/>
    </row>
    <row r="147" spans="1:35" ht="12.75" customHeight="1" x14ac:dyDescent="0.2"/>
    <row r="148" spans="1:35" ht="12.75" customHeight="1" x14ac:dyDescent="0.2"/>
    <row r="149" spans="1:35" ht="12.75" customHeight="1" x14ac:dyDescent="0.2"/>
    <row r="150" spans="1:35" ht="12.75" customHeight="1" x14ac:dyDescent="0.2"/>
    <row r="151" spans="1:35" ht="12.75" customHeight="1" x14ac:dyDescent="0.2"/>
    <row r="152" spans="1:35" ht="12.75" customHeight="1" x14ac:dyDescent="0.2"/>
    <row r="153" spans="1:35" ht="12.75" customHeight="1" x14ac:dyDescent="0.2"/>
    <row r="154" spans="1:35" ht="12.75" customHeight="1" x14ac:dyDescent="0.2"/>
    <row r="155" spans="1:35" ht="12.75" customHeight="1" x14ac:dyDescent="0.2">
      <c r="Y155" s="20"/>
      <c r="AI155" s="20"/>
    </row>
    <row r="156" spans="1:35" s="20" customFormat="1" ht="12.75" customHeight="1" x14ac:dyDescent="0.2">
      <c r="A156" s="1"/>
      <c r="B156" s="21"/>
      <c r="C156" s="21"/>
      <c r="D156" s="1"/>
      <c r="E156" s="1"/>
      <c r="F156" s="1"/>
      <c r="G156" s="1"/>
      <c r="H156" s="8"/>
      <c r="I156" s="8"/>
      <c r="J156" s="16"/>
      <c r="K156" s="16"/>
      <c r="L156" s="16"/>
      <c r="M156" s="91"/>
      <c r="N156" s="8"/>
      <c r="O156" s="17"/>
      <c r="P156" s="13"/>
      <c r="Q156" s="8"/>
      <c r="R156" s="8"/>
      <c r="S156" s="87"/>
      <c r="T156" s="8"/>
      <c r="U156" s="8"/>
      <c r="V156" s="91"/>
      <c r="W156" s="91"/>
      <c r="X156" s="9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5" s="20" customFormat="1" ht="12.75" customHeight="1" x14ac:dyDescent="0.2">
      <c r="A157" s="1"/>
      <c r="B157" s="21"/>
      <c r="C157" s="21"/>
      <c r="D157" s="1"/>
      <c r="E157" s="1"/>
      <c r="F157" s="1"/>
      <c r="G157" s="1"/>
      <c r="H157" s="8"/>
      <c r="I157" s="8"/>
      <c r="J157" s="16"/>
      <c r="K157" s="16"/>
      <c r="L157" s="16"/>
      <c r="M157" s="91"/>
      <c r="N157" s="8"/>
      <c r="O157" s="17"/>
      <c r="P157" s="13"/>
      <c r="Q157" s="8"/>
      <c r="R157" s="8"/>
      <c r="S157" s="87"/>
      <c r="T157" s="8"/>
      <c r="U157" s="8"/>
      <c r="V157" s="91"/>
      <c r="W157" s="91"/>
      <c r="X157" s="9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x14ac:dyDescent="0.2">
      <c r="A158" s="20"/>
    </row>
    <row r="159" spans="1:35" x14ac:dyDescent="0.2">
      <c r="A159" s="20"/>
    </row>
  </sheetData>
  <customSheetViews>
    <customSheetView guid="{221143F3-72E3-4C4A-9811-2F859DD19779}" fitToPage="1">
      <pane ySplit="13" topLeftCell="A35" activePane="bottomLeft" state="frozen"/>
      <selection pane="bottomLeft" activeCell="M60" sqref="M60"/>
      <pageMargins left="0.73" right="0.75" top="0.66" bottom="0.4" header="0.65" footer="0.25"/>
      <printOptions horizontalCentered="1" verticalCentered="1"/>
      <pageSetup paperSize="17" scale="63" orientation="landscape" r:id="rId1"/>
      <headerFooter alignWithMargins="0">
        <oddFooter>&amp;L&amp;D&amp;R&amp;F, &amp;A</oddFooter>
      </headerFooter>
    </customSheetView>
  </customSheetViews>
  <mergeCells count="64">
    <mergeCell ref="N68:N69"/>
    <mergeCell ref="B68:C69"/>
    <mergeCell ref="D68:L69"/>
    <mergeCell ref="B58:C58"/>
    <mergeCell ref="B59:C59"/>
    <mergeCell ref="B64:C64"/>
    <mergeCell ref="B66:C66"/>
    <mergeCell ref="M68:M69"/>
    <mergeCell ref="AG9:AI9"/>
    <mergeCell ref="AA10:AC10"/>
    <mergeCell ref="AD10:AF10"/>
    <mergeCell ref="AG10:AI10"/>
    <mergeCell ref="B48:C48"/>
    <mergeCell ref="AD13:AF13"/>
    <mergeCell ref="AG13:AI13"/>
    <mergeCell ref="AD11:AF11"/>
    <mergeCell ref="AG11:AI11"/>
    <mergeCell ref="AA12:AC12"/>
    <mergeCell ref="AD12:AF12"/>
    <mergeCell ref="AG12:AI12"/>
    <mergeCell ref="D6:D17"/>
    <mergeCell ref="E6:E17"/>
    <mergeCell ref="G6:G16"/>
    <mergeCell ref="K6:K16"/>
    <mergeCell ref="L6:L16"/>
    <mergeCell ref="M7:M16"/>
    <mergeCell ref="B18:C18"/>
    <mergeCell ref="S6:T6"/>
    <mergeCell ref="M6:N6"/>
    <mergeCell ref="B6:C16"/>
    <mergeCell ref="F6:F17"/>
    <mergeCell ref="H6:H16"/>
    <mergeCell ref="I6:I16"/>
    <mergeCell ref="J6:J16"/>
    <mergeCell ref="V6:W6"/>
    <mergeCell ref="T7:T16"/>
    <mergeCell ref="O7:O16"/>
    <mergeCell ref="N7:N16"/>
    <mergeCell ref="P7:P16"/>
    <mergeCell ref="Q7:Q16"/>
    <mergeCell ref="Q68:Q69"/>
    <mergeCell ref="V68:V69"/>
    <mergeCell ref="O68:O69"/>
    <mergeCell ref="P68:P69"/>
    <mergeCell ref="R68:R69"/>
    <mergeCell ref="U68:U69"/>
    <mergeCell ref="T68:T69"/>
    <mergeCell ref="S68:S69"/>
    <mergeCell ref="W68:W69"/>
    <mergeCell ref="R7:R16"/>
    <mergeCell ref="U7:U16"/>
    <mergeCell ref="W7:W16"/>
    <mergeCell ref="AA9:AC9"/>
    <mergeCell ref="AA11:AC11"/>
    <mergeCell ref="AA13:AC13"/>
    <mergeCell ref="S7:S16"/>
    <mergeCell ref="V7:V16"/>
    <mergeCell ref="Y7:AI7"/>
    <mergeCell ref="Y8:Y9"/>
    <mergeCell ref="Z8:Z9"/>
    <mergeCell ref="AA8:AC8"/>
    <mergeCell ref="AD8:AF8"/>
    <mergeCell ref="AG8:AI8"/>
    <mergeCell ref="AD9:AF9"/>
  </mergeCells>
  <dataValidations count="1">
    <dataValidation type="list" allowBlank="1" showInputMessage="1" showErrorMessage="1" sqref="F49:F57 F19:F46">
      <formula1>$Y$2:$Y$5</formula1>
    </dataValidation>
  </dataValidations>
  <printOptions horizontalCentered="1" verticalCentered="1"/>
  <pageMargins left="0.73" right="0.75" top="0.66" bottom="0.4" header="0.65" footer="0.25"/>
  <pageSetup paperSize="17" scale="63" orientation="landscape" r:id="rId2"/>
  <headerFooter scaleWithDoc="0" alignWithMargins="0">
    <oddHeader>&amp;LHAN-75-14.39</oddHeader>
    <oddFooter>&amp;R&amp;A</oddFooter>
  </headerFooter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52"/>
  <sheetViews>
    <sheetView view="pageBreakPreview" zoomScale="90" zoomScaleNormal="75" zoomScaleSheetLayoutView="90" workbookViewId="0">
      <pane ySplit="17" topLeftCell="A19" activePane="bottomLeft" state="frozen"/>
      <selection pane="bottomLeft" activeCell="Y47" sqref="Y47:Y48"/>
    </sheetView>
  </sheetViews>
  <sheetFormatPr defaultColWidth="9.140625"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10" width="8.5703125" style="81" hidden="1" customWidth="1"/>
    <col min="11" max="11" width="9.28515625" style="87" hidden="1" customWidth="1"/>
    <col min="12" max="12" width="9.28515625" style="87" customWidth="1"/>
    <col min="13" max="13" width="13.85546875" style="87" customWidth="1"/>
    <col min="14" max="14" width="10" style="87" customWidth="1"/>
    <col min="15" max="15" width="13.42578125" style="87" customWidth="1"/>
    <col min="16" max="16" width="9.7109375" style="87" customWidth="1"/>
    <col min="17" max="20" width="9.7109375" style="13" customWidth="1"/>
    <col min="21" max="25" width="9.7109375" style="87" customWidth="1"/>
    <col min="26" max="27" width="9.7109375" style="81" customWidth="1"/>
    <col min="28" max="29" width="9.140625" style="81"/>
    <col min="30" max="30" width="9.85546875" style="81" bestFit="1" customWidth="1"/>
    <col min="31" max="32" width="9.140625" style="81"/>
    <col min="33" max="33" width="9.140625" style="81" customWidth="1"/>
    <col min="34" max="16384" width="9.140625" style="81"/>
  </cols>
  <sheetData>
    <row r="1" spans="2:39" s="90" customFormat="1" ht="13.5" thickBot="1" x14ac:dyDescent="0.25">
      <c r="B1" s="97"/>
      <c r="C1" s="97"/>
      <c r="L1" s="88"/>
      <c r="M1" s="88"/>
      <c r="N1" s="88"/>
      <c r="O1" s="88"/>
      <c r="P1" s="88"/>
      <c r="Q1" s="10"/>
      <c r="R1" s="10"/>
      <c r="S1" s="10"/>
      <c r="T1" s="88"/>
      <c r="U1" s="10"/>
      <c r="V1" s="88">
        <v>3</v>
      </c>
      <c r="W1" s="88">
        <v>6</v>
      </c>
      <c r="X1" s="88">
        <v>6</v>
      </c>
      <c r="Y1" s="31">
        <v>5.5E-2</v>
      </c>
      <c r="Z1" s="88">
        <v>1.25</v>
      </c>
      <c r="AA1" s="88">
        <v>1.75</v>
      </c>
    </row>
    <row r="2" spans="2:39" s="90" customFormat="1" x14ac:dyDescent="0.2">
      <c r="B2" s="97"/>
      <c r="C2" s="97"/>
      <c r="L2" s="88"/>
      <c r="M2" s="88"/>
      <c r="N2" s="88"/>
      <c r="O2" s="88"/>
      <c r="P2" s="88"/>
      <c r="V2" s="146"/>
      <c r="W2" s="145" t="s">
        <v>35</v>
      </c>
      <c r="X2" s="168" t="s">
        <v>272</v>
      </c>
      <c r="Y2" s="168"/>
      <c r="Z2" s="170" t="s">
        <v>34</v>
      </c>
      <c r="AA2" s="211">
        <v>41920</v>
      </c>
    </row>
    <row r="3" spans="2:39" s="90" customFormat="1" x14ac:dyDescent="0.2">
      <c r="B3" s="97"/>
      <c r="C3" s="97"/>
      <c r="L3" s="88"/>
      <c r="M3" s="88"/>
      <c r="N3" s="88"/>
      <c r="O3" s="88"/>
      <c r="P3" s="88"/>
      <c r="V3" s="517"/>
      <c r="W3" s="518" t="s">
        <v>36</v>
      </c>
      <c r="X3" s="519" t="s">
        <v>266</v>
      </c>
      <c r="Y3" s="519"/>
      <c r="Z3" s="520" t="s">
        <v>34</v>
      </c>
      <c r="AA3" s="521">
        <v>41926</v>
      </c>
    </row>
    <row r="4" spans="2:39" s="90" customFormat="1" ht="13.5" thickBot="1" x14ac:dyDescent="0.25">
      <c r="B4" s="97"/>
      <c r="C4" s="97"/>
      <c r="L4" s="88"/>
      <c r="M4" s="88"/>
      <c r="N4" s="88"/>
      <c r="O4" s="88"/>
      <c r="P4" s="88"/>
      <c r="V4" s="522"/>
      <c r="W4" s="523" t="s">
        <v>280</v>
      </c>
      <c r="X4" s="216" t="s">
        <v>266</v>
      </c>
      <c r="Y4" s="216"/>
      <c r="Z4" s="217" t="s">
        <v>34</v>
      </c>
      <c r="AA4" s="459">
        <v>42598</v>
      </c>
    </row>
    <row r="5" spans="2:39" s="90" customFormat="1" ht="13.5" thickBot="1" x14ac:dyDescent="0.25">
      <c r="B5" s="97"/>
      <c r="C5" s="97"/>
      <c r="L5" s="88"/>
      <c r="M5" s="88"/>
      <c r="N5" s="88"/>
      <c r="O5" s="88"/>
      <c r="P5" s="88"/>
      <c r="Q5" s="10"/>
      <c r="R5" s="10"/>
      <c r="S5" s="10"/>
      <c r="T5" s="88"/>
      <c r="U5" s="10"/>
      <c r="V5" s="88"/>
      <c r="W5" s="88"/>
      <c r="X5" s="88"/>
      <c r="Y5" s="88"/>
      <c r="Z5" s="88"/>
      <c r="AA5" s="88"/>
    </row>
    <row r="6" spans="2:39" s="91" customFormat="1" ht="12.75" customHeight="1" thickBot="1" x14ac:dyDescent="0.25">
      <c r="B6" s="657" t="s">
        <v>1</v>
      </c>
      <c r="C6" s="658"/>
      <c r="D6" s="653" t="s">
        <v>0</v>
      </c>
      <c r="E6" s="667" t="s">
        <v>121</v>
      </c>
      <c r="F6" s="667" t="s">
        <v>27</v>
      </c>
      <c r="G6" s="763" t="s">
        <v>122</v>
      </c>
      <c r="H6" s="667" t="s">
        <v>123</v>
      </c>
      <c r="I6" s="667" t="s">
        <v>31</v>
      </c>
      <c r="J6" s="667" t="s">
        <v>46</v>
      </c>
      <c r="K6" s="667" t="s">
        <v>47</v>
      </c>
      <c r="L6" s="767" t="s">
        <v>4</v>
      </c>
      <c r="M6" s="767" t="s">
        <v>21</v>
      </c>
      <c r="N6" s="759" t="s">
        <v>17</v>
      </c>
      <c r="O6" s="759" t="s">
        <v>20</v>
      </c>
      <c r="P6" s="759" t="s">
        <v>14</v>
      </c>
      <c r="Q6" s="64">
        <v>204</v>
      </c>
      <c r="R6" s="755">
        <v>206</v>
      </c>
      <c r="S6" s="756"/>
      <c r="T6" s="757"/>
      <c r="U6" s="64">
        <v>252</v>
      </c>
      <c r="V6" s="626">
        <v>301</v>
      </c>
      <c r="W6" s="627"/>
      <c r="X6" s="134">
        <v>304</v>
      </c>
      <c r="Y6" s="64">
        <v>407</v>
      </c>
      <c r="Z6" s="760">
        <v>441</v>
      </c>
      <c r="AA6" s="761"/>
      <c r="AC6" s="92"/>
    </row>
    <row r="7" spans="2:39" ht="12.75" customHeight="1" thickBot="1" x14ac:dyDescent="0.25">
      <c r="B7" s="659"/>
      <c r="C7" s="660"/>
      <c r="D7" s="654"/>
      <c r="E7" s="668"/>
      <c r="F7" s="668"/>
      <c r="G7" s="764"/>
      <c r="H7" s="668"/>
      <c r="I7" s="668"/>
      <c r="J7" s="668"/>
      <c r="K7" s="668"/>
      <c r="L7" s="768"/>
      <c r="M7" s="768"/>
      <c r="N7" s="562"/>
      <c r="O7" s="562"/>
      <c r="P7" s="562"/>
      <c r="Q7" s="675" t="s">
        <v>7</v>
      </c>
      <c r="R7" s="545" t="s">
        <v>18</v>
      </c>
      <c r="S7" s="545" t="s">
        <v>19</v>
      </c>
      <c r="T7" s="545" t="s">
        <v>23</v>
      </c>
      <c r="U7" s="545" t="s">
        <v>24</v>
      </c>
      <c r="V7" s="675" t="s">
        <v>32</v>
      </c>
      <c r="W7" s="675" t="s">
        <v>125</v>
      </c>
      <c r="X7" s="675" t="s">
        <v>126</v>
      </c>
      <c r="Y7" s="675" t="s">
        <v>279</v>
      </c>
      <c r="Z7" s="559" t="s">
        <v>131</v>
      </c>
      <c r="AA7" s="559" t="s">
        <v>132</v>
      </c>
      <c r="AC7" s="697" t="s">
        <v>201</v>
      </c>
      <c r="AD7" s="698"/>
      <c r="AE7" s="698"/>
      <c r="AF7" s="698"/>
      <c r="AG7" s="698"/>
      <c r="AH7" s="698"/>
      <c r="AI7" s="698"/>
      <c r="AJ7" s="698"/>
      <c r="AK7" s="698"/>
      <c r="AL7" s="698"/>
      <c r="AM7" s="699"/>
    </row>
    <row r="8" spans="2:39" ht="12.75" customHeight="1" x14ac:dyDescent="0.2">
      <c r="B8" s="659"/>
      <c r="C8" s="660"/>
      <c r="D8" s="654"/>
      <c r="E8" s="668"/>
      <c r="F8" s="668"/>
      <c r="G8" s="764"/>
      <c r="H8" s="668"/>
      <c r="I8" s="668"/>
      <c r="J8" s="668"/>
      <c r="K8" s="668"/>
      <c r="L8" s="768"/>
      <c r="M8" s="768"/>
      <c r="N8" s="562"/>
      <c r="O8" s="562"/>
      <c r="P8" s="562"/>
      <c r="Q8" s="675"/>
      <c r="R8" s="720"/>
      <c r="S8" s="720"/>
      <c r="T8" s="720"/>
      <c r="U8" s="720"/>
      <c r="V8" s="675"/>
      <c r="W8" s="675"/>
      <c r="X8" s="675"/>
      <c r="Y8" s="675"/>
      <c r="Z8" s="562"/>
      <c r="AA8" s="562"/>
      <c r="AC8" s="671" t="s">
        <v>208</v>
      </c>
      <c r="AD8" s="673" t="s">
        <v>214</v>
      </c>
      <c r="AE8" s="704" t="s">
        <v>273</v>
      </c>
      <c r="AF8" s="681"/>
      <c r="AG8" s="705"/>
      <c r="AH8" s="680" t="s">
        <v>124</v>
      </c>
      <c r="AI8" s="681"/>
      <c r="AJ8" s="705"/>
      <c r="AK8" s="680" t="s">
        <v>45</v>
      </c>
      <c r="AL8" s="681"/>
      <c r="AM8" s="682"/>
    </row>
    <row r="9" spans="2:39" ht="12.75" customHeight="1" thickBot="1" x14ac:dyDescent="0.25">
      <c r="B9" s="659"/>
      <c r="C9" s="660"/>
      <c r="D9" s="654"/>
      <c r="E9" s="668"/>
      <c r="F9" s="668"/>
      <c r="G9" s="764"/>
      <c r="H9" s="668"/>
      <c r="I9" s="668"/>
      <c r="J9" s="668"/>
      <c r="K9" s="668"/>
      <c r="L9" s="768"/>
      <c r="M9" s="768"/>
      <c r="N9" s="562"/>
      <c r="O9" s="562"/>
      <c r="P9" s="562"/>
      <c r="Q9" s="675"/>
      <c r="R9" s="720"/>
      <c r="S9" s="720"/>
      <c r="T9" s="720"/>
      <c r="U9" s="720"/>
      <c r="V9" s="675"/>
      <c r="W9" s="675"/>
      <c r="X9" s="675"/>
      <c r="Y9" s="675"/>
      <c r="Z9" s="562"/>
      <c r="AA9" s="562"/>
      <c r="AC9" s="672"/>
      <c r="AD9" s="674"/>
      <c r="AE9" s="683" t="s">
        <v>209</v>
      </c>
      <c r="AF9" s="684"/>
      <c r="AG9" s="685"/>
      <c r="AH9" s="686" t="s">
        <v>210</v>
      </c>
      <c r="AI9" s="684"/>
      <c r="AJ9" s="685"/>
      <c r="AK9" s="686" t="s">
        <v>210</v>
      </c>
      <c r="AL9" s="684"/>
      <c r="AM9" s="687"/>
    </row>
    <row r="10" spans="2:39" ht="12.75" customHeight="1" x14ac:dyDescent="0.2">
      <c r="B10" s="659"/>
      <c r="C10" s="660"/>
      <c r="D10" s="654"/>
      <c r="E10" s="668"/>
      <c r="F10" s="668"/>
      <c r="G10" s="764"/>
      <c r="H10" s="668"/>
      <c r="I10" s="668"/>
      <c r="J10" s="668"/>
      <c r="K10" s="668"/>
      <c r="L10" s="768"/>
      <c r="M10" s="768"/>
      <c r="N10" s="562"/>
      <c r="O10" s="562"/>
      <c r="P10" s="562"/>
      <c r="Q10" s="675"/>
      <c r="R10" s="720"/>
      <c r="S10" s="720"/>
      <c r="T10" s="720"/>
      <c r="U10" s="720"/>
      <c r="V10" s="675"/>
      <c r="W10" s="675"/>
      <c r="X10" s="675"/>
      <c r="Y10" s="675"/>
      <c r="Z10" s="562"/>
      <c r="AA10" s="562"/>
      <c r="AB10" s="770" t="s">
        <v>228</v>
      </c>
      <c r="AC10" s="222" t="s">
        <v>101</v>
      </c>
      <c r="AD10" s="104" t="s">
        <v>211</v>
      </c>
      <c r="AE10" s="695">
        <v>1.5</v>
      </c>
      <c r="AF10" s="617"/>
      <c r="AG10" s="618"/>
      <c r="AH10" s="616">
        <v>0.08</v>
      </c>
      <c r="AI10" s="617"/>
      <c r="AJ10" s="618"/>
      <c r="AK10" s="616">
        <v>0.42</v>
      </c>
      <c r="AL10" s="617"/>
      <c r="AM10" s="694"/>
    </row>
    <row r="11" spans="2:39" ht="12.75" customHeight="1" thickBot="1" x14ac:dyDescent="0.25">
      <c r="B11" s="659"/>
      <c r="C11" s="660"/>
      <c r="D11" s="654"/>
      <c r="E11" s="668"/>
      <c r="F11" s="668"/>
      <c r="G11" s="764"/>
      <c r="H11" s="668"/>
      <c r="I11" s="668"/>
      <c r="J11" s="668"/>
      <c r="K11" s="668"/>
      <c r="L11" s="768"/>
      <c r="M11" s="768"/>
      <c r="N11" s="562"/>
      <c r="O11" s="562"/>
      <c r="P11" s="562"/>
      <c r="Q11" s="675"/>
      <c r="R11" s="720"/>
      <c r="S11" s="720"/>
      <c r="T11" s="720"/>
      <c r="U11" s="720"/>
      <c r="V11" s="675"/>
      <c r="W11" s="675"/>
      <c r="X11" s="675"/>
      <c r="Y11" s="675"/>
      <c r="Z11" s="562"/>
      <c r="AA11" s="562"/>
      <c r="AB11" s="771"/>
      <c r="AC11" s="221" t="s">
        <v>102</v>
      </c>
      <c r="AD11" s="103" t="s">
        <v>212</v>
      </c>
      <c r="AE11" s="772">
        <v>2</v>
      </c>
      <c r="AF11" s="692"/>
      <c r="AG11" s="693"/>
      <c r="AH11" s="691">
        <v>0</v>
      </c>
      <c r="AI11" s="692"/>
      <c r="AJ11" s="693"/>
      <c r="AK11" s="691">
        <v>0.75</v>
      </c>
      <c r="AL11" s="692"/>
      <c r="AM11" s="729"/>
    </row>
    <row r="12" spans="2:39" ht="12.75" customHeight="1" x14ac:dyDescent="0.2">
      <c r="B12" s="659"/>
      <c r="C12" s="660"/>
      <c r="D12" s="654"/>
      <c r="E12" s="668"/>
      <c r="F12" s="668"/>
      <c r="G12" s="764"/>
      <c r="H12" s="668"/>
      <c r="I12" s="668"/>
      <c r="J12" s="668"/>
      <c r="K12" s="668"/>
      <c r="L12" s="768"/>
      <c r="M12" s="768"/>
      <c r="N12" s="562"/>
      <c r="O12" s="562"/>
      <c r="P12" s="562"/>
      <c r="Q12" s="675"/>
      <c r="R12" s="720"/>
      <c r="S12" s="720"/>
      <c r="T12" s="720"/>
      <c r="U12" s="720"/>
      <c r="V12" s="675"/>
      <c r="W12" s="675"/>
      <c r="X12" s="675"/>
      <c r="Y12" s="675"/>
      <c r="Z12" s="562"/>
      <c r="AA12" s="562"/>
      <c r="AB12" s="770" t="s">
        <v>229</v>
      </c>
      <c r="AC12" s="221" t="s">
        <v>227</v>
      </c>
      <c r="AD12" s="103" t="s">
        <v>220</v>
      </c>
      <c r="AE12" s="772">
        <v>4</v>
      </c>
      <c r="AF12" s="692"/>
      <c r="AG12" s="693"/>
      <c r="AH12" s="691">
        <v>0</v>
      </c>
      <c r="AI12" s="692"/>
      <c r="AJ12" s="693"/>
      <c r="AK12" s="691">
        <v>1.5</v>
      </c>
      <c r="AL12" s="692"/>
      <c r="AM12" s="729"/>
    </row>
    <row r="13" spans="2:39" ht="12.75" customHeight="1" thickBot="1" x14ac:dyDescent="0.25">
      <c r="B13" s="659"/>
      <c r="C13" s="660"/>
      <c r="D13" s="654"/>
      <c r="E13" s="668"/>
      <c r="F13" s="668"/>
      <c r="G13" s="764"/>
      <c r="H13" s="668"/>
      <c r="I13" s="668"/>
      <c r="J13" s="668"/>
      <c r="K13" s="668"/>
      <c r="L13" s="768"/>
      <c r="M13" s="768"/>
      <c r="N13" s="562"/>
      <c r="O13" s="562"/>
      <c r="P13" s="562"/>
      <c r="Q13" s="675"/>
      <c r="R13" s="720"/>
      <c r="S13" s="720"/>
      <c r="T13" s="720"/>
      <c r="U13" s="720"/>
      <c r="V13" s="675"/>
      <c r="W13" s="675"/>
      <c r="X13" s="675"/>
      <c r="Y13" s="675"/>
      <c r="Z13" s="562"/>
      <c r="AA13" s="562"/>
      <c r="AB13" s="771"/>
      <c r="AC13" s="223" t="s">
        <v>101</v>
      </c>
      <c r="AD13" s="158" t="s">
        <v>211</v>
      </c>
      <c r="AE13" s="677">
        <v>1.5</v>
      </c>
      <c r="AF13" s="678"/>
      <c r="AG13" s="679"/>
      <c r="AH13" s="696">
        <v>0.17</v>
      </c>
      <c r="AI13" s="678"/>
      <c r="AJ13" s="679"/>
      <c r="AK13" s="696">
        <v>0.42</v>
      </c>
      <c r="AL13" s="678"/>
      <c r="AM13" s="701"/>
    </row>
    <row r="14" spans="2:39" ht="12.75" customHeight="1" x14ac:dyDescent="0.2">
      <c r="B14" s="659"/>
      <c r="C14" s="660"/>
      <c r="D14" s="654"/>
      <c r="E14" s="668"/>
      <c r="F14" s="668"/>
      <c r="G14" s="764"/>
      <c r="H14" s="668"/>
      <c r="I14" s="668"/>
      <c r="J14" s="668"/>
      <c r="K14" s="668"/>
      <c r="L14" s="768"/>
      <c r="M14" s="768"/>
      <c r="N14" s="562"/>
      <c r="O14" s="562"/>
      <c r="P14" s="562"/>
      <c r="Q14" s="675"/>
      <c r="R14" s="720"/>
      <c r="S14" s="720"/>
      <c r="T14" s="720"/>
      <c r="U14" s="720"/>
      <c r="V14" s="675"/>
      <c r="W14" s="675"/>
      <c r="X14" s="675"/>
      <c r="Y14" s="675"/>
      <c r="Z14" s="562"/>
      <c r="AA14" s="562"/>
    </row>
    <row r="15" spans="2:39" ht="12.75" customHeight="1" x14ac:dyDescent="0.2">
      <c r="B15" s="659"/>
      <c r="C15" s="660"/>
      <c r="D15" s="654"/>
      <c r="E15" s="668"/>
      <c r="F15" s="668"/>
      <c r="G15" s="764"/>
      <c r="H15" s="668"/>
      <c r="I15" s="668"/>
      <c r="J15" s="668"/>
      <c r="K15" s="668"/>
      <c r="L15" s="768"/>
      <c r="M15" s="768"/>
      <c r="N15" s="562"/>
      <c r="O15" s="562"/>
      <c r="P15" s="562"/>
      <c r="Q15" s="675"/>
      <c r="R15" s="720"/>
      <c r="S15" s="720"/>
      <c r="T15" s="720"/>
      <c r="U15" s="720"/>
      <c r="V15" s="675"/>
      <c r="W15" s="675"/>
      <c r="X15" s="675"/>
      <c r="Y15" s="675"/>
      <c r="Z15" s="562"/>
      <c r="AA15" s="562"/>
    </row>
    <row r="16" spans="2:39" ht="12.75" customHeight="1" x14ac:dyDescent="0.2">
      <c r="B16" s="659"/>
      <c r="C16" s="660"/>
      <c r="D16" s="654"/>
      <c r="E16" s="668"/>
      <c r="F16" s="668"/>
      <c r="G16" s="764"/>
      <c r="H16" s="766"/>
      <c r="I16" s="766"/>
      <c r="J16" s="766"/>
      <c r="K16" s="766"/>
      <c r="L16" s="769"/>
      <c r="M16" s="769"/>
      <c r="N16" s="563"/>
      <c r="O16" s="563"/>
      <c r="P16" s="563"/>
      <c r="Q16" s="675"/>
      <c r="R16" s="721"/>
      <c r="S16" s="721"/>
      <c r="T16" s="721"/>
      <c r="U16" s="721"/>
      <c r="V16" s="675"/>
      <c r="W16" s="675"/>
      <c r="X16" s="675"/>
      <c r="Y16" s="675"/>
      <c r="Z16" s="563"/>
      <c r="AA16" s="563"/>
    </row>
    <row r="17" spans="1:35" ht="12.75" customHeight="1" thickBot="1" x14ac:dyDescent="0.25">
      <c r="B17" s="98" t="s">
        <v>2</v>
      </c>
      <c r="C17" s="99" t="s">
        <v>3</v>
      </c>
      <c r="D17" s="711"/>
      <c r="E17" s="762"/>
      <c r="F17" s="762"/>
      <c r="G17" s="765"/>
      <c r="H17" s="84" t="s">
        <v>5</v>
      </c>
      <c r="I17" s="84" t="s">
        <v>12</v>
      </c>
      <c r="J17" s="84" t="s">
        <v>12</v>
      </c>
      <c r="K17" s="84" t="s">
        <v>12</v>
      </c>
      <c r="L17" s="84" t="s">
        <v>5</v>
      </c>
      <c r="M17" s="84" t="s">
        <v>5</v>
      </c>
      <c r="N17" s="84" t="s">
        <v>6</v>
      </c>
      <c r="O17" s="84" t="s">
        <v>6</v>
      </c>
      <c r="P17" s="84" t="s">
        <v>6</v>
      </c>
      <c r="Q17" s="84" t="s">
        <v>11</v>
      </c>
      <c r="R17" s="84" t="s">
        <v>10</v>
      </c>
      <c r="S17" s="84" t="s">
        <v>10</v>
      </c>
      <c r="T17" s="84" t="s">
        <v>22</v>
      </c>
      <c r="U17" s="84" t="s">
        <v>5</v>
      </c>
      <c r="V17" s="84" t="s">
        <v>12</v>
      </c>
      <c r="W17" s="84" t="s">
        <v>12</v>
      </c>
      <c r="X17" s="84" t="s">
        <v>12</v>
      </c>
      <c r="Y17" s="84" t="s">
        <v>13</v>
      </c>
      <c r="Z17" s="84" t="s">
        <v>12</v>
      </c>
      <c r="AA17" s="84" t="s">
        <v>12</v>
      </c>
      <c r="AC17" s="93"/>
    </row>
    <row r="18" spans="1:35" ht="12.75" customHeight="1" x14ac:dyDescent="0.2">
      <c r="B18" s="661" t="s">
        <v>127</v>
      </c>
      <c r="C18" s="662"/>
      <c r="D18" s="100"/>
      <c r="E18" s="100"/>
      <c r="F18" s="100"/>
      <c r="G18" s="100"/>
      <c r="H18" s="100"/>
      <c r="I18" s="100"/>
      <c r="J18" s="100"/>
      <c r="K18" s="100"/>
      <c r="L18" s="101"/>
      <c r="M18" s="101"/>
      <c r="N18" s="101"/>
      <c r="O18" s="101"/>
      <c r="P18" s="101"/>
      <c r="Q18" s="102"/>
      <c r="R18" s="102"/>
      <c r="S18" s="102"/>
      <c r="T18" s="101"/>
      <c r="U18" s="254"/>
      <c r="V18" s="101"/>
      <c r="W18" s="101"/>
      <c r="X18" s="101"/>
      <c r="Y18" s="101"/>
      <c r="Z18" s="101"/>
      <c r="AA18" s="101"/>
      <c r="AB18" s="122"/>
      <c r="AC18" s="93"/>
    </row>
    <row r="19" spans="1:35" ht="12.75" customHeight="1" x14ac:dyDescent="0.2">
      <c r="B19" s="371">
        <v>10450</v>
      </c>
      <c r="C19" s="372">
        <v>10460</v>
      </c>
      <c r="D19" s="337" t="s">
        <v>30</v>
      </c>
      <c r="E19" s="337">
        <v>0</v>
      </c>
      <c r="F19" s="341">
        <v>2</v>
      </c>
      <c r="G19" s="341">
        <v>0</v>
      </c>
      <c r="H19" s="79">
        <v>4</v>
      </c>
      <c r="I19" s="79">
        <v>0</v>
      </c>
      <c r="J19" s="79">
        <v>0.55555555555555558</v>
      </c>
      <c r="K19" s="338">
        <v>0</v>
      </c>
      <c r="L19" s="83">
        <v>10</v>
      </c>
      <c r="M19" s="342">
        <v>29</v>
      </c>
      <c r="N19" s="89">
        <v>290</v>
      </c>
      <c r="O19" s="342"/>
      <c r="P19" s="83">
        <v>290</v>
      </c>
      <c r="Q19" s="481">
        <v>1.8333333333333333E-2</v>
      </c>
      <c r="R19" s="481">
        <v>36.666666666666664</v>
      </c>
      <c r="S19" s="481">
        <v>36.666666666666664</v>
      </c>
      <c r="T19" s="85">
        <v>1.089</v>
      </c>
      <c r="U19" s="344">
        <v>29</v>
      </c>
      <c r="V19" s="479">
        <v>2.6851851851851851</v>
      </c>
      <c r="W19" s="343"/>
      <c r="X19" s="479">
        <v>5.9259259259259256</v>
      </c>
      <c r="Y19" s="480">
        <v>1.7722222222222221</v>
      </c>
      <c r="Z19" s="479">
        <v>1.1188271604938274</v>
      </c>
      <c r="AA19" s="479">
        <v>1.566358024691358</v>
      </c>
      <c r="AC19" s="93"/>
    </row>
    <row r="20" spans="1:35" ht="12.75" customHeight="1" x14ac:dyDescent="0.2">
      <c r="B20" s="373">
        <v>10460</v>
      </c>
      <c r="C20" s="374">
        <v>10531.16</v>
      </c>
      <c r="D20" s="337" t="s">
        <v>30</v>
      </c>
      <c r="E20" s="337">
        <v>0</v>
      </c>
      <c r="F20" s="341">
        <v>2</v>
      </c>
      <c r="G20" s="341">
        <v>0</v>
      </c>
      <c r="H20" s="79">
        <v>4</v>
      </c>
      <c r="I20" s="79">
        <v>0</v>
      </c>
      <c r="J20" s="79">
        <v>3.9533333333333252</v>
      </c>
      <c r="K20" s="338">
        <v>0</v>
      </c>
      <c r="L20" s="83">
        <v>71.159999999999854</v>
      </c>
      <c r="M20" s="342">
        <v>28</v>
      </c>
      <c r="N20" s="89">
        <v>1992.4799999999959</v>
      </c>
      <c r="O20" s="342"/>
      <c r="P20" s="83">
        <v>1992.4799999999959</v>
      </c>
      <c r="Q20" s="481">
        <v>0.12650666666666641</v>
      </c>
      <c r="R20" s="481">
        <v>253.01333333333281</v>
      </c>
      <c r="S20" s="481">
        <v>253.01333333333281</v>
      </c>
      <c r="T20" s="85">
        <v>7.5144959999999825</v>
      </c>
      <c r="U20" s="344"/>
      <c r="V20" s="479">
        <v>18.448888888888852</v>
      </c>
      <c r="W20" s="343"/>
      <c r="X20" s="479">
        <v>40.851111111111031</v>
      </c>
      <c r="Y20" s="480">
        <v>12.176266666666642</v>
      </c>
      <c r="Z20" s="479">
        <v>7.6870370370370216</v>
      </c>
      <c r="AA20" s="479">
        <v>10.76185185185183</v>
      </c>
      <c r="AC20" s="93"/>
    </row>
    <row r="21" spans="1:35" ht="12.75" customHeight="1" x14ac:dyDescent="0.2">
      <c r="A21" s="106" t="s">
        <v>28</v>
      </c>
      <c r="B21" s="373">
        <v>10531.16</v>
      </c>
      <c r="C21" s="374">
        <v>10561.16</v>
      </c>
      <c r="D21" s="337" t="s">
        <v>30</v>
      </c>
      <c r="E21" s="337">
        <v>0</v>
      </c>
      <c r="F21" s="341">
        <v>2</v>
      </c>
      <c r="G21" s="341">
        <v>0</v>
      </c>
      <c r="H21" s="338">
        <v>6</v>
      </c>
      <c r="I21" s="79">
        <v>0</v>
      </c>
      <c r="J21" s="79">
        <v>1.6666666666666667</v>
      </c>
      <c r="K21" s="338">
        <v>0</v>
      </c>
      <c r="L21" s="83">
        <v>30</v>
      </c>
      <c r="M21" s="342">
        <v>36.5</v>
      </c>
      <c r="N21" s="89">
        <v>1095</v>
      </c>
      <c r="O21" s="342"/>
      <c r="P21" s="83">
        <v>1095</v>
      </c>
      <c r="Q21" s="482">
        <v>0</v>
      </c>
      <c r="R21" s="482">
        <v>0</v>
      </c>
      <c r="S21" s="482">
        <v>0</v>
      </c>
      <c r="T21" s="180">
        <v>0</v>
      </c>
      <c r="U21" s="344"/>
      <c r="V21" s="479"/>
      <c r="W21" s="343"/>
      <c r="X21" s="479">
        <v>21.944444444444446</v>
      </c>
      <c r="Y21" s="180"/>
      <c r="Z21" s="479"/>
      <c r="AA21" s="479"/>
    </row>
    <row r="22" spans="1:35" ht="12.75" customHeight="1" x14ac:dyDescent="0.2">
      <c r="A22" s="106" t="s">
        <v>28</v>
      </c>
      <c r="B22" s="373">
        <v>11039.66</v>
      </c>
      <c r="C22" s="374">
        <v>11069.66</v>
      </c>
      <c r="D22" s="337" t="s">
        <v>30</v>
      </c>
      <c r="E22" s="337">
        <v>0</v>
      </c>
      <c r="F22" s="341">
        <v>2</v>
      </c>
      <c r="G22" s="341">
        <v>0</v>
      </c>
      <c r="H22" s="338">
        <v>6</v>
      </c>
      <c r="I22" s="79">
        <v>0</v>
      </c>
      <c r="J22" s="79">
        <v>1.6666666666666667</v>
      </c>
      <c r="K22" s="338">
        <v>0</v>
      </c>
      <c r="L22" s="83">
        <v>30</v>
      </c>
      <c r="M22" s="342">
        <v>36.5</v>
      </c>
      <c r="N22" s="89">
        <v>1095</v>
      </c>
      <c r="O22" s="342"/>
      <c r="P22" s="83">
        <v>1095</v>
      </c>
      <c r="Q22" s="482">
        <v>0</v>
      </c>
      <c r="R22" s="482">
        <v>0</v>
      </c>
      <c r="S22" s="482">
        <v>0</v>
      </c>
      <c r="T22" s="180">
        <v>0</v>
      </c>
      <c r="U22" s="344"/>
      <c r="V22" s="479"/>
      <c r="W22" s="343"/>
      <c r="X22" s="479">
        <v>21.944444444444446</v>
      </c>
      <c r="Y22" s="180"/>
      <c r="Z22" s="479"/>
      <c r="AA22" s="479"/>
    </row>
    <row r="23" spans="1:35" ht="12.75" customHeight="1" x14ac:dyDescent="0.2">
      <c r="A23" s="106"/>
      <c r="B23" s="373">
        <v>11069.66</v>
      </c>
      <c r="C23" s="374">
        <v>11200</v>
      </c>
      <c r="D23" s="337" t="s">
        <v>30</v>
      </c>
      <c r="E23" s="337">
        <v>0</v>
      </c>
      <c r="F23" s="341">
        <v>2</v>
      </c>
      <c r="G23" s="341">
        <v>0</v>
      </c>
      <c r="H23" s="79">
        <v>4</v>
      </c>
      <c r="I23" s="79">
        <v>0</v>
      </c>
      <c r="J23" s="79">
        <v>7.2411111111111195</v>
      </c>
      <c r="K23" s="338">
        <v>0</v>
      </c>
      <c r="L23" s="83">
        <v>130.34000000000015</v>
      </c>
      <c r="M23" s="342">
        <v>28</v>
      </c>
      <c r="N23" s="89">
        <v>3649.5200000000041</v>
      </c>
      <c r="O23" s="342"/>
      <c r="P23" s="83">
        <v>3649.5200000000041</v>
      </c>
      <c r="Q23" s="481">
        <v>0.23171555555555581</v>
      </c>
      <c r="R23" s="481">
        <v>463.43111111111165</v>
      </c>
      <c r="S23" s="481">
        <v>463.43111111111165</v>
      </c>
      <c r="T23" s="85">
        <v>13.763904000000016</v>
      </c>
      <c r="U23" s="344"/>
      <c r="V23" s="479">
        <v>33.791851851851888</v>
      </c>
      <c r="W23" s="343"/>
      <c r="X23" s="479">
        <v>74.8248148148149</v>
      </c>
      <c r="Y23" s="480">
        <v>22.302622222222247</v>
      </c>
      <c r="Z23" s="479">
        <v>14.079938271604954</v>
      </c>
      <c r="AA23" s="479">
        <v>19.711913580246936</v>
      </c>
    </row>
    <row r="24" spans="1:35" ht="12.75" customHeight="1" x14ac:dyDescent="0.2">
      <c r="B24" s="373">
        <v>11200</v>
      </c>
      <c r="C24" s="374">
        <v>11202</v>
      </c>
      <c r="D24" s="337" t="s">
        <v>15</v>
      </c>
      <c r="E24" s="337">
        <v>0</v>
      </c>
      <c r="F24" s="341">
        <v>1</v>
      </c>
      <c r="G24" s="341">
        <v>0</v>
      </c>
      <c r="H24" s="79">
        <v>2</v>
      </c>
      <c r="I24" s="79">
        <v>0</v>
      </c>
      <c r="J24" s="79">
        <v>5.5555555555555552E-2</v>
      </c>
      <c r="K24" s="338">
        <v>0</v>
      </c>
      <c r="L24" s="83">
        <v>2</v>
      </c>
      <c r="M24" s="342">
        <v>13</v>
      </c>
      <c r="N24" s="89">
        <v>26</v>
      </c>
      <c r="O24" s="342"/>
      <c r="P24" s="83">
        <v>26</v>
      </c>
      <c r="Q24" s="481">
        <v>1.6666666666666668E-3</v>
      </c>
      <c r="R24" s="481">
        <v>3.3333333333333335</v>
      </c>
      <c r="S24" s="481">
        <v>3.3333333333333335</v>
      </c>
      <c r="T24" s="85">
        <v>9.9000000000000005E-2</v>
      </c>
      <c r="U24" s="344"/>
      <c r="V24" s="479">
        <v>0.24074074074074073</v>
      </c>
      <c r="W24" s="343"/>
      <c r="X24" s="479">
        <v>0.53703703703703698</v>
      </c>
      <c r="Y24" s="480">
        <v>0.15888888888888889</v>
      </c>
      <c r="Z24" s="479">
        <v>0.10030864197530864</v>
      </c>
      <c r="AA24" s="479">
        <v>0.14043209876543208</v>
      </c>
    </row>
    <row r="25" spans="1:35" ht="12.75" customHeight="1" x14ac:dyDescent="0.2">
      <c r="B25" s="373">
        <v>11202</v>
      </c>
      <c r="C25" s="374">
        <v>11212</v>
      </c>
      <c r="D25" s="337" t="s">
        <v>15</v>
      </c>
      <c r="E25" s="337">
        <v>0</v>
      </c>
      <c r="F25" s="341">
        <v>1</v>
      </c>
      <c r="G25" s="341">
        <v>0</v>
      </c>
      <c r="H25" s="79">
        <v>2</v>
      </c>
      <c r="I25" s="79">
        <v>0</v>
      </c>
      <c r="J25" s="79">
        <v>0.27777777777777779</v>
      </c>
      <c r="K25" s="338">
        <v>0</v>
      </c>
      <c r="L25" s="83">
        <v>10</v>
      </c>
      <c r="M25" s="342">
        <v>14</v>
      </c>
      <c r="N25" s="89">
        <v>140</v>
      </c>
      <c r="O25" s="342"/>
      <c r="P25" s="83">
        <v>140</v>
      </c>
      <c r="Q25" s="481">
        <v>8.8888888888888889E-3</v>
      </c>
      <c r="R25" s="481">
        <v>17.777777777777779</v>
      </c>
      <c r="S25" s="481">
        <v>17.777777777777779</v>
      </c>
      <c r="T25" s="85">
        <v>0.52800000000000002</v>
      </c>
      <c r="U25" s="344"/>
      <c r="V25" s="479">
        <v>1.2962962962962963</v>
      </c>
      <c r="W25" s="343"/>
      <c r="X25" s="479">
        <v>2.8703703703703702</v>
      </c>
      <c r="Y25" s="480">
        <v>0.85555555555555551</v>
      </c>
      <c r="Z25" s="479">
        <v>0.54012345679012352</v>
      </c>
      <c r="AA25" s="479">
        <v>0.75617283950617287</v>
      </c>
    </row>
    <row r="26" spans="1:35" ht="12.75" customHeight="1" x14ac:dyDescent="0.2">
      <c r="B26" s="373">
        <v>11200</v>
      </c>
      <c r="C26" s="374">
        <v>11212</v>
      </c>
      <c r="D26" s="337" t="s">
        <v>16</v>
      </c>
      <c r="E26" s="337">
        <v>1</v>
      </c>
      <c r="F26" s="341">
        <v>0</v>
      </c>
      <c r="G26" s="341">
        <v>0</v>
      </c>
      <c r="H26" s="79">
        <v>1.5</v>
      </c>
      <c r="I26" s="79">
        <v>3.7022222222222227E-2</v>
      </c>
      <c r="J26" s="79">
        <v>0.1852</v>
      </c>
      <c r="K26" s="338">
        <v>0</v>
      </c>
      <c r="L26" s="83">
        <v>12</v>
      </c>
      <c r="M26" s="342">
        <v>15</v>
      </c>
      <c r="N26" s="89">
        <v>180</v>
      </c>
      <c r="O26" s="342"/>
      <c r="P26" s="83">
        <v>180</v>
      </c>
      <c r="Q26" s="481">
        <v>1.0999999999999999E-2</v>
      </c>
      <c r="R26" s="481">
        <v>22</v>
      </c>
      <c r="S26" s="481">
        <v>22</v>
      </c>
      <c r="T26" s="85">
        <v>0.65339999999999998</v>
      </c>
      <c r="U26" s="344"/>
      <c r="V26" s="479">
        <v>1.703688888888889</v>
      </c>
      <c r="W26" s="343"/>
      <c r="X26" s="479">
        <v>3.5185333333333335</v>
      </c>
      <c r="Y26" s="480">
        <v>1.1000000000000001</v>
      </c>
      <c r="Z26" s="479">
        <v>0.69444444444444442</v>
      </c>
      <c r="AA26" s="479">
        <v>0.97222222222222221</v>
      </c>
    </row>
    <row r="27" spans="1:35" ht="12.75" customHeight="1" x14ac:dyDescent="0.2">
      <c r="B27" s="373">
        <v>11212</v>
      </c>
      <c r="C27" s="374">
        <v>11250</v>
      </c>
      <c r="D27" s="337" t="s">
        <v>30</v>
      </c>
      <c r="E27" s="337">
        <v>2</v>
      </c>
      <c r="F27" s="341">
        <v>0</v>
      </c>
      <c r="G27" s="341">
        <v>0</v>
      </c>
      <c r="H27" s="79">
        <v>3</v>
      </c>
      <c r="I27" s="79">
        <v>0.23447407407407408</v>
      </c>
      <c r="J27" s="79">
        <v>1.1729333333333334</v>
      </c>
      <c r="K27" s="338">
        <v>0</v>
      </c>
      <c r="L27" s="83">
        <v>38</v>
      </c>
      <c r="M27" s="342">
        <v>30</v>
      </c>
      <c r="N27" s="89">
        <v>1140</v>
      </c>
      <c r="O27" s="342"/>
      <c r="P27" s="83">
        <v>1140</v>
      </c>
      <c r="Q27" s="481">
        <v>6.9666666666666668E-2</v>
      </c>
      <c r="R27" s="481">
        <v>139.33333333333334</v>
      </c>
      <c r="S27" s="481">
        <v>139.33333333333334</v>
      </c>
      <c r="T27" s="85">
        <v>4.1381999999999994</v>
      </c>
      <c r="U27" s="344">
        <v>30</v>
      </c>
      <c r="V27" s="479">
        <v>10.790029629629629</v>
      </c>
      <c r="W27" s="343"/>
      <c r="X27" s="479">
        <v>22.284044444444444</v>
      </c>
      <c r="Y27" s="480">
        <v>6.9666666666666668</v>
      </c>
      <c r="Z27" s="479">
        <v>4.3981481481481479</v>
      </c>
      <c r="AA27" s="479">
        <v>6.1574074074074074</v>
      </c>
    </row>
    <row r="28" spans="1:35" ht="12.75" customHeight="1" thickBot="1" x14ac:dyDescent="0.25">
      <c r="B28" s="107"/>
      <c r="C28" s="82"/>
      <c r="D28" s="103"/>
      <c r="E28" s="103"/>
      <c r="F28" s="103"/>
      <c r="G28" s="103"/>
      <c r="H28" s="79"/>
      <c r="I28" s="79"/>
      <c r="J28" s="79"/>
      <c r="K28" s="79"/>
      <c r="L28" s="83"/>
      <c r="M28" s="83"/>
      <c r="N28" s="89"/>
      <c r="O28" s="83"/>
      <c r="P28" s="83"/>
      <c r="Q28" s="86"/>
      <c r="R28" s="86"/>
      <c r="S28" s="86"/>
      <c r="T28" s="85"/>
      <c r="U28" s="255"/>
      <c r="V28" s="83"/>
      <c r="W28" s="83"/>
      <c r="X28" s="83"/>
      <c r="Y28" s="85"/>
      <c r="Z28" s="83"/>
      <c r="AA28" s="83"/>
      <c r="AF28" s="116"/>
      <c r="AG28" s="130"/>
      <c r="AH28" s="130"/>
      <c r="AI28" s="130"/>
    </row>
    <row r="29" spans="1:35" ht="12.75" customHeight="1" x14ac:dyDescent="0.2">
      <c r="B29" s="661" t="s">
        <v>128</v>
      </c>
      <c r="C29" s="662"/>
      <c r="D29" s="112"/>
      <c r="E29" s="100"/>
      <c r="F29" s="100"/>
      <c r="G29" s="100"/>
      <c r="H29" s="100"/>
      <c r="I29" s="100"/>
      <c r="J29" s="100"/>
      <c r="K29" s="100"/>
      <c r="L29" s="101"/>
      <c r="M29" s="101"/>
      <c r="N29" s="101"/>
      <c r="O29" s="101"/>
      <c r="P29" s="101"/>
      <c r="Q29" s="102"/>
      <c r="R29" s="102"/>
      <c r="S29" s="102"/>
      <c r="T29" s="101"/>
      <c r="U29" s="254"/>
      <c r="V29" s="101"/>
      <c r="W29" s="101"/>
      <c r="X29" s="101"/>
      <c r="Y29" s="101"/>
      <c r="Z29" s="101"/>
      <c r="AA29" s="101"/>
    </row>
    <row r="30" spans="1:35" ht="12.75" customHeight="1" x14ac:dyDescent="0.2">
      <c r="B30" s="375">
        <v>5</v>
      </c>
      <c r="C30" s="376">
        <v>80</v>
      </c>
      <c r="D30" s="340" t="s">
        <v>30</v>
      </c>
      <c r="E30" s="337">
        <v>0</v>
      </c>
      <c r="F30" s="337">
        <v>0</v>
      </c>
      <c r="G30" s="341">
        <v>2</v>
      </c>
      <c r="H30" s="483">
        <v>3.5</v>
      </c>
      <c r="I30" s="483">
        <v>0</v>
      </c>
      <c r="J30" s="483">
        <v>16.111111111111111</v>
      </c>
      <c r="K30" s="338">
        <v>0</v>
      </c>
      <c r="L30" s="479">
        <v>145</v>
      </c>
      <c r="M30" s="342"/>
      <c r="N30" s="482" t="s">
        <v>274</v>
      </c>
      <c r="O30" s="342">
        <v>6532.53</v>
      </c>
      <c r="P30" s="479">
        <v>6532.53</v>
      </c>
      <c r="Q30" s="481">
        <v>0.39111277777777775</v>
      </c>
      <c r="R30" s="481">
        <v>782.2255555555555</v>
      </c>
      <c r="S30" s="481">
        <v>782.2255555555555</v>
      </c>
      <c r="T30" s="480">
        <v>23.232098999999995</v>
      </c>
      <c r="U30" s="344"/>
      <c r="V30" s="479"/>
      <c r="W30" s="479">
        <v>120.97277777777778</v>
      </c>
      <c r="X30" s="479">
        <v>137.08388888888888</v>
      </c>
      <c r="Y30" s="480">
        <v>39.921016666666659</v>
      </c>
      <c r="Z30" s="479">
        <v>25.202662037037037</v>
      </c>
      <c r="AA30" s="479">
        <v>35.283726851851853</v>
      </c>
    </row>
    <row r="31" spans="1:35" ht="12.75" customHeight="1" x14ac:dyDescent="0.2">
      <c r="B31" s="375">
        <v>80</v>
      </c>
      <c r="C31" s="376">
        <v>135.34</v>
      </c>
      <c r="D31" s="340" t="s">
        <v>30</v>
      </c>
      <c r="E31" s="337">
        <v>0</v>
      </c>
      <c r="F31" s="337">
        <v>0</v>
      </c>
      <c r="G31" s="341">
        <v>1</v>
      </c>
      <c r="H31" s="483">
        <v>4</v>
      </c>
      <c r="I31" s="483">
        <v>0</v>
      </c>
      <c r="J31" s="483">
        <v>16.097222222222221</v>
      </c>
      <c r="K31" s="338">
        <v>0</v>
      </c>
      <c r="L31" s="479">
        <v>289.75</v>
      </c>
      <c r="M31" s="342"/>
      <c r="N31" s="482" t="s">
        <v>274</v>
      </c>
      <c r="O31" s="342">
        <v>2474.7800000000002</v>
      </c>
      <c r="P31" s="479">
        <v>2474.7800000000002</v>
      </c>
      <c r="Q31" s="481">
        <v>0.20187666666666668</v>
      </c>
      <c r="R31" s="481">
        <v>403.75333333333333</v>
      </c>
      <c r="S31" s="481">
        <v>403.75333333333333</v>
      </c>
      <c r="T31" s="480">
        <v>11.991474</v>
      </c>
      <c r="U31" s="344"/>
      <c r="V31" s="83"/>
      <c r="W31" s="479">
        <v>45.82925925925926</v>
      </c>
      <c r="X31" s="479">
        <v>61.926481481481481</v>
      </c>
      <c r="Y31" s="480">
        <v>15.123655555555557</v>
      </c>
      <c r="Z31" s="479">
        <v>9.5477623456790148</v>
      </c>
      <c r="AA31" s="479">
        <v>13.366867283950619</v>
      </c>
    </row>
    <row r="32" spans="1:35" ht="12.75" customHeight="1" x14ac:dyDescent="0.2">
      <c r="B32" s="377">
        <v>135.34</v>
      </c>
      <c r="C32" s="378">
        <v>291.83</v>
      </c>
      <c r="D32" s="340" t="s">
        <v>30</v>
      </c>
      <c r="E32" s="337">
        <v>0</v>
      </c>
      <c r="F32" s="337">
        <v>0</v>
      </c>
      <c r="G32" s="341">
        <v>2</v>
      </c>
      <c r="H32" s="483">
        <v>8</v>
      </c>
      <c r="I32" s="483">
        <v>0</v>
      </c>
      <c r="J32" s="483">
        <v>17.387777777777774</v>
      </c>
      <c r="K32" s="338">
        <v>0</v>
      </c>
      <c r="L32" s="479">
        <v>156.48999999999998</v>
      </c>
      <c r="M32" s="342">
        <v>35.64</v>
      </c>
      <c r="N32" s="482">
        <v>5577.3035999999993</v>
      </c>
      <c r="O32" s="342"/>
      <c r="P32" s="479">
        <v>5577.3035999999993</v>
      </c>
      <c r="Q32" s="481">
        <v>0.37940131111111108</v>
      </c>
      <c r="R32" s="481">
        <v>758.80262222222211</v>
      </c>
      <c r="S32" s="481">
        <v>758.80262222222211</v>
      </c>
      <c r="T32" s="480">
        <v>22.536437879999998</v>
      </c>
      <c r="U32" s="344"/>
      <c r="V32" s="83"/>
      <c r="W32" s="479">
        <v>103.28339999999999</v>
      </c>
      <c r="X32" s="479">
        <v>120.67117777777776</v>
      </c>
      <c r="Y32" s="480">
        <v>34.083521999999995</v>
      </c>
      <c r="Z32" s="479">
        <v>21.517374999999998</v>
      </c>
      <c r="AA32" s="479">
        <v>30.124324999999995</v>
      </c>
    </row>
    <row r="33" spans="1:27" ht="12.75" customHeight="1" x14ac:dyDescent="0.2">
      <c r="B33" s="377">
        <v>291.83</v>
      </c>
      <c r="C33" s="378">
        <v>559.47</v>
      </c>
      <c r="D33" s="340" t="s">
        <v>30</v>
      </c>
      <c r="E33" s="337">
        <v>0</v>
      </c>
      <c r="F33" s="337">
        <v>0</v>
      </c>
      <c r="G33" s="341">
        <v>2</v>
      </c>
      <c r="H33" s="483">
        <v>8</v>
      </c>
      <c r="I33" s="483">
        <v>0</v>
      </c>
      <c r="J33" s="483">
        <v>29.737777777777779</v>
      </c>
      <c r="K33" s="338">
        <v>0</v>
      </c>
      <c r="L33" s="479">
        <v>267.64000000000004</v>
      </c>
      <c r="M33" s="342">
        <v>29</v>
      </c>
      <c r="N33" s="482">
        <v>7761.5600000000013</v>
      </c>
      <c r="O33" s="342"/>
      <c r="P33" s="479">
        <v>7761.5600000000013</v>
      </c>
      <c r="Q33" s="481">
        <v>0.55014888888888902</v>
      </c>
      <c r="R33" s="481">
        <v>1100.297777777778</v>
      </c>
      <c r="S33" s="481">
        <v>1100.297777777778</v>
      </c>
      <c r="T33" s="480">
        <v>32.678844000000005</v>
      </c>
      <c r="U33" s="344"/>
      <c r="V33" s="83"/>
      <c r="W33" s="479">
        <v>143.73259259259262</v>
      </c>
      <c r="X33" s="479">
        <v>173.4703703703704</v>
      </c>
      <c r="Y33" s="480">
        <v>47.431755555555561</v>
      </c>
      <c r="Z33" s="479">
        <v>29.944290123456796</v>
      </c>
      <c r="AA33" s="479">
        <v>41.922006172839517</v>
      </c>
    </row>
    <row r="34" spans="1:27" ht="12.75" customHeight="1" x14ac:dyDescent="0.2">
      <c r="B34" s="377">
        <v>559.47</v>
      </c>
      <c r="C34" s="378">
        <v>644.77</v>
      </c>
      <c r="D34" s="340" t="s">
        <v>30</v>
      </c>
      <c r="E34" s="337">
        <v>0</v>
      </c>
      <c r="F34" s="337">
        <v>0</v>
      </c>
      <c r="G34" s="341">
        <v>2</v>
      </c>
      <c r="H34" s="483">
        <v>8</v>
      </c>
      <c r="I34" s="483">
        <v>0</v>
      </c>
      <c r="J34" s="483">
        <v>9.4777777777777725</v>
      </c>
      <c r="K34" s="338">
        <v>0</v>
      </c>
      <c r="L34" s="479">
        <v>85.299999999999955</v>
      </c>
      <c r="M34" s="342">
        <v>26.5</v>
      </c>
      <c r="N34" s="482">
        <v>2260.4499999999989</v>
      </c>
      <c r="O34" s="342"/>
      <c r="P34" s="479">
        <v>2260.4499999999989</v>
      </c>
      <c r="Q34" s="481">
        <v>0.16349166666666659</v>
      </c>
      <c r="R34" s="481">
        <v>326.98333333333318</v>
      </c>
      <c r="S34" s="481">
        <v>326.98333333333318</v>
      </c>
      <c r="T34" s="480">
        <v>9.7114049999999956</v>
      </c>
      <c r="U34" s="344"/>
      <c r="V34" s="83"/>
      <c r="W34" s="479">
        <v>41.860185185185166</v>
      </c>
      <c r="X34" s="479">
        <v>51.337962962962941</v>
      </c>
      <c r="Y34" s="480">
        <v>13.813861111111104</v>
      </c>
      <c r="Z34" s="479">
        <v>8.7208719135802433</v>
      </c>
      <c r="AA34" s="479">
        <v>12.20922067901234</v>
      </c>
    </row>
    <row r="35" spans="1:27" ht="12.75" customHeight="1" x14ac:dyDescent="0.2">
      <c r="B35" s="377">
        <v>644.77</v>
      </c>
      <c r="C35" s="378">
        <v>874.86</v>
      </c>
      <c r="D35" s="340" t="s">
        <v>30</v>
      </c>
      <c r="E35" s="337">
        <v>0</v>
      </c>
      <c r="F35" s="337">
        <v>0</v>
      </c>
      <c r="G35" s="341">
        <v>2</v>
      </c>
      <c r="H35" s="483">
        <v>8</v>
      </c>
      <c r="I35" s="483">
        <v>0</v>
      </c>
      <c r="J35" s="483">
        <v>25.565555555555559</v>
      </c>
      <c r="K35" s="338">
        <v>0</v>
      </c>
      <c r="L35" s="479">
        <v>230.09000000000003</v>
      </c>
      <c r="M35" s="342">
        <v>24</v>
      </c>
      <c r="N35" s="482">
        <v>5522.1600000000008</v>
      </c>
      <c r="O35" s="342"/>
      <c r="P35" s="479">
        <v>5522.1600000000008</v>
      </c>
      <c r="Q35" s="481">
        <v>0.40904888888888896</v>
      </c>
      <c r="R35" s="481">
        <v>818.09777777777788</v>
      </c>
      <c r="S35" s="481">
        <v>818.09777777777788</v>
      </c>
      <c r="T35" s="480">
        <v>24.297504</v>
      </c>
      <c r="U35" s="344"/>
      <c r="V35" s="83"/>
      <c r="W35" s="479">
        <v>102.26222222222223</v>
      </c>
      <c r="X35" s="479">
        <v>127.8277777777778</v>
      </c>
      <c r="Y35" s="480">
        <v>33.746533333333339</v>
      </c>
      <c r="Z35" s="479">
        <v>21.304629629629634</v>
      </c>
      <c r="AA35" s="479">
        <v>29.826481481481483</v>
      </c>
    </row>
    <row r="36" spans="1:27" ht="12.75" customHeight="1" x14ac:dyDescent="0.2">
      <c r="B36" s="377">
        <v>874.86</v>
      </c>
      <c r="C36" s="378">
        <v>960.16</v>
      </c>
      <c r="D36" s="340" t="s">
        <v>30</v>
      </c>
      <c r="E36" s="337">
        <v>0</v>
      </c>
      <c r="F36" s="337">
        <v>0</v>
      </c>
      <c r="G36" s="341">
        <v>2</v>
      </c>
      <c r="H36" s="483">
        <v>8</v>
      </c>
      <c r="I36" s="483">
        <v>0</v>
      </c>
      <c r="J36" s="483">
        <v>9.4777777777777725</v>
      </c>
      <c r="K36" s="338">
        <v>0</v>
      </c>
      <c r="L36" s="479">
        <v>85.299999999999955</v>
      </c>
      <c r="M36" s="342">
        <v>26.5</v>
      </c>
      <c r="N36" s="482">
        <v>2260.4499999999989</v>
      </c>
      <c r="O36" s="342"/>
      <c r="P36" s="479">
        <v>2260.4499999999989</v>
      </c>
      <c r="Q36" s="481">
        <v>0.16349166666666659</v>
      </c>
      <c r="R36" s="481">
        <v>326.98333333333318</v>
      </c>
      <c r="S36" s="481">
        <v>326.98333333333318</v>
      </c>
      <c r="T36" s="480">
        <v>9.7114049999999956</v>
      </c>
      <c r="U36" s="344"/>
      <c r="V36" s="83"/>
      <c r="W36" s="479">
        <v>41.860185185185166</v>
      </c>
      <c r="X36" s="479">
        <v>51.337962962962941</v>
      </c>
      <c r="Y36" s="480">
        <v>13.813861111111104</v>
      </c>
      <c r="Z36" s="479">
        <v>8.7208719135802433</v>
      </c>
      <c r="AA36" s="479">
        <v>12.20922067901234</v>
      </c>
    </row>
    <row r="37" spans="1:27" ht="12.75" customHeight="1" x14ac:dyDescent="0.2">
      <c r="A37" s="106"/>
      <c r="B37" s="377">
        <v>960.16</v>
      </c>
      <c r="C37" s="378">
        <v>1197.95</v>
      </c>
      <c r="D37" s="340" t="s">
        <v>30</v>
      </c>
      <c r="E37" s="337">
        <v>0</v>
      </c>
      <c r="F37" s="337">
        <v>0</v>
      </c>
      <c r="G37" s="341">
        <v>2</v>
      </c>
      <c r="H37" s="483">
        <v>8</v>
      </c>
      <c r="I37" s="483">
        <v>0</v>
      </c>
      <c r="J37" s="483">
        <v>26.42111111111112</v>
      </c>
      <c r="K37" s="338">
        <v>0</v>
      </c>
      <c r="L37" s="479">
        <v>237.79000000000008</v>
      </c>
      <c r="M37" s="342">
        <v>29</v>
      </c>
      <c r="N37" s="482">
        <v>6895.9100000000026</v>
      </c>
      <c r="O37" s="342"/>
      <c r="P37" s="479">
        <v>6895.9100000000026</v>
      </c>
      <c r="Q37" s="481">
        <v>0.48879055555555573</v>
      </c>
      <c r="R37" s="481">
        <v>977.58111111111145</v>
      </c>
      <c r="S37" s="481">
        <v>977.58111111111145</v>
      </c>
      <c r="T37" s="480">
        <v>29.03415900000001</v>
      </c>
      <c r="U37" s="344"/>
      <c r="V37" s="83"/>
      <c r="W37" s="479">
        <v>127.70203703703709</v>
      </c>
      <c r="X37" s="479">
        <v>154.1231481481482</v>
      </c>
      <c r="Y37" s="480">
        <v>42.14167222222224</v>
      </c>
      <c r="Z37" s="479">
        <v>26.604591049382726</v>
      </c>
      <c r="AA37" s="479">
        <v>37.246427469135817</v>
      </c>
    </row>
    <row r="38" spans="1:27" ht="12.75" customHeight="1" x14ac:dyDescent="0.2">
      <c r="A38" s="106"/>
      <c r="B38" s="377">
        <v>1197.95</v>
      </c>
      <c r="C38" s="378">
        <v>1290.51</v>
      </c>
      <c r="D38" s="379" t="s">
        <v>15</v>
      </c>
      <c r="E38" s="337">
        <v>0</v>
      </c>
      <c r="F38" s="337">
        <v>0</v>
      </c>
      <c r="G38" s="341">
        <v>1</v>
      </c>
      <c r="H38" s="483">
        <v>4</v>
      </c>
      <c r="I38" s="483">
        <v>0</v>
      </c>
      <c r="J38" s="483">
        <v>5.1422222222222196</v>
      </c>
      <c r="K38" s="338">
        <v>0</v>
      </c>
      <c r="L38" s="479">
        <v>92.559999999999945</v>
      </c>
      <c r="M38" s="342">
        <v>12</v>
      </c>
      <c r="N38" s="482">
        <v>1110.7199999999993</v>
      </c>
      <c r="O38" s="342"/>
      <c r="P38" s="479">
        <v>1110.7199999999993</v>
      </c>
      <c r="Q38" s="481">
        <v>8.2275555555555518E-2</v>
      </c>
      <c r="R38" s="481">
        <v>164.55111111111103</v>
      </c>
      <c r="S38" s="481">
        <v>164.55111111111103</v>
      </c>
      <c r="T38" s="480">
        <v>4.8871679999999982</v>
      </c>
      <c r="U38" s="344"/>
      <c r="V38" s="83"/>
      <c r="W38" s="479">
        <v>20.568888888888878</v>
      </c>
      <c r="X38" s="479">
        <v>25.711111111111098</v>
      </c>
      <c r="Y38" s="480">
        <v>6.7877333333333292</v>
      </c>
      <c r="Z38" s="479">
        <v>4.285185185185183</v>
      </c>
      <c r="AA38" s="479">
        <v>5.9992592592592553</v>
      </c>
    </row>
    <row r="39" spans="1:27" ht="12.75" customHeight="1" x14ac:dyDescent="0.2">
      <c r="B39" s="377">
        <v>1197.95</v>
      </c>
      <c r="C39" s="378">
        <v>1297.8399999999999</v>
      </c>
      <c r="D39" s="379" t="s">
        <v>16</v>
      </c>
      <c r="E39" s="337">
        <v>0</v>
      </c>
      <c r="F39" s="337">
        <v>0</v>
      </c>
      <c r="G39" s="341">
        <v>1</v>
      </c>
      <c r="H39" s="483">
        <v>4</v>
      </c>
      <c r="I39" s="483">
        <v>0</v>
      </c>
      <c r="J39" s="483">
        <v>5.5494444444444371</v>
      </c>
      <c r="K39" s="338">
        <v>0</v>
      </c>
      <c r="L39" s="479">
        <v>99.889999999999873</v>
      </c>
      <c r="M39" s="342">
        <v>14.5</v>
      </c>
      <c r="N39" s="482">
        <v>1448.4049999999982</v>
      </c>
      <c r="O39" s="342"/>
      <c r="P39" s="479">
        <v>1448.4049999999982</v>
      </c>
      <c r="Q39" s="481">
        <v>0.1026647222222221</v>
      </c>
      <c r="R39" s="481">
        <v>205.32944444444419</v>
      </c>
      <c r="S39" s="481">
        <v>205.32944444444419</v>
      </c>
      <c r="T39" s="480">
        <v>6.0982844999999921</v>
      </c>
      <c r="U39" s="344"/>
      <c r="V39" s="83"/>
      <c r="W39" s="479">
        <v>26.822314814814781</v>
      </c>
      <c r="X39" s="479">
        <v>32.371759259259221</v>
      </c>
      <c r="Y39" s="480">
        <v>8.8513638888888764</v>
      </c>
      <c r="Z39" s="479">
        <v>5.5879822530864134</v>
      </c>
      <c r="AA39" s="479">
        <v>7.8231751543209773</v>
      </c>
    </row>
    <row r="40" spans="1:27" ht="12.75" customHeight="1" x14ac:dyDescent="0.2">
      <c r="B40" s="377">
        <v>1290.51</v>
      </c>
      <c r="C40" s="378">
        <v>1382.71</v>
      </c>
      <c r="D40" s="379" t="s">
        <v>15</v>
      </c>
      <c r="E40" s="337">
        <v>0</v>
      </c>
      <c r="F40" s="337">
        <v>0</v>
      </c>
      <c r="G40" s="341">
        <v>1</v>
      </c>
      <c r="H40" s="483">
        <v>4</v>
      </c>
      <c r="I40" s="483">
        <v>0</v>
      </c>
      <c r="J40" s="483">
        <v>5.1222222222222245</v>
      </c>
      <c r="K40" s="338">
        <v>0</v>
      </c>
      <c r="L40" s="479">
        <v>92.200000000000045</v>
      </c>
      <c r="M40" s="342">
        <v>15.6</v>
      </c>
      <c r="N40" s="482">
        <v>1438.3200000000006</v>
      </c>
      <c r="O40" s="342"/>
      <c r="P40" s="479">
        <v>1438.3200000000006</v>
      </c>
      <c r="Q40" s="481">
        <v>0.1003955555555556</v>
      </c>
      <c r="R40" s="481">
        <v>200.79111111111121</v>
      </c>
      <c r="S40" s="481">
        <v>200.79111111111121</v>
      </c>
      <c r="T40" s="480">
        <v>5.9634960000000037</v>
      </c>
      <c r="U40" s="344"/>
      <c r="V40" s="83"/>
      <c r="W40" s="479">
        <v>26.635555555555566</v>
      </c>
      <c r="X40" s="479">
        <v>31.75777777777779</v>
      </c>
      <c r="Y40" s="480">
        <v>8.7897333333333361</v>
      </c>
      <c r="Z40" s="479">
        <v>5.5490740740740767</v>
      </c>
      <c r="AA40" s="479">
        <v>7.7687037037037081</v>
      </c>
    </row>
    <row r="41" spans="1:27" ht="12.75" customHeight="1" x14ac:dyDescent="0.2">
      <c r="B41" s="377">
        <v>1297.8399999999999</v>
      </c>
      <c r="C41" s="378">
        <v>1350.71</v>
      </c>
      <c r="D41" s="379" t="s">
        <v>16</v>
      </c>
      <c r="E41" s="337">
        <v>0</v>
      </c>
      <c r="F41" s="337">
        <v>0</v>
      </c>
      <c r="G41" s="341">
        <v>1</v>
      </c>
      <c r="H41" s="483">
        <v>4</v>
      </c>
      <c r="I41" s="483">
        <v>0</v>
      </c>
      <c r="J41" s="483">
        <v>2.9372222222222288</v>
      </c>
      <c r="K41" s="338">
        <v>0</v>
      </c>
      <c r="L41" s="479">
        <v>52.870000000000118</v>
      </c>
      <c r="M41" s="342">
        <v>12</v>
      </c>
      <c r="N41" s="482">
        <v>634.44000000000142</v>
      </c>
      <c r="O41" s="342"/>
      <c r="P41" s="479">
        <v>634.44000000000142</v>
      </c>
      <c r="Q41" s="481">
        <v>4.6995555555555658E-2</v>
      </c>
      <c r="R41" s="481">
        <v>93.991111111111323</v>
      </c>
      <c r="S41" s="481">
        <v>93.991111111111323</v>
      </c>
      <c r="T41" s="480">
        <v>2.7915360000000065</v>
      </c>
      <c r="U41" s="344"/>
      <c r="V41" s="83"/>
      <c r="W41" s="479">
        <v>11.748888888888915</v>
      </c>
      <c r="X41" s="479">
        <v>14.686111111111144</v>
      </c>
      <c r="Y41" s="480">
        <v>3.8771333333333424</v>
      </c>
      <c r="Z41" s="479">
        <v>2.4476851851851906</v>
      </c>
      <c r="AA41" s="479">
        <v>3.4267592592592671</v>
      </c>
    </row>
    <row r="42" spans="1:27" ht="12.75" customHeight="1" x14ac:dyDescent="0.2">
      <c r="B42" s="377">
        <v>1350.71</v>
      </c>
      <c r="C42" s="378">
        <v>1392.04</v>
      </c>
      <c r="D42" s="379" t="s">
        <v>16</v>
      </c>
      <c r="E42" s="337">
        <v>0</v>
      </c>
      <c r="F42" s="337">
        <v>0</v>
      </c>
      <c r="G42" s="341">
        <v>1</v>
      </c>
      <c r="H42" s="483">
        <v>4</v>
      </c>
      <c r="I42" s="483">
        <v>0</v>
      </c>
      <c r="J42" s="483">
        <v>2.2961111111111072</v>
      </c>
      <c r="K42" s="338">
        <v>0</v>
      </c>
      <c r="L42" s="479">
        <v>41.329999999999927</v>
      </c>
      <c r="M42" s="342">
        <v>13.4</v>
      </c>
      <c r="N42" s="482">
        <v>553.82199999999909</v>
      </c>
      <c r="O42" s="342"/>
      <c r="P42" s="479">
        <v>553.82199999999909</v>
      </c>
      <c r="Q42" s="481">
        <v>3.9952333333333263E-2</v>
      </c>
      <c r="R42" s="481">
        <v>79.904666666666529</v>
      </c>
      <c r="S42" s="481">
        <v>79.904666666666529</v>
      </c>
      <c r="T42" s="480">
        <v>2.3731685999999965</v>
      </c>
      <c r="U42" s="344"/>
      <c r="V42" s="83"/>
      <c r="W42" s="479">
        <v>10.255962962962947</v>
      </c>
      <c r="X42" s="479">
        <v>12.552074074074055</v>
      </c>
      <c r="Y42" s="480">
        <v>3.3844677777777723</v>
      </c>
      <c r="Z42" s="479">
        <v>2.1366589506172806</v>
      </c>
      <c r="AA42" s="479">
        <v>2.9913225308641924</v>
      </c>
    </row>
    <row r="43" spans="1:27" ht="12.75" customHeight="1" x14ac:dyDescent="0.2">
      <c r="B43" s="377">
        <v>1382.71</v>
      </c>
      <c r="C43" s="378">
        <v>1428.41</v>
      </c>
      <c r="D43" s="379" t="s">
        <v>15</v>
      </c>
      <c r="E43" s="337">
        <v>0</v>
      </c>
      <c r="F43" s="337">
        <v>0</v>
      </c>
      <c r="G43" s="341">
        <v>1</v>
      </c>
      <c r="H43" s="483">
        <v>4</v>
      </c>
      <c r="I43" s="483">
        <v>0</v>
      </c>
      <c r="J43" s="483">
        <v>2.5388888888888914</v>
      </c>
      <c r="K43" s="338">
        <v>0</v>
      </c>
      <c r="L43" s="479">
        <v>45.700000000000045</v>
      </c>
      <c r="M43" s="342">
        <v>19.2</v>
      </c>
      <c r="N43" s="482">
        <v>877.44000000000085</v>
      </c>
      <c r="O43" s="342"/>
      <c r="P43" s="479">
        <v>877.44000000000085</v>
      </c>
      <c r="Q43" s="481">
        <v>5.8902222222222286E-2</v>
      </c>
      <c r="R43" s="481">
        <v>117.80444444444457</v>
      </c>
      <c r="S43" s="481">
        <v>117.80444444444457</v>
      </c>
      <c r="T43" s="480">
        <v>3.498792000000003</v>
      </c>
      <c r="U43" s="344"/>
      <c r="V43" s="83"/>
      <c r="W43" s="479">
        <v>16.248888888888903</v>
      </c>
      <c r="X43" s="479">
        <v>18.787777777777794</v>
      </c>
      <c r="Y43" s="480">
        <v>5.3621333333333387</v>
      </c>
      <c r="Z43" s="479">
        <v>3.3851851851851884</v>
      </c>
      <c r="AA43" s="479">
        <v>4.7392592592592644</v>
      </c>
    </row>
    <row r="44" spans="1:27" ht="12.75" customHeight="1" x14ac:dyDescent="0.2">
      <c r="B44" s="377">
        <v>1392.04</v>
      </c>
      <c r="C44" s="378">
        <v>1428.41</v>
      </c>
      <c r="D44" s="379" t="s">
        <v>16</v>
      </c>
      <c r="E44" s="337">
        <v>0</v>
      </c>
      <c r="F44" s="337">
        <v>0</v>
      </c>
      <c r="G44" s="341">
        <v>1</v>
      </c>
      <c r="H44" s="483">
        <v>4</v>
      </c>
      <c r="I44" s="483">
        <v>0</v>
      </c>
      <c r="J44" s="483">
        <v>2.0205555555555623</v>
      </c>
      <c r="K44" s="338">
        <v>0</v>
      </c>
      <c r="L44" s="479">
        <v>36.370000000000118</v>
      </c>
      <c r="M44" s="342">
        <v>17.57</v>
      </c>
      <c r="N44" s="482">
        <v>639.02090000000214</v>
      </c>
      <c r="O44" s="342"/>
      <c r="P44" s="479">
        <v>639.02090000000214</v>
      </c>
      <c r="Q44" s="481">
        <v>4.3583383333333482E-2</v>
      </c>
      <c r="R44" s="481">
        <v>87.166766666666959</v>
      </c>
      <c r="S44" s="481">
        <v>87.166766666666959</v>
      </c>
      <c r="T44" s="480">
        <v>2.5888529700000085</v>
      </c>
      <c r="U44" s="344"/>
      <c r="V44" s="83"/>
      <c r="W44" s="479">
        <v>11.833720370370409</v>
      </c>
      <c r="X44" s="479">
        <v>13.854275925925972</v>
      </c>
      <c r="Y44" s="480">
        <v>3.9051277222222351</v>
      </c>
      <c r="Z44" s="479">
        <v>2.4653584104938355</v>
      </c>
      <c r="AA44" s="479">
        <v>3.4515017746913692</v>
      </c>
    </row>
    <row r="45" spans="1:27" ht="12.75" customHeight="1" x14ac:dyDescent="0.2">
      <c r="A45" s="106"/>
      <c r="B45" s="377">
        <v>1428.41</v>
      </c>
      <c r="C45" s="378">
        <v>1593.93</v>
      </c>
      <c r="D45" s="340" t="s">
        <v>30</v>
      </c>
      <c r="E45" s="337">
        <v>1</v>
      </c>
      <c r="F45" s="337">
        <v>0</v>
      </c>
      <c r="G45" s="341">
        <v>0</v>
      </c>
      <c r="H45" s="483">
        <v>1.5</v>
      </c>
      <c r="I45" s="483">
        <v>3.2236566666666673</v>
      </c>
      <c r="J45" s="483">
        <v>8.0436990000000019</v>
      </c>
      <c r="K45" s="338">
        <v>0</v>
      </c>
      <c r="L45" s="479">
        <v>521.19000000000005</v>
      </c>
      <c r="M45" s="342"/>
      <c r="N45" s="482" t="s">
        <v>274</v>
      </c>
      <c r="O45" s="342">
        <v>14101.1</v>
      </c>
      <c r="P45" s="479">
        <v>14101.1</v>
      </c>
      <c r="Q45" s="481">
        <v>0.82682694444444449</v>
      </c>
      <c r="R45" s="481">
        <v>1653.653888888889</v>
      </c>
      <c r="S45" s="481">
        <v>1653.653888888889</v>
      </c>
      <c r="T45" s="480">
        <v>49.1135205</v>
      </c>
      <c r="U45" s="344"/>
      <c r="V45" s="83"/>
      <c r="W45" s="479">
        <v>264.35513814814817</v>
      </c>
      <c r="X45" s="479">
        <v>269.1751804814815</v>
      </c>
      <c r="Y45" s="480">
        <v>86.173388888888894</v>
      </c>
      <c r="Z45" s="479">
        <v>54.402391975308646</v>
      </c>
      <c r="AA45" s="479">
        <v>76.16334876543209</v>
      </c>
    </row>
    <row r="46" spans="1:27" ht="12.75" customHeight="1" thickBot="1" x14ac:dyDescent="0.25">
      <c r="B46" s="131"/>
      <c r="C46" s="132"/>
      <c r="D46" s="133"/>
      <c r="E46" s="103"/>
      <c r="F46" s="103"/>
      <c r="G46" s="103"/>
      <c r="H46" s="79"/>
      <c r="I46" s="79"/>
      <c r="J46" s="79"/>
      <c r="K46" s="79"/>
      <c r="L46" s="83"/>
      <c r="M46" s="83"/>
      <c r="N46" s="89"/>
      <c r="O46" s="83"/>
      <c r="P46" s="83"/>
      <c r="Q46" s="86"/>
      <c r="R46" s="86"/>
      <c r="S46" s="86"/>
      <c r="T46" s="85"/>
      <c r="U46" s="255"/>
      <c r="V46" s="83"/>
      <c r="W46" s="83"/>
      <c r="X46" s="83"/>
      <c r="Y46" s="85"/>
      <c r="Z46" s="85"/>
      <c r="AA46" s="83"/>
    </row>
    <row r="47" spans="1:27" s="94" customFormat="1" ht="12.75" customHeight="1" x14ac:dyDescent="0.2">
      <c r="B47" s="725" t="s">
        <v>260</v>
      </c>
      <c r="C47" s="726"/>
      <c r="D47" s="602" t="s">
        <v>237</v>
      </c>
      <c r="E47" s="603"/>
      <c r="F47" s="603"/>
      <c r="G47" s="603"/>
      <c r="H47" s="603"/>
      <c r="I47" s="603"/>
      <c r="J47" s="603"/>
      <c r="K47" s="603"/>
      <c r="L47" s="603"/>
      <c r="M47" s="603"/>
      <c r="N47" s="603"/>
      <c r="O47" s="603"/>
      <c r="P47" s="604"/>
      <c r="Q47" s="754">
        <f>ROUND(SUM(Q19:Q45),0)</f>
        <v>5</v>
      </c>
      <c r="R47" s="754">
        <f>ROUND(SUM(R19:R45),0)</f>
        <v>9033</v>
      </c>
      <c r="S47" s="754">
        <f>ROUND(SUM(S19:S45),0)</f>
        <v>9033</v>
      </c>
      <c r="T47" s="754">
        <f>ROUND(SUM(T19:T45),0)</f>
        <v>268</v>
      </c>
      <c r="U47" s="754">
        <f t="shared" ref="U47:V47" si="0">ROUND(SUM(U19:U45),0)</f>
        <v>59</v>
      </c>
      <c r="V47" s="754">
        <f t="shared" si="0"/>
        <v>69</v>
      </c>
      <c r="W47" s="754">
        <f t="shared" ref="W47" si="1">ROUND(SUM(W19:W45),0)</f>
        <v>1116</v>
      </c>
      <c r="X47" s="754">
        <f>ROUND(SUM(X19:X45),0)</f>
        <v>1491</v>
      </c>
      <c r="Y47" s="754">
        <f>ROUND(SUM(Y19:Y45),0)</f>
        <v>413</v>
      </c>
      <c r="Z47" s="754">
        <f>ROUND(SUM(Z19:Z45),0)</f>
        <v>260</v>
      </c>
      <c r="AA47" s="754">
        <f>ROUND(SUM(AA19:AA45),0)</f>
        <v>365</v>
      </c>
    </row>
    <row r="48" spans="1:27" s="94" customFormat="1" ht="12.75" customHeight="1" thickBot="1" x14ac:dyDescent="0.25">
      <c r="B48" s="727"/>
      <c r="C48" s="728"/>
      <c r="D48" s="605"/>
      <c r="E48" s="606"/>
      <c r="F48" s="606"/>
      <c r="G48" s="606"/>
      <c r="H48" s="606"/>
      <c r="I48" s="606"/>
      <c r="J48" s="606"/>
      <c r="K48" s="606"/>
      <c r="L48" s="606"/>
      <c r="M48" s="606"/>
      <c r="N48" s="606"/>
      <c r="O48" s="606"/>
      <c r="P48" s="607"/>
      <c r="Q48" s="758"/>
      <c r="R48" s="758"/>
      <c r="S48" s="758"/>
      <c r="T48" s="611"/>
      <c r="U48" s="611"/>
      <c r="V48" s="611"/>
      <c r="W48" s="611"/>
      <c r="X48" s="611"/>
      <c r="Y48" s="611"/>
      <c r="Z48" s="758"/>
      <c r="AA48" s="611"/>
    </row>
    <row r="49" spans="13:25" x14ac:dyDescent="0.2"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2" spans="13:25" ht="15" x14ac:dyDescent="0.25">
      <c r="P52" s="184">
        <f>ROUNDUP(SUM(P19:P45),0)</f>
        <v>69697</v>
      </c>
      <c r="Q52" s="179" t="s">
        <v>172</v>
      </c>
      <c r="R52" s="179"/>
      <c r="S52" s="179"/>
    </row>
  </sheetData>
  <customSheetViews>
    <customSheetView guid="{221143F3-72E3-4C4A-9811-2F859DD19779}" fitToPage="1">
      <pane ySplit="13" topLeftCell="A14" activePane="bottomLeft" state="frozen"/>
      <selection pane="bottomLeft" activeCell="O48" sqref="O48"/>
      <pageMargins left="0.22" right="0.22" top="0.22" bottom="0.22" header="0" footer="0"/>
      <printOptions horizontalCentered="1" verticalCentered="1"/>
      <pageSetup paperSize="17" scale="85" orientation="landscape" r:id="rId1"/>
      <headerFooter alignWithMargins="0">
        <oddFooter>&amp;L&amp;D&amp;R&amp;F, &amp;A</oddFooter>
      </headerFooter>
    </customSheetView>
  </customSheetViews>
  <mergeCells count="66">
    <mergeCell ref="AK12:AM12"/>
    <mergeCell ref="AE13:AG13"/>
    <mergeCell ref="AH13:AJ13"/>
    <mergeCell ref="AK13:AM13"/>
    <mergeCell ref="AE10:AG10"/>
    <mergeCell ref="AH10:AJ10"/>
    <mergeCell ref="AK10:AM10"/>
    <mergeCell ref="AE11:AG11"/>
    <mergeCell ref="AH11:AJ11"/>
    <mergeCell ref="AK11:AM11"/>
    <mergeCell ref="X47:X48"/>
    <mergeCell ref="Y47:Y48"/>
    <mergeCell ref="Z47:Z48"/>
    <mergeCell ref="AC7:AM7"/>
    <mergeCell ref="AC8:AC9"/>
    <mergeCell ref="AD8:AD9"/>
    <mergeCell ref="AE8:AG8"/>
    <mergeCell ref="AH8:AJ8"/>
    <mergeCell ref="AK8:AM8"/>
    <mergeCell ref="AE9:AG9"/>
    <mergeCell ref="AH9:AJ9"/>
    <mergeCell ref="AK9:AM9"/>
    <mergeCell ref="AB10:AB11"/>
    <mergeCell ref="AB12:AB13"/>
    <mergeCell ref="AE12:AG12"/>
    <mergeCell ref="AH12:AJ12"/>
    <mergeCell ref="AA47:AA48"/>
    <mergeCell ref="V6:W6"/>
    <mergeCell ref="Z6:AA6"/>
    <mergeCell ref="U47:U48"/>
    <mergeCell ref="B6:C16"/>
    <mergeCell ref="D6:D17"/>
    <mergeCell ref="E6:E17"/>
    <mergeCell ref="F6:F17"/>
    <mergeCell ref="G6:G17"/>
    <mergeCell ref="H6:H16"/>
    <mergeCell ref="I6:I16"/>
    <mergeCell ref="J6:J16"/>
    <mergeCell ref="K6:K16"/>
    <mergeCell ref="L6:L16"/>
    <mergeCell ref="M6:M16"/>
    <mergeCell ref="N6:N16"/>
    <mergeCell ref="Q47:Q48"/>
    <mergeCell ref="B18:C18"/>
    <mergeCell ref="T7:T16"/>
    <mergeCell ref="Q7:Q16"/>
    <mergeCell ref="O6:O16"/>
    <mergeCell ref="P6:P16"/>
    <mergeCell ref="B29:C29"/>
    <mergeCell ref="B47:C48"/>
    <mergeCell ref="D47:P48"/>
    <mergeCell ref="AA7:AA16"/>
    <mergeCell ref="V7:V16"/>
    <mergeCell ref="W7:W16"/>
    <mergeCell ref="X7:X16"/>
    <mergeCell ref="Y7:Y16"/>
    <mergeCell ref="Z7:Z16"/>
    <mergeCell ref="W47:W48"/>
    <mergeCell ref="V47:V48"/>
    <mergeCell ref="R6:T6"/>
    <mergeCell ref="R7:R16"/>
    <mergeCell ref="S7:S16"/>
    <mergeCell ref="R47:R48"/>
    <mergeCell ref="S47:S48"/>
    <mergeCell ref="U7:U16"/>
    <mergeCell ref="T47:T48"/>
  </mergeCells>
  <printOptions horizontalCentered="1" verticalCentered="1"/>
  <pageMargins left="0.22" right="0.22" top="0.22" bottom="0.22" header="0" footer="0"/>
  <pageSetup paperSize="17" scale="66" orientation="landscape" r:id="rId2"/>
  <headerFooter scaleWithDoc="0" alignWithMargins="0">
    <oddHeader>&amp;LHAN-75-14.39</oddHeader>
    <oddFooter>&amp;R&amp;A</oddFooter>
  </headerFooter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8"/>
  <sheetViews>
    <sheetView view="pageBreakPreview" zoomScale="90" zoomScaleNormal="90" zoomScaleSheetLayoutView="90" workbookViewId="0">
      <pane ySplit="17" topLeftCell="A18" activePane="bottomLeft" state="frozen"/>
      <selection pane="bottomLeft" activeCell="AL34" sqref="AL34"/>
    </sheetView>
  </sheetViews>
  <sheetFormatPr defaultRowHeight="12.75" x14ac:dyDescent="0.2"/>
  <cols>
    <col min="1" max="1" width="10.42578125" style="81" bestFit="1" customWidth="1"/>
    <col min="2" max="3" width="17.7109375" style="95" customWidth="1"/>
    <col min="4" max="4" width="8.5703125" style="81" customWidth="1"/>
    <col min="5" max="7" width="9.7109375" style="81" hidden="1" customWidth="1"/>
    <col min="8" max="10" width="8.5703125" style="81" hidden="1" customWidth="1"/>
    <col min="11" max="11" width="9.28515625" style="87" customWidth="1"/>
    <col min="12" max="13" width="5.5703125" style="87" bestFit="1" customWidth="1"/>
    <col min="14" max="14" width="7.5703125" style="94" bestFit="1" customWidth="1"/>
    <col min="15" max="17" width="6.5703125" style="94" bestFit="1" customWidth="1"/>
    <col min="18" max="18" width="7.5703125" style="94" bestFit="1" customWidth="1"/>
    <col min="19" max="19" width="6.5703125" style="94" bestFit="1" customWidth="1"/>
    <col min="20" max="21" width="8.140625" style="94" bestFit="1" customWidth="1"/>
    <col min="22" max="23" width="4.5703125" style="87" bestFit="1" customWidth="1"/>
    <col min="24" max="24" width="9.140625" style="88" bestFit="1" customWidth="1"/>
    <col min="25" max="25" width="8.140625" style="88" bestFit="1" customWidth="1"/>
    <col min="26" max="26" width="9.140625" style="88" bestFit="1" customWidth="1"/>
    <col min="27" max="27" width="8.140625" style="88" bestFit="1" customWidth="1"/>
    <col min="28" max="29" width="6.5703125" style="88" bestFit="1" customWidth="1"/>
    <col min="30" max="30" width="8.140625" style="87" bestFit="1" customWidth="1"/>
    <col min="31" max="31" width="8.85546875" style="87" customWidth="1"/>
    <col min="32" max="32" width="9.7109375" style="87" customWidth="1"/>
    <col min="33" max="33" width="9.140625" style="87" bestFit="1" customWidth="1"/>
    <col min="34" max="34" width="8.140625" style="87" bestFit="1" customWidth="1"/>
    <col min="35" max="35" width="8.140625" style="87" customWidth="1"/>
    <col min="36" max="36" width="10.7109375" style="87" customWidth="1"/>
    <col min="37" max="37" width="9.140625" style="81"/>
    <col min="38" max="38" width="11.85546875" style="81" bestFit="1" customWidth="1"/>
    <col min="39" max="39" width="9.85546875" style="81" bestFit="1" customWidth="1"/>
    <col min="40" max="47" width="9.7109375" style="81" customWidth="1"/>
    <col min="48" max="16384" width="9.140625" style="81"/>
  </cols>
  <sheetData>
    <row r="1" spans="1:48" s="90" customFormat="1" ht="13.5" thickBot="1" x14ac:dyDescent="0.25">
      <c r="B1" s="97"/>
      <c r="C1" s="97"/>
      <c r="K1" s="88"/>
      <c r="L1" s="88"/>
      <c r="M1" s="88"/>
      <c r="N1" s="105"/>
      <c r="O1" s="105"/>
      <c r="P1" s="105"/>
      <c r="Q1" s="105"/>
      <c r="R1" s="105"/>
      <c r="S1" s="105"/>
      <c r="T1" s="105"/>
      <c r="U1" s="105"/>
      <c r="V1" s="88"/>
      <c r="W1" s="88"/>
      <c r="X1" s="88"/>
      <c r="Y1" s="88"/>
      <c r="Z1" s="609">
        <v>12</v>
      </c>
      <c r="AA1" s="609"/>
      <c r="AB1" s="88"/>
      <c r="AC1" s="88"/>
      <c r="AD1" s="609">
        <v>6</v>
      </c>
      <c r="AE1" s="609"/>
      <c r="AF1" s="609"/>
      <c r="AG1" s="609"/>
      <c r="AH1" s="476"/>
      <c r="AI1" s="477">
        <v>6</v>
      </c>
      <c r="AJ1" s="476"/>
    </row>
    <row r="2" spans="1:48" s="90" customFormat="1" x14ac:dyDescent="0.2">
      <c r="A2" s="120"/>
      <c r="B2" s="700" t="s">
        <v>247</v>
      </c>
      <c r="C2" s="700"/>
      <c r="D2" s="52"/>
      <c r="E2" s="52"/>
      <c r="F2" s="52"/>
      <c r="G2" s="53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D2" s="146"/>
      <c r="AE2" s="212" t="s">
        <v>35</v>
      </c>
      <c r="AF2" s="168" t="s">
        <v>144</v>
      </c>
      <c r="AG2" s="168"/>
      <c r="AH2" s="170"/>
      <c r="AI2" s="170" t="s">
        <v>34</v>
      </c>
      <c r="AJ2" s="211">
        <v>41920</v>
      </c>
      <c r="AL2" s="224" t="s">
        <v>101</v>
      </c>
      <c r="AM2" s="91"/>
      <c r="AN2" s="224" t="s">
        <v>103</v>
      </c>
      <c r="AO2" s="219" t="s">
        <v>202</v>
      </c>
    </row>
    <row r="3" spans="1:48" s="90" customFormat="1" ht="13.5" thickBot="1" x14ac:dyDescent="0.25">
      <c r="A3" s="120"/>
      <c r="B3" s="702" t="s">
        <v>248</v>
      </c>
      <c r="C3" s="702"/>
      <c r="D3" s="52"/>
      <c r="E3" s="52"/>
      <c r="F3" s="52"/>
      <c r="G3" s="52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D3" s="45"/>
      <c r="AE3" s="213" t="s">
        <v>36</v>
      </c>
      <c r="AF3" s="169" t="s">
        <v>266</v>
      </c>
      <c r="AG3" s="216"/>
      <c r="AH3" s="171"/>
      <c r="AI3" s="171" t="s">
        <v>34</v>
      </c>
      <c r="AJ3" s="459">
        <v>41926</v>
      </c>
      <c r="AL3" s="225" t="s">
        <v>102</v>
      </c>
      <c r="AM3" s="81"/>
      <c r="AN3" s="225" t="s">
        <v>104</v>
      </c>
      <c r="AO3" s="106" t="s">
        <v>203</v>
      </c>
    </row>
    <row r="4" spans="1:48" s="90" customFormat="1" ht="13.5" thickBot="1" x14ac:dyDescent="0.25">
      <c r="A4" s="120"/>
      <c r="B4" s="703" t="s">
        <v>249</v>
      </c>
      <c r="C4" s="703"/>
      <c r="D4" s="52"/>
      <c r="E4" s="52"/>
      <c r="F4" s="52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L4" s="225" t="s">
        <v>107</v>
      </c>
      <c r="AM4" s="81"/>
      <c r="AN4" s="225" t="s">
        <v>109</v>
      </c>
      <c r="AO4" s="106" t="s">
        <v>204</v>
      </c>
    </row>
    <row r="5" spans="1:48" s="91" customFormat="1" ht="12.75" customHeight="1" x14ac:dyDescent="0.2">
      <c r="B5" s="657" t="s">
        <v>1</v>
      </c>
      <c r="C5" s="658"/>
      <c r="D5" s="653" t="s">
        <v>0</v>
      </c>
      <c r="E5" s="667" t="s">
        <v>99</v>
      </c>
      <c r="F5" s="667" t="s">
        <v>100</v>
      </c>
      <c r="G5" s="667" t="s">
        <v>106</v>
      </c>
      <c r="H5" s="638" t="s">
        <v>190</v>
      </c>
      <c r="I5" s="638" t="s">
        <v>46</v>
      </c>
      <c r="J5" s="638" t="s">
        <v>195</v>
      </c>
      <c r="K5" s="663" t="s">
        <v>4</v>
      </c>
      <c r="L5" s="655" t="s">
        <v>171</v>
      </c>
      <c r="M5" s="656"/>
      <c r="N5" s="630" t="s">
        <v>17</v>
      </c>
      <c r="O5" s="631"/>
      <c r="P5" s="630" t="s">
        <v>20</v>
      </c>
      <c r="Q5" s="631"/>
      <c r="R5" s="632" t="s">
        <v>14</v>
      </c>
      <c r="S5" s="633"/>
      <c r="T5" s="642">
        <v>204</v>
      </c>
      <c r="U5" s="643"/>
      <c r="V5" s="643"/>
      <c r="W5" s="644"/>
      <c r="X5" s="542">
        <v>206</v>
      </c>
      <c r="Y5" s="543"/>
      <c r="Z5" s="543"/>
      <c r="AA5" s="543"/>
      <c r="AB5" s="543"/>
      <c r="AC5" s="544"/>
      <c r="AD5" s="542">
        <v>304</v>
      </c>
      <c r="AE5" s="544"/>
      <c r="AF5" s="62">
        <v>451</v>
      </c>
      <c r="AG5" s="542">
        <v>452</v>
      </c>
      <c r="AH5" s="544"/>
      <c r="AI5" s="49">
        <v>617</v>
      </c>
      <c r="AJ5" s="49">
        <v>618</v>
      </c>
      <c r="AK5" s="141"/>
      <c r="AL5" s="225" t="s">
        <v>108</v>
      </c>
      <c r="AM5" s="81"/>
      <c r="AN5" s="225" t="s">
        <v>110</v>
      </c>
      <c r="AO5" s="106" t="s">
        <v>205</v>
      </c>
    </row>
    <row r="6" spans="1:48" ht="12.75" customHeight="1" thickBot="1" x14ac:dyDescent="0.25">
      <c r="B6" s="659"/>
      <c r="C6" s="660"/>
      <c r="D6" s="654"/>
      <c r="E6" s="668"/>
      <c r="F6" s="668"/>
      <c r="G6" s="668"/>
      <c r="H6" s="639"/>
      <c r="I6" s="639"/>
      <c r="J6" s="639"/>
      <c r="K6" s="664"/>
      <c r="L6" s="547"/>
      <c r="M6" s="548"/>
      <c r="N6" s="566"/>
      <c r="O6" s="567"/>
      <c r="P6" s="566"/>
      <c r="Q6" s="567"/>
      <c r="R6" s="634"/>
      <c r="S6" s="635"/>
      <c r="T6" s="545" t="s">
        <v>160</v>
      </c>
      <c r="U6" s="546"/>
      <c r="V6" s="553" t="s">
        <v>7</v>
      </c>
      <c r="W6" s="554"/>
      <c r="X6" s="553" t="s">
        <v>18</v>
      </c>
      <c r="Y6" s="554"/>
      <c r="Z6" s="545" t="s">
        <v>19</v>
      </c>
      <c r="AA6" s="546"/>
      <c r="AB6" s="553" t="s">
        <v>23</v>
      </c>
      <c r="AC6" s="554"/>
      <c r="AD6" s="545" t="s">
        <v>9</v>
      </c>
      <c r="AE6" s="546"/>
      <c r="AF6" s="779" t="s">
        <v>133</v>
      </c>
      <c r="AG6" s="545" t="s">
        <v>29</v>
      </c>
      <c r="AH6" s="546"/>
      <c r="AI6" s="675" t="s">
        <v>282</v>
      </c>
      <c r="AJ6" s="675" t="s">
        <v>155</v>
      </c>
      <c r="AK6" s="166"/>
      <c r="AL6" s="226" t="s">
        <v>97</v>
      </c>
      <c r="AN6" s="225" t="s">
        <v>105</v>
      </c>
      <c r="AO6" s="220" t="s">
        <v>206</v>
      </c>
    </row>
    <row r="7" spans="1:48" ht="12.75" customHeight="1" thickBot="1" x14ac:dyDescent="0.25">
      <c r="B7" s="659"/>
      <c r="C7" s="660"/>
      <c r="D7" s="654"/>
      <c r="E7" s="668"/>
      <c r="F7" s="668"/>
      <c r="G7" s="668"/>
      <c r="H7" s="639"/>
      <c r="I7" s="639"/>
      <c r="J7" s="639"/>
      <c r="K7" s="664"/>
      <c r="L7" s="547"/>
      <c r="M7" s="548"/>
      <c r="N7" s="566"/>
      <c r="O7" s="567"/>
      <c r="P7" s="566"/>
      <c r="Q7" s="567"/>
      <c r="R7" s="634"/>
      <c r="S7" s="635"/>
      <c r="T7" s="547"/>
      <c r="U7" s="548"/>
      <c r="V7" s="555"/>
      <c r="W7" s="556"/>
      <c r="X7" s="555"/>
      <c r="Y7" s="556"/>
      <c r="Z7" s="547"/>
      <c r="AA7" s="548"/>
      <c r="AB7" s="555"/>
      <c r="AC7" s="556"/>
      <c r="AD7" s="547"/>
      <c r="AE7" s="548"/>
      <c r="AF7" s="780"/>
      <c r="AG7" s="547"/>
      <c r="AH7" s="548"/>
      <c r="AI7" s="676"/>
      <c r="AJ7" s="676"/>
      <c r="AK7" s="142"/>
      <c r="AL7" s="116"/>
      <c r="AN7" s="226" t="s">
        <v>112</v>
      </c>
      <c r="AO7" s="220" t="s">
        <v>207</v>
      </c>
    </row>
    <row r="8" spans="1:48" ht="12.75" customHeight="1" thickBot="1" x14ac:dyDescent="0.25">
      <c r="B8" s="659"/>
      <c r="C8" s="660"/>
      <c r="D8" s="654"/>
      <c r="E8" s="668"/>
      <c r="F8" s="668"/>
      <c r="G8" s="668"/>
      <c r="H8" s="639"/>
      <c r="I8" s="639"/>
      <c r="J8" s="639"/>
      <c r="K8" s="664"/>
      <c r="L8" s="547"/>
      <c r="M8" s="548"/>
      <c r="N8" s="566"/>
      <c r="O8" s="567"/>
      <c r="P8" s="566"/>
      <c r="Q8" s="567"/>
      <c r="R8" s="634"/>
      <c r="S8" s="635"/>
      <c r="T8" s="547"/>
      <c r="U8" s="548"/>
      <c r="V8" s="555"/>
      <c r="W8" s="556"/>
      <c r="X8" s="555"/>
      <c r="Y8" s="556"/>
      <c r="Z8" s="547"/>
      <c r="AA8" s="548"/>
      <c r="AB8" s="555"/>
      <c r="AC8" s="556"/>
      <c r="AD8" s="547"/>
      <c r="AE8" s="548"/>
      <c r="AF8" s="780"/>
      <c r="AG8" s="547"/>
      <c r="AH8" s="548"/>
      <c r="AI8" s="676"/>
      <c r="AJ8" s="676"/>
      <c r="AK8" s="142"/>
    </row>
    <row r="9" spans="1:48" ht="12.75" customHeight="1" thickBot="1" x14ac:dyDescent="0.25">
      <c r="B9" s="659"/>
      <c r="C9" s="660"/>
      <c r="D9" s="654"/>
      <c r="E9" s="668"/>
      <c r="F9" s="668"/>
      <c r="G9" s="668"/>
      <c r="H9" s="639"/>
      <c r="I9" s="639"/>
      <c r="J9" s="639"/>
      <c r="K9" s="664"/>
      <c r="L9" s="547"/>
      <c r="M9" s="548"/>
      <c r="N9" s="566"/>
      <c r="O9" s="567"/>
      <c r="P9" s="566"/>
      <c r="Q9" s="567"/>
      <c r="R9" s="634"/>
      <c r="S9" s="635"/>
      <c r="T9" s="547"/>
      <c r="U9" s="548"/>
      <c r="V9" s="555"/>
      <c r="W9" s="556"/>
      <c r="X9" s="555"/>
      <c r="Y9" s="556"/>
      <c r="Z9" s="547"/>
      <c r="AA9" s="548"/>
      <c r="AB9" s="555"/>
      <c r="AC9" s="556"/>
      <c r="AD9" s="547"/>
      <c r="AE9" s="548"/>
      <c r="AF9" s="780"/>
      <c r="AG9" s="547"/>
      <c r="AH9" s="548"/>
      <c r="AI9" s="676"/>
      <c r="AJ9" s="676"/>
      <c r="AK9" s="142"/>
      <c r="AL9" s="697" t="s">
        <v>201</v>
      </c>
      <c r="AM9" s="698"/>
      <c r="AN9" s="698"/>
      <c r="AO9" s="698"/>
      <c r="AP9" s="698"/>
      <c r="AQ9" s="698"/>
      <c r="AR9" s="698"/>
      <c r="AS9" s="698"/>
      <c r="AT9" s="698"/>
      <c r="AU9" s="698"/>
      <c r="AV9" s="699"/>
    </row>
    <row r="10" spans="1:48" ht="12.75" customHeight="1" x14ac:dyDescent="0.2">
      <c r="B10" s="659"/>
      <c r="C10" s="660"/>
      <c r="D10" s="654"/>
      <c r="E10" s="668"/>
      <c r="F10" s="668"/>
      <c r="G10" s="668"/>
      <c r="H10" s="639"/>
      <c r="I10" s="639"/>
      <c r="J10" s="639"/>
      <c r="K10" s="664"/>
      <c r="L10" s="547"/>
      <c r="M10" s="548"/>
      <c r="N10" s="566"/>
      <c r="O10" s="567"/>
      <c r="P10" s="566"/>
      <c r="Q10" s="567"/>
      <c r="R10" s="634"/>
      <c r="S10" s="635"/>
      <c r="T10" s="547"/>
      <c r="U10" s="548"/>
      <c r="V10" s="555"/>
      <c r="W10" s="556"/>
      <c r="X10" s="555"/>
      <c r="Y10" s="556"/>
      <c r="Z10" s="547"/>
      <c r="AA10" s="548"/>
      <c r="AB10" s="555"/>
      <c r="AC10" s="556"/>
      <c r="AD10" s="547"/>
      <c r="AE10" s="548"/>
      <c r="AF10" s="780"/>
      <c r="AG10" s="547"/>
      <c r="AH10" s="548"/>
      <c r="AI10" s="676"/>
      <c r="AJ10" s="676"/>
      <c r="AK10" s="142"/>
      <c r="AL10" s="671" t="s">
        <v>208</v>
      </c>
      <c r="AM10" s="673" t="s">
        <v>214</v>
      </c>
      <c r="AN10" s="704" t="s">
        <v>189</v>
      </c>
      <c r="AO10" s="681"/>
      <c r="AP10" s="705"/>
      <c r="AQ10" s="680" t="s">
        <v>45</v>
      </c>
      <c r="AR10" s="681"/>
      <c r="AS10" s="705"/>
      <c r="AT10" s="680" t="s">
        <v>113</v>
      </c>
      <c r="AU10" s="681"/>
      <c r="AV10" s="682"/>
    </row>
    <row r="11" spans="1:48" ht="12.75" customHeight="1" thickBot="1" x14ac:dyDescent="0.25">
      <c r="B11" s="659"/>
      <c r="C11" s="660"/>
      <c r="D11" s="654"/>
      <c r="E11" s="668"/>
      <c r="F11" s="668"/>
      <c r="G11" s="668"/>
      <c r="H11" s="639"/>
      <c r="I11" s="639"/>
      <c r="J11" s="639"/>
      <c r="K11" s="664"/>
      <c r="L11" s="547"/>
      <c r="M11" s="548"/>
      <c r="N11" s="566"/>
      <c r="O11" s="567"/>
      <c r="P11" s="566"/>
      <c r="Q11" s="567"/>
      <c r="R11" s="634"/>
      <c r="S11" s="635"/>
      <c r="T11" s="547"/>
      <c r="U11" s="548"/>
      <c r="V11" s="555"/>
      <c r="W11" s="556"/>
      <c r="X11" s="555"/>
      <c r="Y11" s="556"/>
      <c r="Z11" s="547"/>
      <c r="AA11" s="548"/>
      <c r="AB11" s="555"/>
      <c r="AC11" s="556"/>
      <c r="AD11" s="547"/>
      <c r="AE11" s="548"/>
      <c r="AF11" s="780"/>
      <c r="AG11" s="547"/>
      <c r="AH11" s="548"/>
      <c r="AI11" s="676"/>
      <c r="AJ11" s="676"/>
      <c r="AK11" s="142"/>
      <c r="AL11" s="672"/>
      <c r="AM11" s="674"/>
      <c r="AN11" s="683" t="s">
        <v>209</v>
      </c>
      <c r="AO11" s="684"/>
      <c r="AP11" s="685"/>
      <c r="AQ11" s="686" t="s">
        <v>210</v>
      </c>
      <c r="AR11" s="684"/>
      <c r="AS11" s="685"/>
      <c r="AT11" s="686" t="s">
        <v>217</v>
      </c>
      <c r="AU11" s="684"/>
      <c r="AV11" s="687"/>
    </row>
    <row r="12" spans="1:48" ht="12.75" customHeight="1" x14ac:dyDescent="0.2">
      <c r="B12" s="659"/>
      <c r="C12" s="660"/>
      <c r="D12" s="654"/>
      <c r="E12" s="668"/>
      <c r="F12" s="668"/>
      <c r="G12" s="668"/>
      <c r="H12" s="639"/>
      <c r="I12" s="639"/>
      <c r="J12" s="639"/>
      <c r="K12" s="664"/>
      <c r="L12" s="547"/>
      <c r="M12" s="548"/>
      <c r="N12" s="566"/>
      <c r="O12" s="567"/>
      <c r="P12" s="566"/>
      <c r="Q12" s="567"/>
      <c r="R12" s="634"/>
      <c r="S12" s="635"/>
      <c r="T12" s="547"/>
      <c r="U12" s="548"/>
      <c r="V12" s="555"/>
      <c r="W12" s="556"/>
      <c r="X12" s="555"/>
      <c r="Y12" s="556"/>
      <c r="Z12" s="547"/>
      <c r="AA12" s="548"/>
      <c r="AB12" s="555"/>
      <c r="AC12" s="556"/>
      <c r="AD12" s="547"/>
      <c r="AE12" s="548"/>
      <c r="AF12" s="780"/>
      <c r="AG12" s="547"/>
      <c r="AH12" s="548"/>
      <c r="AI12" s="676"/>
      <c r="AJ12" s="676"/>
      <c r="AK12" s="142"/>
      <c r="AL12" s="222" t="s">
        <v>101</v>
      </c>
      <c r="AM12" s="104" t="s">
        <v>211</v>
      </c>
      <c r="AN12" s="695">
        <v>1.5</v>
      </c>
      <c r="AO12" s="617"/>
      <c r="AP12" s="618"/>
      <c r="AQ12" s="616">
        <v>0.75</v>
      </c>
      <c r="AR12" s="617"/>
      <c r="AS12" s="618"/>
      <c r="AT12" s="616" t="s">
        <v>97</v>
      </c>
      <c r="AU12" s="617"/>
      <c r="AV12" s="694"/>
    </row>
    <row r="13" spans="1:48" ht="12.75" customHeight="1" x14ac:dyDescent="0.2">
      <c r="B13" s="659"/>
      <c r="C13" s="660"/>
      <c r="D13" s="654"/>
      <c r="E13" s="668"/>
      <c r="F13" s="668"/>
      <c r="G13" s="668"/>
      <c r="H13" s="639"/>
      <c r="I13" s="639"/>
      <c r="J13" s="639"/>
      <c r="K13" s="664"/>
      <c r="L13" s="547"/>
      <c r="M13" s="548"/>
      <c r="N13" s="566"/>
      <c r="O13" s="567"/>
      <c r="P13" s="566"/>
      <c r="Q13" s="567"/>
      <c r="R13" s="634"/>
      <c r="S13" s="635"/>
      <c r="T13" s="547"/>
      <c r="U13" s="548"/>
      <c r="V13" s="555"/>
      <c r="W13" s="556"/>
      <c r="X13" s="555"/>
      <c r="Y13" s="556"/>
      <c r="Z13" s="547"/>
      <c r="AA13" s="548"/>
      <c r="AB13" s="555"/>
      <c r="AC13" s="556"/>
      <c r="AD13" s="547"/>
      <c r="AE13" s="548"/>
      <c r="AF13" s="780"/>
      <c r="AG13" s="547"/>
      <c r="AH13" s="548"/>
      <c r="AI13" s="676"/>
      <c r="AJ13" s="676"/>
      <c r="AK13" s="142"/>
      <c r="AL13" s="221" t="s">
        <v>102</v>
      </c>
      <c r="AM13" s="103" t="s">
        <v>212</v>
      </c>
      <c r="AN13" s="688">
        <v>2</v>
      </c>
      <c r="AO13" s="689"/>
      <c r="AP13" s="690"/>
      <c r="AQ13" s="691">
        <v>0.75</v>
      </c>
      <c r="AR13" s="692"/>
      <c r="AS13" s="693"/>
      <c r="AT13" s="691" t="s">
        <v>97</v>
      </c>
      <c r="AU13" s="692"/>
      <c r="AV13" s="729"/>
    </row>
    <row r="14" spans="1:48" ht="12.75" customHeight="1" x14ac:dyDescent="0.2">
      <c r="B14" s="659"/>
      <c r="C14" s="660"/>
      <c r="D14" s="654"/>
      <c r="E14" s="668"/>
      <c r="F14" s="668"/>
      <c r="G14" s="668"/>
      <c r="H14" s="639"/>
      <c r="I14" s="639"/>
      <c r="J14" s="639"/>
      <c r="K14" s="664"/>
      <c r="L14" s="547"/>
      <c r="M14" s="548"/>
      <c r="N14" s="566"/>
      <c r="O14" s="567"/>
      <c r="P14" s="566"/>
      <c r="Q14" s="567"/>
      <c r="R14" s="634"/>
      <c r="S14" s="635"/>
      <c r="T14" s="547"/>
      <c r="U14" s="548"/>
      <c r="V14" s="555"/>
      <c r="W14" s="556"/>
      <c r="X14" s="555"/>
      <c r="Y14" s="556"/>
      <c r="Z14" s="547"/>
      <c r="AA14" s="548"/>
      <c r="AB14" s="555"/>
      <c r="AC14" s="556"/>
      <c r="AD14" s="547"/>
      <c r="AE14" s="548"/>
      <c r="AF14" s="780"/>
      <c r="AG14" s="547"/>
      <c r="AH14" s="548"/>
      <c r="AI14" s="676"/>
      <c r="AJ14" s="676"/>
      <c r="AK14" s="142"/>
      <c r="AL14" s="221" t="s">
        <v>107</v>
      </c>
      <c r="AM14" s="103" t="s">
        <v>213</v>
      </c>
      <c r="AN14" s="688" t="s">
        <v>97</v>
      </c>
      <c r="AO14" s="689"/>
      <c r="AP14" s="690"/>
      <c r="AQ14" s="691" t="s">
        <v>97</v>
      </c>
      <c r="AR14" s="692"/>
      <c r="AS14" s="693"/>
      <c r="AT14" s="691">
        <v>-1.42</v>
      </c>
      <c r="AU14" s="692"/>
      <c r="AV14" s="729"/>
    </row>
    <row r="15" spans="1:48" ht="12.75" customHeight="1" x14ac:dyDescent="0.2">
      <c r="B15" s="659"/>
      <c r="C15" s="660"/>
      <c r="D15" s="654"/>
      <c r="E15" s="668"/>
      <c r="F15" s="668"/>
      <c r="G15" s="668"/>
      <c r="H15" s="639"/>
      <c r="I15" s="639"/>
      <c r="J15" s="639"/>
      <c r="K15" s="665"/>
      <c r="L15" s="549"/>
      <c r="M15" s="550"/>
      <c r="N15" s="568"/>
      <c r="O15" s="569"/>
      <c r="P15" s="568"/>
      <c r="Q15" s="569"/>
      <c r="R15" s="636"/>
      <c r="S15" s="637"/>
      <c r="T15" s="549"/>
      <c r="U15" s="550"/>
      <c r="V15" s="557"/>
      <c r="W15" s="558"/>
      <c r="X15" s="557"/>
      <c r="Y15" s="558"/>
      <c r="Z15" s="549"/>
      <c r="AA15" s="550"/>
      <c r="AB15" s="557"/>
      <c r="AC15" s="558"/>
      <c r="AD15" s="549"/>
      <c r="AE15" s="550"/>
      <c r="AF15" s="781"/>
      <c r="AG15" s="549"/>
      <c r="AH15" s="550"/>
      <c r="AI15" s="676"/>
      <c r="AJ15" s="676"/>
      <c r="AK15" s="142"/>
      <c r="AL15" s="221" t="s">
        <v>215</v>
      </c>
      <c r="AM15" s="103" t="s">
        <v>211</v>
      </c>
      <c r="AN15" s="695">
        <v>3.83</v>
      </c>
      <c r="AO15" s="617"/>
      <c r="AP15" s="618"/>
      <c r="AQ15" s="616">
        <v>1.42</v>
      </c>
      <c r="AR15" s="617"/>
      <c r="AS15" s="618"/>
      <c r="AT15" s="616" t="s">
        <v>97</v>
      </c>
      <c r="AU15" s="617"/>
      <c r="AV15" s="694"/>
    </row>
    <row r="16" spans="1:48" ht="12.75" customHeight="1" thickBot="1" x14ac:dyDescent="0.25">
      <c r="B16" s="649" t="s">
        <v>2</v>
      </c>
      <c r="C16" s="651" t="s">
        <v>3</v>
      </c>
      <c r="D16" s="654"/>
      <c r="E16" s="668"/>
      <c r="F16" s="668"/>
      <c r="G16" s="668"/>
      <c r="H16" s="669" t="s">
        <v>5</v>
      </c>
      <c r="I16" s="669" t="s">
        <v>12</v>
      </c>
      <c r="J16" s="706" t="s">
        <v>5</v>
      </c>
      <c r="K16" s="669" t="s">
        <v>5</v>
      </c>
      <c r="L16" s="624" t="s">
        <v>5</v>
      </c>
      <c r="M16" s="625"/>
      <c r="N16" s="628" t="s">
        <v>6</v>
      </c>
      <c r="O16" s="629"/>
      <c r="P16" s="628" t="s">
        <v>6</v>
      </c>
      <c r="Q16" s="629"/>
      <c r="R16" s="628" t="s">
        <v>6</v>
      </c>
      <c r="S16" s="629"/>
      <c r="T16" s="645" t="s">
        <v>10</v>
      </c>
      <c r="U16" s="646"/>
      <c r="V16" s="624" t="s">
        <v>11</v>
      </c>
      <c r="W16" s="625"/>
      <c r="X16" s="624" t="s">
        <v>10</v>
      </c>
      <c r="Y16" s="625"/>
      <c r="Z16" s="624" t="s">
        <v>10</v>
      </c>
      <c r="AA16" s="625"/>
      <c r="AB16" s="624" t="s">
        <v>22</v>
      </c>
      <c r="AC16" s="625"/>
      <c r="AD16" s="645" t="s">
        <v>12</v>
      </c>
      <c r="AE16" s="646"/>
      <c r="AF16" s="136" t="s">
        <v>5</v>
      </c>
      <c r="AG16" s="624" t="s">
        <v>10</v>
      </c>
      <c r="AH16" s="625"/>
      <c r="AI16" s="458" t="s">
        <v>12</v>
      </c>
      <c r="AJ16" s="228" t="s">
        <v>5</v>
      </c>
      <c r="AK16" s="143"/>
      <c r="AL16" s="223" t="s">
        <v>216</v>
      </c>
      <c r="AM16" s="158" t="s">
        <v>211</v>
      </c>
      <c r="AN16" s="677">
        <v>3.17</v>
      </c>
      <c r="AO16" s="678"/>
      <c r="AP16" s="679"/>
      <c r="AQ16" s="696">
        <v>1.0900000000000001</v>
      </c>
      <c r="AR16" s="678"/>
      <c r="AS16" s="679"/>
      <c r="AT16" s="696" t="s">
        <v>97</v>
      </c>
      <c r="AU16" s="678"/>
      <c r="AV16" s="701"/>
    </row>
    <row r="17" spans="1:48" ht="12.75" customHeight="1" thickBot="1" x14ac:dyDescent="0.25">
      <c r="B17" s="650"/>
      <c r="C17" s="652"/>
      <c r="D17" s="654"/>
      <c r="E17" s="668"/>
      <c r="F17" s="668"/>
      <c r="G17" s="668"/>
      <c r="H17" s="670"/>
      <c r="I17" s="670"/>
      <c r="J17" s="707"/>
      <c r="K17" s="670"/>
      <c r="L17" s="442" t="s">
        <v>245</v>
      </c>
      <c r="M17" s="443" t="s">
        <v>246</v>
      </c>
      <c r="N17" s="442" t="s">
        <v>245</v>
      </c>
      <c r="O17" s="443" t="s">
        <v>246</v>
      </c>
      <c r="P17" s="442" t="s">
        <v>245</v>
      </c>
      <c r="Q17" s="443" t="s">
        <v>246</v>
      </c>
      <c r="R17" s="442" t="s">
        <v>245</v>
      </c>
      <c r="S17" s="443" t="s">
        <v>246</v>
      </c>
      <c r="T17" s="442" t="s">
        <v>245</v>
      </c>
      <c r="U17" s="443" t="s">
        <v>246</v>
      </c>
      <c r="V17" s="442" t="s">
        <v>245</v>
      </c>
      <c r="W17" s="443" t="s">
        <v>246</v>
      </c>
      <c r="X17" s="442" t="s">
        <v>245</v>
      </c>
      <c r="Y17" s="443" t="s">
        <v>246</v>
      </c>
      <c r="Z17" s="442" t="s">
        <v>245</v>
      </c>
      <c r="AA17" s="443" t="s">
        <v>246</v>
      </c>
      <c r="AB17" s="442" t="s">
        <v>245</v>
      </c>
      <c r="AC17" s="443" t="s">
        <v>246</v>
      </c>
      <c r="AD17" s="442" t="s">
        <v>245</v>
      </c>
      <c r="AE17" s="443" t="s">
        <v>246</v>
      </c>
      <c r="AF17" s="444" t="s">
        <v>245</v>
      </c>
      <c r="AG17" s="442" t="s">
        <v>245</v>
      </c>
      <c r="AH17" s="443" t="s">
        <v>246</v>
      </c>
      <c r="AI17" s="444" t="s">
        <v>245</v>
      </c>
      <c r="AJ17" s="444" t="s">
        <v>245</v>
      </c>
      <c r="AK17" s="167"/>
      <c r="AL17" s="116"/>
    </row>
    <row r="18" spans="1:48" ht="12.75" customHeight="1" x14ac:dyDescent="0.2">
      <c r="B18" s="661" t="s">
        <v>194</v>
      </c>
      <c r="C18" s="662"/>
      <c r="D18" s="100"/>
      <c r="E18" s="100"/>
      <c r="F18" s="100"/>
      <c r="G18" s="100"/>
      <c r="H18" s="100"/>
      <c r="I18" s="100"/>
      <c r="J18" s="100"/>
      <c r="K18" s="101"/>
      <c r="L18" s="382"/>
      <c r="M18" s="383"/>
      <c r="N18" s="264"/>
      <c r="O18" s="265"/>
      <c r="P18" s="264"/>
      <c r="Q18" s="265"/>
      <c r="R18" s="264"/>
      <c r="S18" s="265"/>
      <c r="T18" s="264"/>
      <c r="U18" s="265"/>
      <c r="V18" s="382"/>
      <c r="W18" s="383"/>
      <c r="X18" s="382"/>
      <c r="Y18" s="383"/>
      <c r="Z18" s="382"/>
      <c r="AA18" s="383"/>
      <c r="AB18" s="417"/>
      <c r="AC18" s="418"/>
      <c r="AD18" s="382"/>
      <c r="AE18" s="383"/>
      <c r="AF18" s="101"/>
      <c r="AG18" s="382"/>
      <c r="AH18" s="383"/>
      <c r="AI18" s="460"/>
      <c r="AJ18" s="101"/>
      <c r="AK18" s="93"/>
      <c r="AL18" s="116"/>
    </row>
    <row r="19" spans="1:48" ht="12.75" customHeight="1" x14ac:dyDescent="0.2">
      <c r="B19" s="335">
        <v>74426.75</v>
      </c>
      <c r="C19" s="336">
        <v>76200</v>
      </c>
      <c r="D19" s="337" t="s">
        <v>16</v>
      </c>
      <c r="E19" s="337" t="s">
        <v>101</v>
      </c>
      <c r="F19" s="337" t="s">
        <v>101</v>
      </c>
      <c r="G19" s="103" t="str">
        <f t="shared" ref="G19:G50" si="0">IF(AND($E19=$AL$2,$F19=$AL$2),$AN$2,IF(OR(AND($E19=$AL$2,$F19=$AL$3),AND($E19=$AL$3,$F19=$AL$2)),$AN$3,IF(OR(AND($E19=$AL$2,$F19=$AL$4),AND($E19=$AL$4,$F19=$AL$2)),$AN$4,IF(OR(AND($E19=$AL$3,$F19=$AL$4),AND($E19=$AL$4,$F19=$AL$3)),$AN$5,IF(AND($E19=$AL$3,$F19=$AL$3),$AN$6,IF(AND($E19=$AL$4,$F19=$AL$4),$AN$7,"-"))))))</f>
        <v>E/S - E/S</v>
      </c>
      <c r="H19" s="77">
        <f>IF(AND($E19=$AL$2,$F19=$AL$2),2*$AN$12,IF(OR(AND($E19=$AL$2, $F19=$AL$3),AND($E19=$AL$3,$F19=$AL$2)),$AN$12+$AN$13,IF(OR(AND($E19=$AL$2,$F19=$AL$4),AND($E19=$AL$4,$F19=$AL$2)),$AN$12,IF(OR(AND($E19=$AL$3,$F19=$AL$4),AND($E19=$AL$4,$F19=$AL$3)),$AN$13,IF(AND($E19=$AL$3,$F19=$AL$3),2*$AN$13,0)))))</f>
        <v>3</v>
      </c>
      <c r="I19" s="27">
        <f>IF(AND($E19=$AL$2,$F19=$AL$2),2*$AQ$12*$K19/27,IF(OR(AND($E19=$AL$2,$F19=$AL$3),AND($E19=$AL$3,$F19=$AL$2)),($AQ$12+$AQ$13)*$K19/27,IF(OR(AND($E19=$AL$2,$F19=$AL$4),AND($E19=$AL$4,$F19=$AL$2)),$AQ$12*$K19/27,IF(OR(AND($E19=$AL$3,$F19=$AL$4),AND($E19=$AL$4,$F19=$AL$3)),$AQ$13*$K19/27,IF(AND($E19=$AL$3,$F19=$AL$3),2*$AQ$13*$K19/27,0)))))</f>
        <v>98.513888888888886</v>
      </c>
      <c r="J19" s="78">
        <f>IF(OR(AND($E19=$AL$2,$F19=$AL$4),AND($E19=$AL$4,$F19=$AL$2)),$AT$14,IF(OR(AND($E19=$AL$3,$F19=$AL$4),AND($E19=$AL$4,$F19=$AL$3)),$AT$14,IF(AND($E19=$AL$4,$F19=$AL$4),2*$AT$14,0)))</f>
        <v>0</v>
      </c>
      <c r="K19" s="83">
        <f t="shared" ref="K19:K50" si="1">C19-B19</f>
        <v>1773.25</v>
      </c>
      <c r="L19" s="384">
        <v>40</v>
      </c>
      <c r="M19" s="385">
        <v>0</v>
      </c>
      <c r="N19" s="222">
        <f>IF(L19="-",0,ROUNDUP($K19*L19,0))</f>
        <v>70930</v>
      </c>
      <c r="O19" s="274">
        <f t="shared" ref="O19:O69" si="2">IF($M19="-",0,ROUNDUP($K19*M19,0))</f>
        <v>0</v>
      </c>
      <c r="P19" s="394">
        <v>0</v>
      </c>
      <c r="Q19" s="395">
        <v>0</v>
      </c>
      <c r="R19" s="221">
        <f t="shared" ref="R19:S69" si="3">N19+P19</f>
        <v>70930</v>
      </c>
      <c r="S19" s="269">
        <f t="shared" si="3"/>
        <v>0</v>
      </c>
      <c r="T19" s="398">
        <f>IF(OR($A19="APP SLAB",R19=0),0,(R19+$H19*$K19)/9)</f>
        <v>8472.1944444444453</v>
      </c>
      <c r="U19" s="399">
        <f>IF($A19="APP SLAB",0,S19/9)</f>
        <v>0</v>
      </c>
      <c r="V19" s="410">
        <f>IF(AND(T19=0,X19=0),0,IF(X19=0,T19/2000,X19/2000))</f>
        <v>4.2360972222222228</v>
      </c>
      <c r="W19" s="411">
        <f t="shared" ref="V19:W69" si="4">IF(AND(U19=0,Y19=0),0,IF(Y19=0,U19/2000,Y19/2000))</f>
        <v>0</v>
      </c>
      <c r="X19" s="398">
        <f t="shared" ref="X19:Y34" si="5">IF(OR($A19="APP SLAB",T19&lt;&gt;0),0,Z19)</f>
        <v>0</v>
      </c>
      <c r="Y19" s="399">
        <f t="shared" si="5"/>
        <v>0</v>
      </c>
      <c r="Z19" s="398">
        <f>IF(OR($A19="APP SLAB",T19&lt;&gt;0),0,(R19+$H19*$K19)/9)</f>
        <v>0</v>
      </c>
      <c r="AA19" s="399">
        <f>IF(OR($A19="APP SLAB",U19&lt;&gt;0),0,S19/9)</f>
        <v>0</v>
      </c>
      <c r="AB19" s="398">
        <f t="shared" ref="AB19:AB50" si="6">IF(OR($A19="APP SLAB",T19&lt;&gt;0),0,$Z$1*Z19*110*0.06*0.75/2000)</f>
        <v>0</v>
      </c>
      <c r="AC19" s="399">
        <f t="shared" ref="AC19:AC50" si="7">IF(OR($A19="APP SLAB",U19&lt;&gt;0),0,$Z$1*AA19*110*0.06*0.75/2000)</f>
        <v>0</v>
      </c>
      <c r="AD19" s="398">
        <f>IF(R19=0,0,(R19*$AD$1/12)/27+$I19)</f>
        <v>1412.0324074074074</v>
      </c>
      <c r="AE19" s="399">
        <f>(S19*$AD$1/12)/27</f>
        <v>0</v>
      </c>
      <c r="AF19" s="344">
        <v>0</v>
      </c>
      <c r="AG19" s="398">
        <f>IF($A19="APP SLAB",0,(R19+$J19*$K19)/9)</f>
        <v>7881.1111111111113</v>
      </c>
      <c r="AH19" s="399">
        <f>IF($A19="APP SLAB",0,S19/9)</f>
        <v>0</v>
      </c>
      <c r="AI19" s="454">
        <f>IF(AND($E19=$F19="Uncurbed"),(2*$K19*2*$AI$1/12)/27,IF(OR($E19="Uncurbed",$F19="Uncurbed"),($K19*2*$AI$1/12)/27,IF(OR(AND($E19="Med. Barr.",$F19="Curbed"),AND($E19="Curbed",$F19="Med. Barr."),$E19=$F19,$E19="Unique",$F19="Unique",$E19="-",$F19="-"),0,"?")))</f>
        <v>65.675925925925924</v>
      </c>
      <c r="AJ19" s="85">
        <f>IF($A19="APP SLAB",0,($K19*2))</f>
        <v>3546.5</v>
      </c>
      <c r="AK19" s="10"/>
      <c r="AL19" s="116"/>
    </row>
    <row r="20" spans="1:48" ht="12.75" customHeight="1" x14ac:dyDescent="0.2">
      <c r="B20" s="335">
        <v>76200</v>
      </c>
      <c r="C20" s="336">
        <v>76300</v>
      </c>
      <c r="D20" s="337" t="s">
        <v>16</v>
      </c>
      <c r="E20" s="337" t="s">
        <v>101</v>
      </c>
      <c r="F20" s="337" t="s">
        <v>101</v>
      </c>
      <c r="G20" s="103" t="str">
        <f t="shared" si="0"/>
        <v>E/S - E/S</v>
      </c>
      <c r="H20" s="77">
        <f t="shared" ref="H20:H69" si="8">IF(AND($E20=$AL$2,$F20=$AL$2),2*$AN$12,IF(OR(AND($E20=$AL$2, $F20=$AL$3),AND($E20=$AL$3,$F20=$AL$2)),$AN$12+$AN$13,IF(OR(AND($E20=$AL$2,$F20=$AL$4),AND($E20=$AL$4,$F20=$AL$2)),$AN$12,IF(OR(AND($E20=$AL$3,$F20=$AL$4),AND($E20=$AL$4,$F20=$AL$3)),$AN$13,IF(AND($E20=$AL$3,$F20=$AL$3),2*$AN$13,0)))))</f>
        <v>3</v>
      </c>
      <c r="I20" s="27">
        <f t="shared" ref="I20:I69" si="9">IF(AND($E20=$AL$2,$F20=$AL$2),2*$AQ$12*$K20/27,IF(OR(AND($E20=$AL$2,$F20=$AL$3),AND($E20=$AL$3,$F20=$AL$2)),($AQ$12+$AQ$13)*$K20/27,IF(OR(AND($E20=$AL$2,$F20=$AL$4),AND($E20=$AL$4,$F20=$AL$2)),$AQ$12*$K20/27,IF(OR(AND($E20=$AL$3,$F20=$AL$4),AND($E20=$AL$4,$F20=$AL$3)),$AQ$13*$K20/27,IF(AND($E20=$AL$3,$F20=$AL$3),2*$AQ$13*$K20/27,0)))))</f>
        <v>5.5555555555555554</v>
      </c>
      <c r="J20" s="78">
        <f t="shared" ref="J20:J69" si="10">IF(OR(AND($E20=$AL$2,$F20=$AL$4),AND($E20=$AL$4,$F20=$AL$2)),$AT$14,IF(OR(AND($E20=$AL$3,$F20=$AL$4),AND($E20=$AL$4,$F20=$AL$3)),$AT$14,IF(AND($E20=$AL$4,$F20=$AL$4),2*$AT$14,0)))</f>
        <v>0</v>
      </c>
      <c r="K20" s="83">
        <f t="shared" si="1"/>
        <v>100</v>
      </c>
      <c r="L20" s="384">
        <v>40</v>
      </c>
      <c r="M20" s="385">
        <v>6</v>
      </c>
      <c r="N20" s="222">
        <f>IF(L20="-",0,ROUNDUP($K20*L20,0))</f>
        <v>4000</v>
      </c>
      <c r="O20" s="274">
        <f t="shared" si="2"/>
        <v>600</v>
      </c>
      <c r="P20" s="394">
        <v>0</v>
      </c>
      <c r="Q20" s="395">
        <v>0</v>
      </c>
      <c r="R20" s="221">
        <f t="shared" si="3"/>
        <v>4000</v>
      </c>
      <c r="S20" s="269">
        <f t="shared" si="3"/>
        <v>600</v>
      </c>
      <c r="T20" s="398">
        <f t="shared" ref="T20:T21" si="11">IF(OR($A20="APP SLAB",R20=0),0,(R20+$H20*$K20)/9)</f>
        <v>477.77777777777777</v>
      </c>
      <c r="U20" s="399">
        <f t="shared" ref="U20:U21" si="12">IF($A20="APP SLAB",0,S20/9)</f>
        <v>66.666666666666671</v>
      </c>
      <c r="V20" s="410">
        <f t="shared" si="4"/>
        <v>0.23888888888888887</v>
      </c>
      <c r="W20" s="411">
        <f t="shared" si="4"/>
        <v>3.3333333333333333E-2</v>
      </c>
      <c r="X20" s="398">
        <f t="shared" si="5"/>
        <v>0</v>
      </c>
      <c r="Y20" s="399">
        <f t="shared" si="5"/>
        <v>0</v>
      </c>
      <c r="Z20" s="398">
        <f t="shared" ref="Z20:Z69" si="13">IF(OR($A20="APP SLAB",T20&lt;&gt;0),0,(R20+$H20*$K20)/9)</f>
        <v>0</v>
      </c>
      <c r="AA20" s="399">
        <f t="shared" ref="AA20:AA69" si="14">IF(OR($A20="APP SLAB",U20&lt;&gt;0),0,S20/9)</f>
        <v>0</v>
      </c>
      <c r="AB20" s="398">
        <f t="shared" si="6"/>
        <v>0</v>
      </c>
      <c r="AC20" s="399">
        <f t="shared" si="7"/>
        <v>0</v>
      </c>
      <c r="AD20" s="398">
        <f t="shared" ref="AD20:AD69" si="15">IF(R20=0,0,(R20*$AD$1/12)/27+$I20)</f>
        <v>79.629629629629633</v>
      </c>
      <c r="AE20" s="399">
        <f t="shared" ref="AE20:AE69" si="16">(S20*$AD$1/12)/27</f>
        <v>11.111111111111111</v>
      </c>
      <c r="AF20" s="344">
        <v>0</v>
      </c>
      <c r="AG20" s="398">
        <f t="shared" ref="AG20:AG69" si="17">IF($A20="APP SLAB",0,(R20+$J20*$K20)/9)</f>
        <v>444.44444444444446</v>
      </c>
      <c r="AH20" s="399">
        <f t="shared" ref="AH20:AH69" si="18">IF($A20="APP SLAB",0,S20/9)</f>
        <v>66.666666666666671</v>
      </c>
      <c r="AI20" s="454">
        <f t="shared" ref="AI20:AI69" si="19">IF(AND($E20=$F20="Uncurbed"),(2*$K20*2*$AI$1/12)/27,IF(OR($E20="Uncurbed",$F20="Uncurbed"),($K20*2*$AI$1/12)/27,IF(OR(AND($E20="Med. Barr.",$F20="Curbed"),AND($E20="Curbed",$F20="Med. Barr."),$E20=$F20,$E20="Unique",$F20="Unique",$E20="-",$F20="-"),0,"?")))</f>
        <v>3.7037037037037037</v>
      </c>
      <c r="AJ20" s="85">
        <f t="shared" ref="AJ20:AJ69" si="20">IF($A20="APP SLAB",0,($K20*2))</f>
        <v>200</v>
      </c>
      <c r="AK20" s="10"/>
    </row>
    <row r="21" spans="1:48" ht="12.75" customHeight="1" x14ac:dyDescent="0.2">
      <c r="A21" s="106" t="s">
        <v>50</v>
      </c>
      <c r="B21" s="335">
        <v>76300</v>
      </c>
      <c r="C21" s="336">
        <v>76983.05</v>
      </c>
      <c r="D21" s="337" t="s">
        <v>16</v>
      </c>
      <c r="E21" s="337" t="s">
        <v>107</v>
      </c>
      <c r="F21" s="337" t="s">
        <v>101</v>
      </c>
      <c r="G21" s="103" t="str">
        <f t="shared" si="0"/>
        <v>E/S - C/B</v>
      </c>
      <c r="H21" s="77">
        <f t="shared" si="8"/>
        <v>1.5</v>
      </c>
      <c r="I21" s="27">
        <f t="shared" si="9"/>
        <v>18.973611111111193</v>
      </c>
      <c r="J21" s="78">
        <f t="shared" si="10"/>
        <v>-1.42</v>
      </c>
      <c r="K21" s="83">
        <f t="shared" si="1"/>
        <v>683.05000000000291</v>
      </c>
      <c r="L21" s="384">
        <v>44.25</v>
      </c>
      <c r="M21" s="385">
        <v>20</v>
      </c>
      <c r="N21" s="222">
        <f>IF(L21="-",0,ROUNDUP($K21*L21,0))</f>
        <v>30225</v>
      </c>
      <c r="O21" s="274">
        <f t="shared" si="2"/>
        <v>13662</v>
      </c>
      <c r="P21" s="394">
        <v>0</v>
      </c>
      <c r="Q21" s="395">
        <v>0</v>
      </c>
      <c r="R21" s="221">
        <f t="shared" si="3"/>
        <v>30225</v>
      </c>
      <c r="S21" s="269">
        <f t="shared" si="3"/>
        <v>13662</v>
      </c>
      <c r="T21" s="398">
        <f t="shared" si="11"/>
        <v>3472.1750000000006</v>
      </c>
      <c r="U21" s="399">
        <f t="shared" si="12"/>
        <v>1518</v>
      </c>
      <c r="V21" s="410">
        <f t="shared" si="4"/>
        <v>1.7360875000000002</v>
      </c>
      <c r="W21" s="411">
        <f t="shared" si="4"/>
        <v>0.75900000000000001</v>
      </c>
      <c r="X21" s="398">
        <f t="shared" si="5"/>
        <v>0</v>
      </c>
      <c r="Y21" s="399">
        <f t="shared" si="5"/>
        <v>0</v>
      </c>
      <c r="Z21" s="398">
        <f t="shared" si="13"/>
        <v>0</v>
      </c>
      <c r="AA21" s="399">
        <f t="shared" si="14"/>
        <v>0</v>
      </c>
      <c r="AB21" s="398">
        <f t="shared" si="6"/>
        <v>0</v>
      </c>
      <c r="AC21" s="399">
        <f t="shared" si="7"/>
        <v>0</v>
      </c>
      <c r="AD21" s="398">
        <f t="shared" si="15"/>
        <v>578.69583333333333</v>
      </c>
      <c r="AE21" s="399">
        <f t="shared" si="16"/>
        <v>253</v>
      </c>
      <c r="AF21" s="344">
        <v>0</v>
      </c>
      <c r="AG21" s="398">
        <f t="shared" si="17"/>
        <v>3250.5632222222216</v>
      </c>
      <c r="AH21" s="399">
        <f t="shared" si="18"/>
        <v>1518</v>
      </c>
      <c r="AI21" s="454">
        <f t="shared" si="19"/>
        <v>25.298148148148258</v>
      </c>
      <c r="AJ21" s="85">
        <f t="shared" si="20"/>
        <v>1366.1000000000058</v>
      </c>
      <c r="AK21" s="10"/>
    </row>
    <row r="22" spans="1:48" ht="12.75" customHeight="1" x14ac:dyDescent="0.2">
      <c r="A22" s="106" t="s">
        <v>51</v>
      </c>
      <c r="B22" s="335">
        <v>76996</v>
      </c>
      <c r="C22" s="336">
        <v>77200</v>
      </c>
      <c r="D22" s="337" t="s">
        <v>16</v>
      </c>
      <c r="E22" s="337" t="s">
        <v>107</v>
      </c>
      <c r="F22" s="337" t="s">
        <v>101</v>
      </c>
      <c r="G22" s="103" t="str">
        <f t="shared" si="0"/>
        <v>E/S - C/B</v>
      </c>
      <c r="H22" s="77">
        <f t="shared" si="8"/>
        <v>1.5</v>
      </c>
      <c r="I22" s="27">
        <f t="shared" si="9"/>
        <v>5.666666666666667</v>
      </c>
      <c r="J22" s="78">
        <f t="shared" si="10"/>
        <v>-1.42</v>
      </c>
      <c r="K22" s="83">
        <f t="shared" si="1"/>
        <v>204</v>
      </c>
      <c r="L22" s="384">
        <v>41.42</v>
      </c>
      <c r="M22" s="385">
        <v>20</v>
      </c>
      <c r="N22" s="222">
        <f t="shared" ref="N22:N69" si="21">IF(L22="-",0,ROUNDUP($K22*L22,0))</f>
        <v>8450</v>
      </c>
      <c r="O22" s="274">
        <f t="shared" si="2"/>
        <v>4080</v>
      </c>
      <c r="P22" s="394">
        <v>0</v>
      </c>
      <c r="Q22" s="395">
        <v>0</v>
      </c>
      <c r="R22" s="221">
        <f t="shared" si="3"/>
        <v>8450</v>
      </c>
      <c r="S22" s="269">
        <f t="shared" si="3"/>
        <v>4080</v>
      </c>
      <c r="T22" s="400">
        <v>0</v>
      </c>
      <c r="U22" s="401">
        <v>0</v>
      </c>
      <c r="V22" s="410">
        <f t="shared" si="4"/>
        <v>0.48644444444444446</v>
      </c>
      <c r="W22" s="411">
        <f t="shared" si="4"/>
        <v>0.22666666666666666</v>
      </c>
      <c r="X22" s="398">
        <f t="shared" si="5"/>
        <v>972.88888888888891</v>
      </c>
      <c r="Y22" s="399">
        <f t="shared" si="5"/>
        <v>453.33333333333331</v>
      </c>
      <c r="Z22" s="398">
        <f t="shared" si="13"/>
        <v>972.88888888888891</v>
      </c>
      <c r="AA22" s="399">
        <f t="shared" si="14"/>
        <v>453.33333333333331</v>
      </c>
      <c r="AB22" s="398">
        <f t="shared" si="6"/>
        <v>28.894800000000004</v>
      </c>
      <c r="AC22" s="399">
        <f t="shared" si="7"/>
        <v>13.464</v>
      </c>
      <c r="AD22" s="398">
        <f t="shared" si="15"/>
        <v>162.14814814814815</v>
      </c>
      <c r="AE22" s="399">
        <f t="shared" si="16"/>
        <v>75.555555555555557</v>
      </c>
      <c r="AF22" s="344">
        <v>0</v>
      </c>
      <c r="AG22" s="398">
        <f t="shared" si="17"/>
        <v>906.70222222222219</v>
      </c>
      <c r="AH22" s="399">
        <f t="shared" si="18"/>
        <v>453.33333333333331</v>
      </c>
      <c r="AI22" s="454">
        <f t="shared" si="19"/>
        <v>7.5555555555555554</v>
      </c>
      <c r="AJ22" s="85">
        <f t="shared" si="20"/>
        <v>408</v>
      </c>
      <c r="AK22" s="10"/>
    </row>
    <row r="23" spans="1:48" ht="12.75" customHeight="1" x14ac:dyDescent="0.2">
      <c r="A23" s="106"/>
      <c r="B23" s="335">
        <v>77200</v>
      </c>
      <c r="C23" s="336">
        <v>77433.960000000006</v>
      </c>
      <c r="D23" s="337" t="s">
        <v>16</v>
      </c>
      <c r="E23" s="337" t="s">
        <v>107</v>
      </c>
      <c r="F23" s="337" t="s">
        <v>101</v>
      </c>
      <c r="G23" s="103" t="str">
        <f t="shared" si="0"/>
        <v>E/S - C/B</v>
      </c>
      <c r="H23" s="77">
        <f t="shared" si="8"/>
        <v>1.5</v>
      </c>
      <c r="I23" s="27">
        <f t="shared" si="9"/>
        <v>6.4988888888890664</v>
      </c>
      <c r="J23" s="78">
        <f t="shared" si="10"/>
        <v>-1.42</v>
      </c>
      <c r="K23" s="83">
        <f t="shared" si="1"/>
        <v>233.9600000000064</v>
      </c>
      <c r="L23" s="384">
        <v>41.42</v>
      </c>
      <c r="M23" s="385">
        <v>20</v>
      </c>
      <c r="N23" s="222">
        <f t="shared" si="21"/>
        <v>9691</v>
      </c>
      <c r="O23" s="274">
        <f t="shared" si="2"/>
        <v>4680</v>
      </c>
      <c r="P23" s="394">
        <v>0</v>
      </c>
      <c r="Q23" s="395">
        <v>0</v>
      </c>
      <c r="R23" s="221">
        <f t="shared" si="3"/>
        <v>9691</v>
      </c>
      <c r="S23" s="269">
        <f t="shared" si="3"/>
        <v>4680</v>
      </c>
      <c r="T23" s="400">
        <v>0</v>
      </c>
      <c r="U23" s="401">
        <v>0</v>
      </c>
      <c r="V23" s="410">
        <f t="shared" si="4"/>
        <v>0.55788555555555608</v>
      </c>
      <c r="W23" s="411">
        <f t="shared" si="4"/>
        <v>0.26</v>
      </c>
      <c r="X23" s="398">
        <f>IF(OR($A23="APP SLAB",T23&lt;&gt;0),0,Z23)</f>
        <v>1115.7711111111121</v>
      </c>
      <c r="Y23" s="399">
        <f t="shared" si="5"/>
        <v>520</v>
      </c>
      <c r="Z23" s="398">
        <f t="shared" si="13"/>
        <v>1115.7711111111121</v>
      </c>
      <c r="AA23" s="399">
        <f t="shared" si="14"/>
        <v>520</v>
      </c>
      <c r="AB23" s="398">
        <f t="shared" si="6"/>
        <v>33.138402000000028</v>
      </c>
      <c r="AC23" s="399">
        <f t="shared" si="7"/>
        <v>15.444000000000001</v>
      </c>
      <c r="AD23" s="398">
        <f t="shared" si="15"/>
        <v>185.96185185185203</v>
      </c>
      <c r="AE23" s="399">
        <f t="shared" si="16"/>
        <v>86.666666666666671</v>
      </c>
      <c r="AF23" s="344">
        <v>0</v>
      </c>
      <c r="AG23" s="398">
        <f t="shared" si="17"/>
        <v>1039.8640888888879</v>
      </c>
      <c r="AH23" s="399">
        <f t="shared" si="18"/>
        <v>520</v>
      </c>
      <c r="AI23" s="454">
        <f t="shared" si="19"/>
        <v>8.6651851851854218</v>
      </c>
      <c r="AJ23" s="85">
        <f t="shared" si="20"/>
        <v>467.92000000001281</v>
      </c>
      <c r="AK23" s="10"/>
    </row>
    <row r="24" spans="1:48" ht="12.75" customHeight="1" x14ac:dyDescent="0.2">
      <c r="B24" s="335">
        <v>77433.960000000006</v>
      </c>
      <c r="C24" s="336">
        <v>77533.960000000006</v>
      </c>
      <c r="D24" s="337" t="s">
        <v>16</v>
      </c>
      <c r="E24" s="337" t="s">
        <v>107</v>
      </c>
      <c r="F24" s="337" t="s">
        <v>101</v>
      </c>
      <c r="G24" s="103" t="str">
        <f t="shared" si="0"/>
        <v>E/S - C/B</v>
      </c>
      <c r="H24" s="77">
        <f t="shared" si="8"/>
        <v>1.5</v>
      </c>
      <c r="I24" s="27">
        <f t="shared" si="9"/>
        <v>2.7777777777777777</v>
      </c>
      <c r="J24" s="78">
        <f t="shared" si="10"/>
        <v>-1.42</v>
      </c>
      <c r="K24" s="83">
        <f t="shared" si="1"/>
        <v>100</v>
      </c>
      <c r="L24" s="384">
        <v>45.42</v>
      </c>
      <c r="M24" s="385">
        <v>20</v>
      </c>
      <c r="N24" s="222">
        <f t="shared" si="21"/>
        <v>4542</v>
      </c>
      <c r="O24" s="274">
        <f t="shared" si="2"/>
        <v>2000</v>
      </c>
      <c r="P24" s="394">
        <v>0</v>
      </c>
      <c r="Q24" s="395">
        <v>0</v>
      </c>
      <c r="R24" s="221">
        <f t="shared" si="3"/>
        <v>4542</v>
      </c>
      <c r="S24" s="269">
        <f t="shared" si="3"/>
        <v>2000</v>
      </c>
      <c r="T24" s="400">
        <v>0</v>
      </c>
      <c r="U24" s="401">
        <v>0</v>
      </c>
      <c r="V24" s="410">
        <f t="shared" si="4"/>
        <v>0.26066666666666671</v>
      </c>
      <c r="W24" s="411">
        <f t="shared" si="4"/>
        <v>0.11111111111111112</v>
      </c>
      <c r="X24" s="398">
        <f>IF(OR($A24="APP SLAB",T24&lt;&gt;0),0,Z24)</f>
        <v>521.33333333333337</v>
      </c>
      <c r="Y24" s="399">
        <f t="shared" si="5"/>
        <v>222.22222222222223</v>
      </c>
      <c r="Z24" s="398">
        <f t="shared" si="13"/>
        <v>521.33333333333337</v>
      </c>
      <c r="AA24" s="399">
        <f t="shared" si="14"/>
        <v>222.22222222222223</v>
      </c>
      <c r="AB24" s="398">
        <f t="shared" si="6"/>
        <v>15.483599999999999</v>
      </c>
      <c r="AC24" s="399">
        <f t="shared" si="7"/>
        <v>6.6</v>
      </c>
      <c r="AD24" s="398">
        <f t="shared" si="15"/>
        <v>86.888888888888886</v>
      </c>
      <c r="AE24" s="399">
        <f t="shared" si="16"/>
        <v>37.037037037037038</v>
      </c>
      <c r="AF24" s="344">
        <v>0</v>
      </c>
      <c r="AG24" s="398">
        <f t="shared" si="17"/>
        <v>488.88888888888891</v>
      </c>
      <c r="AH24" s="399">
        <f t="shared" si="18"/>
        <v>222.22222222222223</v>
      </c>
      <c r="AI24" s="454">
        <f t="shared" si="19"/>
        <v>3.7037037037037037</v>
      </c>
      <c r="AJ24" s="85">
        <f t="shared" si="20"/>
        <v>200</v>
      </c>
      <c r="AK24" s="172"/>
    </row>
    <row r="25" spans="1:48" ht="12.75" customHeight="1" x14ac:dyDescent="0.2">
      <c r="B25" s="335">
        <v>77533.960000000006</v>
      </c>
      <c r="C25" s="336">
        <v>77983.44</v>
      </c>
      <c r="D25" s="337" t="s">
        <v>16</v>
      </c>
      <c r="E25" s="337" t="s">
        <v>107</v>
      </c>
      <c r="F25" s="337" t="s">
        <v>101</v>
      </c>
      <c r="G25" s="103" t="str">
        <f t="shared" si="0"/>
        <v>E/S - C/B</v>
      </c>
      <c r="H25" s="77">
        <f t="shared" si="8"/>
        <v>1.5</v>
      </c>
      <c r="I25" s="27">
        <f t="shared" si="9"/>
        <v>12.485555555555443</v>
      </c>
      <c r="J25" s="78">
        <f t="shared" si="10"/>
        <v>-1.42</v>
      </c>
      <c r="K25" s="83">
        <f t="shared" si="1"/>
        <v>449.47999999999593</v>
      </c>
      <c r="L25" s="384">
        <v>49.42</v>
      </c>
      <c r="M25" s="385">
        <v>20</v>
      </c>
      <c r="N25" s="222">
        <f t="shared" si="21"/>
        <v>22214</v>
      </c>
      <c r="O25" s="274">
        <f t="shared" si="2"/>
        <v>8990</v>
      </c>
      <c r="P25" s="394">
        <v>0</v>
      </c>
      <c r="Q25" s="395">
        <v>0</v>
      </c>
      <c r="R25" s="221">
        <f t="shared" si="3"/>
        <v>22214</v>
      </c>
      <c r="S25" s="269">
        <f t="shared" si="3"/>
        <v>8990</v>
      </c>
      <c r="T25" s="400">
        <v>0</v>
      </c>
      <c r="U25" s="401">
        <v>0</v>
      </c>
      <c r="V25" s="410">
        <f t="shared" si="4"/>
        <v>1.2715677777777774</v>
      </c>
      <c r="W25" s="411">
        <f t="shared" si="4"/>
        <v>0.49944444444444447</v>
      </c>
      <c r="X25" s="398">
        <f t="shared" ref="X25:Y69" si="22">IF(OR($A25="APP SLAB",T25&lt;&gt;0),0,Z25)</f>
        <v>2543.1355555555547</v>
      </c>
      <c r="Y25" s="399">
        <f t="shared" si="5"/>
        <v>998.88888888888891</v>
      </c>
      <c r="Z25" s="398">
        <f t="shared" si="13"/>
        <v>2543.1355555555547</v>
      </c>
      <c r="AA25" s="399">
        <f t="shared" si="14"/>
        <v>998.88888888888891</v>
      </c>
      <c r="AB25" s="398">
        <f t="shared" si="6"/>
        <v>75.531125999999972</v>
      </c>
      <c r="AC25" s="399">
        <f t="shared" si="7"/>
        <v>29.667000000000002</v>
      </c>
      <c r="AD25" s="398">
        <f t="shared" si="15"/>
        <v>423.85592592592582</v>
      </c>
      <c r="AE25" s="399">
        <f t="shared" si="16"/>
        <v>166.4814814814815</v>
      </c>
      <c r="AF25" s="344">
        <v>0</v>
      </c>
      <c r="AG25" s="398">
        <f t="shared" si="17"/>
        <v>2397.3042666666674</v>
      </c>
      <c r="AH25" s="399">
        <f t="shared" si="18"/>
        <v>998.88888888888891</v>
      </c>
      <c r="AI25" s="454">
        <f t="shared" si="19"/>
        <v>16.647407407407258</v>
      </c>
      <c r="AJ25" s="85">
        <f t="shared" si="20"/>
        <v>898.95999999999185</v>
      </c>
      <c r="AK25" s="172"/>
    </row>
    <row r="26" spans="1:48" ht="12.75" customHeight="1" x14ac:dyDescent="0.2">
      <c r="B26" s="335">
        <v>77983.44</v>
      </c>
      <c r="C26" s="336">
        <v>78812.36</v>
      </c>
      <c r="D26" s="337" t="s">
        <v>16</v>
      </c>
      <c r="E26" s="337" t="s">
        <v>107</v>
      </c>
      <c r="F26" s="337" t="s">
        <v>101</v>
      </c>
      <c r="G26" s="103" t="str">
        <f t="shared" si="0"/>
        <v>E/S - C/B</v>
      </c>
      <c r="H26" s="77">
        <f t="shared" si="8"/>
        <v>1.5</v>
      </c>
      <c r="I26" s="27">
        <f t="shared" si="9"/>
        <v>23.025555555555506</v>
      </c>
      <c r="J26" s="78">
        <f t="shared" si="10"/>
        <v>-1.42</v>
      </c>
      <c r="K26" s="83">
        <f t="shared" si="1"/>
        <v>828.91999999999825</v>
      </c>
      <c r="L26" s="384" t="s">
        <v>97</v>
      </c>
      <c r="M26" s="385" t="s">
        <v>97</v>
      </c>
      <c r="N26" s="222">
        <f t="shared" si="21"/>
        <v>0</v>
      </c>
      <c r="O26" s="274">
        <f t="shared" si="2"/>
        <v>0</v>
      </c>
      <c r="P26" s="394">
        <v>52797</v>
      </c>
      <c r="Q26" s="395">
        <v>16578</v>
      </c>
      <c r="R26" s="221">
        <f t="shared" si="3"/>
        <v>52797</v>
      </c>
      <c r="S26" s="269">
        <f t="shared" si="3"/>
        <v>16578</v>
      </c>
      <c r="T26" s="400">
        <v>0</v>
      </c>
      <c r="U26" s="401">
        <v>0</v>
      </c>
      <c r="V26" s="410">
        <f t="shared" si="4"/>
        <v>3.0022433333333334</v>
      </c>
      <c r="W26" s="411">
        <f t="shared" si="4"/>
        <v>0.92100000000000004</v>
      </c>
      <c r="X26" s="398">
        <f t="shared" si="22"/>
        <v>6004.4866666666667</v>
      </c>
      <c r="Y26" s="399">
        <f t="shared" si="5"/>
        <v>1842</v>
      </c>
      <c r="Z26" s="398">
        <f t="shared" si="13"/>
        <v>6004.4866666666667</v>
      </c>
      <c r="AA26" s="399">
        <f t="shared" si="14"/>
        <v>1842</v>
      </c>
      <c r="AB26" s="398">
        <f t="shared" si="6"/>
        <v>178.33325399999995</v>
      </c>
      <c r="AC26" s="399">
        <f t="shared" si="7"/>
        <v>54.707399999999993</v>
      </c>
      <c r="AD26" s="398">
        <f t="shared" si="15"/>
        <v>1000.7477777777776</v>
      </c>
      <c r="AE26" s="399">
        <f t="shared" si="16"/>
        <v>307</v>
      </c>
      <c r="AF26" s="344">
        <v>0</v>
      </c>
      <c r="AG26" s="398">
        <f t="shared" si="17"/>
        <v>5735.5481777777786</v>
      </c>
      <c r="AH26" s="399">
        <f t="shared" si="18"/>
        <v>1842</v>
      </c>
      <c r="AI26" s="454">
        <f t="shared" si="19"/>
        <v>30.700740740740677</v>
      </c>
      <c r="AJ26" s="85">
        <f t="shared" si="20"/>
        <v>1657.8399999999965</v>
      </c>
      <c r="AK26" s="172"/>
    </row>
    <row r="27" spans="1:48" ht="12.75" customHeight="1" x14ac:dyDescent="0.2">
      <c r="B27" s="335">
        <v>78812.36</v>
      </c>
      <c r="C27" s="336">
        <v>79940.89</v>
      </c>
      <c r="D27" s="337" t="s">
        <v>16</v>
      </c>
      <c r="E27" s="337" t="s">
        <v>107</v>
      </c>
      <c r="F27" s="337" t="s">
        <v>107</v>
      </c>
      <c r="G27" s="103" t="str">
        <f t="shared" si="0"/>
        <v>C/B - C/B</v>
      </c>
      <c r="H27" s="77">
        <f t="shared" si="8"/>
        <v>0</v>
      </c>
      <c r="I27" s="27">
        <f t="shared" si="9"/>
        <v>0</v>
      </c>
      <c r="J27" s="78">
        <f t="shared" si="10"/>
        <v>-2.84</v>
      </c>
      <c r="K27" s="83">
        <f t="shared" si="1"/>
        <v>1128.5299999999988</v>
      </c>
      <c r="L27" s="384">
        <v>42.6</v>
      </c>
      <c r="M27" s="385">
        <v>20</v>
      </c>
      <c r="N27" s="222">
        <f t="shared" si="21"/>
        <v>48076</v>
      </c>
      <c r="O27" s="274">
        <f t="shared" si="2"/>
        <v>22571</v>
      </c>
      <c r="P27" s="394">
        <v>0</v>
      </c>
      <c r="Q27" s="395">
        <v>0</v>
      </c>
      <c r="R27" s="221">
        <f t="shared" si="3"/>
        <v>48076</v>
      </c>
      <c r="S27" s="269">
        <f t="shared" si="3"/>
        <v>22571</v>
      </c>
      <c r="T27" s="400">
        <v>0</v>
      </c>
      <c r="U27" s="401">
        <v>0</v>
      </c>
      <c r="V27" s="410">
        <f t="shared" si="4"/>
        <v>2.6708888888888889</v>
      </c>
      <c r="W27" s="411">
        <f t="shared" si="4"/>
        <v>1.2539444444444443</v>
      </c>
      <c r="X27" s="398">
        <f t="shared" si="22"/>
        <v>5341.7777777777774</v>
      </c>
      <c r="Y27" s="399">
        <f t="shared" si="5"/>
        <v>2507.8888888888887</v>
      </c>
      <c r="Z27" s="398">
        <f t="shared" si="13"/>
        <v>5341.7777777777774</v>
      </c>
      <c r="AA27" s="399">
        <f t="shared" si="14"/>
        <v>2507.8888888888887</v>
      </c>
      <c r="AB27" s="398">
        <f t="shared" si="6"/>
        <v>158.65079999999998</v>
      </c>
      <c r="AC27" s="399">
        <f t="shared" si="7"/>
        <v>74.48429999999999</v>
      </c>
      <c r="AD27" s="398">
        <f t="shared" si="15"/>
        <v>890.2962962962963</v>
      </c>
      <c r="AE27" s="399">
        <f t="shared" si="16"/>
        <v>417.98148148148147</v>
      </c>
      <c r="AF27" s="344">
        <v>0</v>
      </c>
      <c r="AG27" s="398">
        <f t="shared" si="17"/>
        <v>4985.6638666666668</v>
      </c>
      <c r="AH27" s="399">
        <f t="shared" si="18"/>
        <v>2507.8888888888887</v>
      </c>
      <c r="AI27" s="454">
        <f t="shared" si="19"/>
        <v>0</v>
      </c>
      <c r="AJ27" s="85">
        <f t="shared" si="20"/>
        <v>2257.0599999999977</v>
      </c>
      <c r="AK27" s="172"/>
      <c r="AS27" s="93"/>
      <c r="AT27" s="93"/>
      <c r="AU27" s="93"/>
      <c r="AV27" s="93"/>
    </row>
    <row r="28" spans="1:48" ht="12.75" customHeight="1" x14ac:dyDescent="0.2">
      <c r="B28" s="335">
        <v>79940.89</v>
      </c>
      <c r="C28" s="336">
        <v>80220.25</v>
      </c>
      <c r="D28" s="337" t="s">
        <v>16</v>
      </c>
      <c r="E28" s="337" t="s">
        <v>107</v>
      </c>
      <c r="F28" s="337" t="s">
        <v>108</v>
      </c>
      <c r="G28" s="103" t="str">
        <f t="shared" si="0"/>
        <v>-</v>
      </c>
      <c r="H28" s="349">
        <v>3.83</v>
      </c>
      <c r="I28" s="338">
        <v>14.69</v>
      </c>
      <c r="J28" s="358">
        <v>-1.42</v>
      </c>
      <c r="K28" s="83">
        <f t="shared" si="1"/>
        <v>279.36000000000058</v>
      </c>
      <c r="L28" s="384">
        <v>41.42</v>
      </c>
      <c r="M28" s="385">
        <v>20</v>
      </c>
      <c r="N28" s="222">
        <f t="shared" si="21"/>
        <v>11572</v>
      </c>
      <c r="O28" s="274">
        <f t="shared" si="2"/>
        <v>5588</v>
      </c>
      <c r="P28" s="394">
        <v>0</v>
      </c>
      <c r="Q28" s="395">
        <v>0</v>
      </c>
      <c r="R28" s="221">
        <f t="shared" si="3"/>
        <v>11572</v>
      </c>
      <c r="S28" s="269">
        <f t="shared" si="3"/>
        <v>5588</v>
      </c>
      <c r="T28" s="398">
        <f t="shared" ref="T28" si="23">IF(OR($A28="APP SLAB",R28=0),0,(R28+$H28*$K28)/9)</f>
        <v>1404.660977777778</v>
      </c>
      <c r="U28" s="399">
        <f t="shared" ref="U28" si="24">IF($A28="APP SLAB",0,S28/9)</f>
        <v>620.88888888888891</v>
      </c>
      <c r="V28" s="410">
        <f t="shared" si="4"/>
        <v>0.70233048888888905</v>
      </c>
      <c r="W28" s="411">
        <f t="shared" si="4"/>
        <v>0.31044444444444447</v>
      </c>
      <c r="X28" s="398">
        <f t="shared" si="22"/>
        <v>0</v>
      </c>
      <c r="Y28" s="399">
        <f t="shared" si="5"/>
        <v>0</v>
      </c>
      <c r="Z28" s="398">
        <f t="shared" si="13"/>
        <v>0</v>
      </c>
      <c r="AA28" s="399">
        <f t="shared" si="14"/>
        <v>0</v>
      </c>
      <c r="AB28" s="398">
        <f t="shared" si="6"/>
        <v>0</v>
      </c>
      <c r="AC28" s="399">
        <f t="shared" si="7"/>
        <v>0</v>
      </c>
      <c r="AD28" s="398">
        <f t="shared" si="15"/>
        <v>228.9862962962963</v>
      </c>
      <c r="AE28" s="399">
        <f t="shared" si="16"/>
        <v>103.48148148148148</v>
      </c>
      <c r="AF28" s="344">
        <v>0</v>
      </c>
      <c r="AG28" s="398">
        <f t="shared" si="17"/>
        <v>1241.7009777777776</v>
      </c>
      <c r="AH28" s="399">
        <f t="shared" si="18"/>
        <v>620.88888888888891</v>
      </c>
      <c r="AI28" s="454">
        <f t="shared" si="19"/>
        <v>0</v>
      </c>
      <c r="AJ28" s="85">
        <f t="shared" si="20"/>
        <v>558.72000000000116</v>
      </c>
      <c r="AK28" s="172"/>
      <c r="AL28" s="93"/>
    </row>
    <row r="29" spans="1:48" ht="12.75" customHeight="1" x14ac:dyDescent="0.2">
      <c r="B29" s="335">
        <v>80220.25</v>
      </c>
      <c r="C29" s="336">
        <v>80268.77</v>
      </c>
      <c r="D29" s="337" t="s">
        <v>16</v>
      </c>
      <c r="E29" s="337" t="s">
        <v>107</v>
      </c>
      <c r="F29" s="337" t="s">
        <v>102</v>
      </c>
      <c r="G29" s="103" t="str">
        <f t="shared" si="0"/>
        <v>F/C - C/B</v>
      </c>
      <c r="H29" s="77">
        <f t="shared" si="8"/>
        <v>2</v>
      </c>
      <c r="I29" s="27">
        <f t="shared" si="9"/>
        <v>1.347777777777891</v>
      </c>
      <c r="J29" s="78">
        <f t="shared" si="10"/>
        <v>-1.42</v>
      </c>
      <c r="K29" s="83">
        <f t="shared" si="1"/>
        <v>48.520000000004075</v>
      </c>
      <c r="L29" s="384">
        <v>42.42</v>
      </c>
      <c r="M29" s="385">
        <v>20</v>
      </c>
      <c r="N29" s="222">
        <f t="shared" si="21"/>
        <v>2059</v>
      </c>
      <c r="O29" s="274">
        <f t="shared" si="2"/>
        <v>971</v>
      </c>
      <c r="P29" s="394">
        <v>0</v>
      </c>
      <c r="Q29" s="395">
        <v>0</v>
      </c>
      <c r="R29" s="221">
        <f t="shared" si="3"/>
        <v>2059</v>
      </c>
      <c r="S29" s="269">
        <f t="shared" si="3"/>
        <v>971</v>
      </c>
      <c r="T29" s="398">
        <f t="shared" ref="T29:T39" si="25">IF(OR($A29="APP SLAB",R29=0),0,(R29+$H29*$K29)/9)</f>
        <v>239.56000000000091</v>
      </c>
      <c r="U29" s="399">
        <f t="shared" ref="U29:U39" si="26">IF($A29="APP SLAB",0,S29/9)</f>
        <v>107.88888888888889</v>
      </c>
      <c r="V29" s="410">
        <f t="shared" si="4"/>
        <v>0.11978000000000046</v>
      </c>
      <c r="W29" s="411">
        <f t="shared" si="4"/>
        <v>5.3944444444444441E-2</v>
      </c>
      <c r="X29" s="398">
        <f t="shared" si="22"/>
        <v>0</v>
      </c>
      <c r="Y29" s="399">
        <f t="shared" si="5"/>
        <v>0</v>
      </c>
      <c r="Z29" s="398">
        <f t="shared" si="13"/>
        <v>0</v>
      </c>
      <c r="AA29" s="399">
        <f t="shared" si="14"/>
        <v>0</v>
      </c>
      <c r="AB29" s="398">
        <f t="shared" si="6"/>
        <v>0</v>
      </c>
      <c r="AC29" s="399">
        <f t="shared" si="7"/>
        <v>0</v>
      </c>
      <c r="AD29" s="398">
        <f t="shared" si="15"/>
        <v>39.477407407407519</v>
      </c>
      <c r="AE29" s="399">
        <f t="shared" si="16"/>
        <v>17.981481481481481</v>
      </c>
      <c r="AF29" s="344">
        <v>0</v>
      </c>
      <c r="AG29" s="398">
        <f t="shared" si="17"/>
        <v>221.12239999999937</v>
      </c>
      <c r="AH29" s="399">
        <f t="shared" si="18"/>
        <v>107.88888888888889</v>
      </c>
      <c r="AI29" s="454">
        <f t="shared" si="19"/>
        <v>0</v>
      </c>
      <c r="AJ29" s="85">
        <f t="shared" si="20"/>
        <v>97.040000000008149</v>
      </c>
      <c r="AK29" s="172"/>
      <c r="AL29" s="120"/>
    </row>
    <row r="30" spans="1:48" ht="12.75" customHeight="1" x14ac:dyDescent="0.2">
      <c r="B30" s="335">
        <v>80268.77</v>
      </c>
      <c r="C30" s="336">
        <v>80591.100000000006</v>
      </c>
      <c r="D30" s="337" t="s">
        <v>16</v>
      </c>
      <c r="E30" s="337" t="s">
        <v>107</v>
      </c>
      <c r="F30" s="337" t="s">
        <v>102</v>
      </c>
      <c r="G30" s="103" t="str">
        <f t="shared" si="0"/>
        <v>F/C - C/B</v>
      </c>
      <c r="H30" s="77">
        <f t="shared" si="8"/>
        <v>2</v>
      </c>
      <c r="I30" s="27">
        <f t="shared" si="9"/>
        <v>8.9536111111111598</v>
      </c>
      <c r="J30" s="78">
        <f t="shared" si="10"/>
        <v>-1.42</v>
      </c>
      <c r="K30" s="83">
        <f t="shared" si="1"/>
        <v>322.33000000000175</v>
      </c>
      <c r="L30" s="384">
        <v>43.42</v>
      </c>
      <c r="M30" s="385">
        <v>20</v>
      </c>
      <c r="N30" s="222">
        <f t="shared" si="21"/>
        <v>13996</v>
      </c>
      <c r="O30" s="274">
        <f t="shared" si="2"/>
        <v>6447</v>
      </c>
      <c r="P30" s="394">
        <v>0</v>
      </c>
      <c r="Q30" s="395">
        <v>0</v>
      </c>
      <c r="R30" s="221">
        <f t="shared" si="3"/>
        <v>13996</v>
      </c>
      <c r="S30" s="269">
        <f t="shared" si="3"/>
        <v>6447</v>
      </c>
      <c r="T30" s="398">
        <f t="shared" si="25"/>
        <v>1626.7400000000005</v>
      </c>
      <c r="U30" s="399">
        <f t="shared" si="26"/>
        <v>716.33333333333337</v>
      </c>
      <c r="V30" s="410">
        <f t="shared" si="4"/>
        <v>0.81337000000000026</v>
      </c>
      <c r="W30" s="411">
        <f t="shared" si="4"/>
        <v>0.35816666666666669</v>
      </c>
      <c r="X30" s="398">
        <f t="shared" si="22"/>
        <v>0</v>
      </c>
      <c r="Y30" s="399">
        <f t="shared" si="5"/>
        <v>0</v>
      </c>
      <c r="Z30" s="398">
        <f t="shared" si="13"/>
        <v>0</v>
      </c>
      <c r="AA30" s="399">
        <f t="shared" si="14"/>
        <v>0</v>
      </c>
      <c r="AB30" s="398">
        <f t="shared" si="6"/>
        <v>0</v>
      </c>
      <c r="AC30" s="399">
        <f t="shared" si="7"/>
        <v>0</v>
      </c>
      <c r="AD30" s="398">
        <f t="shared" si="15"/>
        <v>268.13879629629633</v>
      </c>
      <c r="AE30" s="399">
        <f t="shared" si="16"/>
        <v>119.38888888888889</v>
      </c>
      <c r="AF30" s="344">
        <v>0</v>
      </c>
      <c r="AG30" s="398">
        <f t="shared" si="17"/>
        <v>1504.2545999999998</v>
      </c>
      <c r="AH30" s="399">
        <f t="shared" si="18"/>
        <v>716.33333333333337</v>
      </c>
      <c r="AI30" s="454">
        <f t="shared" si="19"/>
        <v>0</v>
      </c>
      <c r="AJ30" s="85">
        <f t="shared" si="20"/>
        <v>644.66000000000349</v>
      </c>
      <c r="AK30" s="172"/>
    </row>
    <row r="31" spans="1:48" ht="12.75" customHeight="1" x14ac:dyDescent="0.2">
      <c r="B31" s="335">
        <v>80591.67</v>
      </c>
      <c r="C31" s="336">
        <v>80616.89</v>
      </c>
      <c r="D31" s="337" t="s">
        <v>16</v>
      </c>
      <c r="E31" s="337" t="s">
        <v>97</v>
      </c>
      <c r="F31" s="337" t="s">
        <v>102</v>
      </c>
      <c r="G31" s="103" t="str">
        <f t="shared" si="0"/>
        <v>-</v>
      </c>
      <c r="H31" s="349">
        <v>1.5</v>
      </c>
      <c r="I31" s="338">
        <v>0.47</v>
      </c>
      <c r="J31" s="358">
        <v>0</v>
      </c>
      <c r="K31" s="83">
        <f t="shared" si="1"/>
        <v>25.220000000001164</v>
      </c>
      <c r="L31" s="384" t="s">
        <v>97</v>
      </c>
      <c r="M31" s="385" t="s">
        <v>97</v>
      </c>
      <c r="N31" s="222">
        <f t="shared" si="21"/>
        <v>0</v>
      </c>
      <c r="O31" s="274">
        <f t="shared" si="2"/>
        <v>0</v>
      </c>
      <c r="P31" s="394">
        <v>592</v>
      </c>
      <c r="Q31" s="395">
        <v>252</v>
      </c>
      <c r="R31" s="221">
        <f t="shared" si="3"/>
        <v>592</v>
      </c>
      <c r="S31" s="269">
        <f t="shared" si="3"/>
        <v>252</v>
      </c>
      <c r="T31" s="398">
        <f t="shared" si="25"/>
        <v>69.981111111111304</v>
      </c>
      <c r="U31" s="399">
        <f t="shared" si="26"/>
        <v>28</v>
      </c>
      <c r="V31" s="410">
        <f t="shared" si="4"/>
        <v>3.499055555555565E-2</v>
      </c>
      <c r="W31" s="411">
        <f t="shared" si="4"/>
        <v>1.4E-2</v>
      </c>
      <c r="X31" s="398">
        <f t="shared" si="22"/>
        <v>0</v>
      </c>
      <c r="Y31" s="399">
        <f t="shared" si="5"/>
        <v>0</v>
      </c>
      <c r="Z31" s="398">
        <f t="shared" si="13"/>
        <v>0</v>
      </c>
      <c r="AA31" s="399">
        <f t="shared" si="14"/>
        <v>0</v>
      </c>
      <c r="AB31" s="398">
        <f t="shared" si="6"/>
        <v>0</v>
      </c>
      <c r="AC31" s="399">
        <f t="shared" si="7"/>
        <v>0</v>
      </c>
      <c r="AD31" s="398">
        <f t="shared" si="15"/>
        <v>11.432962962962964</v>
      </c>
      <c r="AE31" s="399">
        <f t="shared" si="16"/>
        <v>4.666666666666667</v>
      </c>
      <c r="AF31" s="344">
        <v>0</v>
      </c>
      <c r="AG31" s="398">
        <f t="shared" si="17"/>
        <v>65.777777777777771</v>
      </c>
      <c r="AH31" s="399">
        <f t="shared" si="18"/>
        <v>28</v>
      </c>
      <c r="AI31" s="454">
        <f t="shared" si="19"/>
        <v>0</v>
      </c>
      <c r="AJ31" s="85">
        <f t="shared" si="20"/>
        <v>50.440000000002328</v>
      </c>
      <c r="AK31" s="172"/>
    </row>
    <row r="32" spans="1:48" ht="12.75" customHeight="1" x14ac:dyDescent="0.2">
      <c r="A32" s="81" t="s">
        <v>28</v>
      </c>
      <c r="B32" s="335">
        <v>80591.100000000006</v>
      </c>
      <c r="C32" s="336">
        <v>80621.100000000006</v>
      </c>
      <c r="D32" s="337" t="s">
        <v>16</v>
      </c>
      <c r="E32" s="337" t="s">
        <v>97</v>
      </c>
      <c r="F32" s="337" t="s">
        <v>97</v>
      </c>
      <c r="G32" s="103" t="str">
        <f t="shared" si="0"/>
        <v>-</v>
      </c>
      <c r="H32" s="77">
        <f t="shared" si="8"/>
        <v>0</v>
      </c>
      <c r="I32" s="27">
        <f t="shared" si="9"/>
        <v>0</v>
      </c>
      <c r="J32" s="78">
        <f t="shared" si="10"/>
        <v>0</v>
      </c>
      <c r="K32" s="83">
        <f t="shared" si="1"/>
        <v>30</v>
      </c>
      <c r="L32" s="384" t="s">
        <v>97</v>
      </c>
      <c r="M32" s="385" t="s">
        <v>97</v>
      </c>
      <c r="N32" s="222">
        <f t="shared" si="21"/>
        <v>0</v>
      </c>
      <c r="O32" s="274">
        <f t="shared" si="2"/>
        <v>0</v>
      </c>
      <c r="P32" s="394">
        <v>1378</v>
      </c>
      <c r="Q32" s="395">
        <v>600</v>
      </c>
      <c r="R32" s="221">
        <f t="shared" si="3"/>
        <v>1378</v>
      </c>
      <c r="S32" s="269">
        <f t="shared" si="3"/>
        <v>600</v>
      </c>
      <c r="T32" s="398">
        <f t="shared" si="25"/>
        <v>0</v>
      </c>
      <c r="U32" s="399">
        <f t="shared" si="26"/>
        <v>0</v>
      </c>
      <c r="V32" s="410">
        <f t="shared" si="4"/>
        <v>0</v>
      </c>
      <c r="W32" s="411">
        <f t="shared" si="4"/>
        <v>0</v>
      </c>
      <c r="X32" s="398">
        <f t="shared" si="22"/>
        <v>0</v>
      </c>
      <c r="Y32" s="399">
        <f t="shared" si="5"/>
        <v>0</v>
      </c>
      <c r="Z32" s="398">
        <f t="shared" si="13"/>
        <v>0</v>
      </c>
      <c r="AA32" s="399">
        <f t="shared" si="14"/>
        <v>0</v>
      </c>
      <c r="AB32" s="398">
        <f t="shared" si="6"/>
        <v>0</v>
      </c>
      <c r="AC32" s="399">
        <f t="shared" si="7"/>
        <v>0</v>
      </c>
      <c r="AD32" s="398">
        <f t="shared" si="15"/>
        <v>25.518518518518519</v>
      </c>
      <c r="AE32" s="399">
        <f t="shared" si="16"/>
        <v>11.111111111111111</v>
      </c>
      <c r="AF32" s="380">
        <v>69</v>
      </c>
      <c r="AG32" s="398">
        <f t="shared" si="17"/>
        <v>0</v>
      </c>
      <c r="AH32" s="399">
        <f t="shared" si="18"/>
        <v>0</v>
      </c>
      <c r="AI32" s="454">
        <f t="shared" si="19"/>
        <v>0</v>
      </c>
      <c r="AJ32" s="85">
        <f t="shared" si="20"/>
        <v>0</v>
      </c>
      <c r="AK32" s="172"/>
    </row>
    <row r="33" spans="1:37" ht="12.75" customHeight="1" x14ac:dyDescent="0.2">
      <c r="A33" s="81" t="s">
        <v>28</v>
      </c>
      <c r="B33" s="335">
        <v>80726.02</v>
      </c>
      <c r="C33" s="336">
        <v>80756.02</v>
      </c>
      <c r="D33" s="337" t="s">
        <v>16</v>
      </c>
      <c r="E33" s="337" t="s">
        <v>97</v>
      </c>
      <c r="F33" s="337" t="s">
        <v>97</v>
      </c>
      <c r="G33" s="103" t="str">
        <f t="shared" si="0"/>
        <v>-</v>
      </c>
      <c r="H33" s="77">
        <f t="shared" si="8"/>
        <v>0</v>
      </c>
      <c r="I33" s="27">
        <f t="shared" si="9"/>
        <v>0</v>
      </c>
      <c r="J33" s="78">
        <f t="shared" si="10"/>
        <v>0</v>
      </c>
      <c r="K33" s="83">
        <f t="shared" si="1"/>
        <v>30</v>
      </c>
      <c r="L33" s="384" t="s">
        <v>97</v>
      </c>
      <c r="M33" s="385" t="s">
        <v>97</v>
      </c>
      <c r="N33" s="222">
        <f t="shared" si="21"/>
        <v>0</v>
      </c>
      <c r="O33" s="274">
        <f t="shared" si="2"/>
        <v>0</v>
      </c>
      <c r="P33" s="394">
        <v>1384</v>
      </c>
      <c r="Q33" s="395">
        <v>600</v>
      </c>
      <c r="R33" s="221">
        <f t="shared" si="3"/>
        <v>1384</v>
      </c>
      <c r="S33" s="269">
        <f t="shared" si="3"/>
        <v>600</v>
      </c>
      <c r="T33" s="398">
        <f t="shared" si="25"/>
        <v>0</v>
      </c>
      <c r="U33" s="399">
        <f t="shared" si="26"/>
        <v>0</v>
      </c>
      <c r="V33" s="410">
        <f t="shared" si="4"/>
        <v>0</v>
      </c>
      <c r="W33" s="411">
        <f t="shared" si="4"/>
        <v>0</v>
      </c>
      <c r="X33" s="398">
        <f t="shared" si="22"/>
        <v>0</v>
      </c>
      <c r="Y33" s="399">
        <f t="shared" si="5"/>
        <v>0</v>
      </c>
      <c r="Z33" s="398">
        <f t="shared" si="13"/>
        <v>0</v>
      </c>
      <c r="AA33" s="399">
        <f t="shared" si="14"/>
        <v>0</v>
      </c>
      <c r="AB33" s="398">
        <f t="shared" si="6"/>
        <v>0</v>
      </c>
      <c r="AC33" s="399">
        <f t="shared" si="7"/>
        <v>0</v>
      </c>
      <c r="AD33" s="398">
        <f t="shared" si="15"/>
        <v>25.62962962962963</v>
      </c>
      <c r="AE33" s="399">
        <f t="shared" si="16"/>
        <v>11.111111111111111</v>
      </c>
      <c r="AF33" s="380">
        <v>67</v>
      </c>
      <c r="AG33" s="398">
        <f t="shared" si="17"/>
        <v>0</v>
      </c>
      <c r="AH33" s="399">
        <f t="shared" si="18"/>
        <v>0</v>
      </c>
      <c r="AI33" s="454">
        <f t="shared" si="19"/>
        <v>0</v>
      </c>
      <c r="AJ33" s="85">
        <f t="shared" si="20"/>
        <v>0</v>
      </c>
      <c r="AK33" s="172"/>
    </row>
    <row r="34" spans="1:37" ht="12.75" customHeight="1" x14ac:dyDescent="0.2">
      <c r="B34" s="335">
        <v>80756.02</v>
      </c>
      <c r="C34" s="336">
        <v>80776.289999999994</v>
      </c>
      <c r="D34" s="337" t="s">
        <v>16</v>
      </c>
      <c r="E34" s="337" t="s">
        <v>107</v>
      </c>
      <c r="F34" s="337" t="s">
        <v>97</v>
      </c>
      <c r="G34" s="103" t="str">
        <f t="shared" si="0"/>
        <v>-</v>
      </c>
      <c r="H34" s="349">
        <v>1.5</v>
      </c>
      <c r="I34" s="338">
        <v>0.56000000000000005</v>
      </c>
      <c r="J34" s="358">
        <v>-1.42</v>
      </c>
      <c r="K34" s="83">
        <f t="shared" si="1"/>
        <v>20.269999999989523</v>
      </c>
      <c r="L34" s="384" t="s">
        <v>97</v>
      </c>
      <c r="M34" s="385" t="s">
        <v>97</v>
      </c>
      <c r="N34" s="222">
        <f t="shared" si="21"/>
        <v>0</v>
      </c>
      <c r="O34" s="274">
        <f t="shared" si="2"/>
        <v>0</v>
      </c>
      <c r="P34" s="394">
        <v>440</v>
      </c>
      <c r="Q34" s="395">
        <v>203</v>
      </c>
      <c r="R34" s="221">
        <f t="shared" si="3"/>
        <v>440</v>
      </c>
      <c r="S34" s="269">
        <f t="shared" si="3"/>
        <v>203</v>
      </c>
      <c r="T34" s="398">
        <f t="shared" si="25"/>
        <v>52.267222222220475</v>
      </c>
      <c r="U34" s="399">
        <f t="shared" si="26"/>
        <v>22.555555555555557</v>
      </c>
      <c r="V34" s="410">
        <f t="shared" si="4"/>
        <v>2.6133611111110237E-2</v>
      </c>
      <c r="W34" s="411">
        <f t="shared" si="4"/>
        <v>1.1277777777777779E-2</v>
      </c>
      <c r="X34" s="398">
        <f t="shared" si="22"/>
        <v>0</v>
      </c>
      <c r="Y34" s="399">
        <f t="shared" si="5"/>
        <v>0</v>
      </c>
      <c r="Z34" s="398">
        <f t="shared" si="13"/>
        <v>0</v>
      </c>
      <c r="AA34" s="399">
        <f t="shared" si="14"/>
        <v>0</v>
      </c>
      <c r="AB34" s="398">
        <f t="shared" si="6"/>
        <v>0</v>
      </c>
      <c r="AC34" s="399">
        <f t="shared" si="7"/>
        <v>0</v>
      </c>
      <c r="AD34" s="398">
        <f t="shared" si="15"/>
        <v>8.7081481481481493</v>
      </c>
      <c r="AE34" s="399">
        <f t="shared" si="16"/>
        <v>3.7592592592592591</v>
      </c>
      <c r="AF34" s="344">
        <v>0</v>
      </c>
      <c r="AG34" s="398">
        <f t="shared" si="17"/>
        <v>45.690733333334983</v>
      </c>
      <c r="AH34" s="399">
        <f t="shared" si="18"/>
        <v>22.555555555555557</v>
      </c>
      <c r="AI34" s="454">
        <f t="shared" si="19"/>
        <v>0</v>
      </c>
      <c r="AJ34" s="85">
        <f t="shared" si="20"/>
        <v>40.539999999979045</v>
      </c>
      <c r="AK34" s="172"/>
    </row>
    <row r="35" spans="1:37" ht="12.75" customHeight="1" x14ac:dyDescent="0.2">
      <c r="B35" s="335">
        <v>80776.289999999994</v>
      </c>
      <c r="C35" s="336">
        <v>80969.399999999994</v>
      </c>
      <c r="D35" s="337" t="s">
        <v>16</v>
      </c>
      <c r="E35" s="337" t="s">
        <v>107</v>
      </c>
      <c r="F35" s="337" t="s">
        <v>102</v>
      </c>
      <c r="G35" s="103" t="str">
        <f t="shared" si="0"/>
        <v>F/C - C/B</v>
      </c>
      <c r="H35" s="77">
        <f t="shared" si="8"/>
        <v>2</v>
      </c>
      <c r="I35" s="27">
        <f t="shared" si="9"/>
        <v>5.3641666666666827</v>
      </c>
      <c r="J35" s="78">
        <f t="shared" si="10"/>
        <v>-1.42</v>
      </c>
      <c r="K35" s="83">
        <f t="shared" si="1"/>
        <v>193.11000000000058</v>
      </c>
      <c r="L35" s="384">
        <v>43.42</v>
      </c>
      <c r="M35" s="385">
        <v>20</v>
      </c>
      <c r="N35" s="222">
        <f t="shared" si="21"/>
        <v>8385</v>
      </c>
      <c r="O35" s="274">
        <f t="shared" si="2"/>
        <v>3863</v>
      </c>
      <c r="P35" s="394">
        <v>0</v>
      </c>
      <c r="Q35" s="395">
        <v>0</v>
      </c>
      <c r="R35" s="221">
        <f t="shared" si="3"/>
        <v>8385</v>
      </c>
      <c r="S35" s="269">
        <f t="shared" si="3"/>
        <v>3863</v>
      </c>
      <c r="T35" s="398">
        <f t="shared" si="25"/>
        <v>974.58000000000015</v>
      </c>
      <c r="U35" s="399">
        <f t="shared" si="26"/>
        <v>429.22222222222223</v>
      </c>
      <c r="V35" s="410">
        <f t="shared" si="4"/>
        <v>0.48729000000000006</v>
      </c>
      <c r="W35" s="411">
        <f t="shared" si="4"/>
        <v>0.21461111111111111</v>
      </c>
      <c r="X35" s="398">
        <f t="shared" si="22"/>
        <v>0</v>
      </c>
      <c r="Y35" s="399">
        <f t="shared" si="22"/>
        <v>0</v>
      </c>
      <c r="Z35" s="398">
        <f t="shared" si="13"/>
        <v>0</v>
      </c>
      <c r="AA35" s="399">
        <f t="shared" si="14"/>
        <v>0</v>
      </c>
      <c r="AB35" s="398">
        <f t="shared" si="6"/>
        <v>0</v>
      </c>
      <c r="AC35" s="399">
        <f t="shared" si="7"/>
        <v>0</v>
      </c>
      <c r="AD35" s="398">
        <f t="shared" si="15"/>
        <v>160.64194444444445</v>
      </c>
      <c r="AE35" s="399">
        <f t="shared" si="16"/>
        <v>71.537037037037038</v>
      </c>
      <c r="AF35" s="344">
        <v>0</v>
      </c>
      <c r="AG35" s="398">
        <f t="shared" si="17"/>
        <v>901.19819999999993</v>
      </c>
      <c r="AH35" s="399">
        <f t="shared" si="18"/>
        <v>429.22222222222223</v>
      </c>
      <c r="AI35" s="454">
        <f t="shared" si="19"/>
        <v>0</v>
      </c>
      <c r="AJ35" s="85">
        <f t="shared" si="20"/>
        <v>386.22000000000116</v>
      </c>
      <c r="AK35" s="172"/>
    </row>
    <row r="36" spans="1:37" ht="12.75" customHeight="1" x14ac:dyDescent="0.2">
      <c r="B36" s="335">
        <v>80969.399999999994</v>
      </c>
      <c r="C36" s="336">
        <v>81317.06</v>
      </c>
      <c r="D36" s="337" t="s">
        <v>16</v>
      </c>
      <c r="E36" s="337" t="s">
        <v>107</v>
      </c>
      <c r="F36" s="337" t="s">
        <v>101</v>
      </c>
      <c r="G36" s="103" t="str">
        <f t="shared" si="0"/>
        <v>E/S - C/B</v>
      </c>
      <c r="H36" s="77">
        <f t="shared" si="8"/>
        <v>1.5</v>
      </c>
      <c r="I36" s="27">
        <f t="shared" si="9"/>
        <v>9.6572222222223196</v>
      </c>
      <c r="J36" s="78">
        <f t="shared" si="10"/>
        <v>-1.42</v>
      </c>
      <c r="K36" s="83">
        <f t="shared" si="1"/>
        <v>347.66000000000349</v>
      </c>
      <c r="L36" s="384">
        <v>41.42</v>
      </c>
      <c r="M36" s="385">
        <v>20</v>
      </c>
      <c r="N36" s="222">
        <f t="shared" si="21"/>
        <v>14401</v>
      </c>
      <c r="O36" s="274">
        <f t="shared" si="2"/>
        <v>6954</v>
      </c>
      <c r="P36" s="394">
        <v>0</v>
      </c>
      <c r="Q36" s="395">
        <v>0</v>
      </c>
      <c r="R36" s="221">
        <f t="shared" si="3"/>
        <v>14401</v>
      </c>
      <c r="S36" s="269">
        <f t="shared" si="3"/>
        <v>6954</v>
      </c>
      <c r="T36" s="398">
        <f t="shared" si="25"/>
        <v>1658.0544444444449</v>
      </c>
      <c r="U36" s="399">
        <f t="shared" si="26"/>
        <v>772.66666666666663</v>
      </c>
      <c r="V36" s="410">
        <f t="shared" si="4"/>
        <v>0.82902722222222247</v>
      </c>
      <c r="W36" s="411">
        <f t="shared" si="4"/>
        <v>0.38633333333333331</v>
      </c>
      <c r="X36" s="398">
        <f t="shared" si="22"/>
        <v>0</v>
      </c>
      <c r="Y36" s="399">
        <f t="shared" si="22"/>
        <v>0</v>
      </c>
      <c r="Z36" s="398">
        <f t="shared" si="13"/>
        <v>0</v>
      </c>
      <c r="AA36" s="399">
        <f t="shared" si="14"/>
        <v>0</v>
      </c>
      <c r="AB36" s="398">
        <f t="shared" si="6"/>
        <v>0</v>
      </c>
      <c r="AC36" s="399">
        <f t="shared" si="7"/>
        <v>0</v>
      </c>
      <c r="AD36" s="398">
        <f t="shared" si="15"/>
        <v>276.34240740740751</v>
      </c>
      <c r="AE36" s="399">
        <f t="shared" si="16"/>
        <v>128.77777777777777</v>
      </c>
      <c r="AF36" s="344">
        <v>0</v>
      </c>
      <c r="AG36" s="398">
        <f t="shared" si="17"/>
        <v>1545.2580888888883</v>
      </c>
      <c r="AH36" s="399">
        <f t="shared" si="18"/>
        <v>772.66666666666663</v>
      </c>
      <c r="AI36" s="454">
        <f t="shared" si="19"/>
        <v>12.876296296296426</v>
      </c>
      <c r="AJ36" s="85">
        <f t="shared" si="20"/>
        <v>695.32000000000698</v>
      </c>
      <c r="AK36" s="172"/>
    </row>
    <row r="37" spans="1:37" ht="12.75" customHeight="1" x14ac:dyDescent="0.2">
      <c r="B37" s="335">
        <v>81317.06</v>
      </c>
      <c r="C37" s="336">
        <v>81343.72</v>
      </c>
      <c r="D37" s="337" t="s">
        <v>16</v>
      </c>
      <c r="E37" s="337" t="s">
        <v>97</v>
      </c>
      <c r="F37" s="337" t="s">
        <v>101</v>
      </c>
      <c r="G37" s="103" t="str">
        <f t="shared" si="0"/>
        <v>-</v>
      </c>
      <c r="H37" s="349">
        <v>1.5</v>
      </c>
      <c r="I37" s="338">
        <v>0.55000000000000004</v>
      </c>
      <c r="J37" s="358">
        <v>0</v>
      </c>
      <c r="K37" s="83">
        <f t="shared" si="1"/>
        <v>26.660000000003492</v>
      </c>
      <c r="L37" s="384" t="s">
        <v>97</v>
      </c>
      <c r="M37" s="385" t="s">
        <v>97</v>
      </c>
      <c r="N37" s="222">
        <f t="shared" si="21"/>
        <v>0</v>
      </c>
      <c r="O37" s="274">
        <f t="shared" si="2"/>
        <v>0</v>
      </c>
      <c r="P37" s="394">
        <v>1971</v>
      </c>
      <c r="Q37" s="395">
        <v>267</v>
      </c>
      <c r="R37" s="221">
        <f t="shared" si="3"/>
        <v>1971</v>
      </c>
      <c r="S37" s="269">
        <f t="shared" si="3"/>
        <v>267</v>
      </c>
      <c r="T37" s="398">
        <f t="shared" si="25"/>
        <v>223.44333333333392</v>
      </c>
      <c r="U37" s="399">
        <f t="shared" si="26"/>
        <v>29.666666666666668</v>
      </c>
      <c r="V37" s="410">
        <f t="shared" si="4"/>
        <v>0.11172166666666697</v>
      </c>
      <c r="W37" s="411">
        <f t="shared" si="4"/>
        <v>1.4833333333333334E-2</v>
      </c>
      <c r="X37" s="398">
        <f t="shared" si="22"/>
        <v>0</v>
      </c>
      <c r="Y37" s="399">
        <f t="shared" si="22"/>
        <v>0</v>
      </c>
      <c r="Z37" s="398">
        <f t="shared" si="13"/>
        <v>0</v>
      </c>
      <c r="AA37" s="399">
        <f t="shared" si="14"/>
        <v>0</v>
      </c>
      <c r="AB37" s="398">
        <f t="shared" si="6"/>
        <v>0</v>
      </c>
      <c r="AC37" s="399">
        <f t="shared" si="7"/>
        <v>0</v>
      </c>
      <c r="AD37" s="398">
        <f t="shared" si="15"/>
        <v>37.049999999999997</v>
      </c>
      <c r="AE37" s="399">
        <f t="shared" si="16"/>
        <v>4.9444444444444446</v>
      </c>
      <c r="AF37" s="344">
        <v>0</v>
      </c>
      <c r="AG37" s="398">
        <f t="shared" si="17"/>
        <v>219</v>
      </c>
      <c r="AH37" s="399">
        <f t="shared" si="18"/>
        <v>29.666666666666668</v>
      </c>
      <c r="AI37" s="454">
        <f t="shared" si="19"/>
        <v>0.98740740740753674</v>
      </c>
      <c r="AJ37" s="85">
        <f t="shared" si="20"/>
        <v>53.320000000006985</v>
      </c>
      <c r="AK37" s="172"/>
    </row>
    <row r="38" spans="1:37" ht="12.75" customHeight="1" x14ac:dyDescent="0.2">
      <c r="A38" s="81" t="s">
        <v>28</v>
      </c>
      <c r="B38" s="335">
        <v>81316.66</v>
      </c>
      <c r="C38" s="336">
        <v>81346.66</v>
      </c>
      <c r="D38" s="337" t="s">
        <v>16</v>
      </c>
      <c r="E38" s="337" t="s">
        <v>97</v>
      </c>
      <c r="F38" s="337" t="s">
        <v>97</v>
      </c>
      <c r="G38" s="103" t="str">
        <f t="shared" si="0"/>
        <v>-</v>
      </c>
      <c r="H38" s="77">
        <v>4</v>
      </c>
      <c r="I38" s="27">
        <f t="shared" si="9"/>
        <v>0</v>
      </c>
      <c r="J38" s="78">
        <f t="shared" si="10"/>
        <v>0</v>
      </c>
      <c r="K38" s="83">
        <f t="shared" si="1"/>
        <v>30</v>
      </c>
      <c r="L38" s="384" t="s">
        <v>97</v>
      </c>
      <c r="M38" s="385" t="s">
        <v>97</v>
      </c>
      <c r="N38" s="222">
        <f t="shared" si="21"/>
        <v>0</v>
      </c>
      <c r="O38" s="274">
        <f t="shared" si="2"/>
        <v>0</v>
      </c>
      <c r="P38" s="394">
        <v>1217</v>
      </c>
      <c r="Q38" s="395">
        <v>600</v>
      </c>
      <c r="R38" s="221">
        <f t="shared" si="3"/>
        <v>1217</v>
      </c>
      <c r="S38" s="269">
        <f t="shared" si="3"/>
        <v>600</v>
      </c>
      <c r="T38" s="398">
        <f>IF(OR(R38=0),0,(R38+$H38*$K38)/9)</f>
        <v>148.55555555555554</v>
      </c>
      <c r="U38" s="399">
        <f>IF($A38="",0,S38/9)</f>
        <v>66.666666666666671</v>
      </c>
      <c r="V38" s="410">
        <f t="shared" si="4"/>
        <v>7.4277777777777776E-2</v>
      </c>
      <c r="W38" s="411">
        <f t="shared" si="4"/>
        <v>3.3333333333333333E-2</v>
      </c>
      <c r="X38" s="398">
        <f>IF(OR(T38&lt;&gt;0),0,Z38)</f>
        <v>0</v>
      </c>
      <c r="Y38" s="399">
        <f>IF(OR(U38&lt;&gt;0),0,AA38)</f>
        <v>0</v>
      </c>
      <c r="Z38" s="398">
        <f>IF(OR(T38&lt;&gt;0),0,(R38+$H38*$K38)/9)</f>
        <v>0</v>
      </c>
      <c r="AA38" s="399">
        <f>IF(OR(U38&lt;&gt;0),0,S38/9)</f>
        <v>0</v>
      </c>
      <c r="AB38" s="398">
        <f>IF(OR(T38&lt;&gt;0),0,$Z$1*Z38*110*0.06*0.75/2000)</f>
        <v>0</v>
      </c>
      <c r="AC38" s="399">
        <f>IF(OR(U38&lt;&gt;0),0,$Z$1*AA38*110*0.06*0.75/2000)</f>
        <v>0</v>
      </c>
      <c r="AD38" s="398">
        <f t="shared" si="15"/>
        <v>22.537037037037038</v>
      </c>
      <c r="AE38" s="399">
        <f t="shared" si="16"/>
        <v>11.111111111111111</v>
      </c>
      <c r="AF38" s="380">
        <v>147</v>
      </c>
      <c r="AG38" s="398">
        <f t="shared" si="17"/>
        <v>0</v>
      </c>
      <c r="AH38" s="399">
        <f t="shared" si="18"/>
        <v>0</v>
      </c>
      <c r="AI38" s="454">
        <f t="shared" si="19"/>
        <v>0</v>
      </c>
      <c r="AJ38" s="85">
        <f t="shared" si="20"/>
        <v>0</v>
      </c>
      <c r="AK38" s="172"/>
    </row>
    <row r="39" spans="1:37" ht="12.75" customHeight="1" x14ac:dyDescent="0.2">
      <c r="A39" s="81" t="s">
        <v>28</v>
      </c>
      <c r="B39" s="335">
        <v>81611.210000000006</v>
      </c>
      <c r="C39" s="336">
        <v>81641.210000000006</v>
      </c>
      <c r="D39" s="337" t="s">
        <v>16</v>
      </c>
      <c r="E39" s="337" t="s">
        <v>97</v>
      </c>
      <c r="F39" s="337" t="s">
        <v>97</v>
      </c>
      <c r="G39" s="103" t="str">
        <f t="shared" si="0"/>
        <v>-</v>
      </c>
      <c r="H39" s="77">
        <v>4</v>
      </c>
      <c r="I39" s="27">
        <f t="shared" si="9"/>
        <v>0</v>
      </c>
      <c r="J39" s="78">
        <f t="shared" si="10"/>
        <v>0</v>
      </c>
      <c r="K39" s="83">
        <f t="shared" si="1"/>
        <v>30</v>
      </c>
      <c r="L39" s="384" t="s">
        <v>97</v>
      </c>
      <c r="M39" s="385" t="s">
        <v>97</v>
      </c>
      <c r="N39" s="222">
        <f t="shared" si="21"/>
        <v>0</v>
      </c>
      <c r="O39" s="274">
        <f t="shared" si="2"/>
        <v>0</v>
      </c>
      <c r="P39" s="394">
        <v>1965</v>
      </c>
      <c r="Q39" s="395">
        <v>600</v>
      </c>
      <c r="R39" s="221">
        <f t="shared" si="3"/>
        <v>1965</v>
      </c>
      <c r="S39" s="269">
        <f t="shared" si="3"/>
        <v>600</v>
      </c>
      <c r="T39" s="398">
        <f t="shared" si="25"/>
        <v>0</v>
      </c>
      <c r="U39" s="399">
        <f t="shared" si="26"/>
        <v>0</v>
      </c>
      <c r="V39" s="410">
        <f t="shared" si="4"/>
        <v>0.11583333333333333</v>
      </c>
      <c r="W39" s="411">
        <f t="shared" si="4"/>
        <v>3.3333333333333333E-2</v>
      </c>
      <c r="X39" s="398">
        <f>IF(OR(T39&lt;&gt;0),0,Z39)</f>
        <v>231.66666666666666</v>
      </c>
      <c r="Y39" s="399">
        <f>IF(OR(U39&lt;&gt;0),0,AA39)</f>
        <v>66.666666666666671</v>
      </c>
      <c r="Z39" s="398">
        <f>IF(OR(T39&lt;&gt;0),0,(R39+$H39*$K39)/9)</f>
        <v>231.66666666666666</v>
      </c>
      <c r="AA39" s="399">
        <f>IF(OR(U39&lt;&gt;0),0,S39/9)</f>
        <v>66.666666666666671</v>
      </c>
      <c r="AB39" s="398">
        <f>IF(OR(T39&lt;&gt;0),0,$Z$1*Z39*110*0.06*0.75/2000)</f>
        <v>6.8804999999999996</v>
      </c>
      <c r="AC39" s="399">
        <f>IF(OR(U39&lt;&gt;0),0,$Z$1*AA39*110*0.06*0.75/2000)</f>
        <v>1.98</v>
      </c>
      <c r="AD39" s="398">
        <f t="shared" si="15"/>
        <v>36.388888888888886</v>
      </c>
      <c r="AE39" s="399">
        <f t="shared" si="16"/>
        <v>11.111111111111111</v>
      </c>
      <c r="AF39" s="380">
        <v>112</v>
      </c>
      <c r="AG39" s="398">
        <f t="shared" si="17"/>
        <v>0</v>
      </c>
      <c r="AH39" s="399">
        <f t="shared" si="18"/>
        <v>0</v>
      </c>
      <c r="AI39" s="454">
        <f t="shared" si="19"/>
        <v>0</v>
      </c>
      <c r="AJ39" s="85">
        <f t="shared" si="20"/>
        <v>0</v>
      </c>
      <c r="AK39" s="172"/>
    </row>
    <row r="40" spans="1:37" ht="12.75" customHeight="1" x14ac:dyDescent="0.2">
      <c r="B40" s="335">
        <v>81641.509999999995</v>
      </c>
      <c r="C40" s="336">
        <v>81715.81</v>
      </c>
      <c r="D40" s="337" t="s">
        <v>16</v>
      </c>
      <c r="E40" s="337" t="s">
        <v>107</v>
      </c>
      <c r="F40" s="337" t="s">
        <v>97</v>
      </c>
      <c r="G40" s="103" t="str">
        <f t="shared" si="0"/>
        <v>-</v>
      </c>
      <c r="H40" s="349">
        <v>1.5</v>
      </c>
      <c r="I40" s="338">
        <v>2.0699999999999998</v>
      </c>
      <c r="J40" s="358">
        <v>-1.42</v>
      </c>
      <c r="K40" s="83">
        <f t="shared" si="1"/>
        <v>74.30000000000291</v>
      </c>
      <c r="L40" s="384" t="s">
        <v>97</v>
      </c>
      <c r="M40" s="385" t="s">
        <v>97</v>
      </c>
      <c r="N40" s="222">
        <f t="shared" si="21"/>
        <v>0</v>
      </c>
      <c r="O40" s="274">
        <f t="shared" si="2"/>
        <v>0</v>
      </c>
      <c r="P40" s="394">
        <v>2326</v>
      </c>
      <c r="Q40" s="395">
        <v>743</v>
      </c>
      <c r="R40" s="221">
        <f t="shared" si="3"/>
        <v>2326</v>
      </c>
      <c r="S40" s="269">
        <f t="shared" si="3"/>
        <v>743</v>
      </c>
      <c r="T40" s="400">
        <v>0</v>
      </c>
      <c r="U40" s="401">
        <v>0</v>
      </c>
      <c r="V40" s="410">
        <f t="shared" si="4"/>
        <v>0.13541388888888911</v>
      </c>
      <c r="W40" s="411">
        <f t="shared" si="4"/>
        <v>4.1277777777777781E-2</v>
      </c>
      <c r="X40" s="398">
        <f t="shared" si="22"/>
        <v>270.82777777777824</v>
      </c>
      <c r="Y40" s="399">
        <f t="shared" si="22"/>
        <v>82.555555555555557</v>
      </c>
      <c r="Z40" s="398">
        <f t="shared" si="13"/>
        <v>270.82777777777824</v>
      </c>
      <c r="AA40" s="399">
        <f t="shared" si="14"/>
        <v>82.555555555555557</v>
      </c>
      <c r="AB40" s="398">
        <f t="shared" si="6"/>
        <v>8.0435850000000126</v>
      </c>
      <c r="AC40" s="399">
        <f t="shared" si="7"/>
        <v>2.4519000000000002</v>
      </c>
      <c r="AD40" s="398">
        <f t="shared" si="15"/>
        <v>45.144074074074076</v>
      </c>
      <c r="AE40" s="399">
        <f t="shared" si="16"/>
        <v>13.75925925925926</v>
      </c>
      <c r="AF40" s="344">
        <v>0</v>
      </c>
      <c r="AG40" s="398">
        <f t="shared" si="17"/>
        <v>246.72155555555511</v>
      </c>
      <c r="AH40" s="399">
        <f t="shared" si="18"/>
        <v>82.555555555555557</v>
      </c>
      <c r="AI40" s="454">
        <f t="shared" si="19"/>
        <v>0</v>
      </c>
      <c r="AJ40" s="85">
        <f t="shared" si="20"/>
        <v>148.60000000000582</v>
      </c>
      <c r="AK40" s="172"/>
    </row>
    <row r="41" spans="1:37" ht="12.75" customHeight="1" x14ac:dyDescent="0.2">
      <c r="B41" s="335">
        <v>81715.81</v>
      </c>
      <c r="C41" s="336">
        <v>82520</v>
      </c>
      <c r="D41" s="337" t="s">
        <v>16</v>
      </c>
      <c r="E41" s="337" t="s">
        <v>107</v>
      </c>
      <c r="F41" s="337" t="s">
        <v>102</v>
      </c>
      <c r="G41" s="103" t="str">
        <f t="shared" si="0"/>
        <v>F/C - C/B</v>
      </c>
      <c r="H41" s="77">
        <f t="shared" si="8"/>
        <v>2</v>
      </c>
      <c r="I41" s="27">
        <f t="shared" si="9"/>
        <v>22.338611111111177</v>
      </c>
      <c r="J41" s="78">
        <f t="shared" si="10"/>
        <v>-1.42</v>
      </c>
      <c r="K41" s="83">
        <f t="shared" si="1"/>
        <v>804.19000000000233</v>
      </c>
      <c r="L41" s="384">
        <v>53.94</v>
      </c>
      <c r="M41" s="385">
        <v>20</v>
      </c>
      <c r="N41" s="222">
        <f t="shared" si="21"/>
        <v>43379</v>
      </c>
      <c r="O41" s="274">
        <f t="shared" si="2"/>
        <v>16084</v>
      </c>
      <c r="P41" s="394">
        <v>0</v>
      </c>
      <c r="Q41" s="395">
        <v>0</v>
      </c>
      <c r="R41" s="221">
        <f t="shared" si="3"/>
        <v>43379</v>
      </c>
      <c r="S41" s="269">
        <f t="shared" si="3"/>
        <v>16084</v>
      </c>
      <c r="T41" s="400">
        <v>0</v>
      </c>
      <c r="U41" s="401">
        <v>0</v>
      </c>
      <c r="V41" s="410">
        <f t="shared" si="4"/>
        <v>2.4992988888888892</v>
      </c>
      <c r="W41" s="411">
        <f t="shared" si="4"/>
        <v>0.89355555555555555</v>
      </c>
      <c r="X41" s="398">
        <f t="shared" si="22"/>
        <v>4998.597777777778</v>
      </c>
      <c r="Y41" s="399">
        <f t="shared" si="22"/>
        <v>1787.1111111111111</v>
      </c>
      <c r="Z41" s="398">
        <f t="shared" si="13"/>
        <v>4998.597777777778</v>
      </c>
      <c r="AA41" s="399">
        <f t="shared" si="14"/>
        <v>1787.1111111111111</v>
      </c>
      <c r="AB41" s="398">
        <f t="shared" si="6"/>
        <v>148.45835399999999</v>
      </c>
      <c r="AC41" s="399">
        <f t="shared" si="7"/>
        <v>53.077199999999998</v>
      </c>
      <c r="AD41" s="398">
        <f t="shared" si="15"/>
        <v>825.65342592592594</v>
      </c>
      <c r="AE41" s="399">
        <f t="shared" si="16"/>
        <v>297.85185185185185</v>
      </c>
      <c r="AF41" s="344">
        <v>0</v>
      </c>
      <c r="AG41" s="398">
        <f t="shared" si="17"/>
        <v>4693.0055777777779</v>
      </c>
      <c r="AH41" s="399">
        <f t="shared" si="18"/>
        <v>1787.1111111111111</v>
      </c>
      <c r="AI41" s="454">
        <f t="shared" si="19"/>
        <v>0</v>
      </c>
      <c r="AJ41" s="85">
        <f t="shared" si="20"/>
        <v>1608.3800000000047</v>
      </c>
      <c r="AK41" s="172"/>
    </row>
    <row r="42" spans="1:37" ht="12.75" customHeight="1" x14ac:dyDescent="0.2">
      <c r="B42" s="335">
        <v>82520</v>
      </c>
      <c r="C42" s="336">
        <v>82603.009999999995</v>
      </c>
      <c r="D42" s="337" t="s">
        <v>16</v>
      </c>
      <c r="E42" s="337" t="s">
        <v>107</v>
      </c>
      <c r="F42" s="337" t="s">
        <v>101</v>
      </c>
      <c r="G42" s="103" t="str">
        <f t="shared" si="0"/>
        <v>E/S - C/B</v>
      </c>
      <c r="H42" s="77">
        <f t="shared" si="8"/>
        <v>1.5</v>
      </c>
      <c r="I42" s="27">
        <f t="shared" si="9"/>
        <v>2.305833333333188</v>
      </c>
      <c r="J42" s="78">
        <f t="shared" si="10"/>
        <v>-1.42</v>
      </c>
      <c r="K42" s="83">
        <f t="shared" si="1"/>
        <v>83.009999999994761</v>
      </c>
      <c r="L42" s="384">
        <v>42.25</v>
      </c>
      <c r="M42" s="385">
        <v>20</v>
      </c>
      <c r="N42" s="222">
        <f t="shared" si="21"/>
        <v>3508</v>
      </c>
      <c r="O42" s="274">
        <f t="shared" si="2"/>
        <v>1661</v>
      </c>
      <c r="P42" s="394">
        <v>0</v>
      </c>
      <c r="Q42" s="395">
        <v>0</v>
      </c>
      <c r="R42" s="221">
        <f t="shared" si="3"/>
        <v>3508</v>
      </c>
      <c r="S42" s="269">
        <f t="shared" si="3"/>
        <v>1661</v>
      </c>
      <c r="T42" s="400">
        <v>0</v>
      </c>
      <c r="U42" s="401">
        <v>0</v>
      </c>
      <c r="V42" s="410">
        <f t="shared" si="4"/>
        <v>0.20180638888888844</v>
      </c>
      <c r="W42" s="411">
        <f t="shared" si="4"/>
        <v>9.2277777777777778E-2</v>
      </c>
      <c r="X42" s="398">
        <f t="shared" si="22"/>
        <v>403.6127777777769</v>
      </c>
      <c r="Y42" s="399">
        <f t="shared" si="22"/>
        <v>184.55555555555554</v>
      </c>
      <c r="Z42" s="398">
        <f t="shared" si="13"/>
        <v>403.6127777777769</v>
      </c>
      <c r="AA42" s="399">
        <f t="shared" si="14"/>
        <v>184.55555555555554</v>
      </c>
      <c r="AB42" s="398">
        <f t="shared" si="6"/>
        <v>11.987299499999976</v>
      </c>
      <c r="AC42" s="399">
        <f t="shared" si="7"/>
        <v>5.4812999999999992</v>
      </c>
      <c r="AD42" s="398">
        <f t="shared" si="15"/>
        <v>67.268796296296145</v>
      </c>
      <c r="AE42" s="399">
        <f t="shared" si="16"/>
        <v>30.75925925925926</v>
      </c>
      <c r="AF42" s="344">
        <v>0</v>
      </c>
      <c r="AG42" s="398">
        <f t="shared" si="17"/>
        <v>376.68064444444531</v>
      </c>
      <c r="AH42" s="399">
        <f t="shared" si="18"/>
        <v>184.55555555555554</v>
      </c>
      <c r="AI42" s="454">
        <f t="shared" si="19"/>
        <v>3.0744444444442505</v>
      </c>
      <c r="AJ42" s="85">
        <f t="shared" si="20"/>
        <v>166.01999999998952</v>
      </c>
      <c r="AK42" s="172"/>
    </row>
    <row r="43" spans="1:37" ht="12.75" customHeight="1" x14ac:dyDescent="0.2">
      <c r="B43" s="335">
        <v>82603.009999999995</v>
      </c>
      <c r="C43" s="336">
        <v>84518.63</v>
      </c>
      <c r="D43" s="337" t="s">
        <v>16</v>
      </c>
      <c r="E43" s="337" t="s">
        <v>107</v>
      </c>
      <c r="F43" s="337" t="s">
        <v>101</v>
      </c>
      <c r="G43" s="103" t="str">
        <f t="shared" si="0"/>
        <v>E/S - C/B</v>
      </c>
      <c r="H43" s="77">
        <f t="shared" si="8"/>
        <v>1.5</v>
      </c>
      <c r="I43" s="27">
        <f t="shared" si="9"/>
        <v>53.211666666666943</v>
      </c>
      <c r="J43" s="78">
        <f t="shared" si="10"/>
        <v>-1.42</v>
      </c>
      <c r="K43" s="83">
        <f t="shared" si="1"/>
        <v>1915.6200000000099</v>
      </c>
      <c r="L43" s="384">
        <v>41.42</v>
      </c>
      <c r="M43" s="385">
        <v>20</v>
      </c>
      <c r="N43" s="222">
        <f t="shared" si="21"/>
        <v>79345</v>
      </c>
      <c r="O43" s="274">
        <f t="shared" si="2"/>
        <v>38313</v>
      </c>
      <c r="P43" s="394">
        <v>0</v>
      </c>
      <c r="Q43" s="395">
        <v>0</v>
      </c>
      <c r="R43" s="221">
        <f t="shared" si="3"/>
        <v>79345</v>
      </c>
      <c r="S43" s="269">
        <f t="shared" si="3"/>
        <v>38313</v>
      </c>
      <c r="T43" s="400">
        <v>0</v>
      </c>
      <c r="U43" s="401">
        <v>0</v>
      </c>
      <c r="V43" s="410">
        <f t="shared" si="4"/>
        <v>4.5676905555555569</v>
      </c>
      <c r="W43" s="411">
        <f t="shared" si="4"/>
        <v>2.1284999999999998</v>
      </c>
      <c r="X43" s="398">
        <f t="shared" si="22"/>
        <v>9135.3811111111136</v>
      </c>
      <c r="Y43" s="399">
        <f t="shared" si="22"/>
        <v>4257</v>
      </c>
      <c r="Z43" s="398">
        <f t="shared" si="13"/>
        <v>9135.3811111111136</v>
      </c>
      <c r="AA43" s="399">
        <f t="shared" si="14"/>
        <v>4257</v>
      </c>
      <c r="AB43" s="398">
        <f t="shared" si="6"/>
        <v>271.32081900000003</v>
      </c>
      <c r="AC43" s="399">
        <f t="shared" si="7"/>
        <v>126.43289999999999</v>
      </c>
      <c r="AD43" s="398">
        <f t="shared" si="15"/>
        <v>1522.563518518519</v>
      </c>
      <c r="AE43" s="399">
        <f t="shared" si="16"/>
        <v>709.5</v>
      </c>
      <c r="AF43" s="344">
        <v>0</v>
      </c>
      <c r="AG43" s="398">
        <f t="shared" si="17"/>
        <v>8513.8688444444433</v>
      </c>
      <c r="AH43" s="399">
        <f t="shared" si="18"/>
        <v>4257</v>
      </c>
      <c r="AI43" s="454">
        <f t="shared" si="19"/>
        <v>70.948888888889257</v>
      </c>
      <c r="AJ43" s="85">
        <f t="shared" si="20"/>
        <v>3831.2400000000198</v>
      </c>
      <c r="AK43" s="172"/>
    </row>
    <row r="44" spans="1:37" ht="12.75" customHeight="1" x14ac:dyDescent="0.2">
      <c r="B44" s="335">
        <v>84518.63</v>
      </c>
      <c r="C44" s="336">
        <v>84618.63</v>
      </c>
      <c r="D44" s="337" t="s">
        <v>16</v>
      </c>
      <c r="E44" s="337" t="s">
        <v>107</v>
      </c>
      <c r="F44" s="337" t="s">
        <v>101</v>
      </c>
      <c r="G44" s="103" t="str">
        <f t="shared" si="0"/>
        <v>E/S - C/B</v>
      </c>
      <c r="H44" s="77">
        <f t="shared" si="8"/>
        <v>1.5</v>
      </c>
      <c r="I44" s="27">
        <f t="shared" si="9"/>
        <v>2.7777777777777777</v>
      </c>
      <c r="J44" s="78">
        <f t="shared" si="10"/>
        <v>-1.42</v>
      </c>
      <c r="K44" s="83">
        <f t="shared" si="1"/>
        <v>100</v>
      </c>
      <c r="L44" s="384">
        <v>45.42</v>
      </c>
      <c r="M44" s="385">
        <v>20</v>
      </c>
      <c r="N44" s="222">
        <f t="shared" si="21"/>
        <v>4542</v>
      </c>
      <c r="O44" s="274">
        <f t="shared" si="2"/>
        <v>2000</v>
      </c>
      <c r="P44" s="394">
        <v>0</v>
      </c>
      <c r="Q44" s="395">
        <v>0</v>
      </c>
      <c r="R44" s="221">
        <f t="shared" si="3"/>
        <v>4542</v>
      </c>
      <c r="S44" s="269">
        <f t="shared" si="3"/>
        <v>2000</v>
      </c>
      <c r="T44" s="400">
        <v>0</v>
      </c>
      <c r="U44" s="401">
        <v>0</v>
      </c>
      <c r="V44" s="410">
        <f t="shared" si="4"/>
        <v>0.26066666666666671</v>
      </c>
      <c r="W44" s="411">
        <f t="shared" si="4"/>
        <v>0.11111111111111112</v>
      </c>
      <c r="X44" s="398">
        <f t="shared" si="22"/>
        <v>521.33333333333337</v>
      </c>
      <c r="Y44" s="399">
        <f t="shared" si="22"/>
        <v>222.22222222222223</v>
      </c>
      <c r="Z44" s="398">
        <f t="shared" si="13"/>
        <v>521.33333333333337</v>
      </c>
      <c r="AA44" s="399">
        <f t="shared" si="14"/>
        <v>222.22222222222223</v>
      </c>
      <c r="AB44" s="398">
        <f t="shared" si="6"/>
        <v>15.483599999999999</v>
      </c>
      <c r="AC44" s="399">
        <f t="shared" si="7"/>
        <v>6.6</v>
      </c>
      <c r="AD44" s="398">
        <f t="shared" si="15"/>
        <v>86.888888888888886</v>
      </c>
      <c r="AE44" s="399">
        <f t="shared" si="16"/>
        <v>37.037037037037038</v>
      </c>
      <c r="AF44" s="344">
        <v>0</v>
      </c>
      <c r="AG44" s="398">
        <f t="shared" si="17"/>
        <v>488.88888888888891</v>
      </c>
      <c r="AH44" s="399">
        <f t="shared" si="18"/>
        <v>222.22222222222223</v>
      </c>
      <c r="AI44" s="454">
        <f t="shared" si="19"/>
        <v>3.7037037037037037</v>
      </c>
      <c r="AJ44" s="85">
        <f t="shared" si="20"/>
        <v>200</v>
      </c>
      <c r="AK44" s="172"/>
    </row>
    <row r="45" spans="1:37" ht="12.75" customHeight="1" x14ac:dyDescent="0.2">
      <c r="B45" s="335">
        <v>84618.63</v>
      </c>
      <c r="C45" s="336">
        <v>84964.31</v>
      </c>
      <c r="D45" s="337" t="s">
        <v>16</v>
      </c>
      <c r="E45" s="337" t="s">
        <v>107</v>
      </c>
      <c r="F45" s="337" t="s">
        <v>101</v>
      </c>
      <c r="G45" s="103" t="str">
        <f t="shared" si="0"/>
        <v>E/S - C/B</v>
      </c>
      <c r="H45" s="77">
        <f t="shared" si="8"/>
        <v>1.5</v>
      </c>
      <c r="I45" s="27">
        <f t="shared" si="9"/>
        <v>9.6022222222220286</v>
      </c>
      <c r="J45" s="78">
        <f t="shared" si="10"/>
        <v>-1.42</v>
      </c>
      <c r="K45" s="83">
        <f t="shared" si="1"/>
        <v>345.67999999999302</v>
      </c>
      <c r="L45" s="384">
        <v>49.42</v>
      </c>
      <c r="M45" s="385">
        <v>20</v>
      </c>
      <c r="N45" s="222">
        <f t="shared" si="21"/>
        <v>17084</v>
      </c>
      <c r="O45" s="274">
        <f t="shared" si="2"/>
        <v>6914</v>
      </c>
      <c r="P45" s="394">
        <v>0</v>
      </c>
      <c r="Q45" s="395">
        <v>0</v>
      </c>
      <c r="R45" s="221">
        <f t="shared" si="3"/>
        <v>17084</v>
      </c>
      <c r="S45" s="269">
        <f t="shared" si="3"/>
        <v>6914</v>
      </c>
      <c r="T45" s="400">
        <v>0</v>
      </c>
      <c r="U45" s="401">
        <v>0</v>
      </c>
      <c r="V45" s="410">
        <f t="shared" si="4"/>
        <v>0.97791777777777722</v>
      </c>
      <c r="W45" s="411">
        <f t="shared" si="4"/>
        <v>0.38411111111111107</v>
      </c>
      <c r="X45" s="398">
        <f t="shared" si="22"/>
        <v>1955.8355555555545</v>
      </c>
      <c r="Y45" s="399">
        <f t="shared" si="22"/>
        <v>768.22222222222217</v>
      </c>
      <c r="Z45" s="398">
        <f t="shared" si="13"/>
        <v>1955.8355555555545</v>
      </c>
      <c r="AA45" s="399">
        <f t="shared" si="14"/>
        <v>768.22222222222217</v>
      </c>
      <c r="AB45" s="398">
        <f t="shared" si="6"/>
        <v>58.088315999999963</v>
      </c>
      <c r="AC45" s="399">
        <f t="shared" si="7"/>
        <v>22.816199999999998</v>
      </c>
      <c r="AD45" s="398">
        <f t="shared" si="15"/>
        <v>325.97259259259243</v>
      </c>
      <c r="AE45" s="399">
        <f t="shared" si="16"/>
        <v>128.03703703703704</v>
      </c>
      <c r="AF45" s="344">
        <v>0</v>
      </c>
      <c r="AG45" s="398">
        <f t="shared" si="17"/>
        <v>1843.681600000001</v>
      </c>
      <c r="AH45" s="399">
        <f t="shared" si="18"/>
        <v>768.22222222222217</v>
      </c>
      <c r="AI45" s="454">
        <f t="shared" si="19"/>
        <v>12.802962962962704</v>
      </c>
      <c r="AJ45" s="85">
        <f t="shared" si="20"/>
        <v>691.35999999998603</v>
      </c>
      <c r="AK45" s="172"/>
    </row>
    <row r="46" spans="1:37" ht="12.75" customHeight="1" x14ac:dyDescent="0.2">
      <c r="B46" s="335">
        <v>84964.31</v>
      </c>
      <c r="C46" s="336">
        <v>85418.63</v>
      </c>
      <c r="D46" s="337" t="s">
        <v>16</v>
      </c>
      <c r="E46" s="337" t="s">
        <v>107</v>
      </c>
      <c r="F46" s="337" t="s">
        <v>101</v>
      </c>
      <c r="G46" s="103" t="str">
        <f t="shared" si="0"/>
        <v>E/S - C/B</v>
      </c>
      <c r="H46" s="77">
        <f t="shared" si="8"/>
        <v>1.5</v>
      </c>
      <c r="I46" s="27">
        <f t="shared" si="9"/>
        <v>12.620000000000195</v>
      </c>
      <c r="J46" s="78">
        <f t="shared" si="10"/>
        <v>-1.42</v>
      </c>
      <c r="K46" s="83">
        <f t="shared" si="1"/>
        <v>454.32000000000698</v>
      </c>
      <c r="L46" s="384" t="s">
        <v>97</v>
      </c>
      <c r="M46" s="385" t="s">
        <v>97</v>
      </c>
      <c r="N46" s="222">
        <f t="shared" si="21"/>
        <v>0</v>
      </c>
      <c r="O46" s="274">
        <f t="shared" si="2"/>
        <v>0</v>
      </c>
      <c r="P46" s="394">
        <v>26526</v>
      </c>
      <c r="Q46" s="395">
        <v>9086</v>
      </c>
      <c r="R46" s="221">
        <f t="shared" si="3"/>
        <v>26526</v>
      </c>
      <c r="S46" s="269">
        <f t="shared" si="3"/>
        <v>9086</v>
      </c>
      <c r="T46" s="400">
        <v>0</v>
      </c>
      <c r="U46" s="401">
        <v>0</v>
      </c>
      <c r="V46" s="410">
        <f t="shared" si="4"/>
        <v>1.5115266666666674</v>
      </c>
      <c r="W46" s="411">
        <f t="shared" si="4"/>
        <v>0.50477777777777777</v>
      </c>
      <c r="X46" s="398">
        <f t="shared" si="22"/>
        <v>3023.0533333333346</v>
      </c>
      <c r="Y46" s="399">
        <f t="shared" si="22"/>
        <v>1009.5555555555555</v>
      </c>
      <c r="Z46" s="398">
        <f t="shared" si="13"/>
        <v>3023.0533333333346</v>
      </c>
      <c r="AA46" s="399">
        <f t="shared" si="14"/>
        <v>1009.5555555555555</v>
      </c>
      <c r="AB46" s="398">
        <f t="shared" si="6"/>
        <v>89.784684000000041</v>
      </c>
      <c r="AC46" s="399">
        <f t="shared" si="7"/>
        <v>29.983799999999995</v>
      </c>
      <c r="AD46" s="398">
        <f t="shared" si="15"/>
        <v>503.8422222222224</v>
      </c>
      <c r="AE46" s="399">
        <f t="shared" si="16"/>
        <v>168.25925925925927</v>
      </c>
      <c r="AF46" s="344">
        <v>0</v>
      </c>
      <c r="AG46" s="398">
        <f t="shared" si="17"/>
        <v>2875.6517333333322</v>
      </c>
      <c r="AH46" s="399">
        <f t="shared" si="18"/>
        <v>1009.5555555555555</v>
      </c>
      <c r="AI46" s="454">
        <f t="shared" si="19"/>
        <v>16.826666666666924</v>
      </c>
      <c r="AJ46" s="85">
        <f t="shared" si="20"/>
        <v>908.64000000001397</v>
      </c>
      <c r="AK46" s="172"/>
    </row>
    <row r="47" spans="1:37" ht="12.75" customHeight="1" x14ac:dyDescent="0.2">
      <c r="B47" s="335">
        <v>85418.63</v>
      </c>
      <c r="C47" s="336">
        <v>86936.18</v>
      </c>
      <c r="D47" s="337" t="s">
        <v>16</v>
      </c>
      <c r="E47" s="337" t="s">
        <v>107</v>
      </c>
      <c r="F47" s="337" t="s">
        <v>101</v>
      </c>
      <c r="G47" s="103" t="str">
        <f t="shared" si="0"/>
        <v>E/S - C/B</v>
      </c>
      <c r="H47" s="77">
        <f t="shared" si="8"/>
        <v>1.5</v>
      </c>
      <c r="I47" s="27">
        <f t="shared" si="9"/>
        <v>42.154166666666342</v>
      </c>
      <c r="J47" s="78">
        <f t="shared" si="10"/>
        <v>-1.42</v>
      </c>
      <c r="K47" s="83">
        <f t="shared" si="1"/>
        <v>1517.5499999999884</v>
      </c>
      <c r="L47" s="384">
        <v>41.42</v>
      </c>
      <c r="M47" s="385">
        <v>20</v>
      </c>
      <c r="N47" s="222">
        <f t="shared" si="21"/>
        <v>62857</v>
      </c>
      <c r="O47" s="274">
        <f t="shared" si="2"/>
        <v>30351</v>
      </c>
      <c r="P47" s="394">
        <v>0</v>
      </c>
      <c r="Q47" s="395">
        <v>0</v>
      </c>
      <c r="R47" s="221">
        <f t="shared" si="3"/>
        <v>62857</v>
      </c>
      <c r="S47" s="269">
        <f t="shared" si="3"/>
        <v>30351</v>
      </c>
      <c r="T47" s="400">
        <v>0</v>
      </c>
      <c r="U47" s="401">
        <v>0</v>
      </c>
      <c r="V47" s="410">
        <f t="shared" si="4"/>
        <v>3.6185180555555543</v>
      </c>
      <c r="W47" s="411">
        <f t="shared" si="4"/>
        <v>1.6861666666666668</v>
      </c>
      <c r="X47" s="398">
        <f t="shared" si="22"/>
        <v>7237.0361111111088</v>
      </c>
      <c r="Y47" s="399">
        <f t="shared" si="22"/>
        <v>3372.3333333333335</v>
      </c>
      <c r="Z47" s="398">
        <f t="shared" si="13"/>
        <v>7237.0361111111088</v>
      </c>
      <c r="AA47" s="399">
        <f t="shared" si="14"/>
        <v>3372.3333333333335</v>
      </c>
      <c r="AB47" s="398">
        <f t="shared" si="6"/>
        <v>214.93997249999993</v>
      </c>
      <c r="AC47" s="399">
        <f t="shared" si="7"/>
        <v>100.15829999999998</v>
      </c>
      <c r="AD47" s="398">
        <f t="shared" si="15"/>
        <v>1206.1726851851847</v>
      </c>
      <c r="AE47" s="399">
        <f t="shared" si="16"/>
        <v>562.05555555555554</v>
      </c>
      <c r="AF47" s="344">
        <v>0</v>
      </c>
      <c r="AG47" s="398">
        <f t="shared" si="17"/>
        <v>6744.6754444444468</v>
      </c>
      <c r="AH47" s="399">
        <f t="shared" si="18"/>
        <v>3372.3333333333335</v>
      </c>
      <c r="AI47" s="454">
        <f t="shared" si="19"/>
        <v>56.205555555555122</v>
      </c>
      <c r="AJ47" s="85">
        <f t="shared" si="20"/>
        <v>3035.0999999999767</v>
      </c>
      <c r="AK47" s="10"/>
    </row>
    <row r="48" spans="1:37" ht="12.75" customHeight="1" x14ac:dyDescent="0.2">
      <c r="B48" s="335">
        <v>86936.18</v>
      </c>
      <c r="C48" s="336">
        <v>87289.96</v>
      </c>
      <c r="D48" s="337" t="s">
        <v>16</v>
      </c>
      <c r="E48" s="337" t="s">
        <v>107</v>
      </c>
      <c r="F48" s="337" t="s">
        <v>101</v>
      </c>
      <c r="G48" s="103" t="str">
        <f t="shared" si="0"/>
        <v>E/S - C/B</v>
      </c>
      <c r="H48" s="77">
        <f t="shared" si="8"/>
        <v>1.5</v>
      </c>
      <c r="I48" s="27">
        <f t="shared" si="9"/>
        <v>9.8272222222225949</v>
      </c>
      <c r="J48" s="78">
        <f t="shared" si="10"/>
        <v>-1.42</v>
      </c>
      <c r="K48" s="83">
        <f t="shared" si="1"/>
        <v>353.78000000001339</v>
      </c>
      <c r="L48" s="384" t="s">
        <v>97</v>
      </c>
      <c r="M48" s="385" t="s">
        <v>97</v>
      </c>
      <c r="N48" s="222">
        <f t="shared" si="21"/>
        <v>0</v>
      </c>
      <c r="O48" s="274">
        <f t="shared" si="2"/>
        <v>0</v>
      </c>
      <c r="P48" s="394">
        <v>22833</v>
      </c>
      <c r="Q48" s="395">
        <v>7076</v>
      </c>
      <c r="R48" s="221">
        <f t="shared" si="3"/>
        <v>22833</v>
      </c>
      <c r="S48" s="269">
        <f t="shared" si="3"/>
        <v>7076</v>
      </c>
      <c r="T48" s="400">
        <v>0</v>
      </c>
      <c r="U48" s="401">
        <v>0</v>
      </c>
      <c r="V48" s="410">
        <f t="shared" si="4"/>
        <v>1.2979816666666677</v>
      </c>
      <c r="W48" s="411">
        <f t="shared" si="4"/>
        <v>0.39311111111111108</v>
      </c>
      <c r="X48" s="398">
        <f t="shared" si="22"/>
        <v>2595.9633333333354</v>
      </c>
      <c r="Y48" s="399">
        <f t="shared" si="22"/>
        <v>786.22222222222217</v>
      </c>
      <c r="Z48" s="398">
        <f t="shared" si="13"/>
        <v>2595.9633333333354</v>
      </c>
      <c r="AA48" s="399">
        <f t="shared" si="14"/>
        <v>786.22222222222217</v>
      </c>
      <c r="AB48" s="398">
        <f t="shared" si="6"/>
        <v>77.100111000000069</v>
      </c>
      <c r="AC48" s="399">
        <f t="shared" si="7"/>
        <v>23.3508</v>
      </c>
      <c r="AD48" s="398">
        <f t="shared" si="15"/>
        <v>432.6605555555559</v>
      </c>
      <c r="AE48" s="399">
        <f t="shared" si="16"/>
        <v>131.03703703703704</v>
      </c>
      <c r="AF48" s="344">
        <v>0</v>
      </c>
      <c r="AG48" s="398">
        <f t="shared" si="17"/>
        <v>2481.1813777777757</v>
      </c>
      <c r="AH48" s="399">
        <f t="shared" si="18"/>
        <v>786.22222222222217</v>
      </c>
      <c r="AI48" s="454">
        <f t="shared" si="19"/>
        <v>13.102962962963458</v>
      </c>
      <c r="AJ48" s="85">
        <f t="shared" si="20"/>
        <v>707.56000000002678</v>
      </c>
      <c r="AK48" s="10"/>
    </row>
    <row r="49" spans="1:37" ht="12.75" customHeight="1" x14ac:dyDescent="0.2">
      <c r="B49" s="335">
        <v>87289.96</v>
      </c>
      <c r="C49" s="336">
        <v>87819.96</v>
      </c>
      <c r="D49" s="337" t="s">
        <v>16</v>
      </c>
      <c r="E49" s="337" t="s">
        <v>107</v>
      </c>
      <c r="F49" s="337" t="s">
        <v>102</v>
      </c>
      <c r="G49" s="103" t="str">
        <f t="shared" si="0"/>
        <v>F/C - C/B</v>
      </c>
      <c r="H49" s="77">
        <f t="shared" si="8"/>
        <v>2</v>
      </c>
      <c r="I49" s="27">
        <f t="shared" si="9"/>
        <v>14.722222222222221</v>
      </c>
      <c r="J49" s="78">
        <f t="shared" si="10"/>
        <v>-1.42</v>
      </c>
      <c r="K49" s="83">
        <f t="shared" si="1"/>
        <v>530</v>
      </c>
      <c r="L49" s="384">
        <v>57.48</v>
      </c>
      <c r="M49" s="385">
        <v>20</v>
      </c>
      <c r="N49" s="222">
        <f t="shared" si="21"/>
        <v>30465</v>
      </c>
      <c r="O49" s="274">
        <f t="shared" si="2"/>
        <v>10600</v>
      </c>
      <c r="P49" s="394">
        <v>0</v>
      </c>
      <c r="Q49" s="395">
        <v>0</v>
      </c>
      <c r="R49" s="221">
        <f t="shared" si="3"/>
        <v>30465</v>
      </c>
      <c r="S49" s="269">
        <f t="shared" si="3"/>
        <v>10600</v>
      </c>
      <c r="T49" s="400">
        <v>0</v>
      </c>
      <c r="U49" s="401">
        <v>0</v>
      </c>
      <c r="V49" s="410">
        <f t="shared" si="4"/>
        <v>1.7513888888888889</v>
      </c>
      <c r="W49" s="411">
        <f t="shared" si="4"/>
        <v>0.58888888888888891</v>
      </c>
      <c r="X49" s="398">
        <f t="shared" si="22"/>
        <v>3502.7777777777778</v>
      </c>
      <c r="Y49" s="399">
        <f t="shared" si="22"/>
        <v>1177.7777777777778</v>
      </c>
      <c r="Z49" s="398">
        <f t="shared" si="13"/>
        <v>3502.7777777777778</v>
      </c>
      <c r="AA49" s="399">
        <f t="shared" si="14"/>
        <v>1177.7777777777778</v>
      </c>
      <c r="AB49" s="398">
        <f t="shared" si="6"/>
        <v>104.0325</v>
      </c>
      <c r="AC49" s="399">
        <f t="shared" si="7"/>
        <v>34.979999999999997</v>
      </c>
      <c r="AD49" s="398">
        <f t="shared" si="15"/>
        <v>578.8888888888888</v>
      </c>
      <c r="AE49" s="399">
        <f t="shared" si="16"/>
        <v>196.2962962962963</v>
      </c>
      <c r="AF49" s="344">
        <v>0</v>
      </c>
      <c r="AG49" s="398">
        <f t="shared" si="17"/>
        <v>3301.3777777777777</v>
      </c>
      <c r="AH49" s="399">
        <f t="shared" si="18"/>
        <v>1177.7777777777778</v>
      </c>
      <c r="AI49" s="454">
        <f t="shared" si="19"/>
        <v>0</v>
      </c>
      <c r="AJ49" s="85">
        <f t="shared" si="20"/>
        <v>1060</v>
      </c>
      <c r="AK49" s="10"/>
    </row>
    <row r="50" spans="1:37" ht="12.75" customHeight="1" x14ac:dyDescent="0.2">
      <c r="B50" s="335">
        <v>87819.96</v>
      </c>
      <c r="C50" s="336">
        <v>88258.19</v>
      </c>
      <c r="D50" s="337" t="s">
        <v>16</v>
      </c>
      <c r="E50" s="337" t="s">
        <v>107</v>
      </c>
      <c r="F50" s="337" t="s">
        <v>101</v>
      </c>
      <c r="G50" s="103" t="str">
        <f t="shared" si="0"/>
        <v>E/S - C/B</v>
      </c>
      <c r="H50" s="77">
        <f t="shared" si="8"/>
        <v>1.5</v>
      </c>
      <c r="I50" s="27">
        <f t="shared" si="9"/>
        <v>12.173055555555443</v>
      </c>
      <c r="J50" s="78">
        <f t="shared" si="10"/>
        <v>-1.42</v>
      </c>
      <c r="K50" s="83">
        <f t="shared" si="1"/>
        <v>438.22999999999593</v>
      </c>
      <c r="L50" s="384">
        <v>45.8</v>
      </c>
      <c r="M50" s="385">
        <v>20</v>
      </c>
      <c r="N50" s="222">
        <f t="shared" si="21"/>
        <v>20071</v>
      </c>
      <c r="O50" s="274">
        <f t="shared" si="2"/>
        <v>8765</v>
      </c>
      <c r="P50" s="394">
        <v>0</v>
      </c>
      <c r="Q50" s="395">
        <v>0</v>
      </c>
      <c r="R50" s="221">
        <f t="shared" si="3"/>
        <v>20071</v>
      </c>
      <c r="S50" s="269">
        <f t="shared" si="3"/>
        <v>8765</v>
      </c>
      <c r="T50" s="400">
        <v>0</v>
      </c>
      <c r="U50" s="401">
        <v>0</v>
      </c>
      <c r="V50" s="410">
        <f t="shared" si="4"/>
        <v>1.1515747222222219</v>
      </c>
      <c r="W50" s="411">
        <f t="shared" si="4"/>
        <v>0.48694444444444446</v>
      </c>
      <c r="X50" s="398">
        <f t="shared" si="22"/>
        <v>2303.1494444444438</v>
      </c>
      <c r="Y50" s="399">
        <f t="shared" si="22"/>
        <v>973.88888888888891</v>
      </c>
      <c r="Z50" s="398">
        <f t="shared" si="13"/>
        <v>2303.1494444444438</v>
      </c>
      <c r="AA50" s="399">
        <f t="shared" si="14"/>
        <v>973.88888888888891</v>
      </c>
      <c r="AB50" s="398">
        <f t="shared" si="6"/>
        <v>68.403538499999982</v>
      </c>
      <c r="AC50" s="399">
        <f t="shared" si="7"/>
        <v>28.924499999999998</v>
      </c>
      <c r="AD50" s="398">
        <f t="shared" si="15"/>
        <v>383.8582407407406</v>
      </c>
      <c r="AE50" s="399">
        <f t="shared" si="16"/>
        <v>162.31481481481481</v>
      </c>
      <c r="AF50" s="344">
        <v>0</v>
      </c>
      <c r="AG50" s="398">
        <f t="shared" si="17"/>
        <v>2160.9681555555562</v>
      </c>
      <c r="AH50" s="399">
        <f t="shared" si="18"/>
        <v>973.88888888888891</v>
      </c>
      <c r="AI50" s="454">
        <f t="shared" si="19"/>
        <v>16.23074074074059</v>
      </c>
      <c r="AJ50" s="85">
        <f t="shared" si="20"/>
        <v>876.45999999999185</v>
      </c>
      <c r="AK50" s="10"/>
    </row>
    <row r="51" spans="1:37" ht="12.75" customHeight="1" x14ac:dyDescent="0.2">
      <c r="B51" s="335">
        <v>88258.19</v>
      </c>
      <c r="C51" s="336">
        <v>89287.96</v>
      </c>
      <c r="D51" s="337" t="s">
        <v>16</v>
      </c>
      <c r="E51" s="337" t="s">
        <v>107</v>
      </c>
      <c r="F51" s="337" t="s">
        <v>101</v>
      </c>
      <c r="G51" s="103" t="str">
        <f t="shared" ref="G51:G69" si="27">IF(AND($E51=$AL$2,$F51=$AL$2),$AN$2,IF(OR(AND($E51=$AL$2,$F51=$AL$3),AND($E51=$AL$3,$F51=$AL$2)),$AN$3,IF(OR(AND($E51=$AL$2,$F51=$AL$4),AND($E51=$AL$4,$F51=$AL$2)),$AN$4,IF(OR(AND($E51=$AL$3,$F51=$AL$4),AND($E51=$AL$4,$F51=$AL$3)),$AN$5,IF(AND($E51=$AL$3,$F51=$AL$3),$AN$6,IF(AND($E51=$AL$4,$F51=$AL$4),$AN$7,"-"))))))</f>
        <v>E/S - C/B</v>
      </c>
      <c r="H51" s="77">
        <f t="shared" si="8"/>
        <v>1.5</v>
      </c>
      <c r="I51" s="27">
        <f t="shared" si="9"/>
        <v>28.604722222222335</v>
      </c>
      <c r="J51" s="78">
        <f t="shared" si="10"/>
        <v>-1.42</v>
      </c>
      <c r="K51" s="83">
        <f t="shared" ref="K51:K69" si="28">C51-B51</f>
        <v>1029.7700000000041</v>
      </c>
      <c r="L51" s="384">
        <v>41.42</v>
      </c>
      <c r="M51" s="385">
        <v>20</v>
      </c>
      <c r="N51" s="222">
        <f t="shared" si="21"/>
        <v>42654</v>
      </c>
      <c r="O51" s="274">
        <f t="shared" si="2"/>
        <v>20596</v>
      </c>
      <c r="P51" s="394">
        <v>0</v>
      </c>
      <c r="Q51" s="395">
        <v>0</v>
      </c>
      <c r="R51" s="221">
        <f t="shared" si="3"/>
        <v>42654</v>
      </c>
      <c r="S51" s="269">
        <f t="shared" si="3"/>
        <v>20596</v>
      </c>
      <c r="T51" s="400">
        <v>0</v>
      </c>
      <c r="U51" s="401">
        <v>0</v>
      </c>
      <c r="V51" s="410">
        <f t="shared" si="4"/>
        <v>2.4554808333333336</v>
      </c>
      <c r="W51" s="411">
        <f t="shared" si="4"/>
        <v>1.1442222222222223</v>
      </c>
      <c r="X51" s="398">
        <f t="shared" si="22"/>
        <v>4910.961666666667</v>
      </c>
      <c r="Y51" s="399">
        <f t="shared" si="22"/>
        <v>2288.4444444444443</v>
      </c>
      <c r="Z51" s="398">
        <f t="shared" si="13"/>
        <v>4910.961666666667</v>
      </c>
      <c r="AA51" s="399">
        <f t="shared" si="14"/>
        <v>2288.4444444444443</v>
      </c>
      <c r="AB51" s="398">
        <f t="shared" ref="AB51:AB69" si="29">IF(OR($A51="APP SLAB",T51&lt;&gt;0),0,$Z$1*Z51*110*0.06*0.75/2000)</f>
        <v>145.85556150000002</v>
      </c>
      <c r="AC51" s="399">
        <f t="shared" ref="AC51:AC69" si="30">IF(OR($A51="APP SLAB",U51&lt;&gt;0),0,$Z$1*AA51*110*0.06*0.75/2000)</f>
        <v>67.966799999999992</v>
      </c>
      <c r="AD51" s="398">
        <f t="shared" si="15"/>
        <v>818.49361111111125</v>
      </c>
      <c r="AE51" s="399">
        <f t="shared" si="16"/>
        <v>381.40740740740739</v>
      </c>
      <c r="AF51" s="344">
        <v>0</v>
      </c>
      <c r="AG51" s="398">
        <f t="shared" si="17"/>
        <v>4576.8585111111106</v>
      </c>
      <c r="AH51" s="399">
        <f t="shared" si="18"/>
        <v>2288.4444444444443</v>
      </c>
      <c r="AI51" s="454">
        <f t="shared" si="19"/>
        <v>38.139629629629781</v>
      </c>
      <c r="AJ51" s="85">
        <f t="shared" si="20"/>
        <v>2059.5400000000081</v>
      </c>
      <c r="AK51" s="172"/>
    </row>
    <row r="52" spans="1:37" ht="12.75" customHeight="1" x14ac:dyDescent="0.2">
      <c r="B52" s="335">
        <v>89287.96</v>
      </c>
      <c r="C52" s="336">
        <v>89596.98</v>
      </c>
      <c r="D52" s="337" t="s">
        <v>16</v>
      </c>
      <c r="E52" s="337" t="s">
        <v>107</v>
      </c>
      <c r="F52" s="337" t="s">
        <v>102</v>
      </c>
      <c r="G52" s="103" t="str">
        <f t="shared" si="27"/>
        <v>F/C - C/B</v>
      </c>
      <c r="H52" s="77">
        <f t="shared" si="8"/>
        <v>2</v>
      </c>
      <c r="I52" s="27">
        <f t="shared" si="9"/>
        <v>8.5838888888885982</v>
      </c>
      <c r="J52" s="78">
        <f t="shared" si="10"/>
        <v>-1.42</v>
      </c>
      <c r="K52" s="83">
        <f t="shared" si="28"/>
        <v>309.01999999998952</v>
      </c>
      <c r="L52" s="384">
        <v>43.42</v>
      </c>
      <c r="M52" s="385">
        <v>20</v>
      </c>
      <c r="N52" s="222">
        <f t="shared" si="21"/>
        <v>13418</v>
      </c>
      <c r="O52" s="274">
        <f t="shared" si="2"/>
        <v>6181</v>
      </c>
      <c r="P52" s="394">
        <v>0</v>
      </c>
      <c r="Q52" s="395">
        <v>0</v>
      </c>
      <c r="R52" s="221">
        <f t="shared" si="3"/>
        <v>13418</v>
      </c>
      <c r="S52" s="269">
        <f t="shared" si="3"/>
        <v>6181</v>
      </c>
      <c r="T52" s="400">
        <v>0</v>
      </c>
      <c r="U52" s="401">
        <v>0</v>
      </c>
      <c r="V52" s="410">
        <f t="shared" si="4"/>
        <v>0.77977999999999881</v>
      </c>
      <c r="W52" s="411">
        <f t="shared" si="4"/>
        <v>0.34338888888888891</v>
      </c>
      <c r="X52" s="398">
        <f t="shared" si="22"/>
        <v>1559.5599999999977</v>
      </c>
      <c r="Y52" s="399">
        <f t="shared" si="22"/>
        <v>686.77777777777783</v>
      </c>
      <c r="Z52" s="398">
        <f t="shared" si="13"/>
        <v>1559.5599999999977</v>
      </c>
      <c r="AA52" s="399">
        <f t="shared" si="14"/>
        <v>686.77777777777783</v>
      </c>
      <c r="AB52" s="398">
        <f t="shared" si="29"/>
        <v>46.318931999999926</v>
      </c>
      <c r="AC52" s="399">
        <f t="shared" si="30"/>
        <v>20.397300000000001</v>
      </c>
      <c r="AD52" s="398">
        <f t="shared" si="15"/>
        <v>257.06537037037009</v>
      </c>
      <c r="AE52" s="399">
        <f t="shared" si="16"/>
        <v>114.46296296296296</v>
      </c>
      <c r="AF52" s="344">
        <v>0</v>
      </c>
      <c r="AG52" s="398">
        <f t="shared" si="17"/>
        <v>1442.1324000000016</v>
      </c>
      <c r="AH52" s="399">
        <f t="shared" si="18"/>
        <v>686.77777777777783</v>
      </c>
      <c r="AI52" s="454">
        <f t="shared" si="19"/>
        <v>0</v>
      </c>
      <c r="AJ52" s="85">
        <f t="shared" si="20"/>
        <v>618.03999999997905</v>
      </c>
      <c r="AK52" s="172"/>
    </row>
    <row r="53" spans="1:37" ht="12.75" customHeight="1" x14ac:dyDescent="0.2">
      <c r="B53" s="335">
        <v>89596.98</v>
      </c>
      <c r="C53" s="336">
        <v>89617.38</v>
      </c>
      <c r="D53" s="337" t="s">
        <v>16</v>
      </c>
      <c r="E53" s="337" t="s">
        <v>107</v>
      </c>
      <c r="F53" s="337" t="s">
        <v>97</v>
      </c>
      <c r="G53" s="103" t="str">
        <f t="shared" si="27"/>
        <v>-</v>
      </c>
      <c r="H53" s="349">
        <v>1.5</v>
      </c>
      <c r="I53" s="338">
        <v>0.56999999999999995</v>
      </c>
      <c r="J53" s="358">
        <v>-1.42</v>
      </c>
      <c r="K53" s="83">
        <f t="shared" si="28"/>
        <v>20.400000000008731</v>
      </c>
      <c r="L53" s="384" t="s">
        <v>97</v>
      </c>
      <c r="M53" s="385" t="s">
        <v>97</v>
      </c>
      <c r="N53" s="222">
        <f t="shared" si="21"/>
        <v>0</v>
      </c>
      <c r="O53" s="274">
        <f t="shared" si="2"/>
        <v>0</v>
      </c>
      <c r="P53" s="394">
        <v>444</v>
      </c>
      <c r="Q53" s="395">
        <v>204</v>
      </c>
      <c r="R53" s="221">
        <f t="shared" si="3"/>
        <v>444</v>
      </c>
      <c r="S53" s="269">
        <f t="shared" si="3"/>
        <v>204</v>
      </c>
      <c r="T53" s="400">
        <v>0</v>
      </c>
      <c r="U53" s="401">
        <v>0</v>
      </c>
      <c r="V53" s="410">
        <f t="shared" si="4"/>
        <v>2.6366666666667395E-2</v>
      </c>
      <c r="W53" s="411">
        <f t="shared" si="4"/>
        <v>1.1333333333333334E-2</v>
      </c>
      <c r="X53" s="398">
        <f t="shared" si="22"/>
        <v>52.733333333334791</v>
      </c>
      <c r="Y53" s="399">
        <f t="shared" si="22"/>
        <v>22.666666666666668</v>
      </c>
      <c r="Z53" s="398">
        <f t="shared" si="13"/>
        <v>52.733333333334791</v>
      </c>
      <c r="AA53" s="399">
        <f t="shared" si="14"/>
        <v>22.666666666666668</v>
      </c>
      <c r="AB53" s="398">
        <f t="shared" si="29"/>
        <v>1.566180000000043</v>
      </c>
      <c r="AC53" s="399">
        <f t="shared" si="30"/>
        <v>0.67320000000000002</v>
      </c>
      <c r="AD53" s="398">
        <f t="shared" si="15"/>
        <v>8.7922222222222217</v>
      </c>
      <c r="AE53" s="399">
        <f t="shared" si="16"/>
        <v>3.7777777777777777</v>
      </c>
      <c r="AF53" s="344">
        <v>0</v>
      </c>
      <c r="AG53" s="398">
        <f t="shared" si="17"/>
        <v>46.114666666665286</v>
      </c>
      <c r="AH53" s="399">
        <f t="shared" si="18"/>
        <v>22.666666666666668</v>
      </c>
      <c r="AI53" s="454">
        <f t="shared" si="19"/>
        <v>0</v>
      </c>
      <c r="AJ53" s="85">
        <f t="shared" si="20"/>
        <v>40.800000000017462</v>
      </c>
      <c r="AK53" s="172"/>
    </row>
    <row r="54" spans="1:37" ht="12.75" customHeight="1" x14ac:dyDescent="0.2">
      <c r="A54" s="81" t="s">
        <v>28</v>
      </c>
      <c r="B54" s="335">
        <v>89617.38</v>
      </c>
      <c r="C54" s="336">
        <v>89642.38</v>
      </c>
      <c r="D54" s="337" t="s">
        <v>16</v>
      </c>
      <c r="E54" s="337" t="s">
        <v>97</v>
      </c>
      <c r="F54" s="337" t="s">
        <v>97</v>
      </c>
      <c r="G54" s="103" t="str">
        <f t="shared" si="27"/>
        <v>-</v>
      </c>
      <c r="H54" s="77">
        <v>4</v>
      </c>
      <c r="I54" s="27">
        <f t="shared" si="9"/>
        <v>0</v>
      </c>
      <c r="J54" s="78">
        <f t="shared" si="10"/>
        <v>0</v>
      </c>
      <c r="K54" s="83">
        <f t="shared" si="28"/>
        <v>25</v>
      </c>
      <c r="L54" s="384" t="s">
        <v>97</v>
      </c>
      <c r="M54" s="385" t="s">
        <v>97</v>
      </c>
      <c r="N54" s="222">
        <f t="shared" si="21"/>
        <v>0</v>
      </c>
      <c r="O54" s="274">
        <f t="shared" si="2"/>
        <v>0</v>
      </c>
      <c r="P54" s="394">
        <v>1124</v>
      </c>
      <c r="Q54" s="395">
        <v>500</v>
      </c>
      <c r="R54" s="221">
        <f t="shared" si="3"/>
        <v>1124</v>
      </c>
      <c r="S54" s="269">
        <f t="shared" si="3"/>
        <v>500</v>
      </c>
      <c r="T54" s="400">
        <v>0</v>
      </c>
      <c r="U54" s="401">
        <v>0</v>
      </c>
      <c r="V54" s="410">
        <f t="shared" si="4"/>
        <v>6.8000000000000005E-2</v>
      </c>
      <c r="W54" s="411">
        <f t="shared" si="4"/>
        <v>2.777777777777778E-2</v>
      </c>
      <c r="X54" s="398">
        <f>IF(OR(T54&lt;&gt;0),0,Z54)</f>
        <v>136</v>
      </c>
      <c r="Y54" s="399">
        <f>IF(OR(U54&lt;&gt;0),0,AA54)</f>
        <v>55.555555555555557</v>
      </c>
      <c r="Z54" s="398">
        <f>IF(OR(T54&lt;&gt;0),0,(R54+$H54*$K54)/9)</f>
        <v>136</v>
      </c>
      <c r="AA54" s="399">
        <f>IF(OR(U54&lt;&gt;0),0,S54/9)</f>
        <v>55.555555555555557</v>
      </c>
      <c r="AB54" s="398">
        <f>IF(OR(T54&lt;&gt;0),0,$Z$1*Z54*110*0.06*0.75/2000)</f>
        <v>4.0392000000000001</v>
      </c>
      <c r="AC54" s="399">
        <f>IF(OR(U54&lt;&gt;0),0,$Z$1*AA54*110*0.06*0.75/2000)</f>
        <v>1.65</v>
      </c>
      <c r="AD54" s="398">
        <f t="shared" si="15"/>
        <v>20.814814814814813</v>
      </c>
      <c r="AE54" s="399">
        <f t="shared" si="16"/>
        <v>9.2592592592592595</v>
      </c>
      <c r="AF54" s="380">
        <v>68</v>
      </c>
      <c r="AG54" s="398">
        <f t="shared" si="17"/>
        <v>0</v>
      </c>
      <c r="AH54" s="399">
        <f t="shared" si="18"/>
        <v>0</v>
      </c>
      <c r="AI54" s="454">
        <f t="shared" si="19"/>
        <v>0</v>
      </c>
      <c r="AJ54" s="85">
        <f t="shared" si="20"/>
        <v>0</v>
      </c>
      <c r="AK54" s="172"/>
    </row>
    <row r="55" spans="1:37" ht="12.75" customHeight="1" x14ac:dyDescent="0.2">
      <c r="A55" s="81" t="s">
        <v>28</v>
      </c>
      <c r="B55" s="335">
        <v>89984.24</v>
      </c>
      <c r="C55" s="336">
        <v>90009.24</v>
      </c>
      <c r="D55" s="337" t="s">
        <v>16</v>
      </c>
      <c r="E55" s="337" t="s">
        <v>97</v>
      </c>
      <c r="F55" s="337" t="s">
        <v>97</v>
      </c>
      <c r="G55" s="103" t="str">
        <f t="shared" si="27"/>
        <v>-</v>
      </c>
      <c r="H55" s="77">
        <v>4</v>
      </c>
      <c r="I55" s="27">
        <f t="shared" si="9"/>
        <v>0</v>
      </c>
      <c r="J55" s="78">
        <f t="shared" si="10"/>
        <v>0</v>
      </c>
      <c r="K55" s="83">
        <f t="shared" si="28"/>
        <v>25</v>
      </c>
      <c r="L55" s="384" t="s">
        <v>97</v>
      </c>
      <c r="M55" s="385" t="s">
        <v>97</v>
      </c>
      <c r="N55" s="222">
        <f t="shared" si="21"/>
        <v>0</v>
      </c>
      <c r="O55" s="274">
        <f t="shared" si="2"/>
        <v>0</v>
      </c>
      <c r="P55" s="394">
        <v>1124</v>
      </c>
      <c r="Q55" s="395">
        <v>500</v>
      </c>
      <c r="R55" s="221">
        <f t="shared" si="3"/>
        <v>1124</v>
      </c>
      <c r="S55" s="269">
        <f t="shared" si="3"/>
        <v>500</v>
      </c>
      <c r="T55" s="400">
        <v>0</v>
      </c>
      <c r="U55" s="401">
        <v>0</v>
      </c>
      <c r="V55" s="410">
        <f t="shared" si="4"/>
        <v>6.8000000000000005E-2</v>
      </c>
      <c r="W55" s="411">
        <f t="shared" si="4"/>
        <v>2.777777777777778E-2</v>
      </c>
      <c r="X55" s="398">
        <f>IF(OR(T55&lt;&gt;0),0,Z55)</f>
        <v>136</v>
      </c>
      <c r="Y55" s="399">
        <f>IF(OR(U55&lt;&gt;0),0,AA55)</f>
        <v>55.555555555555557</v>
      </c>
      <c r="Z55" s="398">
        <f>IF(OR(T55&lt;&gt;0),0,(R55+$H55*$K55)/9)</f>
        <v>136</v>
      </c>
      <c r="AA55" s="399">
        <f>IF(OR(U55&lt;&gt;0),0,S55/9)</f>
        <v>55.555555555555557</v>
      </c>
      <c r="AB55" s="398">
        <f>IF(OR(T55&lt;&gt;0),0,$Z$1*Z55*110*0.06*0.75/2000)</f>
        <v>4.0392000000000001</v>
      </c>
      <c r="AC55" s="399">
        <f>IF(OR(U55&lt;&gt;0),0,$Z$1*AA55*110*0.06*0.75/2000)</f>
        <v>1.65</v>
      </c>
      <c r="AD55" s="398">
        <f t="shared" si="15"/>
        <v>20.814814814814813</v>
      </c>
      <c r="AE55" s="399">
        <f t="shared" si="16"/>
        <v>9.2592592592592595</v>
      </c>
      <c r="AF55" s="380">
        <v>67</v>
      </c>
      <c r="AG55" s="398">
        <f t="shared" si="17"/>
        <v>0</v>
      </c>
      <c r="AH55" s="399">
        <f t="shared" si="18"/>
        <v>0</v>
      </c>
      <c r="AI55" s="454">
        <f t="shared" si="19"/>
        <v>0</v>
      </c>
      <c r="AJ55" s="85">
        <f t="shared" si="20"/>
        <v>0</v>
      </c>
      <c r="AK55" s="172"/>
    </row>
    <row r="56" spans="1:37" ht="12.75" customHeight="1" x14ac:dyDescent="0.2">
      <c r="B56" s="335">
        <v>89989.25</v>
      </c>
      <c r="C56" s="336">
        <v>90008.8</v>
      </c>
      <c r="D56" s="337" t="s">
        <v>16</v>
      </c>
      <c r="E56" s="337" t="s">
        <v>97</v>
      </c>
      <c r="F56" s="337" t="s">
        <v>102</v>
      </c>
      <c r="G56" s="103" t="str">
        <f t="shared" si="27"/>
        <v>-</v>
      </c>
      <c r="H56" s="349">
        <v>1.5</v>
      </c>
      <c r="I56" s="338">
        <v>0.36</v>
      </c>
      <c r="J56" s="358">
        <v>0</v>
      </c>
      <c r="K56" s="83">
        <f t="shared" si="28"/>
        <v>19.55000000000291</v>
      </c>
      <c r="L56" s="384" t="s">
        <v>97</v>
      </c>
      <c r="M56" s="385" t="s">
        <v>97</v>
      </c>
      <c r="N56" s="222">
        <f t="shared" si="21"/>
        <v>0</v>
      </c>
      <c r="O56" s="274">
        <f t="shared" si="2"/>
        <v>0</v>
      </c>
      <c r="P56" s="394">
        <v>425</v>
      </c>
      <c r="Q56" s="395">
        <v>196</v>
      </c>
      <c r="R56" s="221">
        <f t="shared" si="3"/>
        <v>425</v>
      </c>
      <c r="S56" s="269">
        <f t="shared" si="3"/>
        <v>196</v>
      </c>
      <c r="T56" s="400">
        <v>0</v>
      </c>
      <c r="U56" s="401">
        <v>0</v>
      </c>
      <c r="V56" s="410">
        <f t="shared" si="4"/>
        <v>2.5240277777778018E-2</v>
      </c>
      <c r="W56" s="411">
        <f t="shared" si="4"/>
        <v>1.0888888888888889E-2</v>
      </c>
      <c r="X56" s="398">
        <f t="shared" si="22"/>
        <v>50.480555555556037</v>
      </c>
      <c r="Y56" s="399">
        <f t="shared" si="22"/>
        <v>21.777777777777779</v>
      </c>
      <c r="Z56" s="398">
        <f t="shared" si="13"/>
        <v>50.480555555556037</v>
      </c>
      <c r="AA56" s="399">
        <f t="shared" si="14"/>
        <v>21.777777777777779</v>
      </c>
      <c r="AB56" s="398">
        <f t="shared" si="29"/>
        <v>1.4992725000000144</v>
      </c>
      <c r="AC56" s="399">
        <f t="shared" si="30"/>
        <v>0.64680000000000004</v>
      </c>
      <c r="AD56" s="398">
        <f t="shared" si="15"/>
        <v>8.2303703703703697</v>
      </c>
      <c r="AE56" s="399">
        <f t="shared" si="16"/>
        <v>3.6296296296296298</v>
      </c>
      <c r="AF56" s="344">
        <v>0</v>
      </c>
      <c r="AG56" s="398">
        <f t="shared" si="17"/>
        <v>47.222222222222221</v>
      </c>
      <c r="AH56" s="399">
        <f t="shared" si="18"/>
        <v>21.777777777777779</v>
      </c>
      <c r="AI56" s="454">
        <f t="shared" si="19"/>
        <v>0</v>
      </c>
      <c r="AJ56" s="85">
        <f t="shared" si="20"/>
        <v>39.100000000005821</v>
      </c>
      <c r="AK56" s="172"/>
    </row>
    <row r="57" spans="1:37" ht="12.75" customHeight="1" x14ac:dyDescent="0.2">
      <c r="B57" s="335">
        <v>90009.24</v>
      </c>
      <c r="C57" s="336">
        <v>90876.86</v>
      </c>
      <c r="D57" s="337" t="s">
        <v>16</v>
      </c>
      <c r="E57" s="337" t="s">
        <v>107</v>
      </c>
      <c r="F57" s="337" t="s">
        <v>102</v>
      </c>
      <c r="G57" s="103" t="str">
        <f t="shared" si="27"/>
        <v>F/C - C/B</v>
      </c>
      <c r="H57" s="77">
        <f t="shared" si="8"/>
        <v>2</v>
      </c>
      <c r="I57" s="27">
        <f t="shared" si="9"/>
        <v>24.100555555555427</v>
      </c>
      <c r="J57" s="78">
        <f t="shared" si="10"/>
        <v>-1.42</v>
      </c>
      <c r="K57" s="83">
        <f t="shared" si="28"/>
        <v>867.61999999999534</v>
      </c>
      <c r="L57" s="384">
        <v>43.42</v>
      </c>
      <c r="M57" s="385">
        <v>20</v>
      </c>
      <c r="N57" s="222">
        <f t="shared" si="21"/>
        <v>37673</v>
      </c>
      <c r="O57" s="274">
        <f t="shared" si="2"/>
        <v>17353</v>
      </c>
      <c r="P57" s="394">
        <v>0</v>
      </c>
      <c r="Q57" s="395">
        <v>0</v>
      </c>
      <c r="R57" s="221">
        <f t="shared" si="3"/>
        <v>37673</v>
      </c>
      <c r="S57" s="269">
        <f t="shared" si="3"/>
        <v>17353</v>
      </c>
      <c r="T57" s="400">
        <v>0</v>
      </c>
      <c r="U57" s="401">
        <v>0</v>
      </c>
      <c r="V57" s="410">
        <f t="shared" si="4"/>
        <v>2.1893466666666663</v>
      </c>
      <c r="W57" s="411">
        <f t="shared" si="4"/>
        <v>0.96405555555555555</v>
      </c>
      <c r="X57" s="398">
        <f t="shared" si="22"/>
        <v>4378.6933333333327</v>
      </c>
      <c r="Y57" s="399">
        <f t="shared" si="22"/>
        <v>1928.1111111111111</v>
      </c>
      <c r="Z57" s="398">
        <f t="shared" si="13"/>
        <v>4378.6933333333327</v>
      </c>
      <c r="AA57" s="399">
        <f t="shared" si="14"/>
        <v>1928.1111111111111</v>
      </c>
      <c r="AB57" s="398">
        <f t="shared" si="29"/>
        <v>130.04719199999997</v>
      </c>
      <c r="AC57" s="399">
        <f t="shared" si="30"/>
        <v>57.264899999999997</v>
      </c>
      <c r="AD57" s="398">
        <f t="shared" si="15"/>
        <v>721.74870370370354</v>
      </c>
      <c r="AE57" s="399">
        <f t="shared" si="16"/>
        <v>321.35185185185185</v>
      </c>
      <c r="AF57" s="344">
        <v>0</v>
      </c>
      <c r="AG57" s="398">
        <f t="shared" si="17"/>
        <v>4048.9977333333341</v>
      </c>
      <c r="AH57" s="399">
        <f t="shared" si="18"/>
        <v>1928.1111111111111</v>
      </c>
      <c r="AI57" s="454">
        <f t="shared" si="19"/>
        <v>0</v>
      </c>
      <c r="AJ57" s="85">
        <f t="shared" si="20"/>
        <v>1735.2399999999907</v>
      </c>
      <c r="AK57" s="172"/>
    </row>
    <row r="58" spans="1:37" ht="12.75" customHeight="1" x14ac:dyDescent="0.2">
      <c r="B58" s="335">
        <v>90876.86</v>
      </c>
      <c r="C58" s="336">
        <v>90976.86</v>
      </c>
      <c r="D58" s="337" t="s">
        <v>16</v>
      </c>
      <c r="E58" s="337" t="s">
        <v>107</v>
      </c>
      <c r="F58" s="337" t="s">
        <v>102</v>
      </c>
      <c r="G58" s="103" t="str">
        <f t="shared" si="27"/>
        <v>F/C - C/B</v>
      </c>
      <c r="H58" s="77">
        <f t="shared" si="8"/>
        <v>2</v>
      </c>
      <c r="I58" s="27">
        <f t="shared" si="9"/>
        <v>2.7777777777777777</v>
      </c>
      <c r="J58" s="78">
        <f t="shared" si="10"/>
        <v>-1.42</v>
      </c>
      <c r="K58" s="83">
        <f t="shared" si="28"/>
        <v>100</v>
      </c>
      <c r="L58" s="384">
        <v>47.42</v>
      </c>
      <c r="M58" s="385">
        <v>20</v>
      </c>
      <c r="N58" s="222">
        <f t="shared" si="21"/>
        <v>4742</v>
      </c>
      <c r="O58" s="274">
        <f t="shared" si="2"/>
        <v>2000</v>
      </c>
      <c r="P58" s="394">
        <v>0</v>
      </c>
      <c r="Q58" s="395">
        <v>0</v>
      </c>
      <c r="R58" s="221">
        <f t="shared" si="3"/>
        <v>4742</v>
      </c>
      <c r="S58" s="269">
        <f t="shared" si="3"/>
        <v>2000</v>
      </c>
      <c r="T58" s="400">
        <v>0</v>
      </c>
      <c r="U58" s="401">
        <v>0</v>
      </c>
      <c r="V58" s="410">
        <f t="shared" si="4"/>
        <v>0.27455555555555555</v>
      </c>
      <c r="W58" s="411">
        <f t="shared" si="4"/>
        <v>0.11111111111111112</v>
      </c>
      <c r="X58" s="398">
        <f t="shared" si="22"/>
        <v>549.11111111111109</v>
      </c>
      <c r="Y58" s="399">
        <f t="shared" si="22"/>
        <v>222.22222222222223</v>
      </c>
      <c r="Z58" s="398">
        <f t="shared" si="13"/>
        <v>549.11111111111109</v>
      </c>
      <c r="AA58" s="399">
        <f t="shared" si="14"/>
        <v>222.22222222222223</v>
      </c>
      <c r="AB58" s="398">
        <f t="shared" si="29"/>
        <v>16.308599999999998</v>
      </c>
      <c r="AC58" s="399">
        <f t="shared" si="30"/>
        <v>6.6</v>
      </c>
      <c r="AD58" s="398">
        <f t="shared" si="15"/>
        <v>90.592592592592581</v>
      </c>
      <c r="AE58" s="399">
        <f t="shared" si="16"/>
        <v>37.037037037037038</v>
      </c>
      <c r="AF58" s="344">
        <v>0</v>
      </c>
      <c r="AG58" s="398">
        <f t="shared" si="17"/>
        <v>511.11111111111109</v>
      </c>
      <c r="AH58" s="399">
        <f t="shared" si="18"/>
        <v>222.22222222222223</v>
      </c>
      <c r="AI58" s="454">
        <f t="shared" si="19"/>
        <v>0</v>
      </c>
      <c r="AJ58" s="85">
        <f t="shared" si="20"/>
        <v>200</v>
      </c>
      <c r="AK58" s="172"/>
    </row>
    <row r="59" spans="1:37" ht="12.75" customHeight="1" x14ac:dyDescent="0.2">
      <c r="B59" s="335">
        <v>90976.86</v>
      </c>
      <c r="C59" s="336">
        <v>91222.55</v>
      </c>
      <c r="D59" s="337" t="s">
        <v>16</v>
      </c>
      <c r="E59" s="337" t="s">
        <v>107</v>
      </c>
      <c r="F59" s="337" t="s">
        <v>102</v>
      </c>
      <c r="G59" s="103" t="str">
        <f t="shared" si="27"/>
        <v>F/C - C/B</v>
      </c>
      <c r="H59" s="77">
        <f t="shared" si="8"/>
        <v>2</v>
      </c>
      <c r="I59" s="27">
        <f t="shared" si="9"/>
        <v>6.8247222222222872</v>
      </c>
      <c r="J59" s="78">
        <f t="shared" si="10"/>
        <v>-1.42</v>
      </c>
      <c r="K59" s="83">
        <f t="shared" si="28"/>
        <v>245.69000000000233</v>
      </c>
      <c r="L59" s="384">
        <v>51.42</v>
      </c>
      <c r="M59" s="385">
        <v>20</v>
      </c>
      <c r="N59" s="222">
        <f t="shared" si="21"/>
        <v>12634</v>
      </c>
      <c r="O59" s="274">
        <f t="shared" si="2"/>
        <v>4914</v>
      </c>
      <c r="P59" s="394">
        <v>0</v>
      </c>
      <c r="Q59" s="395">
        <v>0</v>
      </c>
      <c r="R59" s="221">
        <f t="shared" si="3"/>
        <v>12634</v>
      </c>
      <c r="S59" s="269">
        <f t="shared" si="3"/>
        <v>4914</v>
      </c>
      <c r="T59" s="400">
        <v>0</v>
      </c>
      <c r="U59" s="401">
        <v>0</v>
      </c>
      <c r="V59" s="410">
        <f t="shared" si="4"/>
        <v>0.72918777777777799</v>
      </c>
      <c r="W59" s="411">
        <f t="shared" si="4"/>
        <v>0.27300000000000002</v>
      </c>
      <c r="X59" s="398">
        <f t="shared" si="22"/>
        <v>1458.375555555556</v>
      </c>
      <c r="Y59" s="399">
        <f t="shared" si="22"/>
        <v>546</v>
      </c>
      <c r="Z59" s="398">
        <f t="shared" si="13"/>
        <v>1458.375555555556</v>
      </c>
      <c r="AA59" s="399">
        <f t="shared" si="14"/>
        <v>546</v>
      </c>
      <c r="AB59" s="398">
        <f t="shared" si="29"/>
        <v>43.31375400000001</v>
      </c>
      <c r="AC59" s="399">
        <f t="shared" si="30"/>
        <v>16.216200000000001</v>
      </c>
      <c r="AD59" s="398">
        <f t="shared" si="15"/>
        <v>240.78768518518524</v>
      </c>
      <c r="AE59" s="399">
        <f t="shared" si="16"/>
        <v>91</v>
      </c>
      <c r="AF59" s="344">
        <v>0</v>
      </c>
      <c r="AG59" s="398">
        <f t="shared" si="17"/>
        <v>1365.0133555555553</v>
      </c>
      <c r="AH59" s="399">
        <f t="shared" si="18"/>
        <v>546</v>
      </c>
      <c r="AI59" s="454">
        <f t="shared" si="19"/>
        <v>0</v>
      </c>
      <c r="AJ59" s="85">
        <f t="shared" si="20"/>
        <v>491.38000000000466</v>
      </c>
      <c r="AK59" s="172"/>
    </row>
    <row r="60" spans="1:37" ht="12.75" customHeight="1" x14ac:dyDescent="0.2">
      <c r="B60" s="335">
        <v>91222.55</v>
      </c>
      <c r="C60" s="336">
        <v>91676.86</v>
      </c>
      <c r="D60" s="337" t="s">
        <v>16</v>
      </c>
      <c r="E60" s="337" t="s">
        <v>107</v>
      </c>
      <c r="F60" s="337" t="s">
        <v>102</v>
      </c>
      <c r="G60" s="103" t="str">
        <f t="shared" si="27"/>
        <v>F/C - C/B</v>
      </c>
      <c r="H60" s="77">
        <f t="shared" si="8"/>
        <v>2</v>
      </c>
      <c r="I60" s="27">
        <f t="shared" si="9"/>
        <v>12.619722222222158</v>
      </c>
      <c r="J60" s="78">
        <f t="shared" si="10"/>
        <v>-1.42</v>
      </c>
      <c r="K60" s="83">
        <f t="shared" si="28"/>
        <v>454.30999999999767</v>
      </c>
      <c r="L60" s="384" t="s">
        <v>97</v>
      </c>
      <c r="M60" s="385" t="s">
        <v>97</v>
      </c>
      <c r="N60" s="222">
        <f t="shared" si="21"/>
        <v>0</v>
      </c>
      <c r="O60" s="274">
        <f t="shared" si="2"/>
        <v>0</v>
      </c>
      <c r="P60" s="394">
        <v>27431</v>
      </c>
      <c r="Q60" s="395">
        <v>9086</v>
      </c>
      <c r="R60" s="221">
        <f t="shared" si="3"/>
        <v>27431</v>
      </c>
      <c r="S60" s="269">
        <f t="shared" si="3"/>
        <v>9086</v>
      </c>
      <c r="T60" s="400">
        <v>0</v>
      </c>
      <c r="U60" s="401">
        <v>0</v>
      </c>
      <c r="V60" s="410">
        <f t="shared" si="4"/>
        <v>1.5744233333333333</v>
      </c>
      <c r="W60" s="411">
        <f t="shared" si="4"/>
        <v>0.50477777777777777</v>
      </c>
      <c r="X60" s="398">
        <f t="shared" si="22"/>
        <v>3148.8466666666664</v>
      </c>
      <c r="Y60" s="399">
        <f t="shared" si="22"/>
        <v>1009.5555555555555</v>
      </c>
      <c r="Z60" s="398">
        <f t="shared" si="13"/>
        <v>3148.8466666666664</v>
      </c>
      <c r="AA60" s="399">
        <f t="shared" si="14"/>
        <v>1009.5555555555555</v>
      </c>
      <c r="AB60" s="398">
        <f t="shared" si="29"/>
        <v>93.520745999999988</v>
      </c>
      <c r="AC60" s="399">
        <f t="shared" si="30"/>
        <v>29.983799999999995</v>
      </c>
      <c r="AD60" s="398">
        <f t="shared" si="15"/>
        <v>520.60120370370362</v>
      </c>
      <c r="AE60" s="399">
        <f t="shared" si="16"/>
        <v>168.25925925925927</v>
      </c>
      <c r="AF60" s="344">
        <v>0</v>
      </c>
      <c r="AG60" s="398">
        <f t="shared" si="17"/>
        <v>2976.2088666666668</v>
      </c>
      <c r="AH60" s="399">
        <f t="shared" si="18"/>
        <v>1009.5555555555555</v>
      </c>
      <c r="AI60" s="454">
        <f t="shared" si="19"/>
        <v>0</v>
      </c>
      <c r="AJ60" s="85">
        <f t="shared" si="20"/>
        <v>908.61999999999534</v>
      </c>
      <c r="AK60" s="172"/>
    </row>
    <row r="61" spans="1:37" ht="12.75" customHeight="1" x14ac:dyDescent="0.2">
      <c r="B61" s="335">
        <v>91676.86</v>
      </c>
      <c r="C61" s="336">
        <v>93266.82</v>
      </c>
      <c r="D61" s="337" t="s">
        <v>16</v>
      </c>
      <c r="E61" s="337" t="s">
        <v>107</v>
      </c>
      <c r="F61" s="337" t="s">
        <v>101</v>
      </c>
      <c r="G61" s="103" t="str">
        <f t="shared" si="27"/>
        <v>E/S - C/B</v>
      </c>
      <c r="H61" s="77">
        <f t="shared" si="8"/>
        <v>1.5</v>
      </c>
      <c r="I61" s="27">
        <f t="shared" si="9"/>
        <v>44.165555555555734</v>
      </c>
      <c r="J61" s="78">
        <f t="shared" si="10"/>
        <v>-1.42</v>
      </c>
      <c r="K61" s="83">
        <f t="shared" si="28"/>
        <v>1589.9600000000064</v>
      </c>
      <c r="L61" s="384">
        <v>41.42</v>
      </c>
      <c r="M61" s="385">
        <v>20</v>
      </c>
      <c r="N61" s="222">
        <f t="shared" si="21"/>
        <v>65857</v>
      </c>
      <c r="O61" s="274">
        <f t="shared" si="2"/>
        <v>31800</v>
      </c>
      <c r="P61" s="394">
        <v>0</v>
      </c>
      <c r="Q61" s="395">
        <v>0</v>
      </c>
      <c r="R61" s="221">
        <f t="shared" si="3"/>
        <v>65857</v>
      </c>
      <c r="S61" s="269">
        <f t="shared" si="3"/>
        <v>31800</v>
      </c>
      <c r="T61" s="400">
        <v>0</v>
      </c>
      <c r="U61" s="401">
        <v>0</v>
      </c>
      <c r="V61" s="410">
        <f t="shared" si="4"/>
        <v>3.7912188888888889</v>
      </c>
      <c r="W61" s="411">
        <f t="shared" si="4"/>
        <v>1.7666666666666668</v>
      </c>
      <c r="X61" s="398">
        <f t="shared" si="22"/>
        <v>7582.4377777777781</v>
      </c>
      <c r="Y61" s="399">
        <f t="shared" si="22"/>
        <v>3533.3333333333335</v>
      </c>
      <c r="Z61" s="398">
        <f t="shared" si="13"/>
        <v>7582.4377777777781</v>
      </c>
      <c r="AA61" s="399">
        <f t="shared" si="14"/>
        <v>3533.3333333333335</v>
      </c>
      <c r="AB61" s="398">
        <f t="shared" si="29"/>
        <v>225.19840200000002</v>
      </c>
      <c r="AC61" s="399">
        <f t="shared" si="30"/>
        <v>104.94</v>
      </c>
      <c r="AD61" s="398">
        <f t="shared" si="15"/>
        <v>1263.7396296296299</v>
      </c>
      <c r="AE61" s="399">
        <f t="shared" si="16"/>
        <v>588.88888888888891</v>
      </c>
      <c r="AF61" s="344">
        <v>0</v>
      </c>
      <c r="AG61" s="398">
        <f t="shared" si="17"/>
        <v>7066.5840888888879</v>
      </c>
      <c r="AH61" s="399">
        <f t="shared" si="18"/>
        <v>3533.3333333333335</v>
      </c>
      <c r="AI61" s="454">
        <f t="shared" si="19"/>
        <v>58.887407407407643</v>
      </c>
      <c r="AJ61" s="85">
        <f t="shared" si="20"/>
        <v>3179.9200000000128</v>
      </c>
      <c r="AK61" s="172"/>
    </row>
    <row r="62" spans="1:37" ht="12.75" customHeight="1" x14ac:dyDescent="0.2">
      <c r="B62" s="335">
        <v>93266.82</v>
      </c>
      <c r="C62" s="336">
        <v>93571.43</v>
      </c>
      <c r="D62" s="337" t="s">
        <v>16</v>
      </c>
      <c r="E62" s="337" t="s">
        <v>107</v>
      </c>
      <c r="F62" s="337" t="s">
        <v>101</v>
      </c>
      <c r="G62" s="103" t="str">
        <f t="shared" si="27"/>
        <v>E/S - C/B</v>
      </c>
      <c r="H62" s="77">
        <f t="shared" si="8"/>
        <v>1.5</v>
      </c>
      <c r="I62" s="27">
        <f t="shared" si="9"/>
        <v>8.4613888888885</v>
      </c>
      <c r="J62" s="78">
        <f t="shared" si="10"/>
        <v>-1.42</v>
      </c>
      <c r="K62" s="83">
        <f t="shared" si="28"/>
        <v>304.60999999998603</v>
      </c>
      <c r="L62" s="384" t="s">
        <v>97</v>
      </c>
      <c r="M62" s="385" t="s">
        <v>97</v>
      </c>
      <c r="N62" s="222">
        <f t="shared" si="21"/>
        <v>0</v>
      </c>
      <c r="O62" s="274">
        <f t="shared" si="2"/>
        <v>0</v>
      </c>
      <c r="P62" s="394">
        <v>20176</v>
      </c>
      <c r="Q62" s="395">
        <v>6092</v>
      </c>
      <c r="R62" s="221">
        <f t="shared" si="3"/>
        <v>20176</v>
      </c>
      <c r="S62" s="269">
        <f t="shared" si="3"/>
        <v>6092</v>
      </c>
      <c r="T62" s="400">
        <v>0</v>
      </c>
      <c r="U62" s="401">
        <v>0</v>
      </c>
      <c r="V62" s="410">
        <f t="shared" si="4"/>
        <v>1.1462730555555545</v>
      </c>
      <c r="W62" s="411">
        <f t="shared" si="4"/>
        <v>0.33844444444444444</v>
      </c>
      <c r="X62" s="398">
        <f t="shared" si="22"/>
        <v>2292.546111111109</v>
      </c>
      <c r="Y62" s="399">
        <f t="shared" si="22"/>
        <v>676.88888888888891</v>
      </c>
      <c r="Z62" s="398">
        <f t="shared" si="13"/>
        <v>2292.546111111109</v>
      </c>
      <c r="AA62" s="399">
        <f t="shared" si="14"/>
        <v>676.88888888888891</v>
      </c>
      <c r="AB62" s="398">
        <f t="shared" si="29"/>
        <v>68.088619499999936</v>
      </c>
      <c r="AC62" s="399">
        <f t="shared" si="30"/>
        <v>20.1036</v>
      </c>
      <c r="AD62" s="398">
        <f t="shared" si="15"/>
        <v>382.09101851851813</v>
      </c>
      <c r="AE62" s="399">
        <f t="shared" si="16"/>
        <v>112.81481481481481</v>
      </c>
      <c r="AF62" s="344">
        <v>0</v>
      </c>
      <c r="AG62" s="398">
        <f t="shared" si="17"/>
        <v>2193.7170888888913</v>
      </c>
      <c r="AH62" s="399">
        <f t="shared" si="18"/>
        <v>676.88888888888891</v>
      </c>
      <c r="AI62" s="454">
        <f t="shared" si="19"/>
        <v>11.281851851851334</v>
      </c>
      <c r="AJ62" s="85">
        <f t="shared" si="20"/>
        <v>609.21999999997206</v>
      </c>
      <c r="AK62" s="172"/>
    </row>
    <row r="63" spans="1:37" ht="12.75" customHeight="1" x14ac:dyDescent="0.2">
      <c r="B63" s="335">
        <v>93571.43</v>
      </c>
      <c r="C63" s="336">
        <v>94621.43</v>
      </c>
      <c r="D63" s="337" t="s">
        <v>16</v>
      </c>
      <c r="E63" s="337" t="s">
        <v>107</v>
      </c>
      <c r="F63" s="337" t="s">
        <v>101</v>
      </c>
      <c r="G63" s="103" t="str">
        <f t="shared" si="27"/>
        <v>E/S - C/B</v>
      </c>
      <c r="H63" s="77">
        <f t="shared" si="8"/>
        <v>1.5</v>
      </c>
      <c r="I63" s="27">
        <f t="shared" si="9"/>
        <v>29.166666666666668</v>
      </c>
      <c r="J63" s="78">
        <f t="shared" si="10"/>
        <v>-1.42</v>
      </c>
      <c r="K63" s="83">
        <f t="shared" si="28"/>
        <v>1050</v>
      </c>
      <c r="L63" s="384">
        <v>51.92</v>
      </c>
      <c r="M63" s="385">
        <v>20</v>
      </c>
      <c r="N63" s="222">
        <f t="shared" si="21"/>
        <v>54516</v>
      </c>
      <c r="O63" s="274">
        <f t="shared" si="2"/>
        <v>21000</v>
      </c>
      <c r="P63" s="394">
        <v>0</v>
      </c>
      <c r="Q63" s="395">
        <v>0</v>
      </c>
      <c r="R63" s="221">
        <f t="shared" si="3"/>
        <v>54516</v>
      </c>
      <c r="S63" s="269">
        <f t="shared" si="3"/>
        <v>21000</v>
      </c>
      <c r="T63" s="400">
        <v>0</v>
      </c>
      <c r="U63" s="401">
        <v>0</v>
      </c>
      <c r="V63" s="410">
        <f t="shared" si="4"/>
        <v>3.1161666666666665</v>
      </c>
      <c r="W63" s="411">
        <f t="shared" si="4"/>
        <v>1.1666666666666667</v>
      </c>
      <c r="X63" s="398">
        <f t="shared" si="22"/>
        <v>6232.333333333333</v>
      </c>
      <c r="Y63" s="399">
        <f t="shared" si="22"/>
        <v>2333.3333333333335</v>
      </c>
      <c r="Z63" s="398">
        <f t="shared" si="13"/>
        <v>6232.333333333333</v>
      </c>
      <c r="AA63" s="399">
        <f t="shared" si="14"/>
        <v>2333.3333333333335</v>
      </c>
      <c r="AB63" s="398">
        <f t="shared" si="29"/>
        <v>185.10029999999998</v>
      </c>
      <c r="AC63" s="399">
        <f t="shared" si="30"/>
        <v>69.3</v>
      </c>
      <c r="AD63" s="398">
        <f t="shared" si="15"/>
        <v>1038.7222222222222</v>
      </c>
      <c r="AE63" s="399">
        <f t="shared" si="16"/>
        <v>388.88888888888891</v>
      </c>
      <c r="AF63" s="344">
        <v>0</v>
      </c>
      <c r="AG63" s="398">
        <f t="shared" si="17"/>
        <v>5891.666666666667</v>
      </c>
      <c r="AH63" s="399">
        <f t="shared" si="18"/>
        <v>2333.3333333333335</v>
      </c>
      <c r="AI63" s="454">
        <f t="shared" si="19"/>
        <v>38.888888888888886</v>
      </c>
      <c r="AJ63" s="85">
        <f t="shared" si="20"/>
        <v>2100</v>
      </c>
      <c r="AK63" s="172"/>
    </row>
    <row r="64" spans="1:37" ht="12.75" customHeight="1" x14ac:dyDescent="0.2">
      <c r="B64" s="335">
        <v>94621.43</v>
      </c>
      <c r="C64" s="336">
        <v>95390</v>
      </c>
      <c r="D64" s="337" t="s">
        <v>16</v>
      </c>
      <c r="E64" s="337" t="s">
        <v>107</v>
      </c>
      <c r="F64" s="337" t="s">
        <v>101</v>
      </c>
      <c r="G64" s="103" t="str">
        <f t="shared" si="27"/>
        <v>E/S - C/B</v>
      </c>
      <c r="H64" s="77">
        <f t="shared" si="8"/>
        <v>1.5</v>
      </c>
      <c r="I64" s="27">
        <f t="shared" si="9"/>
        <v>21.349166666666861</v>
      </c>
      <c r="J64" s="78">
        <f t="shared" si="10"/>
        <v>-1.42</v>
      </c>
      <c r="K64" s="83">
        <f t="shared" si="28"/>
        <v>768.57000000000698</v>
      </c>
      <c r="L64" s="384">
        <v>41.42</v>
      </c>
      <c r="M64" s="385">
        <v>20</v>
      </c>
      <c r="N64" s="222">
        <f t="shared" si="21"/>
        <v>31835</v>
      </c>
      <c r="O64" s="274">
        <f t="shared" si="2"/>
        <v>15372</v>
      </c>
      <c r="P64" s="394">
        <v>0</v>
      </c>
      <c r="Q64" s="395">
        <v>0</v>
      </c>
      <c r="R64" s="221">
        <f t="shared" si="3"/>
        <v>31835</v>
      </c>
      <c r="S64" s="269">
        <f t="shared" si="3"/>
        <v>15372</v>
      </c>
      <c r="T64" s="400">
        <v>0</v>
      </c>
      <c r="U64" s="401">
        <v>0</v>
      </c>
      <c r="V64" s="410">
        <f t="shared" si="4"/>
        <v>1.8326586111111116</v>
      </c>
      <c r="W64" s="411">
        <f t="shared" si="4"/>
        <v>0.85399999999999998</v>
      </c>
      <c r="X64" s="398">
        <f t="shared" si="22"/>
        <v>3665.3172222222233</v>
      </c>
      <c r="Y64" s="399">
        <f t="shared" si="22"/>
        <v>1708</v>
      </c>
      <c r="Z64" s="398">
        <f t="shared" si="13"/>
        <v>3665.3172222222233</v>
      </c>
      <c r="AA64" s="399">
        <f t="shared" si="14"/>
        <v>1708</v>
      </c>
      <c r="AB64" s="398">
        <f t="shared" si="29"/>
        <v>108.85992150000003</v>
      </c>
      <c r="AC64" s="399">
        <f t="shared" si="30"/>
        <v>50.727600000000002</v>
      </c>
      <c r="AD64" s="398">
        <f t="shared" si="15"/>
        <v>610.88620370370393</v>
      </c>
      <c r="AE64" s="399">
        <f t="shared" si="16"/>
        <v>284.66666666666669</v>
      </c>
      <c r="AF64" s="344">
        <v>0</v>
      </c>
      <c r="AG64" s="398">
        <f t="shared" si="17"/>
        <v>3415.9589555555544</v>
      </c>
      <c r="AH64" s="399">
        <f t="shared" si="18"/>
        <v>1708</v>
      </c>
      <c r="AI64" s="454">
        <f t="shared" si="19"/>
        <v>28.465555555555813</v>
      </c>
      <c r="AJ64" s="85">
        <f t="shared" si="20"/>
        <v>1537.140000000014</v>
      </c>
      <c r="AK64" s="172"/>
    </row>
    <row r="65" spans="1:37" ht="12.75" customHeight="1" x14ac:dyDescent="0.2">
      <c r="B65" s="335">
        <v>95390</v>
      </c>
      <c r="C65" s="336">
        <v>95410.94</v>
      </c>
      <c r="D65" s="337" t="s">
        <v>16</v>
      </c>
      <c r="E65" s="337" t="s">
        <v>107</v>
      </c>
      <c r="F65" s="337" t="s">
        <v>102</v>
      </c>
      <c r="G65" s="103" t="str">
        <f t="shared" si="27"/>
        <v>F/C - C/B</v>
      </c>
      <c r="H65" s="77">
        <f t="shared" si="8"/>
        <v>2</v>
      </c>
      <c r="I65" s="27">
        <f t="shared" si="9"/>
        <v>0.58166666666673139</v>
      </c>
      <c r="J65" s="78">
        <f t="shared" si="10"/>
        <v>-1.42</v>
      </c>
      <c r="K65" s="83">
        <f t="shared" si="28"/>
        <v>20.940000000002328</v>
      </c>
      <c r="L65" s="384">
        <v>43.42</v>
      </c>
      <c r="M65" s="385">
        <v>20</v>
      </c>
      <c r="N65" s="222">
        <f t="shared" si="21"/>
        <v>910</v>
      </c>
      <c r="O65" s="274">
        <f t="shared" si="2"/>
        <v>419</v>
      </c>
      <c r="P65" s="394">
        <v>0</v>
      </c>
      <c r="Q65" s="395">
        <v>0</v>
      </c>
      <c r="R65" s="221">
        <f t="shared" si="3"/>
        <v>910</v>
      </c>
      <c r="S65" s="269">
        <f t="shared" si="3"/>
        <v>419</v>
      </c>
      <c r="T65" s="400">
        <v>0</v>
      </c>
      <c r="U65" s="401">
        <v>0</v>
      </c>
      <c r="V65" s="410">
        <f t="shared" si="4"/>
        <v>5.2882222222222483E-2</v>
      </c>
      <c r="W65" s="411">
        <f t="shared" si="4"/>
        <v>2.3277777777777779E-2</v>
      </c>
      <c r="X65" s="398">
        <f t="shared" si="22"/>
        <v>105.76444444444496</v>
      </c>
      <c r="Y65" s="399">
        <f t="shared" si="22"/>
        <v>46.555555555555557</v>
      </c>
      <c r="Z65" s="398">
        <f t="shared" si="13"/>
        <v>105.76444444444496</v>
      </c>
      <c r="AA65" s="399">
        <f t="shared" si="14"/>
        <v>46.555555555555557</v>
      </c>
      <c r="AB65" s="398">
        <f t="shared" si="29"/>
        <v>3.1412040000000152</v>
      </c>
      <c r="AC65" s="399">
        <f t="shared" si="30"/>
        <v>1.3827</v>
      </c>
      <c r="AD65" s="398">
        <f t="shared" si="15"/>
        <v>17.433518518518582</v>
      </c>
      <c r="AE65" s="399">
        <f t="shared" si="16"/>
        <v>7.7592592592592595</v>
      </c>
      <c r="AF65" s="344">
        <v>0</v>
      </c>
      <c r="AG65" s="398">
        <f t="shared" si="17"/>
        <v>97.807244444444066</v>
      </c>
      <c r="AH65" s="399">
        <f t="shared" si="18"/>
        <v>46.555555555555557</v>
      </c>
      <c r="AI65" s="454">
        <f t="shared" si="19"/>
        <v>0</v>
      </c>
      <c r="AJ65" s="85">
        <f t="shared" si="20"/>
        <v>41.880000000004657</v>
      </c>
      <c r="AK65" s="172"/>
    </row>
    <row r="66" spans="1:37" ht="12.75" customHeight="1" x14ac:dyDescent="0.2">
      <c r="B66" s="335">
        <v>95410.94</v>
      </c>
      <c r="C66" s="336">
        <v>96504.94</v>
      </c>
      <c r="D66" s="337" t="s">
        <v>16</v>
      </c>
      <c r="E66" s="337" t="s">
        <v>107</v>
      </c>
      <c r="F66" s="337" t="s">
        <v>108</v>
      </c>
      <c r="G66" s="103" t="str">
        <f t="shared" si="27"/>
        <v>-</v>
      </c>
      <c r="H66" s="349">
        <v>3.17</v>
      </c>
      <c r="I66" s="338">
        <v>44.17</v>
      </c>
      <c r="J66" s="358">
        <v>-1.42</v>
      </c>
      <c r="K66" s="83">
        <f t="shared" si="28"/>
        <v>1094</v>
      </c>
      <c r="L66" s="384">
        <v>43.42</v>
      </c>
      <c r="M66" s="385">
        <v>20</v>
      </c>
      <c r="N66" s="222">
        <f t="shared" si="21"/>
        <v>47502</v>
      </c>
      <c r="O66" s="274">
        <f t="shared" si="2"/>
        <v>21880</v>
      </c>
      <c r="P66" s="394">
        <v>0</v>
      </c>
      <c r="Q66" s="395">
        <v>0</v>
      </c>
      <c r="R66" s="221">
        <f t="shared" si="3"/>
        <v>47502</v>
      </c>
      <c r="S66" s="269">
        <f t="shared" si="3"/>
        <v>21880</v>
      </c>
      <c r="T66" s="400">
        <v>0</v>
      </c>
      <c r="U66" s="401">
        <v>0</v>
      </c>
      <c r="V66" s="410">
        <f t="shared" si="4"/>
        <v>2.8316655555555559</v>
      </c>
      <c r="W66" s="411">
        <f t="shared" si="4"/>
        <v>1.2155555555555557</v>
      </c>
      <c r="X66" s="398">
        <f t="shared" si="22"/>
        <v>5663.3311111111116</v>
      </c>
      <c r="Y66" s="399">
        <f t="shared" si="22"/>
        <v>2431.1111111111113</v>
      </c>
      <c r="Z66" s="398">
        <f t="shared" si="13"/>
        <v>5663.3311111111116</v>
      </c>
      <c r="AA66" s="399">
        <f t="shared" si="14"/>
        <v>2431.1111111111113</v>
      </c>
      <c r="AB66" s="398">
        <f t="shared" si="29"/>
        <v>168.20093400000002</v>
      </c>
      <c r="AC66" s="399">
        <f t="shared" si="30"/>
        <v>72.203999999999994</v>
      </c>
      <c r="AD66" s="398">
        <f t="shared" si="15"/>
        <v>923.83666666666659</v>
      </c>
      <c r="AE66" s="399">
        <f t="shared" si="16"/>
        <v>405.18518518518516</v>
      </c>
      <c r="AF66" s="344">
        <v>0</v>
      </c>
      <c r="AG66" s="398">
        <f t="shared" si="17"/>
        <v>5105.3911111111111</v>
      </c>
      <c r="AH66" s="399">
        <f t="shared" si="18"/>
        <v>2431.1111111111113</v>
      </c>
      <c r="AI66" s="454">
        <f t="shared" si="19"/>
        <v>0</v>
      </c>
      <c r="AJ66" s="85">
        <f t="shared" si="20"/>
        <v>2188</v>
      </c>
      <c r="AK66" s="172"/>
    </row>
    <row r="67" spans="1:37" ht="12.75" customHeight="1" x14ac:dyDescent="0.2">
      <c r="B67" s="335">
        <v>96504.94</v>
      </c>
      <c r="C67" s="336">
        <v>98092.73</v>
      </c>
      <c r="D67" s="337" t="s">
        <v>16</v>
      </c>
      <c r="E67" s="337" t="s">
        <v>107</v>
      </c>
      <c r="F67" s="337" t="s">
        <v>101</v>
      </c>
      <c r="G67" s="103" t="str">
        <f t="shared" si="27"/>
        <v>E/S - C/B</v>
      </c>
      <c r="H67" s="77">
        <f t="shared" si="8"/>
        <v>1.5</v>
      </c>
      <c r="I67" s="27">
        <f t="shared" si="9"/>
        <v>44.105277777777602</v>
      </c>
      <c r="J67" s="78">
        <f t="shared" si="10"/>
        <v>-1.42</v>
      </c>
      <c r="K67" s="83">
        <f t="shared" si="28"/>
        <v>1587.7899999999936</v>
      </c>
      <c r="L67" s="384">
        <v>41.42</v>
      </c>
      <c r="M67" s="385">
        <v>20</v>
      </c>
      <c r="N67" s="222">
        <f t="shared" si="21"/>
        <v>65767</v>
      </c>
      <c r="O67" s="274">
        <f t="shared" si="2"/>
        <v>31756</v>
      </c>
      <c r="P67" s="394">
        <v>0</v>
      </c>
      <c r="Q67" s="395">
        <v>0</v>
      </c>
      <c r="R67" s="221">
        <f t="shared" si="3"/>
        <v>65767</v>
      </c>
      <c r="S67" s="269">
        <f t="shared" si="3"/>
        <v>31756</v>
      </c>
      <c r="T67" s="400">
        <v>0</v>
      </c>
      <c r="U67" s="401">
        <v>0</v>
      </c>
      <c r="V67" s="410">
        <f t="shared" si="4"/>
        <v>3.7860380555555553</v>
      </c>
      <c r="W67" s="411">
        <f t="shared" si="4"/>
        <v>1.7642222222222221</v>
      </c>
      <c r="X67" s="398">
        <f t="shared" si="22"/>
        <v>7572.0761111111105</v>
      </c>
      <c r="Y67" s="399">
        <f t="shared" si="22"/>
        <v>3528.4444444444443</v>
      </c>
      <c r="Z67" s="398">
        <f t="shared" si="13"/>
        <v>7572.0761111111105</v>
      </c>
      <c r="AA67" s="399">
        <f t="shared" si="14"/>
        <v>3528.4444444444443</v>
      </c>
      <c r="AB67" s="398">
        <f t="shared" si="29"/>
        <v>224.8906605</v>
      </c>
      <c r="AC67" s="399">
        <f t="shared" si="30"/>
        <v>104.79479999999998</v>
      </c>
      <c r="AD67" s="398">
        <f t="shared" si="15"/>
        <v>1262.0126851851851</v>
      </c>
      <c r="AE67" s="399">
        <f t="shared" si="16"/>
        <v>588.07407407407402</v>
      </c>
      <c r="AF67" s="344">
        <v>0</v>
      </c>
      <c r="AG67" s="398">
        <f t="shared" si="17"/>
        <v>7056.9264666666677</v>
      </c>
      <c r="AH67" s="399">
        <f t="shared" si="18"/>
        <v>3528.4444444444443</v>
      </c>
      <c r="AI67" s="454">
        <f t="shared" si="19"/>
        <v>58.8070370370368</v>
      </c>
      <c r="AJ67" s="85">
        <f t="shared" si="20"/>
        <v>3175.5799999999872</v>
      </c>
      <c r="AK67" s="172"/>
    </row>
    <row r="68" spans="1:37" ht="12.75" customHeight="1" x14ac:dyDescent="0.2">
      <c r="B68" s="335">
        <v>98092.73</v>
      </c>
      <c r="C68" s="336">
        <v>98152.14</v>
      </c>
      <c r="D68" s="337" t="s">
        <v>16</v>
      </c>
      <c r="E68" s="337" t="s">
        <v>107</v>
      </c>
      <c r="F68" s="337" t="s">
        <v>108</v>
      </c>
      <c r="G68" s="103" t="str">
        <f t="shared" si="27"/>
        <v>-</v>
      </c>
      <c r="H68" s="349">
        <v>3.17</v>
      </c>
      <c r="I68" s="338">
        <v>2.4</v>
      </c>
      <c r="J68" s="358">
        <v>-1.42</v>
      </c>
      <c r="K68" s="83">
        <f t="shared" si="28"/>
        <v>59.410000000003492</v>
      </c>
      <c r="L68" s="384">
        <v>41.42</v>
      </c>
      <c r="M68" s="385">
        <v>20</v>
      </c>
      <c r="N68" s="222">
        <f t="shared" si="21"/>
        <v>2461</v>
      </c>
      <c r="O68" s="274">
        <f t="shared" si="2"/>
        <v>1189</v>
      </c>
      <c r="P68" s="394">
        <v>0</v>
      </c>
      <c r="Q68" s="395">
        <v>0</v>
      </c>
      <c r="R68" s="221">
        <f t="shared" si="3"/>
        <v>2461</v>
      </c>
      <c r="S68" s="269">
        <f t="shared" si="3"/>
        <v>1189</v>
      </c>
      <c r="T68" s="400">
        <v>0</v>
      </c>
      <c r="U68" s="401">
        <v>0</v>
      </c>
      <c r="V68" s="410">
        <f t="shared" si="4"/>
        <v>0.14718498333333394</v>
      </c>
      <c r="W68" s="411">
        <f t="shared" si="4"/>
        <v>6.6055555555555562E-2</v>
      </c>
      <c r="X68" s="398">
        <f t="shared" si="22"/>
        <v>294.36996666666789</v>
      </c>
      <c r="Y68" s="399">
        <f t="shared" si="22"/>
        <v>132.11111111111111</v>
      </c>
      <c r="Z68" s="398">
        <f t="shared" si="13"/>
        <v>294.36996666666789</v>
      </c>
      <c r="AA68" s="399">
        <f t="shared" si="14"/>
        <v>132.11111111111111</v>
      </c>
      <c r="AB68" s="398">
        <f t="shared" si="29"/>
        <v>8.7427880100000372</v>
      </c>
      <c r="AC68" s="399">
        <f t="shared" si="30"/>
        <v>3.9237000000000002</v>
      </c>
      <c r="AD68" s="398">
        <f t="shared" si="15"/>
        <v>47.974074074074075</v>
      </c>
      <c r="AE68" s="399">
        <f t="shared" si="16"/>
        <v>22.018518518518519</v>
      </c>
      <c r="AF68" s="344">
        <v>0</v>
      </c>
      <c r="AG68" s="398">
        <f t="shared" si="17"/>
        <v>264.07086666666612</v>
      </c>
      <c r="AH68" s="399">
        <f t="shared" si="18"/>
        <v>132.11111111111111</v>
      </c>
      <c r="AI68" s="454">
        <f t="shared" si="19"/>
        <v>0</v>
      </c>
      <c r="AJ68" s="85">
        <f t="shared" si="20"/>
        <v>118.82000000000698</v>
      </c>
      <c r="AK68" s="172"/>
    </row>
    <row r="69" spans="1:37" ht="12.75" customHeight="1" x14ac:dyDescent="0.2">
      <c r="B69" s="335">
        <v>98152.14</v>
      </c>
      <c r="C69" s="336">
        <v>101500</v>
      </c>
      <c r="D69" s="337" t="s">
        <v>16</v>
      </c>
      <c r="E69" s="337" t="s">
        <v>107</v>
      </c>
      <c r="F69" s="337" t="s">
        <v>101</v>
      </c>
      <c r="G69" s="103" t="str">
        <f t="shared" si="27"/>
        <v>E/S - C/B</v>
      </c>
      <c r="H69" s="77">
        <f t="shared" si="8"/>
        <v>1.5</v>
      </c>
      <c r="I69" s="27">
        <f t="shared" si="9"/>
        <v>92.996111111111134</v>
      </c>
      <c r="J69" s="78">
        <f t="shared" si="10"/>
        <v>-1.42</v>
      </c>
      <c r="K69" s="83">
        <f t="shared" si="28"/>
        <v>3347.8600000000006</v>
      </c>
      <c r="L69" s="384">
        <v>41.42</v>
      </c>
      <c r="M69" s="385">
        <v>20</v>
      </c>
      <c r="N69" s="222">
        <f t="shared" si="21"/>
        <v>138669</v>
      </c>
      <c r="O69" s="274">
        <f t="shared" si="2"/>
        <v>66958</v>
      </c>
      <c r="P69" s="394">
        <v>0</v>
      </c>
      <c r="Q69" s="395">
        <v>0</v>
      </c>
      <c r="R69" s="221">
        <f t="shared" si="3"/>
        <v>138669</v>
      </c>
      <c r="S69" s="269">
        <f t="shared" si="3"/>
        <v>66958</v>
      </c>
      <c r="T69" s="400">
        <v>0</v>
      </c>
      <c r="U69" s="401">
        <v>0</v>
      </c>
      <c r="V69" s="410">
        <f t="shared" si="4"/>
        <v>7.9828216666666671</v>
      </c>
      <c r="W69" s="411">
        <f t="shared" si="4"/>
        <v>3.7198888888888888</v>
      </c>
      <c r="X69" s="398">
        <f t="shared" si="22"/>
        <v>15965.643333333333</v>
      </c>
      <c r="Y69" s="399">
        <f t="shared" si="22"/>
        <v>7439.7777777777774</v>
      </c>
      <c r="Z69" s="398">
        <f t="shared" si="13"/>
        <v>15965.643333333333</v>
      </c>
      <c r="AA69" s="399">
        <f t="shared" si="14"/>
        <v>7439.7777777777774</v>
      </c>
      <c r="AB69" s="398">
        <f t="shared" si="29"/>
        <v>474.17960699999998</v>
      </c>
      <c r="AC69" s="399">
        <f t="shared" si="30"/>
        <v>220.96139999999997</v>
      </c>
      <c r="AD69" s="398">
        <f t="shared" si="15"/>
        <v>2660.9405555555554</v>
      </c>
      <c r="AE69" s="399">
        <f t="shared" si="16"/>
        <v>1239.962962962963</v>
      </c>
      <c r="AF69" s="344">
        <v>0</v>
      </c>
      <c r="AG69" s="398">
        <f t="shared" si="17"/>
        <v>14879.448755555557</v>
      </c>
      <c r="AH69" s="399">
        <f t="shared" si="18"/>
        <v>7439.7777777777774</v>
      </c>
      <c r="AI69" s="454">
        <f t="shared" si="19"/>
        <v>123.99481481481483</v>
      </c>
      <c r="AJ69" s="85">
        <f t="shared" si="20"/>
        <v>6695.7200000000012</v>
      </c>
      <c r="AK69" s="172"/>
    </row>
    <row r="70" spans="1:37" ht="12.75" customHeight="1" thickBot="1" x14ac:dyDescent="0.25">
      <c r="B70" s="355"/>
      <c r="C70" s="356"/>
      <c r="D70" s="357"/>
      <c r="E70" s="357"/>
      <c r="F70" s="357"/>
      <c r="G70" s="196"/>
      <c r="H70" s="259"/>
      <c r="I70" s="258"/>
      <c r="J70" s="256"/>
      <c r="K70" s="215"/>
      <c r="L70" s="427"/>
      <c r="M70" s="428"/>
      <c r="N70" s="392"/>
      <c r="O70" s="393"/>
      <c r="P70" s="429"/>
      <c r="Q70" s="430"/>
      <c r="R70" s="223"/>
      <c r="S70" s="280"/>
      <c r="T70" s="400"/>
      <c r="U70" s="401"/>
      <c r="V70" s="410"/>
      <c r="W70" s="411"/>
      <c r="X70" s="398"/>
      <c r="Y70" s="399"/>
      <c r="Z70" s="398"/>
      <c r="AA70" s="399"/>
      <c r="AB70" s="398"/>
      <c r="AC70" s="399"/>
      <c r="AD70" s="398"/>
      <c r="AE70" s="399"/>
      <c r="AF70" s="344"/>
      <c r="AG70" s="398"/>
      <c r="AH70" s="399"/>
      <c r="AI70" s="111"/>
      <c r="AJ70" s="85"/>
      <c r="AK70" s="172"/>
    </row>
    <row r="71" spans="1:37" ht="12.75" customHeight="1" x14ac:dyDescent="0.2">
      <c r="B71" s="730" t="s">
        <v>265</v>
      </c>
      <c r="C71" s="731"/>
      <c r="D71" s="773" t="s">
        <v>236</v>
      </c>
      <c r="E71" s="774"/>
      <c r="F71" s="774"/>
      <c r="G71" s="774"/>
      <c r="H71" s="774"/>
      <c r="I71" s="774"/>
      <c r="J71" s="774"/>
      <c r="K71" s="774"/>
      <c r="L71" s="774"/>
      <c r="M71" s="774"/>
      <c r="N71" s="774"/>
      <c r="O71" s="774"/>
      <c r="P71" s="774"/>
      <c r="Q71" s="774"/>
      <c r="R71" s="774"/>
      <c r="S71" s="775"/>
      <c r="T71" s="612">
        <f>ROUNDUP(SUM(T19:T70),0)</f>
        <v>18820</v>
      </c>
      <c r="U71" s="614">
        <f t="shared" ref="U71:AJ71" si="31">ROUNDUP(SUM(U19:U70),0)</f>
        <v>4379</v>
      </c>
      <c r="V71" s="612">
        <f t="shared" si="31"/>
        <v>69</v>
      </c>
      <c r="W71" s="614">
        <f t="shared" si="31"/>
        <v>28</v>
      </c>
      <c r="X71" s="612">
        <f t="shared" si="31"/>
        <v>118434</v>
      </c>
      <c r="Y71" s="614">
        <f t="shared" si="31"/>
        <v>49899</v>
      </c>
      <c r="Z71" s="612">
        <f t="shared" si="31"/>
        <v>118434</v>
      </c>
      <c r="AA71" s="614">
        <f t="shared" si="31"/>
        <v>49899</v>
      </c>
      <c r="AB71" s="612">
        <f t="shared" si="31"/>
        <v>3518</v>
      </c>
      <c r="AC71" s="614">
        <f t="shared" si="31"/>
        <v>1482</v>
      </c>
      <c r="AD71" s="612">
        <f t="shared" si="31"/>
        <v>22856</v>
      </c>
      <c r="AE71" s="614">
        <f t="shared" si="31"/>
        <v>9069</v>
      </c>
      <c r="AF71" s="610">
        <f t="shared" si="31"/>
        <v>530</v>
      </c>
      <c r="AG71" s="612">
        <f t="shared" si="31"/>
        <v>127587</v>
      </c>
      <c r="AH71" s="614">
        <f t="shared" si="31"/>
        <v>54033</v>
      </c>
      <c r="AI71" s="614">
        <f t="shared" ref="AI71" si="32">ROUNDUP(SUM(AI19:AI70),0)</f>
        <v>728</v>
      </c>
      <c r="AJ71" s="610">
        <f t="shared" si="31"/>
        <v>52501</v>
      </c>
      <c r="AK71" s="172"/>
    </row>
    <row r="72" spans="1:37" ht="12.75" customHeight="1" thickBot="1" x14ac:dyDescent="0.25">
      <c r="B72" s="734"/>
      <c r="C72" s="735"/>
      <c r="D72" s="776"/>
      <c r="E72" s="777"/>
      <c r="F72" s="777"/>
      <c r="G72" s="777"/>
      <c r="H72" s="777"/>
      <c r="I72" s="777"/>
      <c r="J72" s="777"/>
      <c r="K72" s="777"/>
      <c r="L72" s="777"/>
      <c r="M72" s="777"/>
      <c r="N72" s="777"/>
      <c r="O72" s="777"/>
      <c r="P72" s="777"/>
      <c r="Q72" s="777"/>
      <c r="R72" s="777"/>
      <c r="S72" s="778"/>
      <c r="T72" s="613"/>
      <c r="U72" s="615"/>
      <c r="V72" s="613"/>
      <c r="W72" s="615"/>
      <c r="X72" s="613"/>
      <c r="Y72" s="615"/>
      <c r="Z72" s="613"/>
      <c r="AA72" s="615"/>
      <c r="AB72" s="613"/>
      <c r="AC72" s="615"/>
      <c r="AD72" s="613"/>
      <c r="AE72" s="615"/>
      <c r="AF72" s="611"/>
      <c r="AG72" s="613"/>
      <c r="AH72" s="615"/>
      <c r="AI72" s="615"/>
      <c r="AJ72" s="611"/>
      <c r="AK72" s="122"/>
    </row>
    <row r="73" spans="1:37" ht="12.75" customHeight="1" x14ac:dyDescent="0.2">
      <c r="B73" s="647" t="s">
        <v>196</v>
      </c>
      <c r="C73" s="648"/>
      <c r="D73" s="104"/>
      <c r="E73" s="104"/>
      <c r="F73" s="104"/>
      <c r="G73" s="104"/>
      <c r="H73" s="450"/>
      <c r="I73" s="229"/>
      <c r="J73" s="229"/>
      <c r="K73" s="89"/>
      <c r="L73" s="390"/>
      <c r="M73" s="391"/>
      <c r="N73" s="222"/>
      <c r="O73" s="274"/>
      <c r="P73" s="222"/>
      <c r="Q73" s="274"/>
      <c r="R73" s="222"/>
      <c r="S73" s="274"/>
      <c r="T73" s="222"/>
      <c r="U73" s="274"/>
      <c r="V73" s="390"/>
      <c r="W73" s="391"/>
      <c r="X73" s="390"/>
      <c r="Y73" s="391"/>
      <c r="Z73" s="390"/>
      <c r="AA73" s="391"/>
      <c r="AB73" s="440"/>
      <c r="AC73" s="441"/>
      <c r="AD73" s="222"/>
      <c r="AE73" s="274"/>
      <c r="AF73" s="124"/>
      <c r="AG73" s="222"/>
      <c r="AH73" s="274"/>
      <c r="AI73" s="126"/>
      <c r="AJ73" s="124"/>
    </row>
    <row r="74" spans="1:37" ht="12.75" customHeight="1" x14ac:dyDescent="0.2">
      <c r="B74" s="335">
        <v>74452.94</v>
      </c>
      <c r="C74" s="336">
        <v>74540.72</v>
      </c>
      <c r="D74" s="337" t="s">
        <v>15</v>
      </c>
      <c r="E74" s="337" t="s">
        <v>101</v>
      </c>
      <c r="F74" s="337" t="s">
        <v>101</v>
      </c>
      <c r="G74" s="103" t="str">
        <f t="shared" ref="G74:G106" si="33">IF(AND($E74=$AL$2,$F74=$AL$2),$AN$2,IF(OR(AND($E74=$AL$2,$F74=$AL$3),AND($E74=$AL$3,$F74=$AL$2)),$AN$3,IF(OR(AND($E74=$AL$2,$F74=$AL$4),AND($E74=$AL$4,$F74=$AL$2)),$AN$4,IF(OR(AND($E74=$AL$3,$F74=$AL$4),AND($E74=$AL$4,$F74=$AL$3)),$AN$5,IF(AND($E74=$AL$3,$F74=$AL$3),$AN$6,IF(AND($E74=$AL$4,$F74=$AL$4),$AN$7,"-"))))))</f>
        <v>E/S - E/S</v>
      </c>
      <c r="H74" s="77">
        <f t="shared" ref="H74:H131" si="34">IF(AND($E74=$AL$2,$F74=$AL$2),2*$AN$12,IF(OR(AND($E74=$AL$2, $F74=$AL$3),AND($E74=$AL$3,$F74=$AL$2)),$AN$12+$AN$13,IF(OR(AND($E74=$AL$2,$F74=$AL$4),AND($E74=$AL$4,$F74=$AL$2)),$AN$12,IF(OR(AND($E74=$AL$3,$F74=$AL$4),AND($E74=$AL$4,$F74=$AL$3)),$AN$13,IF(AND($E74=$AL$3,$F74=$AL$3),2*$AN$13,0)))))</f>
        <v>3</v>
      </c>
      <c r="I74" s="27">
        <f t="shared" ref="I74:I131" si="35">IF(AND($E74=$AL$2,$F74=$AL$2),2*$AQ$12*$K74/27,IF(OR(AND($E74=$AL$2,$F74=$AL$3),AND($E74=$AL$3,$F74=$AL$2)),($AQ$12+$AQ$13)*$K74/27,IF(OR(AND($E74=$AL$2,$F74=$AL$4),AND($E74=$AL$4,$F74=$AL$2)),$AQ$12*$K74/27,IF(OR(AND($E74=$AL$3,$F74=$AL$4),AND($E74=$AL$4,$F74=$AL$3)),$AQ$13*$K74/27,IF(AND($E74=$AL$3,$F74=$AL$3),2*$AQ$13*$K74/27,0)))))</f>
        <v>4.8766666666666021</v>
      </c>
      <c r="J74" s="78">
        <f t="shared" ref="J74:J131" si="36">IF(OR(AND($E74=$AL$2,$F74=$AL$4),AND($E74=$AL$4,$F74=$AL$2)),$AT$14,IF(OR(AND($E74=$AL$3,$F74=$AL$4),AND($E74=$AL$4,$F74=$AL$3)),$AT$14,IF(AND($E74=$AL$4,$F74=$AL$4),2*$AT$14,0)))</f>
        <v>0</v>
      </c>
      <c r="K74" s="83">
        <f t="shared" ref="K74:K106" si="37">C74-B74</f>
        <v>87.779999999998836</v>
      </c>
      <c r="L74" s="384">
        <v>40</v>
      </c>
      <c r="M74" s="385">
        <v>8</v>
      </c>
      <c r="N74" s="222">
        <f>IF(L74="-",0,ROUNDUP($K74*L74,0))</f>
        <v>3512</v>
      </c>
      <c r="O74" s="274">
        <f t="shared" ref="O74:O131" si="38">IF($M74="-",0,ROUNDUP($K74*M74,0))</f>
        <v>703</v>
      </c>
      <c r="P74" s="394">
        <v>0</v>
      </c>
      <c r="Q74" s="395">
        <v>0</v>
      </c>
      <c r="R74" s="221">
        <f t="shared" ref="R74:S131" si="39">N74+P74</f>
        <v>3512</v>
      </c>
      <c r="S74" s="269">
        <f t="shared" si="39"/>
        <v>703</v>
      </c>
      <c r="T74" s="398">
        <f>IF(OR($A74="APP SLAB",R74=0),0,(R74+$H74*$K74)/9)</f>
        <v>419.48222222222182</v>
      </c>
      <c r="U74" s="399">
        <f t="shared" ref="U74:U79" si="40">IF($A74="APP SLAB",0,S74/9)</f>
        <v>78.111111111111114</v>
      </c>
      <c r="V74" s="410">
        <f t="shared" ref="V74:W131" si="41">IF(AND(T74=0,X74=0),0,IF(X74=0,T74/2000,X74/2000))</f>
        <v>0.20974111111111091</v>
      </c>
      <c r="W74" s="411">
        <f t="shared" si="41"/>
        <v>3.9055555555555559E-2</v>
      </c>
      <c r="X74" s="398">
        <f t="shared" ref="X74:Y131" si="42">IF(OR($A74="APP SLAB",T74&lt;&gt;0),0,Z74)</f>
        <v>0</v>
      </c>
      <c r="Y74" s="399">
        <f t="shared" si="42"/>
        <v>0</v>
      </c>
      <c r="Z74" s="398">
        <f t="shared" ref="Z74" si="43">IF(OR($A74="APP SLAB",T74&lt;&gt;0),0,(R74+$H74*$K74)/9)</f>
        <v>0</v>
      </c>
      <c r="AA74" s="399">
        <f t="shared" ref="AA74:AA131" si="44">IF(OR($A74="APP SLAB",U74&lt;&gt;0),0,S74/9)</f>
        <v>0</v>
      </c>
      <c r="AB74" s="398">
        <f t="shared" ref="AB74:AB106" si="45">IF(OR($A74="APP SLAB",T74&lt;&gt;0),0,$Z$1*Z74*110*0.06*0.75/2000)</f>
        <v>0</v>
      </c>
      <c r="AC74" s="399">
        <f t="shared" ref="AC74:AC106" si="46">IF(OR($A74="APP SLAB",U74&lt;&gt;0),0,$Z$1*AA74*110*0.06*0.75/2000)</f>
        <v>0</v>
      </c>
      <c r="AD74" s="398">
        <f t="shared" ref="AD74" si="47">IF(R74=0,0,(R74*$AD$1/12)/27+$I74)</f>
        <v>69.913703703703646</v>
      </c>
      <c r="AE74" s="399">
        <f t="shared" ref="AE74:AE131" si="48">(S74*$AD$1/12)/27</f>
        <v>13.018518518518519</v>
      </c>
      <c r="AF74" s="344">
        <v>0</v>
      </c>
      <c r="AG74" s="398">
        <f t="shared" ref="AG74" si="49">IF($A74="APP SLAB",0,(R74+$J74*$K74)/9)</f>
        <v>390.22222222222223</v>
      </c>
      <c r="AH74" s="399">
        <f t="shared" ref="AH74" si="50">IF($A74="APP SLAB",0,S74/9)</f>
        <v>78.111111111111114</v>
      </c>
      <c r="AI74" s="454">
        <f t="shared" ref="AI74:AI131" si="51">IF(AND($E74=$F74="Uncurbed"),(2*$K74*2*$AI$1/12)/27,IF(OR($E74="Uncurbed",$F74="Uncurbed"),($K74*2*$AI$1/12)/27,IF(OR(AND($E74="Med. Barr.",$F74="Curbed"),AND($E74="Curbed",$F74="Med. Barr."),$E74=$F74,$E74="Unique",$F74="Unique",$E74="-",$F74="-"),0,"?")))</f>
        <v>3.2511111111110682</v>
      </c>
      <c r="AJ74" s="85">
        <f t="shared" ref="AJ74:AJ131" si="52">IF($A74="APP SLAB",0,($K74*2))</f>
        <v>175.55999999999767</v>
      </c>
      <c r="AK74" s="10"/>
    </row>
    <row r="75" spans="1:37" ht="12.75" customHeight="1" x14ac:dyDescent="0.2">
      <c r="B75" s="335">
        <v>74540.72</v>
      </c>
      <c r="C75" s="336">
        <v>75390.63</v>
      </c>
      <c r="D75" s="337" t="s">
        <v>15</v>
      </c>
      <c r="E75" s="337" t="s">
        <v>101</v>
      </c>
      <c r="F75" s="337" t="s">
        <v>101</v>
      </c>
      <c r="G75" s="103" t="str">
        <f t="shared" si="33"/>
        <v>E/S - E/S</v>
      </c>
      <c r="H75" s="77">
        <f t="shared" si="34"/>
        <v>3</v>
      </c>
      <c r="I75" s="27">
        <f t="shared" si="35"/>
        <v>47.217222222222418</v>
      </c>
      <c r="J75" s="78">
        <f t="shared" si="36"/>
        <v>0</v>
      </c>
      <c r="K75" s="83">
        <f t="shared" si="37"/>
        <v>849.91000000000349</v>
      </c>
      <c r="L75" s="384">
        <v>40</v>
      </c>
      <c r="M75" s="385">
        <v>14</v>
      </c>
      <c r="N75" s="222">
        <f t="shared" ref="N75:N130" si="53">IF(L75="-",0,ROUNDUP($K75*L75,0))</f>
        <v>33997</v>
      </c>
      <c r="O75" s="274">
        <f t="shared" si="38"/>
        <v>11899</v>
      </c>
      <c r="P75" s="394">
        <v>0</v>
      </c>
      <c r="Q75" s="395">
        <v>0</v>
      </c>
      <c r="R75" s="221">
        <f t="shared" si="39"/>
        <v>33997</v>
      </c>
      <c r="S75" s="269">
        <f t="shared" si="39"/>
        <v>11899</v>
      </c>
      <c r="T75" s="398">
        <f t="shared" ref="T75:T79" si="54">IF(OR($A75="APP SLAB",R75=0),0,(R75+$H75*$K75)/9)</f>
        <v>4060.747777777779</v>
      </c>
      <c r="U75" s="399">
        <f t="shared" si="40"/>
        <v>1322.1111111111111</v>
      </c>
      <c r="V75" s="410">
        <f t="shared" si="41"/>
        <v>2.0303738888888896</v>
      </c>
      <c r="W75" s="411">
        <f t="shared" si="41"/>
        <v>0.66105555555555551</v>
      </c>
      <c r="X75" s="398">
        <f t="shared" si="42"/>
        <v>0</v>
      </c>
      <c r="Y75" s="399">
        <f t="shared" si="42"/>
        <v>0</v>
      </c>
      <c r="Z75" s="398">
        <f t="shared" ref="Z75:Z131" si="55">IF(OR($A75="APP SLAB",T75&lt;&gt;0),0,(R75+$H75*$K75)/9)</f>
        <v>0</v>
      </c>
      <c r="AA75" s="399">
        <f t="shared" si="44"/>
        <v>0</v>
      </c>
      <c r="AB75" s="398">
        <f t="shared" si="45"/>
        <v>0</v>
      </c>
      <c r="AC75" s="399">
        <f t="shared" si="46"/>
        <v>0</v>
      </c>
      <c r="AD75" s="398">
        <f t="shared" ref="AD75:AD131" si="56">IF(R75=0,0,(R75*$AD$1/12)/27+$I75)</f>
        <v>676.79129629629642</v>
      </c>
      <c r="AE75" s="399">
        <f t="shared" si="48"/>
        <v>220.35185185185185</v>
      </c>
      <c r="AF75" s="344">
        <v>0</v>
      </c>
      <c r="AG75" s="398">
        <f t="shared" ref="AG75:AG131" si="57">IF($A75="APP SLAB",0,(R75+$J75*$K75)/9)</f>
        <v>3777.4444444444443</v>
      </c>
      <c r="AH75" s="399">
        <f t="shared" ref="AH75:AH131" si="58">IF($A75="APP SLAB",0,S75/9)</f>
        <v>1322.1111111111111</v>
      </c>
      <c r="AI75" s="454">
        <f t="shared" si="51"/>
        <v>31.478148148148279</v>
      </c>
      <c r="AJ75" s="85">
        <f t="shared" si="52"/>
        <v>1699.820000000007</v>
      </c>
      <c r="AK75" s="10"/>
    </row>
    <row r="76" spans="1:37" ht="12.75" customHeight="1" x14ac:dyDescent="0.2">
      <c r="B76" s="335">
        <v>75390.63</v>
      </c>
      <c r="C76" s="336">
        <v>76200</v>
      </c>
      <c r="D76" s="337" t="s">
        <v>15</v>
      </c>
      <c r="E76" s="337" t="s">
        <v>101</v>
      </c>
      <c r="F76" s="337" t="s">
        <v>101</v>
      </c>
      <c r="G76" s="103" t="str">
        <f t="shared" si="33"/>
        <v>E/S - E/S</v>
      </c>
      <c r="H76" s="77">
        <f t="shared" si="34"/>
        <v>3</v>
      </c>
      <c r="I76" s="27">
        <f t="shared" si="35"/>
        <v>44.964999999999741</v>
      </c>
      <c r="J76" s="78">
        <f t="shared" si="36"/>
        <v>0</v>
      </c>
      <c r="K76" s="83">
        <f t="shared" si="37"/>
        <v>809.36999999999534</v>
      </c>
      <c r="L76" s="384">
        <v>40</v>
      </c>
      <c r="M76" s="385">
        <v>20</v>
      </c>
      <c r="N76" s="222">
        <f t="shared" si="53"/>
        <v>32375</v>
      </c>
      <c r="O76" s="274">
        <f t="shared" si="38"/>
        <v>16188</v>
      </c>
      <c r="P76" s="394">
        <v>0</v>
      </c>
      <c r="Q76" s="395">
        <v>0</v>
      </c>
      <c r="R76" s="221">
        <f t="shared" si="39"/>
        <v>32375</v>
      </c>
      <c r="S76" s="269">
        <f t="shared" si="39"/>
        <v>16188</v>
      </c>
      <c r="T76" s="398">
        <f t="shared" si="54"/>
        <v>3867.0122222222208</v>
      </c>
      <c r="U76" s="399">
        <f t="shared" si="40"/>
        <v>1798.6666666666667</v>
      </c>
      <c r="V76" s="410">
        <f t="shared" si="41"/>
        <v>1.9335061111111105</v>
      </c>
      <c r="W76" s="411">
        <f t="shared" si="41"/>
        <v>0.89933333333333332</v>
      </c>
      <c r="X76" s="398">
        <f t="shared" si="42"/>
        <v>0</v>
      </c>
      <c r="Y76" s="399">
        <f t="shared" si="42"/>
        <v>0</v>
      </c>
      <c r="Z76" s="398">
        <f t="shared" si="55"/>
        <v>0</v>
      </c>
      <c r="AA76" s="399">
        <f t="shared" si="44"/>
        <v>0</v>
      </c>
      <c r="AB76" s="398">
        <f t="shared" si="45"/>
        <v>0</v>
      </c>
      <c r="AC76" s="399">
        <f t="shared" si="46"/>
        <v>0</v>
      </c>
      <c r="AD76" s="398">
        <f t="shared" si="56"/>
        <v>644.50203703703676</v>
      </c>
      <c r="AE76" s="399">
        <f t="shared" si="48"/>
        <v>299.77777777777777</v>
      </c>
      <c r="AF76" s="344">
        <v>0</v>
      </c>
      <c r="AG76" s="398">
        <f t="shared" si="57"/>
        <v>3597.2222222222222</v>
      </c>
      <c r="AH76" s="399">
        <f t="shared" si="58"/>
        <v>1798.6666666666667</v>
      </c>
      <c r="AI76" s="454">
        <f t="shared" si="51"/>
        <v>29.976666666666492</v>
      </c>
      <c r="AJ76" s="85">
        <f t="shared" si="52"/>
        <v>1618.7399999999907</v>
      </c>
      <c r="AK76" s="10"/>
    </row>
    <row r="77" spans="1:37" ht="12.75" customHeight="1" x14ac:dyDescent="0.2">
      <c r="B77" s="335">
        <v>76200</v>
      </c>
      <c r="C77" s="336">
        <v>76347.87</v>
      </c>
      <c r="D77" s="337" t="s">
        <v>15</v>
      </c>
      <c r="E77" s="337" t="s">
        <v>101</v>
      </c>
      <c r="F77" s="337" t="s">
        <v>108</v>
      </c>
      <c r="G77" s="103" t="str">
        <f t="shared" si="33"/>
        <v>-</v>
      </c>
      <c r="H77" s="349">
        <v>5.33</v>
      </c>
      <c r="I77" s="338">
        <v>11.88</v>
      </c>
      <c r="J77" s="358">
        <v>0</v>
      </c>
      <c r="K77" s="83">
        <f t="shared" si="37"/>
        <v>147.86999999999534</v>
      </c>
      <c r="L77" s="384">
        <v>40</v>
      </c>
      <c r="M77" s="385">
        <v>20</v>
      </c>
      <c r="N77" s="222">
        <f t="shared" si="53"/>
        <v>5915</v>
      </c>
      <c r="O77" s="274">
        <f t="shared" si="38"/>
        <v>2958</v>
      </c>
      <c r="P77" s="394">
        <v>0</v>
      </c>
      <c r="Q77" s="395">
        <v>0</v>
      </c>
      <c r="R77" s="221">
        <f t="shared" si="39"/>
        <v>5915</v>
      </c>
      <c r="S77" s="269">
        <f t="shared" si="39"/>
        <v>2958</v>
      </c>
      <c r="T77" s="398">
        <f t="shared" si="54"/>
        <v>744.79412222221947</v>
      </c>
      <c r="U77" s="399">
        <f t="shared" si="40"/>
        <v>328.66666666666669</v>
      </c>
      <c r="V77" s="410">
        <f t="shared" si="41"/>
        <v>0.37239706111110976</v>
      </c>
      <c r="W77" s="411">
        <f t="shared" si="41"/>
        <v>0.16433333333333333</v>
      </c>
      <c r="X77" s="398">
        <f t="shared" si="42"/>
        <v>0</v>
      </c>
      <c r="Y77" s="399">
        <f t="shared" si="42"/>
        <v>0</v>
      </c>
      <c r="Z77" s="398">
        <f t="shared" si="55"/>
        <v>0</v>
      </c>
      <c r="AA77" s="399">
        <f t="shared" si="44"/>
        <v>0</v>
      </c>
      <c r="AB77" s="398">
        <f t="shared" si="45"/>
        <v>0</v>
      </c>
      <c r="AC77" s="399">
        <f t="shared" si="46"/>
        <v>0</v>
      </c>
      <c r="AD77" s="398">
        <f t="shared" si="56"/>
        <v>121.41703703703703</v>
      </c>
      <c r="AE77" s="399">
        <f t="shared" si="48"/>
        <v>54.777777777777779</v>
      </c>
      <c r="AF77" s="344">
        <v>0</v>
      </c>
      <c r="AG77" s="398">
        <f t="shared" si="57"/>
        <v>657.22222222222217</v>
      </c>
      <c r="AH77" s="399">
        <f t="shared" si="58"/>
        <v>328.66666666666669</v>
      </c>
      <c r="AI77" s="454">
        <f t="shared" si="51"/>
        <v>5.4766666666664943</v>
      </c>
      <c r="AJ77" s="85">
        <f t="shared" si="52"/>
        <v>295.73999999999069</v>
      </c>
      <c r="AK77" s="10"/>
    </row>
    <row r="78" spans="1:37" ht="12.75" customHeight="1" x14ac:dyDescent="0.2">
      <c r="A78" s="106" t="s">
        <v>50</v>
      </c>
      <c r="B78" s="335">
        <v>76347.87</v>
      </c>
      <c r="C78" s="336">
        <v>76978.7</v>
      </c>
      <c r="D78" s="337" t="s">
        <v>15</v>
      </c>
      <c r="E78" s="337" t="s">
        <v>101</v>
      </c>
      <c r="F78" s="337" t="s">
        <v>107</v>
      </c>
      <c r="G78" s="103" t="str">
        <f t="shared" si="33"/>
        <v>E/S - C/B</v>
      </c>
      <c r="H78" s="77">
        <f t="shared" si="34"/>
        <v>1.5</v>
      </c>
      <c r="I78" s="27">
        <f t="shared" si="35"/>
        <v>17.523055555555604</v>
      </c>
      <c r="J78" s="78">
        <f t="shared" si="36"/>
        <v>-1.42</v>
      </c>
      <c r="K78" s="83">
        <f t="shared" si="37"/>
        <v>630.83000000000175</v>
      </c>
      <c r="L78" s="384">
        <v>41.42</v>
      </c>
      <c r="M78" s="385">
        <v>20</v>
      </c>
      <c r="N78" s="222">
        <f t="shared" si="53"/>
        <v>26129</v>
      </c>
      <c r="O78" s="274">
        <f t="shared" si="38"/>
        <v>12617</v>
      </c>
      <c r="P78" s="394">
        <v>0</v>
      </c>
      <c r="Q78" s="395">
        <v>0</v>
      </c>
      <c r="R78" s="221">
        <f t="shared" si="39"/>
        <v>26129</v>
      </c>
      <c r="S78" s="269">
        <f t="shared" si="39"/>
        <v>12617</v>
      </c>
      <c r="T78" s="398">
        <f t="shared" si="54"/>
        <v>3008.3605555555559</v>
      </c>
      <c r="U78" s="399">
        <f t="shared" si="40"/>
        <v>1401.8888888888889</v>
      </c>
      <c r="V78" s="410">
        <f t="shared" si="41"/>
        <v>1.504180277777778</v>
      </c>
      <c r="W78" s="411">
        <f t="shared" si="41"/>
        <v>0.70094444444444448</v>
      </c>
      <c r="X78" s="398">
        <f t="shared" si="42"/>
        <v>0</v>
      </c>
      <c r="Y78" s="399">
        <f t="shared" si="42"/>
        <v>0</v>
      </c>
      <c r="Z78" s="398">
        <f t="shared" si="55"/>
        <v>0</v>
      </c>
      <c r="AA78" s="399">
        <f t="shared" si="44"/>
        <v>0</v>
      </c>
      <c r="AB78" s="398">
        <f t="shared" si="45"/>
        <v>0</v>
      </c>
      <c r="AC78" s="399">
        <f t="shared" si="46"/>
        <v>0</v>
      </c>
      <c r="AD78" s="398">
        <f t="shared" si="56"/>
        <v>501.39342592592601</v>
      </c>
      <c r="AE78" s="399">
        <f t="shared" si="48"/>
        <v>233.64814814814815</v>
      </c>
      <c r="AF78" s="344">
        <v>0</v>
      </c>
      <c r="AG78" s="398">
        <f t="shared" si="57"/>
        <v>2803.6912666666667</v>
      </c>
      <c r="AH78" s="399">
        <f t="shared" si="58"/>
        <v>1401.8888888888889</v>
      </c>
      <c r="AI78" s="454">
        <f t="shared" si="51"/>
        <v>23.364074074074139</v>
      </c>
      <c r="AJ78" s="85">
        <f t="shared" si="52"/>
        <v>1261.6600000000035</v>
      </c>
      <c r="AK78" s="10"/>
    </row>
    <row r="79" spans="1:37" ht="12.75" customHeight="1" x14ac:dyDescent="0.2">
      <c r="A79" s="106" t="s">
        <v>51</v>
      </c>
      <c r="B79" s="335">
        <v>76978.7</v>
      </c>
      <c r="C79" s="336">
        <v>76996</v>
      </c>
      <c r="D79" s="337" t="s">
        <v>15</v>
      </c>
      <c r="E79" s="337" t="s">
        <v>101</v>
      </c>
      <c r="F79" s="337" t="s">
        <v>107</v>
      </c>
      <c r="G79" s="103" t="str">
        <f t="shared" si="33"/>
        <v>E/S - C/B</v>
      </c>
      <c r="H79" s="77">
        <f t="shared" si="34"/>
        <v>1.5</v>
      </c>
      <c r="I79" s="27">
        <f t="shared" si="35"/>
        <v>0.48055555555563639</v>
      </c>
      <c r="J79" s="78">
        <f t="shared" si="36"/>
        <v>-1.42</v>
      </c>
      <c r="K79" s="83">
        <f t="shared" si="37"/>
        <v>17.30000000000291</v>
      </c>
      <c r="L79" s="384">
        <v>41.42</v>
      </c>
      <c r="M79" s="385">
        <v>20</v>
      </c>
      <c r="N79" s="222">
        <f t="shared" si="53"/>
        <v>717</v>
      </c>
      <c r="O79" s="274">
        <f t="shared" si="38"/>
        <v>347</v>
      </c>
      <c r="P79" s="394">
        <v>0</v>
      </c>
      <c r="Q79" s="395">
        <v>0</v>
      </c>
      <c r="R79" s="221">
        <f t="shared" si="39"/>
        <v>717</v>
      </c>
      <c r="S79" s="269">
        <f t="shared" si="39"/>
        <v>347</v>
      </c>
      <c r="T79" s="398">
        <f t="shared" si="54"/>
        <v>82.55000000000048</v>
      </c>
      <c r="U79" s="399">
        <f t="shared" si="40"/>
        <v>38.555555555555557</v>
      </c>
      <c r="V79" s="410">
        <f t="shared" si="41"/>
        <v>4.1275000000000242E-2</v>
      </c>
      <c r="W79" s="411">
        <f t="shared" si="41"/>
        <v>1.9277777777777779E-2</v>
      </c>
      <c r="X79" s="398">
        <f t="shared" si="42"/>
        <v>0</v>
      </c>
      <c r="Y79" s="399">
        <f t="shared" si="42"/>
        <v>0</v>
      </c>
      <c r="Z79" s="398">
        <f t="shared" si="55"/>
        <v>0</v>
      </c>
      <c r="AA79" s="399">
        <f t="shared" si="44"/>
        <v>0</v>
      </c>
      <c r="AB79" s="398">
        <f t="shared" si="45"/>
        <v>0</v>
      </c>
      <c r="AC79" s="399">
        <f t="shared" si="46"/>
        <v>0</v>
      </c>
      <c r="AD79" s="398">
        <f t="shared" si="56"/>
        <v>13.758333333333415</v>
      </c>
      <c r="AE79" s="399">
        <f t="shared" si="48"/>
        <v>6.4259259259259256</v>
      </c>
      <c r="AF79" s="344">
        <v>0</v>
      </c>
      <c r="AG79" s="398">
        <f t="shared" si="57"/>
        <v>76.937111111110653</v>
      </c>
      <c r="AH79" s="399">
        <f t="shared" si="58"/>
        <v>38.555555555555557</v>
      </c>
      <c r="AI79" s="454">
        <f t="shared" si="51"/>
        <v>0.64074074074084852</v>
      </c>
      <c r="AJ79" s="85">
        <f t="shared" si="52"/>
        <v>34.600000000005821</v>
      </c>
      <c r="AK79" s="10"/>
    </row>
    <row r="80" spans="1:37" ht="12.75" customHeight="1" x14ac:dyDescent="0.2">
      <c r="B80" s="335">
        <v>76996</v>
      </c>
      <c r="C80" s="336">
        <v>77200</v>
      </c>
      <c r="D80" s="337" t="s">
        <v>15</v>
      </c>
      <c r="E80" s="337" t="s">
        <v>102</v>
      </c>
      <c r="F80" s="337" t="s">
        <v>107</v>
      </c>
      <c r="G80" s="103" t="str">
        <f t="shared" si="33"/>
        <v>F/C - C/B</v>
      </c>
      <c r="H80" s="77">
        <f t="shared" si="34"/>
        <v>2</v>
      </c>
      <c r="I80" s="27">
        <f t="shared" si="35"/>
        <v>5.666666666666667</v>
      </c>
      <c r="J80" s="78">
        <f t="shared" si="36"/>
        <v>-1.42</v>
      </c>
      <c r="K80" s="83">
        <f t="shared" si="37"/>
        <v>204</v>
      </c>
      <c r="L80" s="384">
        <v>43.42</v>
      </c>
      <c r="M80" s="385">
        <v>20</v>
      </c>
      <c r="N80" s="222">
        <f t="shared" si="53"/>
        <v>8858</v>
      </c>
      <c r="O80" s="274">
        <f t="shared" si="38"/>
        <v>4080</v>
      </c>
      <c r="P80" s="394">
        <v>0</v>
      </c>
      <c r="Q80" s="395">
        <v>0</v>
      </c>
      <c r="R80" s="221">
        <f t="shared" si="39"/>
        <v>8858</v>
      </c>
      <c r="S80" s="269">
        <f t="shared" si="39"/>
        <v>4080</v>
      </c>
      <c r="T80" s="402">
        <v>0</v>
      </c>
      <c r="U80" s="403">
        <v>0</v>
      </c>
      <c r="V80" s="410">
        <f t="shared" si="41"/>
        <v>0.51477777777777778</v>
      </c>
      <c r="W80" s="411">
        <f t="shared" si="41"/>
        <v>0.22666666666666666</v>
      </c>
      <c r="X80" s="398">
        <f t="shared" si="42"/>
        <v>1029.5555555555557</v>
      </c>
      <c r="Y80" s="399">
        <f t="shared" si="42"/>
        <v>453.33333333333331</v>
      </c>
      <c r="Z80" s="398">
        <f t="shared" si="55"/>
        <v>1029.5555555555557</v>
      </c>
      <c r="AA80" s="399">
        <f t="shared" si="44"/>
        <v>453.33333333333331</v>
      </c>
      <c r="AB80" s="398">
        <f t="shared" si="45"/>
        <v>30.577800000000003</v>
      </c>
      <c r="AC80" s="399">
        <f t="shared" si="46"/>
        <v>13.464</v>
      </c>
      <c r="AD80" s="398">
        <f t="shared" si="56"/>
        <v>169.7037037037037</v>
      </c>
      <c r="AE80" s="399">
        <f t="shared" si="48"/>
        <v>75.555555555555557</v>
      </c>
      <c r="AF80" s="344">
        <v>0</v>
      </c>
      <c r="AG80" s="398">
        <f t="shared" si="57"/>
        <v>952.03555555555556</v>
      </c>
      <c r="AH80" s="399">
        <f t="shared" si="58"/>
        <v>453.33333333333331</v>
      </c>
      <c r="AI80" s="454">
        <f t="shared" si="51"/>
        <v>0</v>
      </c>
      <c r="AJ80" s="85">
        <f t="shared" si="52"/>
        <v>408</v>
      </c>
      <c r="AK80" s="10"/>
    </row>
    <row r="81" spans="1:37" ht="12.75" customHeight="1" x14ac:dyDescent="0.2">
      <c r="B81" s="335">
        <v>77200</v>
      </c>
      <c r="C81" s="336">
        <v>77587.88</v>
      </c>
      <c r="D81" s="337" t="s">
        <v>15</v>
      </c>
      <c r="E81" s="337" t="s">
        <v>102</v>
      </c>
      <c r="F81" s="337" t="s">
        <v>107</v>
      </c>
      <c r="G81" s="103" t="str">
        <f t="shared" si="33"/>
        <v>F/C - C/B</v>
      </c>
      <c r="H81" s="77">
        <f t="shared" si="34"/>
        <v>2</v>
      </c>
      <c r="I81" s="27">
        <f t="shared" si="35"/>
        <v>10.774444444444574</v>
      </c>
      <c r="J81" s="78">
        <f t="shared" si="36"/>
        <v>-1.42</v>
      </c>
      <c r="K81" s="83">
        <f t="shared" si="37"/>
        <v>387.88000000000466</v>
      </c>
      <c r="L81" s="384">
        <v>43.42</v>
      </c>
      <c r="M81" s="385">
        <v>20</v>
      </c>
      <c r="N81" s="222">
        <f t="shared" si="53"/>
        <v>16842</v>
      </c>
      <c r="O81" s="274">
        <f t="shared" si="38"/>
        <v>7758</v>
      </c>
      <c r="P81" s="394">
        <v>0</v>
      </c>
      <c r="Q81" s="395">
        <v>0</v>
      </c>
      <c r="R81" s="221">
        <f t="shared" si="39"/>
        <v>16842</v>
      </c>
      <c r="S81" s="269">
        <f t="shared" si="39"/>
        <v>7758</v>
      </c>
      <c r="T81" s="402">
        <v>0</v>
      </c>
      <c r="U81" s="403">
        <v>0</v>
      </c>
      <c r="V81" s="410">
        <f t="shared" si="41"/>
        <v>0.97876444444444499</v>
      </c>
      <c r="W81" s="411">
        <f t="shared" si="41"/>
        <v>0.43099999999999999</v>
      </c>
      <c r="X81" s="398">
        <f t="shared" si="42"/>
        <v>1957.5288888888899</v>
      </c>
      <c r="Y81" s="399">
        <f t="shared" si="42"/>
        <v>862</v>
      </c>
      <c r="Z81" s="398">
        <f t="shared" si="55"/>
        <v>1957.5288888888899</v>
      </c>
      <c r="AA81" s="399">
        <f t="shared" si="44"/>
        <v>862</v>
      </c>
      <c r="AB81" s="398">
        <f t="shared" si="45"/>
        <v>58.138608000000033</v>
      </c>
      <c r="AC81" s="399">
        <f t="shared" si="46"/>
        <v>25.601399999999998</v>
      </c>
      <c r="AD81" s="398">
        <f t="shared" si="56"/>
        <v>322.66333333333347</v>
      </c>
      <c r="AE81" s="399">
        <f t="shared" si="48"/>
        <v>143.66666666666666</v>
      </c>
      <c r="AF81" s="344">
        <v>0</v>
      </c>
      <c r="AG81" s="398">
        <f t="shared" si="57"/>
        <v>1810.134488888888</v>
      </c>
      <c r="AH81" s="399">
        <f t="shared" si="58"/>
        <v>862</v>
      </c>
      <c r="AI81" s="454">
        <f t="shared" si="51"/>
        <v>0</v>
      </c>
      <c r="AJ81" s="85">
        <f t="shared" si="52"/>
        <v>775.76000000000931</v>
      </c>
      <c r="AK81" s="10"/>
    </row>
    <row r="82" spans="1:37" ht="12.75" customHeight="1" x14ac:dyDescent="0.2">
      <c r="B82" s="335">
        <v>77587.88</v>
      </c>
      <c r="C82" s="336">
        <v>77900.039999999994</v>
      </c>
      <c r="D82" s="337" t="s">
        <v>15</v>
      </c>
      <c r="E82" s="337" t="s">
        <v>102</v>
      </c>
      <c r="F82" s="337" t="s">
        <v>107</v>
      </c>
      <c r="G82" s="103" t="str">
        <f t="shared" si="33"/>
        <v>F/C - C/B</v>
      </c>
      <c r="H82" s="77">
        <f t="shared" si="34"/>
        <v>2</v>
      </c>
      <c r="I82" s="27">
        <f t="shared" si="35"/>
        <v>8.6711111111108039</v>
      </c>
      <c r="J82" s="78">
        <f t="shared" si="36"/>
        <v>-1.42</v>
      </c>
      <c r="K82" s="83">
        <f t="shared" si="37"/>
        <v>312.15999999998894</v>
      </c>
      <c r="L82" s="384">
        <v>46.54</v>
      </c>
      <c r="M82" s="385">
        <v>20</v>
      </c>
      <c r="N82" s="222">
        <f t="shared" si="53"/>
        <v>14528</v>
      </c>
      <c r="O82" s="274">
        <f t="shared" si="38"/>
        <v>6244</v>
      </c>
      <c r="P82" s="394">
        <v>0</v>
      </c>
      <c r="Q82" s="395">
        <v>0</v>
      </c>
      <c r="R82" s="221">
        <f t="shared" si="39"/>
        <v>14528</v>
      </c>
      <c r="S82" s="269">
        <f t="shared" si="39"/>
        <v>6244</v>
      </c>
      <c r="T82" s="402">
        <v>0</v>
      </c>
      <c r="U82" s="403">
        <v>0</v>
      </c>
      <c r="V82" s="410">
        <f t="shared" si="41"/>
        <v>0.8417955555555543</v>
      </c>
      <c r="W82" s="411">
        <f t="shared" si="41"/>
        <v>0.34688888888888891</v>
      </c>
      <c r="X82" s="398">
        <f t="shared" si="42"/>
        <v>1683.5911111111086</v>
      </c>
      <c r="Y82" s="399">
        <f t="shared" si="42"/>
        <v>693.77777777777783</v>
      </c>
      <c r="Z82" s="398">
        <f t="shared" si="55"/>
        <v>1683.5911111111086</v>
      </c>
      <c r="AA82" s="399">
        <f t="shared" si="44"/>
        <v>693.77777777777783</v>
      </c>
      <c r="AB82" s="398">
        <f t="shared" si="45"/>
        <v>50.002655999999924</v>
      </c>
      <c r="AC82" s="399">
        <f t="shared" si="46"/>
        <v>20.6052</v>
      </c>
      <c r="AD82" s="398">
        <f t="shared" si="56"/>
        <v>277.70814814814781</v>
      </c>
      <c r="AE82" s="399">
        <f t="shared" si="48"/>
        <v>115.62962962962963</v>
      </c>
      <c r="AF82" s="344">
        <v>0</v>
      </c>
      <c r="AG82" s="398">
        <f t="shared" si="57"/>
        <v>1564.970311111113</v>
      </c>
      <c r="AH82" s="399">
        <f t="shared" si="58"/>
        <v>693.77777777777783</v>
      </c>
      <c r="AI82" s="454">
        <f t="shared" si="51"/>
        <v>0</v>
      </c>
      <c r="AJ82" s="85">
        <f t="shared" si="52"/>
        <v>624.31999999997788</v>
      </c>
      <c r="AK82" s="10"/>
    </row>
    <row r="83" spans="1:37" ht="12.75" customHeight="1" x14ac:dyDescent="0.2">
      <c r="B83" s="335">
        <v>77900.039999999994</v>
      </c>
      <c r="C83" s="336">
        <v>78637.72</v>
      </c>
      <c r="D83" s="337" t="s">
        <v>15</v>
      </c>
      <c r="E83" s="337" t="s">
        <v>101</v>
      </c>
      <c r="F83" s="337" t="s">
        <v>107</v>
      </c>
      <c r="G83" s="103" t="str">
        <f t="shared" si="33"/>
        <v>E/S - C/B</v>
      </c>
      <c r="H83" s="77">
        <f t="shared" si="34"/>
        <v>1.5</v>
      </c>
      <c r="I83" s="27">
        <f t="shared" si="35"/>
        <v>20.491111111111323</v>
      </c>
      <c r="J83" s="78">
        <f t="shared" si="36"/>
        <v>-1.42</v>
      </c>
      <c r="K83" s="83">
        <f t="shared" si="37"/>
        <v>737.68000000000757</v>
      </c>
      <c r="L83" s="384">
        <v>55.04</v>
      </c>
      <c r="M83" s="385">
        <v>20</v>
      </c>
      <c r="N83" s="222">
        <f t="shared" si="53"/>
        <v>40602</v>
      </c>
      <c r="O83" s="274">
        <f t="shared" si="38"/>
        <v>14754</v>
      </c>
      <c r="P83" s="394">
        <v>0</v>
      </c>
      <c r="Q83" s="395">
        <v>0</v>
      </c>
      <c r="R83" s="221">
        <f t="shared" si="39"/>
        <v>40602</v>
      </c>
      <c r="S83" s="269">
        <f t="shared" si="39"/>
        <v>14754</v>
      </c>
      <c r="T83" s="402">
        <v>0</v>
      </c>
      <c r="U83" s="403">
        <v>0</v>
      </c>
      <c r="V83" s="410">
        <f t="shared" si="41"/>
        <v>2.3171400000000006</v>
      </c>
      <c r="W83" s="411">
        <f t="shared" si="41"/>
        <v>0.81966666666666665</v>
      </c>
      <c r="X83" s="398">
        <f t="shared" si="42"/>
        <v>4634.2800000000016</v>
      </c>
      <c r="Y83" s="399">
        <f t="shared" si="42"/>
        <v>1639.3333333333333</v>
      </c>
      <c r="Z83" s="398">
        <f t="shared" si="55"/>
        <v>4634.2800000000016</v>
      </c>
      <c r="AA83" s="399">
        <f t="shared" si="44"/>
        <v>1639.3333333333333</v>
      </c>
      <c r="AB83" s="398">
        <f t="shared" si="45"/>
        <v>137.63811600000002</v>
      </c>
      <c r="AC83" s="399">
        <f t="shared" si="46"/>
        <v>48.688199999999995</v>
      </c>
      <c r="AD83" s="398">
        <f t="shared" si="56"/>
        <v>772.38000000000022</v>
      </c>
      <c r="AE83" s="399">
        <f t="shared" si="48"/>
        <v>273.22222222222223</v>
      </c>
      <c r="AF83" s="344">
        <v>0</v>
      </c>
      <c r="AG83" s="398">
        <f t="shared" si="57"/>
        <v>4394.9438222222207</v>
      </c>
      <c r="AH83" s="399">
        <f t="shared" si="58"/>
        <v>1639.3333333333333</v>
      </c>
      <c r="AI83" s="454">
        <f t="shared" si="51"/>
        <v>27.321481481481761</v>
      </c>
      <c r="AJ83" s="85">
        <f t="shared" si="52"/>
        <v>1475.3600000000151</v>
      </c>
      <c r="AK83" s="10"/>
    </row>
    <row r="84" spans="1:37" ht="12.75" customHeight="1" x14ac:dyDescent="0.2">
      <c r="B84" s="335">
        <v>78637.72</v>
      </c>
      <c r="C84" s="336">
        <v>78687.41</v>
      </c>
      <c r="D84" s="337" t="s">
        <v>15</v>
      </c>
      <c r="E84" s="337" t="s">
        <v>101</v>
      </c>
      <c r="F84" s="337" t="s">
        <v>107</v>
      </c>
      <c r="G84" s="103" t="str">
        <f t="shared" si="33"/>
        <v>E/S - C/B</v>
      </c>
      <c r="H84" s="77">
        <f t="shared" si="34"/>
        <v>1.5</v>
      </c>
      <c r="I84" s="27">
        <f t="shared" si="35"/>
        <v>1.3802777777778426</v>
      </c>
      <c r="J84" s="78">
        <f t="shared" si="36"/>
        <v>-1.42</v>
      </c>
      <c r="K84" s="83">
        <f t="shared" si="37"/>
        <v>49.690000000002328</v>
      </c>
      <c r="L84" s="384">
        <v>61.55</v>
      </c>
      <c r="M84" s="385">
        <v>20</v>
      </c>
      <c r="N84" s="222">
        <f t="shared" si="53"/>
        <v>3059</v>
      </c>
      <c r="O84" s="274">
        <f t="shared" si="38"/>
        <v>994</v>
      </c>
      <c r="P84" s="394">
        <v>0</v>
      </c>
      <c r="Q84" s="395">
        <v>0</v>
      </c>
      <c r="R84" s="221">
        <f t="shared" si="39"/>
        <v>3059</v>
      </c>
      <c r="S84" s="269">
        <f t="shared" si="39"/>
        <v>994</v>
      </c>
      <c r="T84" s="402">
        <v>0</v>
      </c>
      <c r="U84" s="403">
        <v>0</v>
      </c>
      <c r="V84" s="410">
        <f t="shared" si="41"/>
        <v>0.17408527777777796</v>
      </c>
      <c r="W84" s="411">
        <f t="shared" si="41"/>
        <v>5.5222222222222221E-2</v>
      </c>
      <c r="X84" s="398">
        <f t="shared" si="42"/>
        <v>348.17055555555595</v>
      </c>
      <c r="Y84" s="399">
        <f t="shared" si="42"/>
        <v>110.44444444444444</v>
      </c>
      <c r="Z84" s="398">
        <f t="shared" si="55"/>
        <v>348.17055555555595</v>
      </c>
      <c r="AA84" s="399">
        <f t="shared" si="44"/>
        <v>110.44444444444444</v>
      </c>
      <c r="AB84" s="398">
        <f t="shared" si="45"/>
        <v>10.340665500000012</v>
      </c>
      <c r="AC84" s="399">
        <f t="shared" si="46"/>
        <v>3.2801999999999998</v>
      </c>
      <c r="AD84" s="398">
        <f t="shared" si="56"/>
        <v>58.028425925925987</v>
      </c>
      <c r="AE84" s="399">
        <f t="shared" si="48"/>
        <v>18.407407407407408</v>
      </c>
      <c r="AF84" s="344">
        <v>0</v>
      </c>
      <c r="AG84" s="398">
        <f t="shared" si="57"/>
        <v>332.04891111111078</v>
      </c>
      <c r="AH84" s="399">
        <f t="shared" si="58"/>
        <v>110.44444444444444</v>
      </c>
      <c r="AI84" s="454">
        <f t="shared" si="51"/>
        <v>1.8403703703704566</v>
      </c>
      <c r="AJ84" s="85">
        <f t="shared" si="52"/>
        <v>99.380000000004657</v>
      </c>
      <c r="AK84" s="10"/>
    </row>
    <row r="85" spans="1:37" ht="12.75" customHeight="1" x14ac:dyDescent="0.2">
      <c r="B85" s="335">
        <v>78687.41</v>
      </c>
      <c r="C85" s="336">
        <v>78882.06</v>
      </c>
      <c r="D85" s="337" t="s">
        <v>15</v>
      </c>
      <c r="E85" s="337" t="s">
        <v>101</v>
      </c>
      <c r="F85" s="337" t="s">
        <v>107</v>
      </c>
      <c r="G85" s="103" t="str">
        <f t="shared" si="33"/>
        <v>E/S - C/B</v>
      </c>
      <c r="H85" s="77">
        <f t="shared" si="34"/>
        <v>1.5</v>
      </c>
      <c r="I85" s="27">
        <f t="shared" si="35"/>
        <v>5.4069444444442825</v>
      </c>
      <c r="J85" s="78">
        <f t="shared" si="36"/>
        <v>-1.42</v>
      </c>
      <c r="K85" s="83">
        <f t="shared" si="37"/>
        <v>194.64999999999418</v>
      </c>
      <c r="L85" s="384" t="s">
        <v>97</v>
      </c>
      <c r="M85" s="385" t="s">
        <v>97</v>
      </c>
      <c r="N85" s="222">
        <f t="shared" si="53"/>
        <v>0</v>
      </c>
      <c r="O85" s="274">
        <f t="shared" si="38"/>
        <v>0</v>
      </c>
      <c r="P85" s="394">
        <v>12713</v>
      </c>
      <c r="Q85" s="395">
        <v>3893</v>
      </c>
      <c r="R85" s="221">
        <f t="shared" si="39"/>
        <v>12713</v>
      </c>
      <c r="S85" s="269">
        <f t="shared" si="39"/>
        <v>3893</v>
      </c>
      <c r="T85" s="402">
        <v>0</v>
      </c>
      <c r="U85" s="403">
        <v>0</v>
      </c>
      <c r="V85" s="410">
        <f t="shared" si="41"/>
        <v>0.72249861111111069</v>
      </c>
      <c r="W85" s="411">
        <f t="shared" si="41"/>
        <v>0.21627777777777776</v>
      </c>
      <c r="X85" s="398">
        <f t="shared" si="42"/>
        <v>1444.9972222222214</v>
      </c>
      <c r="Y85" s="399">
        <f t="shared" si="42"/>
        <v>432.55555555555554</v>
      </c>
      <c r="Z85" s="398">
        <f t="shared" si="55"/>
        <v>1444.9972222222214</v>
      </c>
      <c r="AA85" s="399">
        <f t="shared" si="44"/>
        <v>432.55555555555554</v>
      </c>
      <c r="AB85" s="398">
        <f t="shared" si="45"/>
        <v>42.916417499999973</v>
      </c>
      <c r="AC85" s="399">
        <f t="shared" si="46"/>
        <v>12.846899999999998</v>
      </c>
      <c r="AD85" s="398">
        <f t="shared" si="56"/>
        <v>240.83287037037022</v>
      </c>
      <c r="AE85" s="399">
        <f t="shared" si="48"/>
        <v>72.092592592592595</v>
      </c>
      <c r="AF85" s="344">
        <v>0</v>
      </c>
      <c r="AG85" s="398">
        <f t="shared" si="57"/>
        <v>1381.8441111111122</v>
      </c>
      <c r="AH85" s="399">
        <f t="shared" si="58"/>
        <v>432.55555555555554</v>
      </c>
      <c r="AI85" s="454">
        <f t="shared" si="51"/>
        <v>7.2092592592590439</v>
      </c>
      <c r="AJ85" s="85">
        <f t="shared" si="52"/>
        <v>389.29999999998836</v>
      </c>
      <c r="AK85" s="10"/>
    </row>
    <row r="86" spans="1:37" ht="12.75" customHeight="1" x14ac:dyDescent="0.2">
      <c r="B86" s="335">
        <v>78882.06</v>
      </c>
      <c r="C86" s="336">
        <v>79600</v>
      </c>
      <c r="D86" s="337" t="s">
        <v>15</v>
      </c>
      <c r="E86" s="337" t="s">
        <v>101</v>
      </c>
      <c r="F86" s="337" t="s">
        <v>107</v>
      </c>
      <c r="G86" s="103" t="str">
        <f t="shared" si="33"/>
        <v>E/S - C/B</v>
      </c>
      <c r="H86" s="77">
        <f t="shared" si="34"/>
        <v>1.5</v>
      </c>
      <c r="I86" s="27">
        <f t="shared" si="35"/>
        <v>19.942777777777842</v>
      </c>
      <c r="J86" s="78">
        <f t="shared" si="36"/>
        <v>-1.42</v>
      </c>
      <c r="K86" s="83">
        <f t="shared" si="37"/>
        <v>717.94000000000233</v>
      </c>
      <c r="L86" s="384">
        <v>41.42</v>
      </c>
      <c r="M86" s="385">
        <v>20</v>
      </c>
      <c r="N86" s="222">
        <f t="shared" si="53"/>
        <v>29738</v>
      </c>
      <c r="O86" s="274">
        <f t="shared" si="38"/>
        <v>14359</v>
      </c>
      <c r="P86" s="394">
        <v>0</v>
      </c>
      <c r="Q86" s="395">
        <v>0</v>
      </c>
      <c r="R86" s="221">
        <f t="shared" si="39"/>
        <v>29738</v>
      </c>
      <c r="S86" s="269">
        <f t="shared" si="39"/>
        <v>14359</v>
      </c>
      <c r="T86" s="402">
        <v>0</v>
      </c>
      <c r="U86" s="403">
        <v>0</v>
      </c>
      <c r="V86" s="410">
        <f t="shared" si="41"/>
        <v>1.7119394444444447</v>
      </c>
      <c r="W86" s="411">
        <f t="shared" si="41"/>
        <v>0.79772222222222222</v>
      </c>
      <c r="X86" s="398">
        <f t="shared" si="42"/>
        <v>3423.8788888888894</v>
      </c>
      <c r="Y86" s="399">
        <f t="shared" si="42"/>
        <v>1595.4444444444443</v>
      </c>
      <c r="Z86" s="398">
        <f t="shared" si="55"/>
        <v>3423.8788888888894</v>
      </c>
      <c r="AA86" s="399">
        <f t="shared" si="44"/>
        <v>1595.4444444444443</v>
      </c>
      <c r="AB86" s="398">
        <f t="shared" si="45"/>
        <v>101.68920300000003</v>
      </c>
      <c r="AC86" s="399">
        <f t="shared" si="46"/>
        <v>47.384699999999995</v>
      </c>
      <c r="AD86" s="398">
        <f t="shared" si="56"/>
        <v>570.64648148148149</v>
      </c>
      <c r="AE86" s="399">
        <f t="shared" si="48"/>
        <v>265.90740740740739</v>
      </c>
      <c r="AF86" s="344">
        <v>0</v>
      </c>
      <c r="AG86" s="398">
        <f t="shared" si="57"/>
        <v>3190.9472444444441</v>
      </c>
      <c r="AH86" s="399">
        <f t="shared" si="58"/>
        <v>1595.4444444444443</v>
      </c>
      <c r="AI86" s="454">
        <f t="shared" si="51"/>
        <v>26.590370370370458</v>
      </c>
      <c r="AJ86" s="85">
        <f t="shared" si="52"/>
        <v>1435.8800000000047</v>
      </c>
      <c r="AK86" s="10"/>
    </row>
    <row r="87" spans="1:37" ht="12.75" customHeight="1" x14ac:dyDescent="0.2">
      <c r="B87" s="335">
        <v>79600</v>
      </c>
      <c r="C87" s="336">
        <v>79939.679999999993</v>
      </c>
      <c r="D87" s="337" t="s">
        <v>15</v>
      </c>
      <c r="E87" s="337" t="s">
        <v>101</v>
      </c>
      <c r="F87" s="337" t="s">
        <v>107</v>
      </c>
      <c r="G87" s="103" t="str">
        <f t="shared" si="33"/>
        <v>E/S - C/B</v>
      </c>
      <c r="H87" s="77">
        <f t="shared" si="34"/>
        <v>1.5</v>
      </c>
      <c r="I87" s="27">
        <f t="shared" si="35"/>
        <v>9.4355555555553607</v>
      </c>
      <c r="J87" s="78">
        <f t="shared" si="36"/>
        <v>-1.42</v>
      </c>
      <c r="K87" s="479">
        <f t="shared" ref="K87" si="59">C87-B87</f>
        <v>339.67999999999302</v>
      </c>
      <c r="L87" s="384">
        <v>41.42</v>
      </c>
      <c r="M87" s="385">
        <v>20</v>
      </c>
      <c r="N87" s="222">
        <f t="shared" ref="N87" si="60">IF(L87="-",0,ROUNDUP($K87*L87,0))</f>
        <v>14070</v>
      </c>
      <c r="O87" s="274">
        <f t="shared" ref="O87" si="61">IF($M87="-",0,ROUNDUP($K87*M87,0))</f>
        <v>6794</v>
      </c>
      <c r="P87" s="394">
        <v>0</v>
      </c>
      <c r="Q87" s="395">
        <v>0</v>
      </c>
      <c r="R87" s="221">
        <f t="shared" ref="R87" si="62">N87+P87</f>
        <v>14070</v>
      </c>
      <c r="S87" s="269">
        <f t="shared" ref="S87" si="63">O87+Q87</f>
        <v>6794</v>
      </c>
      <c r="T87" s="398">
        <f t="shared" ref="T87" si="64">IF(OR($A87="APP SLAB",R87=0),0,(R87+$H87*$K87)/9)</f>
        <v>1619.9466666666656</v>
      </c>
      <c r="U87" s="399">
        <f t="shared" ref="U87" si="65">IF($A87="APP SLAB",0,S87/9)</f>
        <v>754.88888888888891</v>
      </c>
      <c r="V87" s="410">
        <f t="shared" ref="V87" si="66">IF(AND(T87=0,X87=0),0,IF(X87=0,T87/2000,X87/2000))</f>
        <v>0.80997333333333277</v>
      </c>
      <c r="W87" s="411">
        <f t="shared" ref="W87" si="67">IF(AND(U87=0,Y87=0),0,IF(Y87=0,U87/2000,Y87/2000))</f>
        <v>0.37744444444444447</v>
      </c>
      <c r="X87" s="398">
        <f t="shared" ref="X87" si="68">IF(OR($A87="APP SLAB",T87&lt;&gt;0),0,Z87)</f>
        <v>0</v>
      </c>
      <c r="Y87" s="399">
        <f t="shared" ref="Y87" si="69">IF(OR($A87="APP SLAB",U87&lt;&gt;0),0,AA87)</f>
        <v>0</v>
      </c>
      <c r="Z87" s="398">
        <f t="shared" ref="Z87" si="70">IF(OR($A87="APP SLAB",T87&lt;&gt;0),0,(R87+$H87*$K87)/9)</f>
        <v>0</v>
      </c>
      <c r="AA87" s="399">
        <f t="shared" ref="AA87" si="71">IF(OR($A87="APP SLAB",U87&lt;&gt;0),0,S87/9)</f>
        <v>0</v>
      </c>
      <c r="AB87" s="398">
        <f t="shared" ref="AB87" si="72">IF(OR($A87="APP SLAB",T87&lt;&gt;0),0,$Z$1*Z87*110*0.06*0.75/2000)</f>
        <v>0</v>
      </c>
      <c r="AC87" s="399">
        <f t="shared" ref="AC87" si="73">IF(OR($A87="APP SLAB",U87&lt;&gt;0),0,$Z$1*AA87*110*0.06*0.75/2000)</f>
        <v>0</v>
      </c>
      <c r="AD87" s="398">
        <f t="shared" ref="AD87" si="74">IF(R87=0,0,(R87*$AD$1/12)/27+$I87)</f>
        <v>269.99111111111091</v>
      </c>
      <c r="AE87" s="399">
        <f t="shared" ref="AE87" si="75">(S87*$AD$1/12)/27</f>
        <v>125.81481481481481</v>
      </c>
      <c r="AF87" s="344">
        <v>1</v>
      </c>
      <c r="AG87" s="398">
        <f t="shared" ref="AG87" si="76">IF($A87="APP SLAB",0,(R87+$J87*$K87)/9)</f>
        <v>1509.7393777777788</v>
      </c>
      <c r="AH87" s="399">
        <f t="shared" ref="AH87" si="77">IF($A87="APP SLAB",0,S87/9)</f>
        <v>754.88888888888891</v>
      </c>
      <c r="AI87" s="497">
        <f t="shared" si="51"/>
        <v>12.580740740740483</v>
      </c>
      <c r="AJ87" s="480">
        <f t="shared" si="52"/>
        <v>679.35999999998603</v>
      </c>
      <c r="AK87" s="10"/>
    </row>
    <row r="88" spans="1:37" ht="12.75" customHeight="1" x14ac:dyDescent="0.2">
      <c r="B88" s="335">
        <v>79939.679999999993</v>
      </c>
      <c r="C88" s="336">
        <v>80563.53</v>
      </c>
      <c r="D88" s="337" t="s">
        <v>15</v>
      </c>
      <c r="E88" s="337" t="s">
        <v>102</v>
      </c>
      <c r="F88" s="337" t="s">
        <v>107</v>
      </c>
      <c r="G88" s="103" t="str">
        <f t="shared" si="33"/>
        <v>F/C - C/B</v>
      </c>
      <c r="H88" s="77">
        <f t="shared" si="34"/>
        <v>2</v>
      </c>
      <c r="I88" s="27">
        <f t="shared" si="35"/>
        <v>17.329166666666829</v>
      </c>
      <c r="J88" s="78">
        <f t="shared" si="36"/>
        <v>-1.42</v>
      </c>
      <c r="K88" s="83">
        <f t="shared" si="37"/>
        <v>623.85000000000582</v>
      </c>
      <c r="L88" s="384">
        <v>43.42</v>
      </c>
      <c r="M88" s="385">
        <v>20</v>
      </c>
      <c r="N88" s="222">
        <f t="shared" si="53"/>
        <v>27088</v>
      </c>
      <c r="O88" s="274">
        <f t="shared" si="38"/>
        <v>12478</v>
      </c>
      <c r="P88" s="394">
        <v>0</v>
      </c>
      <c r="Q88" s="395">
        <v>0</v>
      </c>
      <c r="R88" s="221">
        <f t="shared" si="39"/>
        <v>27088</v>
      </c>
      <c r="S88" s="269">
        <f t="shared" si="39"/>
        <v>12478</v>
      </c>
      <c r="T88" s="398">
        <f t="shared" ref="T88:T96" si="78">IF(OR($A88="APP SLAB",R88=0),0,(R88+$H88*$K88)/9)</f>
        <v>3148.4111111111124</v>
      </c>
      <c r="U88" s="399">
        <f t="shared" ref="U88:U96" si="79">IF($A88="APP SLAB",0,S88/9)</f>
        <v>1386.4444444444443</v>
      </c>
      <c r="V88" s="410">
        <f t="shared" si="41"/>
        <v>1.5742055555555563</v>
      </c>
      <c r="W88" s="411">
        <f t="shared" si="41"/>
        <v>0.69322222222222218</v>
      </c>
      <c r="X88" s="398">
        <f t="shared" si="42"/>
        <v>0</v>
      </c>
      <c r="Y88" s="399">
        <f t="shared" si="42"/>
        <v>0</v>
      </c>
      <c r="Z88" s="398">
        <f t="shared" si="55"/>
        <v>0</v>
      </c>
      <c r="AA88" s="399">
        <f t="shared" si="44"/>
        <v>0</v>
      </c>
      <c r="AB88" s="398">
        <f t="shared" si="45"/>
        <v>0</v>
      </c>
      <c r="AC88" s="399">
        <f t="shared" si="46"/>
        <v>0</v>
      </c>
      <c r="AD88" s="398">
        <f t="shared" si="56"/>
        <v>518.95879629629644</v>
      </c>
      <c r="AE88" s="399">
        <f t="shared" si="48"/>
        <v>231.07407407407408</v>
      </c>
      <c r="AF88" s="344">
        <v>0</v>
      </c>
      <c r="AG88" s="398">
        <f t="shared" si="57"/>
        <v>2911.34811111111</v>
      </c>
      <c r="AH88" s="399">
        <f t="shared" si="58"/>
        <v>1386.4444444444443</v>
      </c>
      <c r="AI88" s="454">
        <f t="shared" si="51"/>
        <v>0</v>
      </c>
      <c r="AJ88" s="85">
        <f t="shared" si="52"/>
        <v>1247.7000000000116</v>
      </c>
      <c r="AK88" s="10"/>
    </row>
    <row r="89" spans="1:37" ht="12.75" customHeight="1" x14ac:dyDescent="0.2">
      <c r="B89" s="335">
        <v>80563.53</v>
      </c>
      <c r="C89" s="336">
        <v>80591.100000000006</v>
      </c>
      <c r="D89" s="337" t="s">
        <v>15</v>
      </c>
      <c r="E89" s="337" t="s">
        <v>97</v>
      </c>
      <c r="F89" s="337" t="s">
        <v>107</v>
      </c>
      <c r="G89" s="103" t="str">
        <f t="shared" si="33"/>
        <v>-</v>
      </c>
      <c r="H89" s="349">
        <v>1.5</v>
      </c>
      <c r="I89" s="338">
        <v>0.77</v>
      </c>
      <c r="J89" s="358">
        <v>-1.42</v>
      </c>
      <c r="K89" s="83">
        <f t="shared" si="37"/>
        <v>27.570000000006985</v>
      </c>
      <c r="L89" s="384" t="s">
        <v>97</v>
      </c>
      <c r="M89" s="385" t="s">
        <v>97</v>
      </c>
      <c r="N89" s="222">
        <f t="shared" si="53"/>
        <v>0</v>
      </c>
      <c r="O89" s="274">
        <f t="shared" si="38"/>
        <v>0</v>
      </c>
      <c r="P89" s="394">
        <v>599</v>
      </c>
      <c r="Q89" s="395">
        <v>276</v>
      </c>
      <c r="R89" s="221">
        <f t="shared" si="39"/>
        <v>599</v>
      </c>
      <c r="S89" s="269">
        <f t="shared" si="39"/>
        <v>276</v>
      </c>
      <c r="T89" s="398">
        <f t="shared" si="78"/>
        <v>71.150555555556721</v>
      </c>
      <c r="U89" s="399">
        <f t="shared" si="79"/>
        <v>30.666666666666668</v>
      </c>
      <c r="V89" s="410">
        <f t="shared" si="41"/>
        <v>3.5575277777778358E-2</v>
      </c>
      <c r="W89" s="411">
        <f t="shared" si="41"/>
        <v>1.5333333333333334E-2</v>
      </c>
      <c r="X89" s="398">
        <f t="shared" si="42"/>
        <v>0</v>
      </c>
      <c r="Y89" s="399">
        <f t="shared" si="42"/>
        <v>0</v>
      </c>
      <c r="Z89" s="398">
        <f t="shared" si="55"/>
        <v>0</v>
      </c>
      <c r="AA89" s="399">
        <f t="shared" si="44"/>
        <v>0</v>
      </c>
      <c r="AB89" s="398">
        <f t="shared" si="45"/>
        <v>0</v>
      </c>
      <c r="AC89" s="399">
        <f t="shared" si="46"/>
        <v>0</v>
      </c>
      <c r="AD89" s="398">
        <f t="shared" si="56"/>
        <v>11.862592592592593</v>
      </c>
      <c r="AE89" s="399">
        <f t="shared" si="48"/>
        <v>5.1111111111111107</v>
      </c>
      <c r="AF89" s="344">
        <v>0</v>
      </c>
      <c r="AG89" s="398">
        <f t="shared" si="57"/>
        <v>62.205622222221123</v>
      </c>
      <c r="AH89" s="399">
        <f t="shared" si="58"/>
        <v>30.666666666666668</v>
      </c>
      <c r="AI89" s="454">
        <f t="shared" si="51"/>
        <v>0</v>
      </c>
      <c r="AJ89" s="85">
        <f t="shared" si="52"/>
        <v>55.14000000001397</v>
      </c>
      <c r="AK89" s="10"/>
    </row>
    <row r="90" spans="1:37" ht="12.75" customHeight="1" x14ac:dyDescent="0.2">
      <c r="A90" s="106" t="s">
        <v>28</v>
      </c>
      <c r="B90" s="335">
        <v>80591.100000000006</v>
      </c>
      <c r="C90" s="336">
        <v>80621.100000000006</v>
      </c>
      <c r="D90" s="337" t="s">
        <v>15</v>
      </c>
      <c r="E90" s="337" t="s">
        <v>97</v>
      </c>
      <c r="F90" s="337" t="s">
        <v>97</v>
      </c>
      <c r="G90" s="103" t="str">
        <f t="shared" si="33"/>
        <v>-</v>
      </c>
      <c r="H90" s="77">
        <f t="shared" si="34"/>
        <v>0</v>
      </c>
      <c r="I90" s="27">
        <f t="shared" si="35"/>
        <v>0</v>
      </c>
      <c r="J90" s="78">
        <f t="shared" si="36"/>
        <v>0</v>
      </c>
      <c r="K90" s="83">
        <f t="shared" si="37"/>
        <v>30</v>
      </c>
      <c r="L90" s="384" t="s">
        <v>97</v>
      </c>
      <c r="M90" s="385" t="s">
        <v>97</v>
      </c>
      <c r="N90" s="222">
        <f t="shared" si="53"/>
        <v>0</v>
      </c>
      <c r="O90" s="274">
        <f t="shared" si="38"/>
        <v>0</v>
      </c>
      <c r="P90" s="394">
        <v>1393</v>
      </c>
      <c r="Q90" s="395">
        <v>600</v>
      </c>
      <c r="R90" s="221">
        <f t="shared" si="39"/>
        <v>1393</v>
      </c>
      <c r="S90" s="269">
        <f t="shared" si="39"/>
        <v>600</v>
      </c>
      <c r="T90" s="398">
        <f t="shared" si="78"/>
        <v>0</v>
      </c>
      <c r="U90" s="399">
        <f t="shared" si="79"/>
        <v>0</v>
      </c>
      <c r="V90" s="410">
        <f t="shared" si="41"/>
        <v>0</v>
      </c>
      <c r="W90" s="411">
        <f t="shared" si="41"/>
        <v>0</v>
      </c>
      <c r="X90" s="398">
        <f t="shared" si="42"/>
        <v>0</v>
      </c>
      <c r="Y90" s="399">
        <f t="shared" si="42"/>
        <v>0</v>
      </c>
      <c r="Z90" s="398">
        <f t="shared" si="55"/>
        <v>0</v>
      </c>
      <c r="AA90" s="399">
        <f t="shared" si="44"/>
        <v>0</v>
      </c>
      <c r="AB90" s="398">
        <f t="shared" si="45"/>
        <v>0</v>
      </c>
      <c r="AC90" s="399">
        <f t="shared" si="46"/>
        <v>0</v>
      </c>
      <c r="AD90" s="398">
        <f t="shared" si="56"/>
        <v>25.796296296296298</v>
      </c>
      <c r="AE90" s="399">
        <f t="shared" si="48"/>
        <v>11.111111111111111</v>
      </c>
      <c r="AF90" s="380">
        <v>69</v>
      </c>
      <c r="AG90" s="398">
        <f t="shared" si="57"/>
        <v>0</v>
      </c>
      <c r="AH90" s="399">
        <f t="shared" si="58"/>
        <v>0</v>
      </c>
      <c r="AI90" s="454">
        <f t="shared" si="51"/>
        <v>0</v>
      </c>
      <c r="AJ90" s="85">
        <f t="shared" si="52"/>
        <v>0</v>
      </c>
      <c r="AK90" s="10"/>
    </row>
    <row r="91" spans="1:37" ht="12.75" customHeight="1" x14ac:dyDescent="0.2">
      <c r="A91" s="106" t="s">
        <v>28</v>
      </c>
      <c r="B91" s="335">
        <v>80726.02</v>
      </c>
      <c r="C91" s="336">
        <v>80756.02</v>
      </c>
      <c r="D91" s="337" t="s">
        <v>15</v>
      </c>
      <c r="E91" s="337" t="s">
        <v>97</v>
      </c>
      <c r="F91" s="337" t="s">
        <v>97</v>
      </c>
      <c r="G91" s="103" t="str">
        <f t="shared" si="33"/>
        <v>-</v>
      </c>
      <c r="H91" s="77">
        <f t="shared" si="34"/>
        <v>0</v>
      </c>
      <c r="I91" s="27">
        <f t="shared" si="35"/>
        <v>0</v>
      </c>
      <c r="J91" s="78">
        <f t="shared" si="36"/>
        <v>0</v>
      </c>
      <c r="K91" s="83">
        <f t="shared" si="37"/>
        <v>30</v>
      </c>
      <c r="L91" s="384" t="s">
        <v>97</v>
      </c>
      <c r="M91" s="385" t="s">
        <v>97</v>
      </c>
      <c r="N91" s="222">
        <f t="shared" si="53"/>
        <v>0</v>
      </c>
      <c r="O91" s="274">
        <f t="shared" si="38"/>
        <v>0</v>
      </c>
      <c r="P91" s="394">
        <v>1385</v>
      </c>
      <c r="Q91" s="395">
        <v>600</v>
      </c>
      <c r="R91" s="221">
        <f t="shared" si="39"/>
        <v>1385</v>
      </c>
      <c r="S91" s="269">
        <f t="shared" si="39"/>
        <v>600</v>
      </c>
      <c r="T91" s="398">
        <f t="shared" si="78"/>
        <v>0</v>
      </c>
      <c r="U91" s="399">
        <f t="shared" si="79"/>
        <v>0</v>
      </c>
      <c r="V91" s="410">
        <f t="shared" si="41"/>
        <v>0</v>
      </c>
      <c r="W91" s="411">
        <f t="shared" si="41"/>
        <v>0</v>
      </c>
      <c r="X91" s="398">
        <f t="shared" si="42"/>
        <v>0</v>
      </c>
      <c r="Y91" s="399">
        <f t="shared" si="42"/>
        <v>0</v>
      </c>
      <c r="Z91" s="398">
        <f t="shared" si="55"/>
        <v>0</v>
      </c>
      <c r="AA91" s="399">
        <f t="shared" si="44"/>
        <v>0</v>
      </c>
      <c r="AB91" s="398">
        <f t="shared" si="45"/>
        <v>0</v>
      </c>
      <c r="AC91" s="399">
        <f t="shared" si="46"/>
        <v>0</v>
      </c>
      <c r="AD91" s="398">
        <f t="shared" si="56"/>
        <v>25.648148148148149</v>
      </c>
      <c r="AE91" s="399">
        <f t="shared" si="48"/>
        <v>11.111111111111111</v>
      </c>
      <c r="AF91" s="380">
        <v>67</v>
      </c>
      <c r="AG91" s="398">
        <f t="shared" si="57"/>
        <v>0</v>
      </c>
      <c r="AH91" s="399">
        <f t="shared" si="58"/>
        <v>0</v>
      </c>
      <c r="AI91" s="454">
        <f t="shared" si="51"/>
        <v>0</v>
      </c>
      <c r="AJ91" s="85">
        <f t="shared" si="52"/>
        <v>0</v>
      </c>
      <c r="AK91" s="10"/>
    </row>
    <row r="92" spans="1:37" ht="12.75" customHeight="1" x14ac:dyDescent="0.2">
      <c r="B92" s="335">
        <v>80734.399999999994</v>
      </c>
      <c r="C92" s="336">
        <v>80756.02</v>
      </c>
      <c r="D92" s="337" t="s">
        <v>15</v>
      </c>
      <c r="E92" s="337" t="s">
        <v>102</v>
      </c>
      <c r="F92" s="337" t="s">
        <v>97</v>
      </c>
      <c r="G92" s="103" t="str">
        <f t="shared" si="33"/>
        <v>-</v>
      </c>
      <c r="H92" s="349">
        <v>1.5</v>
      </c>
      <c r="I92" s="338">
        <v>0.39</v>
      </c>
      <c r="J92" s="358">
        <v>0</v>
      </c>
      <c r="K92" s="83">
        <f t="shared" si="37"/>
        <v>21.620000000009895</v>
      </c>
      <c r="L92" s="384" t="s">
        <v>97</v>
      </c>
      <c r="M92" s="385" t="s">
        <v>97</v>
      </c>
      <c r="N92" s="222">
        <f t="shared" si="53"/>
        <v>0</v>
      </c>
      <c r="O92" s="274">
        <f t="shared" si="38"/>
        <v>0</v>
      </c>
      <c r="P92" s="394">
        <v>449</v>
      </c>
      <c r="Q92" s="395">
        <v>216</v>
      </c>
      <c r="R92" s="221">
        <f t="shared" si="39"/>
        <v>449</v>
      </c>
      <c r="S92" s="269">
        <f t="shared" si="39"/>
        <v>216</v>
      </c>
      <c r="T92" s="398">
        <f t="shared" si="78"/>
        <v>53.492222222223873</v>
      </c>
      <c r="U92" s="399">
        <f t="shared" si="79"/>
        <v>24</v>
      </c>
      <c r="V92" s="410">
        <f t="shared" si="41"/>
        <v>2.6746111111111935E-2</v>
      </c>
      <c r="W92" s="411">
        <f t="shared" si="41"/>
        <v>1.2E-2</v>
      </c>
      <c r="X92" s="398">
        <f t="shared" si="42"/>
        <v>0</v>
      </c>
      <c r="Y92" s="399">
        <f t="shared" si="42"/>
        <v>0</v>
      </c>
      <c r="Z92" s="398">
        <f t="shared" si="55"/>
        <v>0</v>
      </c>
      <c r="AA92" s="399">
        <f t="shared" si="44"/>
        <v>0</v>
      </c>
      <c r="AB92" s="398">
        <f t="shared" si="45"/>
        <v>0</v>
      </c>
      <c r="AC92" s="399">
        <f t="shared" si="46"/>
        <v>0</v>
      </c>
      <c r="AD92" s="398">
        <f t="shared" si="56"/>
        <v>8.7048148148148154</v>
      </c>
      <c r="AE92" s="399">
        <f t="shared" si="48"/>
        <v>4</v>
      </c>
      <c r="AF92" s="344">
        <v>0</v>
      </c>
      <c r="AG92" s="398">
        <f t="shared" si="57"/>
        <v>49.888888888888886</v>
      </c>
      <c r="AH92" s="399">
        <f t="shared" si="58"/>
        <v>24</v>
      </c>
      <c r="AI92" s="454">
        <f t="shared" si="51"/>
        <v>0</v>
      </c>
      <c r="AJ92" s="85">
        <f t="shared" si="52"/>
        <v>43.240000000019791</v>
      </c>
      <c r="AK92" s="10"/>
    </row>
    <row r="93" spans="1:37" ht="12.75" customHeight="1" x14ac:dyDescent="0.2">
      <c r="B93" s="335">
        <v>80756.02</v>
      </c>
      <c r="C93" s="336">
        <v>81236.52</v>
      </c>
      <c r="D93" s="337" t="s">
        <v>15</v>
      </c>
      <c r="E93" s="337" t="s">
        <v>102</v>
      </c>
      <c r="F93" s="337" t="s">
        <v>107</v>
      </c>
      <c r="G93" s="103" t="str">
        <f t="shared" si="33"/>
        <v>F/C - C/B</v>
      </c>
      <c r="H93" s="77">
        <f t="shared" si="34"/>
        <v>2</v>
      </c>
      <c r="I93" s="27">
        <f t="shared" si="35"/>
        <v>13.347222222222221</v>
      </c>
      <c r="J93" s="78">
        <f t="shared" si="36"/>
        <v>-1.42</v>
      </c>
      <c r="K93" s="83">
        <f t="shared" si="37"/>
        <v>480.5</v>
      </c>
      <c r="L93" s="384">
        <v>43.42</v>
      </c>
      <c r="M93" s="385">
        <v>20</v>
      </c>
      <c r="N93" s="222">
        <f t="shared" si="53"/>
        <v>20864</v>
      </c>
      <c r="O93" s="274">
        <f t="shared" si="38"/>
        <v>9610</v>
      </c>
      <c r="P93" s="394">
        <v>0</v>
      </c>
      <c r="Q93" s="395">
        <v>0</v>
      </c>
      <c r="R93" s="221">
        <f t="shared" si="39"/>
        <v>20864</v>
      </c>
      <c r="S93" s="269">
        <f t="shared" si="39"/>
        <v>9610</v>
      </c>
      <c r="T93" s="398">
        <f t="shared" si="78"/>
        <v>2425</v>
      </c>
      <c r="U93" s="399">
        <f t="shared" si="79"/>
        <v>1067.7777777777778</v>
      </c>
      <c r="V93" s="410">
        <f t="shared" si="41"/>
        <v>1.2124999999999999</v>
      </c>
      <c r="W93" s="411">
        <f t="shared" si="41"/>
        <v>0.53388888888888897</v>
      </c>
      <c r="X93" s="398">
        <f t="shared" si="42"/>
        <v>0</v>
      </c>
      <c r="Y93" s="399">
        <f t="shared" si="42"/>
        <v>0</v>
      </c>
      <c r="Z93" s="398">
        <f t="shared" si="55"/>
        <v>0</v>
      </c>
      <c r="AA93" s="399">
        <f t="shared" si="44"/>
        <v>0</v>
      </c>
      <c r="AB93" s="398">
        <f t="shared" si="45"/>
        <v>0</v>
      </c>
      <c r="AC93" s="399">
        <f t="shared" si="46"/>
        <v>0</v>
      </c>
      <c r="AD93" s="398">
        <f t="shared" si="56"/>
        <v>399.71759259259261</v>
      </c>
      <c r="AE93" s="399">
        <f t="shared" si="48"/>
        <v>177.96296296296296</v>
      </c>
      <c r="AF93" s="344">
        <v>0</v>
      </c>
      <c r="AG93" s="398">
        <f t="shared" si="57"/>
        <v>2242.41</v>
      </c>
      <c r="AH93" s="399">
        <f t="shared" si="58"/>
        <v>1067.7777777777778</v>
      </c>
      <c r="AI93" s="454">
        <f t="shared" si="51"/>
        <v>0</v>
      </c>
      <c r="AJ93" s="85">
        <f t="shared" si="52"/>
        <v>961</v>
      </c>
      <c r="AK93" s="10"/>
    </row>
    <row r="94" spans="1:37" ht="12.75" customHeight="1" x14ac:dyDescent="0.2">
      <c r="B94" s="335">
        <v>81236.52</v>
      </c>
      <c r="C94" s="336">
        <v>81317.06</v>
      </c>
      <c r="D94" s="337" t="s">
        <v>15</v>
      </c>
      <c r="E94" s="337" t="s">
        <v>97</v>
      </c>
      <c r="F94" s="337" t="s">
        <v>107</v>
      </c>
      <c r="G94" s="103" t="str">
        <f t="shared" si="33"/>
        <v>-</v>
      </c>
      <c r="H94" s="349">
        <v>1.5</v>
      </c>
      <c r="I94" s="338">
        <v>2.23</v>
      </c>
      <c r="J94" s="358">
        <v>-1.42</v>
      </c>
      <c r="K94" s="83">
        <f t="shared" si="37"/>
        <v>80.539999999993597</v>
      </c>
      <c r="L94" s="384" t="s">
        <v>97</v>
      </c>
      <c r="M94" s="385" t="s">
        <v>97</v>
      </c>
      <c r="N94" s="222">
        <f t="shared" si="53"/>
        <v>0</v>
      </c>
      <c r="O94" s="274">
        <f t="shared" si="38"/>
        <v>0</v>
      </c>
      <c r="P94" s="394">
        <v>1769</v>
      </c>
      <c r="Q94" s="395">
        <v>805</v>
      </c>
      <c r="R94" s="221">
        <f t="shared" si="39"/>
        <v>1769</v>
      </c>
      <c r="S94" s="269">
        <f t="shared" si="39"/>
        <v>805</v>
      </c>
      <c r="T94" s="398">
        <f t="shared" si="78"/>
        <v>209.97888888888781</v>
      </c>
      <c r="U94" s="399">
        <f t="shared" si="79"/>
        <v>89.444444444444443</v>
      </c>
      <c r="V94" s="410">
        <f t="shared" si="41"/>
        <v>0.1049894444444439</v>
      </c>
      <c r="W94" s="411">
        <f t="shared" si="41"/>
        <v>4.4722222222222219E-2</v>
      </c>
      <c r="X94" s="398">
        <f t="shared" si="42"/>
        <v>0</v>
      </c>
      <c r="Y94" s="399">
        <f t="shared" si="42"/>
        <v>0</v>
      </c>
      <c r="Z94" s="398">
        <f t="shared" si="55"/>
        <v>0</v>
      </c>
      <c r="AA94" s="399">
        <f t="shared" si="44"/>
        <v>0</v>
      </c>
      <c r="AB94" s="398">
        <f t="shared" si="45"/>
        <v>0</v>
      </c>
      <c r="AC94" s="399">
        <f t="shared" si="46"/>
        <v>0</v>
      </c>
      <c r="AD94" s="398">
        <f t="shared" si="56"/>
        <v>34.989259259259256</v>
      </c>
      <c r="AE94" s="399">
        <f t="shared" si="48"/>
        <v>14.907407407407407</v>
      </c>
      <c r="AF94" s="344">
        <v>0</v>
      </c>
      <c r="AG94" s="398">
        <f t="shared" si="57"/>
        <v>183.84813333333435</v>
      </c>
      <c r="AH94" s="399">
        <f t="shared" si="58"/>
        <v>89.444444444444443</v>
      </c>
      <c r="AI94" s="454">
        <f t="shared" si="51"/>
        <v>0</v>
      </c>
      <c r="AJ94" s="85">
        <f t="shared" si="52"/>
        <v>161.07999999998719</v>
      </c>
      <c r="AK94" s="10"/>
    </row>
    <row r="95" spans="1:37" ht="12.75" customHeight="1" x14ac:dyDescent="0.2">
      <c r="A95" s="106" t="s">
        <v>28</v>
      </c>
      <c r="B95" s="335">
        <v>81316.460000000006</v>
      </c>
      <c r="C95" s="336">
        <v>81346.460000000006</v>
      </c>
      <c r="D95" s="337" t="s">
        <v>15</v>
      </c>
      <c r="E95" s="337" t="s">
        <v>97</v>
      </c>
      <c r="F95" s="337" t="s">
        <v>97</v>
      </c>
      <c r="G95" s="103" t="str">
        <f t="shared" si="33"/>
        <v>-</v>
      </c>
      <c r="H95" s="77">
        <v>4</v>
      </c>
      <c r="I95" s="27">
        <f t="shared" si="35"/>
        <v>0</v>
      </c>
      <c r="J95" s="78">
        <f t="shared" si="36"/>
        <v>0</v>
      </c>
      <c r="K95" s="83">
        <f t="shared" si="37"/>
        <v>30</v>
      </c>
      <c r="L95" s="384" t="s">
        <v>97</v>
      </c>
      <c r="M95" s="385" t="s">
        <v>97</v>
      </c>
      <c r="N95" s="222">
        <f t="shared" si="53"/>
        <v>0</v>
      </c>
      <c r="O95" s="274">
        <f t="shared" si="38"/>
        <v>0</v>
      </c>
      <c r="P95" s="394">
        <v>1407</v>
      </c>
      <c r="Q95" s="395">
        <v>600</v>
      </c>
      <c r="R95" s="221">
        <f t="shared" si="39"/>
        <v>1407</v>
      </c>
      <c r="S95" s="269">
        <f t="shared" si="39"/>
        <v>600</v>
      </c>
      <c r="T95" s="398">
        <f>IF(OR(R95=0),0,(R95+$H95*$K95)/9)</f>
        <v>169.66666666666666</v>
      </c>
      <c r="U95" s="399">
        <f>IF($A95="",0,S95/9)</f>
        <v>66.666666666666671</v>
      </c>
      <c r="V95" s="410">
        <f t="shared" si="41"/>
        <v>8.483333333333333E-2</v>
      </c>
      <c r="W95" s="411">
        <f t="shared" si="41"/>
        <v>3.3333333333333333E-2</v>
      </c>
      <c r="X95" s="398">
        <f>IF(OR(T95&lt;&gt;0),0,Z95)</f>
        <v>0</v>
      </c>
      <c r="Y95" s="399">
        <f>IF(OR(U95&lt;&gt;0),0,AA95)</f>
        <v>0</v>
      </c>
      <c r="Z95" s="398">
        <f>IF(OR(T95&lt;&gt;0),0,(R95+$H95*$K95)/9)</f>
        <v>0</v>
      </c>
      <c r="AA95" s="399">
        <f>IF(OR(U95&lt;&gt;0),0,S95/9)</f>
        <v>0</v>
      </c>
      <c r="AB95" s="398">
        <f>IF(OR(T95&lt;&gt;0),0,$Z$1*Z95*110*0.06*0.75/2000)</f>
        <v>0</v>
      </c>
      <c r="AC95" s="399">
        <f>IF(OR(U95&lt;&gt;0),0,$Z$1*AA95*110*0.06*0.75/2000)</f>
        <v>0</v>
      </c>
      <c r="AD95" s="398">
        <f t="shared" si="56"/>
        <v>26.055555555555557</v>
      </c>
      <c r="AE95" s="399">
        <f t="shared" si="48"/>
        <v>11.111111111111111</v>
      </c>
      <c r="AF95" s="380">
        <v>102</v>
      </c>
      <c r="AG95" s="398">
        <f t="shared" si="57"/>
        <v>0</v>
      </c>
      <c r="AH95" s="399">
        <f t="shared" si="58"/>
        <v>0</v>
      </c>
      <c r="AI95" s="454">
        <f t="shared" si="51"/>
        <v>0</v>
      </c>
      <c r="AJ95" s="85">
        <f t="shared" si="52"/>
        <v>0</v>
      </c>
      <c r="AK95" s="10"/>
    </row>
    <row r="96" spans="1:37" ht="12.75" customHeight="1" x14ac:dyDescent="0.2">
      <c r="A96" s="106" t="s">
        <v>28</v>
      </c>
      <c r="B96" s="335">
        <v>81611.05</v>
      </c>
      <c r="C96" s="336">
        <v>81641.05</v>
      </c>
      <c r="D96" s="337" t="s">
        <v>15</v>
      </c>
      <c r="E96" s="337" t="s">
        <v>97</v>
      </c>
      <c r="F96" s="337" t="s">
        <v>97</v>
      </c>
      <c r="G96" s="103" t="str">
        <f t="shared" si="33"/>
        <v>-</v>
      </c>
      <c r="H96" s="77">
        <v>4</v>
      </c>
      <c r="I96" s="27">
        <f t="shared" si="35"/>
        <v>0</v>
      </c>
      <c r="J96" s="78">
        <f t="shared" si="36"/>
        <v>0</v>
      </c>
      <c r="K96" s="83">
        <f t="shared" si="37"/>
        <v>30</v>
      </c>
      <c r="L96" s="384" t="s">
        <v>97</v>
      </c>
      <c r="M96" s="385" t="s">
        <v>97</v>
      </c>
      <c r="N96" s="222">
        <f t="shared" si="53"/>
        <v>0</v>
      </c>
      <c r="O96" s="274">
        <f t="shared" si="38"/>
        <v>0</v>
      </c>
      <c r="P96" s="394">
        <v>1385</v>
      </c>
      <c r="Q96" s="395">
        <v>600</v>
      </c>
      <c r="R96" s="221">
        <f t="shared" si="39"/>
        <v>1385</v>
      </c>
      <c r="S96" s="269">
        <f t="shared" si="39"/>
        <v>600</v>
      </c>
      <c r="T96" s="398">
        <f t="shared" si="78"/>
        <v>0</v>
      </c>
      <c r="U96" s="399">
        <f t="shared" si="79"/>
        <v>0</v>
      </c>
      <c r="V96" s="410">
        <f t="shared" si="41"/>
        <v>8.3611111111111108E-2</v>
      </c>
      <c r="W96" s="411">
        <f t="shared" si="41"/>
        <v>3.3333333333333333E-2</v>
      </c>
      <c r="X96" s="398">
        <f>IF(OR(T96&lt;&gt;0),0,Z96)</f>
        <v>167.22222222222223</v>
      </c>
      <c r="Y96" s="399">
        <f>IF(OR(U96&lt;&gt;0),0,AA96)</f>
        <v>66.666666666666671</v>
      </c>
      <c r="Z96" s="398">
        <f>IF(OR(T96&lt;&gt;0),0,(R96+$H96*$K96)/9)</f>
        <v>167.22222222222223</v>
      </c>
      <c r="AA96" s="399">
        <f>IF(OR(U96&lt;&gt;0),0,S96/9)</f>
        <v>66.666666666666671</v>
      </c>
      <c r="AB96" s="398">
        <f>IF(OR(T96&lt;&gt;0),0,$Z$1*Z96*110*0.06*0.75/2000)</f>
        <v>4.9664999999999999</v>
      </c>
      <c r="AC96" s="399">
        <f>IF(OR(U96&lt;&gt;0),0,$Z$1*AA96*110*0.06*0.75/2000)</f>
        <v>1.98</v>
      </c>
      <c r="AD96" s="398">
        <f t="shared" si="56"/>
        <v>25.648148148148149</v>
      </c>
      <c r="AE96" s="399">
        <f t="shared" si="48"/>
        <v>11.111111111111111</v>
      </c>
      <c r="AF96" s="380">
        <v>88</v>
      </c>
      <c r="AG96" s="398">
        <f t="shared" si="57"/>
        <v>0</v>
      </c>
      <c r="AH96" s="399">
        <f t="shared" si="58"/>
        <v>0</v>
      </c>
      <c r="AI96" s="454">
        <f t="shared" si="51"/>
        <v>0</v>
      </c>
      <c r="AJ96" s="85">
        <f t="shared" si="52"/>
        <v>0</v>
      </c>
      <c r="AK96" s="10"/>
    </row>
    <row r="97" spans="2:54" ht="12.75" customHeight="1" x14ac:dyDescent="0.2">
      <c r="B97" s="335">
        <v>81581.45</v>
      </c>
      <c r="C97" s="336">
        <v>81641.52</v>
      </c>
      <c r="D97" s="337" t="s">
        <v>15</v>
      </c>
      <c r="E97" s="337" t="s">
        <v>102</v>
      </c>
      <c r="F97" s="337" t="s">
        <v>97</v>
      </c>
      <c r="G97" s="103" t="str">
        <f t="shared" si="33"/>
        <v>-</v>
      </c>
      <c r="H97" s="349">
        <v>1.5</v>
      </c>
      <c r="I97" s="338">
        <v>1.0900000000000001</v>
      </c>
      <c r="J97" s="358">
        <v>0</v>
      </c>
      <c r="K97" s="83">
        <f t="shared" si="37"/>
        <v>60.070000000006985</v>
      </c>
      <c r="L97" s="384" t="s">
        <v>97</v>
      </c>
      <c r="M97" s="385" t="s">
        <v>97</v>
      </c>
      <c r="N97" s="222">
        <f t="shared" si="53"/>
        <v>0</v>
      </c>
      <c r="O97" s="274">
        <f t="shared" si="38"/>
        <v>0</v>
      </c>
      <c r="P97" s="394">
        <v>1269</v>
      </c>
      <c r="Q97" s="395">
        <v>601</v>
      </c>
      <c r="R97" s="221">
        <f t="shared" si="39"/>
        <v>1269</v>
      </c>
      <c r="S97" s="269">
        <f t="shared" si="39"/>
        <v>601</v>
      </c>
      <c r="T97" s="402">
        <v>0</v>
      </c>
      <c r="U97" s="403">
        <v>0</v>
      </c>
      <c r="V97" s="410">
        <f t="shared" si="41"/>
        <v>7.550583333333391E-2</v>
      </c>
      <c r="W97" s="411">
        <f t="shared" si="41"/>
        <v>3.3388888888888885E-2</v>
      </c>
      <c r="X97" s="398">
        <f t="shared" si="42"/>
        <v>151.01166666666782</v>
      </c>
      <c r="Y97" s="399">
        <f t="shared" si="42"/>
        <v>66.777777777777771</v>
      </c>
      <c r="Z97" s="398">
        <f t="shared" si="55"/>
        <v>151.01166666666782</v>
      </c>
      <c r="AA97" s="399">
        <f t="shared" si="44"/>
        <v>66.777777777777771</v>
      </c>
      <c r="AB97" s="398">
        <f t="shared" si="45"/>
        <v>4.4850465000000348</v>
      </c>
      <c r="AC97" s="399">
        <f t="shared" si="46"/>
        <v>1.9832999999999996</v>
      </c>
      <c r="AD97" s="398">
        <f t="shared" si="56"/>
        <v>24.59</v>
      </c>
      <c r="AE97" s="399">
        <f t="shared" si="48"/>
        <v>11.12962962962963</v>
      </c>
      <c r="AF97" s="344">
        <v>0</v>
      </c>
      <c r="AG97" s="398">
        <f t="shared" si="57"/>
        <v>141</v>
      </c>
      <c r="AH97" s="399">
        <f t="shared" si="58"/>
        <v>66.777777777777771</v>
      </c>
      <c r="AI97" s="454">
        <f t="shared" si="51"/>
        <v>0</v>
      </c>
      <c r="AJ97" s="85">
        <f t="shared" si="52"/>
        <v>120.14000000001397</v>
      </c>
      <c r="AK97" s="10"/>
    </row>
    <row r="98" spans="2:54" ht="12.75" customHeight="1" x14ac:dyDescent="0.2">
      <c r="B98" s="335">
        <v>81641.52</v>
      </c>
      <c r="C98" s="336">
        <v>82187.839999999997</v>
      </c>
      <c r="D98" s="337" t="s">
        <v>15</v>
      </c>
      <c r="E98" s="337" t="s">
        <v>102</v>
      </c>
      <c r="F98" s="337" t="s">
        <v>107</v>
      </c>
      <c r="G98" s="103" t="str">
        <f t="shared" si="33"/>
        <v>F/C - C/B</v>
      </c>
      <c r="H98" s="77">
        <f t="shared" si="34"/>
        <v>2</v>
      </c>
      <c r="I98" s="27">
        <f t="shared" si="35"/>
        <v>15.175555555555345</v>
      </c>
      <c r="J98" s="78">
        <f t="shared" si="36"/>
        <v>-1.42</v>
      </c>
      <c r="K98" s="83">
        <f t="shared" si="37"/>
        <v>546.31999999999243</v>
      </c>
      <c r="L98" s="384">
        <v>43.42</v>
      </c>
      <c r="M98" s="385">
        <v>20</v>
      </c>
      <c r="N98" s="222">
        <f t="shared" si="53"/>
        <v>23722</v>
      </c>
      <c r="O98" s="274">
        <f t="shared" si="38"/>
        <v>10927</v>
      </c>
      <c r="P98" s="394">
        <v>0</v>
      </c>
      <c r="Q98" s="395">
        <v>0</v>
      </c>
      <c r="R98" s="221">
        <f t="shared" si="39"/>
        <v>23722</v>
      </c>
      <c r="S98" s="269">
        <f t="shared" si="39"/>
        <v>10927</v>
      </c>
      <c r="T98" s="402">
        <v>0</v>
      </c>
      <c r="U98" s="403">
        <v>0</v>
      </c>
      <c r="V98" s="410">
        <f t="shared" si="41"/>
        <v>1.3785911111111102</v>
      </c>
      <c r="W98" s="411">
        <f t="shared" si="41"/>
        <v>0.60705555555555557</v>
      </c>
      <c r="X98" s="398">
        <f t="shared" si="42"/>
        <v>2757.1822222222204</v>
      </c>
      <c r="Y98" s="399">
        <f t="shared" si="42"/>
        <v>1214.1111111111111</v>
      </c>
      <c r="Z98" s="398">
        <f t="shared" si="55"/>
        <v>2757.1822222222204</v>
      </c>
      <c r="AA98" s="399">
        <f t="shared" si="44"/>
        <v>1214.1111111111111</v>
      </c>
      <c r="AB98" s="398">
        <f t="shared" si="45"/>
        <v>81.888311999999942</v>
      </c>
      <c r="AC98" s="399">
        <f t="shared" si="46"/>
        <v>36.059100000000001</v>
      </c>
      <c r="AD98" s="398">
        <f t="shared" si="56"/>
        <v>454.47185185185162</v>
      </c>
      <c r="AE98" s="399">
        <f t="shared" si="48"/>
        <v>202.35185185185185</v>
      </c>
      <c r="AF98" s="344">
        <v>0</v>
      </c>
      <c r="AG98" s="398">
        <f t="shared" si="57"/>
        <v>2549.5806222222236</v>
      </c>
      <c r="AH98" s="399">
        <f t="shared" si="58"/>
        <v>1214.1111111111111</v>
      </c>
      <c r="AI98" s="454">
        <f t="shared" si="51"/>
        <v>0</v>
      </c>
      <c r="AJ98" s="85">
        <f t="shared" si="52"/>
        <v>1092.6399999999849</v>
      </c>
      <c r="AK98" s="10"/>
    </row>
    <row r="99" spans="2:54" ht="12.75" customHeight="1" x14ac:dyDescent="0.2">
      <c r="B99" s="335">
        <v>82187.839999999997</v>
      </c>
      <c r="C99" s="336">
        <v>82642.14</v>
      </c>
      <c r="D99" s="337" t="s">
        <v>15</v>
      </c>
      <c r="E99" s="337" t="s">
        <v>101</v>
      </c>
      <c r="F99" s="337" t="s">
        <v>107</v>
      </c>
      <c r="G99" s="103" t="str">
        <f t="shared" si="33"/>
        <v>E/S - C/B</v>
      </c>
      <c r="H99" s="77">
        <f t="shared" si="34"/>
        <v>1.5</v>
      </c>
      <c r="I99" s="27">
        <f t="shared" si="35"/>
        <v>12.619444444444525</v>
      </c>
      <c r="J99" s="78">
        <f t="shared" si="36"/>
        <v>-1.42</v>
      </c>
      <c r="K99" s="83">
        <f t="shared" si="37"/>
        <v>454.30000000000291</v>
      </c>
      <c r="L99" s="384" t="s">
        <v>97</v>
      </c>
      <c r="M99" s="385" t="s">
        <v>97</v>
      </c>
      <c r="N99" s="222">
        <f t="shared" si="53"/>
        <v>0</v>
      </c>
      <c r="O99" s="274">
        <f t="shared" si="38"/>
        <v>0</v>
      </c>
      <c r="P99" s="394">
        <v>26525</v>
      </c>
      <c r="Q99" s="395">
        <v>9086</v>
      </c>
      <c r="R99" s="221">
        <f t="shared" si="39"/>
        <v>26525</v>
      </c>
      <c r="S99" s="269">
        <f t="shared" si="39"/>
        <v>9086</v>
      </c>
      <c r="T99" s="402">
        <v>0</v>
      </c>
      <c r="U99" s="403">
        <v>0</v>
      </c>
      <c r="V99" s="410">
        <f t="shared" si="41"/>
        <v>1.5114694444444448</v>
      </c>
      <c r="W99" s="411">
        <f t="shared" si="41"/>
        <v>0.50477777777777777</v>
      </c>
      <c r="X99" s="398">
        <f t="shared" si="42"/>
        <v>3022.9388888888893</v>
      </c>
      <c r="Y99" s="399">
        <f t="shared" si="42"/>
        <v>1009.5555555555555</v>
      </c>
      <c r="Z99" s="398">
        <f t="shared" si="55"/>
        <v>3022.9388888888893</v>
      </c>
      <c r="AA99" s="399">
        <f t="shared" si="44"/>
        <v>1009.5555555555555</v>
      </c>
      <c r="AB99" s="398">
        <f t="shared" si="45"/>
        <v>89.781284999999997</v>
      </c>
      <c r="AC99" s="399">
        <f t="shared" si="46"/>
        <v>29.983799999999995</v>
      </c>
      <c r="AD99" s="398">
        <f t="shared" si="56"/>
        <v>503.82314814814822</v>
      </c>
      <c r="AE99" s="399">
        <f t="shared" si="48"/>
        <v>168.25925925925927</v>
      </c>
      <c r="AF99" s="344">
        <v>0</v>
      </c>
      <c r="AG99" s="398">
        <f t="shared" si="57"/>
        <v>2875.5437777777774</v>
      </c>
      <c r="AH99" s="399">
        <f t="shared" si="58"/>
        <v>1009.5555555555555</v>
      </c>
      <c r="AI99" s="454">
        <f t="shared" si="51"/>
        <v>16.825925925926033</v>
      </c>
      <c r="AJ99" s="85">
        <f t="shared" si="52"/>
        <v>908.60000000000582</v>
      </c>
      <c r="AK99" s="10"/>
    </row>
    <row r="100" spans="2:54" ht="12.75" customHeight="1" x14ac:dyDescent="0.2">
      <c r="B100" s="335">
        <v>82642.14</v>
      </c>
      <c r="C100" s="336">
        <v>82987.839999999997</v>
      </c>
      <c r="D100" s="337" t="s">
        <v>15</v>
      </c>
      <c r="E100" s="337" t="s">
        <v>101</v>
      </c>
      <c r="F100" s="337" t="s">
        <v>107</v>
      </c>
      <c r="G100" s="103" t="str">
        <f t="shared" si="33"/>
        <v>E/S - C/B</v>
      </c>
      <c r="H100" s="77">
        <f t="shared" si="34"/>
        <v>1.5</v>
      </c>
      <c r="I100" s="27">
        <f t="shared" si="35"/>
        <v>9.6027777777776961</v>
      </c>
      <c r="J100" s="78">
        <f t="shared" si="36"/>
        <v>-1.42</v>
      </c>
      <c r="K100" s="83">
        <f t="shared" si="37"/>
        <v>345.69999999999709</v>
      </c>
      <c r="L100" s="384">
        <v>49.42</v>
      </c>
      <c r="M100" s="385">
        <v>20</v>
      </c>
      <c r="N100" s="222">
        <f t="shared" si="53"/>
        <v>17085</v>
      </c>
      <c r="O100" s="274">
        <f t="shared" si="38"/>
        <v>6914</v>
      </c>
      <c r="P100" s="394">
        <v>0</v>
      </c>
      <c r="Q100" s="395">
        <v>0</v>
      </c>
      <c r="R100" s="221">
        <f t="shared" si="39"/>
        <v>17085</v>
      </c>
      <c r="S100" s="269">
        <f t="shared" si="39"/>
        <v>6914</v>
      </c>
      <c r="T100" s="402">
        <v>0</v>
      </c>
      <c r="U100" s="403">
        <v>0</v>
      </c>
      <c r="V100" s="410">
        <f t="shared" si="41"/>
        <v>0.97797499999999982</v>
      </c>
      <c r="W100" s="411">
        <f t="shared" si="41"/>
        <v>0.38411111111111107</v>
      </c>
      <c r="X100" s="398">
        <f t="shared" si="42"/>
        <v>1955.9499999999996</v>
      </c>
      <c r="Y100" s="399">
        <f t="shared" si="42"/>
        <v>768.22222222222217</v>
      </c>
      <c r="Z100" s="398">
        <f t="shared" si="55"/>
        <v>1955.9499999999996</v>
      </c>
      <c r="AA100" s="399">
        <f t="shared" si="44"/>
        <v>768.22222222222217</v>
      </c>
      <c r="AB100" s="398">
        <f t="shared" si="45"/>
        <v>58.091714999999979</v>
      </c>
      <c r="AC100" s="399">
        <f t="shared" si="46"/>
        <v>22.816199999999998</v>
      </c>
      <c r="AD100" s="398">
        <f t="shared" si="56"/>
        <v>325.99166666666662</v>
      </c>
      <c r="AE100" s="399">
        <f t="shared" si="48"/>
        <v>128.03703703703704</v>
      </c>
      <c r="AF100" s="344">
        <v>0</v>
      </c>
      <c r="AG100" s="398">
        <f t="shared" si="57"/>
        <v>1843.789555555556</v>
      </c>
      <c r="AH100" s="399">
        <f t="shared" si="58"/>
        <v>768.22222222222217</v>
      </c>
      <c r="AI100" s="454">
        <f t="shared" si="51"/>
        <v>12.803703703703595</v>
      </c>
      <c r="AJ100" s="85">
        <f t="shared" si="52"/>
        <v>691.39999999999418</v>
      </c>
      <c r="AK100" s="10"/>
    </row>
    <row r="101" spans="2:54" ht="12.75" customHeight="1" x14ac:dyDescent="0.2">
      <c r="B101" s="335">
        <v>82987.839999999997</v>
      </c>
      <c r="C101" s="336">
        <v>83087.839999999997</v>
      </c>
      <c r="D101" s="337" t="s">
        <v>15</v>
      </c>
      <c r="E101" s="337" t="s">
        <v>101</v>
      </c>
      <c r="F101" s="337" t="s">
        <v>107</v>
      </c>
      <c r="G101" s="103" t="str">
        <f t="shared" si="33"/>
        <v>E/S - C/B</v>
      </c>
      <c r="H101" s="77">
        <f t="shared" si="34"/>
        <v>1.5</v>
      </c>
      <c r="I101" s="27">
        <f t="shared" si="35"/>
        <v>2.7777777777777777</v>
      </c>
      <c r="J101" s="78">
        <f t="shared" si="36"/>
        <v>-1.42</v>
      </c>
      <c r="K101" s="83">
        <f t="shared" si="37"/>
        <v>100</v>
      </c>
      <c r="L101" s="384">
        <v>45.42</v>
      </c>
      <c r="M101" s="385">
        <v>20</v>
      </c>
      <c r="N101" s="222">
        <f t="shared" si="53"/>
        <v>4542</v>
      </c>
      <c r="O101" s="274">
        <f t="shared" si="38"/>
        <v>2000</v>
      </c>
      <c r="P101" s="394">
        <v>0</v>
      </c>
      <c r="Q101" s="395">
        <v>0</v>
      </c>
      <c r="R101" s="221">
        <f t="shared" si="39"/>
        <v>4542</v>
      </c>
      <c r="S101" s="269">
        <f t="shared" si="39"/>
        <v>2000</v>
      </c>
      <c r="T101" s="402">
        <v>0</v>
      </c>
      <c r="U101" s="403">
        <v>0</v>
      </c>
      <c r="V101" s="410">
        <f t="shared" si="41"/>
        <v>0.26066666666666671</v>
      </c>
      <c r="W101" s="411">
        <f t="shared" si="41"/>
        <v>0.11111111111111112</v>
      </c>
      <c r="X101" s="398">
        <f t="shared" si="42"/>
        <v>521.33333333333337</v>
      </c>
      <c r="Y101" s="399">
        <f t="shared" si="42"/>
        <v>222.22222222222223</v>
      </c>
      <c r="Z101" s="398">
        <f t="shared" si="55"/>
        <v>521.33333333333337</v>
      </c>
      <c r="AA101" s="399">
        <f t="shared" si="44"/>
        <v>222.22222222222223</v>
      </c>
      <c r="AB101" s="398">
        <f t="shared" si="45"/>
        <v>15.483599999999999</v>
      </c>
      <c r="AC101" s="399">
        <f t="shared" si="46"/>
        <v>6.6</v>
      </c>
      <c r="AD101" s="398">
        <f t="shared" si="56"/>
        <v>86.888888888888886</v>
      </c>
      <c r="AE101" s="399">
        <f t="shared" si="48"/>
        <v>37.037037037037038</v>
      </c>
      <c r="AF101" s="344">
        <v>0</v>
      </c>
      <c r="AG101" s="398">
        <f t="shared" si="57"/>
        <v>488.88888888888891</v>
      </c>
      <c r="AH101" s="399">
        <f t="shared" si="58"/>
        <v>222.22222222222223</v>
      </c>
      <c r="AI101" s="454">
        <f t="shared" si="51"/>
        <v>3.7037037037037037</v>
      </c>
      <c r="AJ101" s="85">
        <f t="shared" si="52"/>
        <v>200</v>
      </c>
      <c r="AK101" s="10"/>
    </row>
    <row r="102" spans="2:54" ht="12.75" customHeight="1" x14ac:dyDescent="0.2">
      <c r="B102" s="335">
        <v>83087.839999999997</v>
      </c>
      <c r="C102" s="336">
        <v>84207.01</v>
      </c>
      <c r="D102" s="337" t="s">
        <v>15</v>
      </c>
      <c r="E102" s="337" t="s">
        <v>101</v>
      </c>
      <c r="F102" s="337" t="s">
        <v>107</v>
      </c>
      <c r="G102" s="103" t="str">
        <f t="shared" si="33"/>
        <v>E/S - C/B</v>
      </c>
      <c r="H102" s="77">
        <f t="shared" si="34"/>
        <v>1.5</v>
      </c>
      <c r="I102" s="27">
        <f t="shared" si="35"/>
        <v>31.088055555555506</v>
      </c>
      <c r="J102" s="78">
        <f t="shared" si="36"/>
        <v>-1.42</v>
      </c>
      <c r="K102" s="83">
        <f t="shared" si="37"/>
        <v>1119.1699999999983</v>
      </c>
      <c r="L102" s="384">
        <v>41.42</v>
      </c>
      <c r="M102" s="385">
        <v>20</v>
      </c>
      <c r="N102" s="222">
        <f t="shared" si="53"/>
        <v>46357</v>
      </c>
      <c r="O102" s="274">
        <f t="shared" si="38"/>
        <v>22384</v>
      </c>
      <c r="P102" s="394">
        <v>0</v>
      </c>
      <c r="Q102" s="395">
        <v>0</v>
      </c>
      <c r="R102" s="221">
        <f t="shared" si="39"/>
        <v>46357</v>
      </c>
      <c r="S102" s="269">
        <f t="shared" si="39"/>
        <v>22384</v>
      </c>
      <c r="T102" s="402">
        <v>0</v>
      </c>
      <c r="U102" s="403">
        <v>0</v>
      </c>
      <c r="V102" s="410">
        <f t="shared" si="41"/>
        <v>2.6686530555555557</v>
      </c>
      <c r="W102" s="411">
        <f t="shared" si="41"/>
        <v>1.2435555555555557</v>
      </c>
      <c r="X102" s="398">
        <f t="shared" si="42"/>
        <v>5337.306111111111</v>
      </c>
      <c r="Y102" s="399">
        <f t="shared" si="42"/>
        <v>2487.1111111111113</v>
      </c>
      <c r="Z102" s="398">
        <f t="shared" si="55"/>
        <v>5337.306111111111</v>
      </c>
      <c r="AA102" s="399">
        <f t="shared" si="44"/>
        <v>2487.1111111111113</v>
      </c>
      <c r="AB102" s="398">
        <f t="shared" si="45"/>
        <v>158.51799149999999</v>
      </c>
      <c r="AC102" s="399">
        <f t="shared" si="46"/>
        <v>73.867200000000011</v>
      </c>
      <c r="AD102" s="398">
        <f t="shared" si="56"/>
        <v>889.55101851851839</v>
      </c>
      <c r="AE102" s="399">
        <f t="shared" si="48"/>
        <v>414.51851851851853</v>
      </c>
      <c r="AF102" s="344">
        <v>0</v>
      </c>
      <c r="AG102" s="398">
        <f t="shared" si="57"/>
        <v>4974.1976222222229</v>
      </c>
      <c r="AH102" s="399">
        <f t="shared" si="58"/>
        <v>2487.1111111111113</v>
      </c>
      <c r="AI102" s="454">
        <f t="shared" si="51"/>
        <v>41.450740740740677</v>
      </c>
      <c r="AJ102" s="85">
        <f t="shared" si="52"/>
        <v>2238.3399999999965</v>
      </c>
      <c r="AK102" s="10"/>
    </row>
    <row r="103" spans="2:54" ht="12.75" customHeight="1" x14ac:dyDescent="0.2">
      <c r="B103" s="335">
        <v>84207.01</v>
      </c>
      <c r="C103" s="336">
        <v>85257.01</v>
      </c>
      <c r="D103" s="337" t="s">
        <v>15</v>
      </c>
      <c r="E103" s="337" t="s">
        <v>101</v>
      </c>
      <c r="F103" s="337" t="s">
        <v>107</v>
      </c>
      <c r="G103" s="103" t="str">
        <f t="shared" si="33"/>
        <v>E/S - C/B</v>
      </c>
      <c r="H103" s="77">
        <f t="shared" si="34"/>
        <v>1.5</v>
      </c>
      <c r="I103" s="27">
        <f t="shared" si="35"/>
        <v>29.166666666666668</v>
      </c>
      <c r="J103" s="78">
        <f t="shared" si="36"/>
        <v>-1.42</v>
      </c>
      <c r="K103" s="83">
        <f t="shared" si="37"/>
        <v>1050</v>
      </c>
      <c r="L103" s="384">
        <v>51.92</v>
      </c>
      <c r="M103" s="385">
        <v>20</v>
      </c>
      <c r="N103" s="222">
        <f t="shared" si="53"/>
        <v>54516</v>
      </c>
      <c r="O103" s="274">
        <f t="shared" si="38"/>
        <v>21000</v>
      </c>
      <c r="P103" s="394">
        <v>0</v>
      </c>
      <c r="Q103" s="395">
        <v>0</v>
      </c>
      <c r="R103" s="221">
        <f t="shared" si="39"/>
        <v>54516</v>
      </c>
      <c r="S103" s="269">
        <f t="shared" si="39"/>
        <v>21000</v>
      </c>
      <c r="T103" s="402">
        <v>0</v>
      </c>
      <c r="U103" s="403">
        <v>0</v>
      </c>
      <c r="V103" s="410">
        <f t="shared" si="41"/>
        <v>3.1161666666666665</v>
      </c>
      <c r="W103" s="411">
        <f t="shared" si="41"/>
        <v>1.1666666666666667</v>
      </c>
      <c r="X103" s="398">
        <f t="shared" si="42"/>
        <v>6232.333333333333</v>
      </c>
      <c r="Y103" s="399">
        <f t="shared" si="42"/>
        <v>2333.3333333333335</v>
      </c>
      <c r="Z103" s="398">
        <f t="shared" si="55"/>
        <v>6232.333333333333</v>
      </c>
      <c r="AA103" s="399">
        <f t="shared" si="44"/>
        <v>2333.3333333333335</v>
      </c>
      <c r="AB103" s="398">
        <f t="shared" si="45"/>
        <v>185.10029999999998</v>
      </c>
      <c r="AC103" s="399">
        <f t="shared" si="46"/>
        <v>69.3</v>
      </c>
      <c r="AD103" s="398">
        <f t="shared" si="56"/>
        <v>1038.7222222222222</v>
      </c>
      <c r="AE103" s="399">
        <f t="shared" si="48"/>
        <v>388.88888888888891</v>
      </c>
      <c r="AF103" s="344">
        <v>0</v>
      </c>
      <c r="AG103" s="398">
        <f t="shared" si="57"/>
        <v>5891.666666666667</v>
      </c>
      <c r="AH103" s="399">
        <f t="shared" si="58"/>
        <v>2333.3333333333335</v>
      </c>
      <c r="AI103" s="454">
        <f t="shared" si="51"/>
        <v>38.888888888888886</v>
      </c>
      <c r="AJ103" s="85">
        <f t="shared" si="52"/>
        <v>2100</v>
      </c>
      <c r="AK103" s="10"/>
    </row>
    <row r="104" spans="2:54" ht="12.75" customHeight="1" x14ac:dyDescent="0.2">
      <c r="B104" s="335">
        <v>85257.01</v>
      </c>
      <c r="C104" s="336">
        <v>85535.87</v>
      </c>
      <c r="D104" s="337" t="s">
        <v>15</v>
      </c>
      <c r="E104" s="337" t="s">
        <v>101</v>
      </c>
      <c r="F104" s="337" t="s">
        <v>107</v>
      </c>
      <c r="G104" s="103" t="str">
        <f t="shared" si="33"/>
        <v>E/S - C/B</v>
      </c>
      <c r="H104" s="77">
        <f t="shared" si="34"/>
        <v>1.5</v>
      </c>
      <c r="I104" s="27">
        <f t="shared" si="35"/>
        <v>7.7461111111111274</v>
      </c>
      <c r="J104" s="78">
        <f t="shared" si="36"/>
        <v>-1.42</v>
      </c>
      <c r="K104" s="83">
        <f t="shared" si="37"/>
        <v>278.86000000000058</v>
      </c>
      <c r="L104" s="384" t="s">
        <v>97</v>
      </c>
      <c r="M104" s="385" t="s">
        <v>97</v>
      </c>
      <c r="N104" s="222">
        <f t="shared" si="53"/>
        <v>0</v>
      </c>
      <c r="O104" s="274">
        <f t="shared" si="38"/>
        <v>0</v>
      </c>
      <c r="P104" s="394">
        <v>18269</v>
      </c>
      <c r="Q104" s="395">
        <v>5577</v>
      </c>
      <c r="R104" s="221">
        <f t="shared" si="39"/>
        <v>18269</v>
      </c>
      <c r="S104" s="269">
        <f t="shared" si="39"/>
        <v>5577</v>
      </c>
      <c r="T104" s="402">
        <v>0</v>
      </c>
      <c r="U104" s="403">
        <v>0</v>
      </c>
      <c r="V104" s="410">
        <f t="shared" si="41"/>
        <v>1.0381827777777779</v>
      </c>
      <c r="W104" s="411">
        <f t="shared" si="41"/>
        <v>0.30983333333333329</v>
      </c>
      <c r="X104" s="398">
        <f t="shared" si="42"/>
        <v>2076.3655555555556</v>
      </c>
      <c r="Y104" s="399">
        <f t="shared" si="42"/>
        <v>619.66666666666663</v>
      </c>
      <c r="Z104" s="398">
        <f t="shared" si="55"/>
        <v>2076.3655555555556</v>
      </c>
      <c r="AA104" s="399">
        <f t="shared" si="44"/>
        <v>619.66666666666663</v>
      </c>
      <c r="AB104" s="398">
        <f t="shared" si="45"/>
        <v>61.668056999999983</v>
      </c>
      <c r="AC104" s="399">
        <f t="shared" si="46"/>
        <v>18.4041</v>
      </c>
      <c r="AD104" s="398">
        <f t="shared" si="56"/>
        <v>346.06092592592597</v>
      </c>
      <c r="AE104" s="399">
        <f t="shared" si="48"/>
        <v>103.27777777777777</v>
      </c>
      <c r="AF104" s="344">
        <v>0</v>
      </c>
      <c r="AG104" s="398">
        <f t="shared" si="57"/>
        <v>1985.8909777777776</v>
      </c>
      <c r="AH104" s="399">
        <f t="shared" si="58"/>
        <v>619.66666666666663</v>
      </c>
      <c r="AI104" s="454">
        <f t="shared" si="51"/>
        <v>10.32814814814817</v>
      </c>
      <c r="AJ104" s="85">
        <f t="shared" si="52"/>
        <v>557.72000000000116</v>
      </c>
      <c r="AK104" s="10"/>
    </row>
    <row r="105" spans="2:54" ht="12.75" customHeight="1" x14ac:dyDescent="0.2">
      <c r="B105" s="335">
        <v>85535.87</v>
      </c>
      <c r="C105" s="336">
        <v>86875.27</v>
      </c>
      <c r="D105" s="337" t="s">
        <v>15</v>
      </c>
      <c r="E105" s="337" t="s">
        <v>101</v>
      </c>
      <c r="F105" s="337" t="s">
        <v>107</v>
      </c>
      <c r="G105" s="103" t="str">
        <f t="shared" si="33"/>
        <v>E/S - C/B</v>
      </c>
      <c r="H105" s="77">
        <f t="shared" si="34"/>
        <v>1.5</v>
      </c>
      <c r="I105" s="27">
        <f t="shared" si="35"/>
        <v>37.205555555555797</v>
      </c>
      <c r="J105" s="78">
        <f t="shared" si="36"/>
        <v>-1.42</v>
      </c>
      <c r="K105" s="83">
        <f t="shared" si="37"/>
        <v>1339.4000000000087</v>
      </c>
      <c r="L105" s="384">
        <v>41.42</v>
      </c>
      <c r="M105" s="385">
        <v>20</v>
      </c>
      <c r="N105" s="222">
        <f t="shared" si="53"/>
        <v>55478</v>
      </c>
      <c r="O105" s="274">
        <f t="shared" si="38"/>
        <v>26789</v>
      </c>
      <c r="P105" s="394">
        <v>0</v>
      </c>
      <c r="Q105" s="395">
        <v>0</v>
      </c>
      <c r="R105" s="221">
        <f t="shared" si="39"/>
        <v>55478</v>
      </c>
      <c r="S105" s="269">
        <f t="shared" si="39"/>
        <v>26789</v>
      </c>
      <c r="T105" s="402">
        <v>0</v>
      </c>
      <c r="U105" s="403">
        <v>0</v>
      </c>
      <c r="V105" s="410">
        <f t="shared" si="41"/>
        <v>3.1937277777777786</v>
      </c>
      <c r="W105" s="411">
        <f t="shared" si="41"/>
        <v>1.4882777777777778</v>
      </c>
      <c r="X105" s="398">
        <f t="shared" si="42"/>
        <v>6387.4555555555571</v>
      </c>
      <c r="Y105" s="399">
        <f t="shared" si="42"/>
        <v>2976.5555555555557</v>
      </c>
      <c r="Z105" s="398">
        <f t="shared" si="55"/>
        <v>6387.4555555555571</v>
      </c>
      <c r="AA105" s="399">
        <f t="shared" si="44"/>
        <v>2976.5555555555557</v>
      </c>
      <c r="AB105" s="398">
        <f t="shared" si="45"/>
        <v>189.70743000000004</v>
      </c>
      <c r="AC105" s="399">
        <f t="shared" si="46"/>
        <v>88.403700000000015</v>
      </c>
      <c r="AD105" s="398">
        <f t="shared" si="56"/>
        <v>1064.5759259259262</v>
      </c>
      <c r="AE105" s="399">
        <f t="shared" si="48"/>
        <v>496.09259259259261</v>
      </c>
      <c r="AF105" s="344">
        <v>0</v>
      </c>
      <c r="AG105" s="398">
        <f t="shared" si="57"/>
        <v>5952.8946666666652</v>
      </c>
      <c r="AH105" s="399">
        <f t="shared" si="58"/>
        <v>2976.5555555555557</v>
      </c>
      <c r="AI105" s="454">
        <f t="shared" si="51"/>
        <v>49.607407407407727</v>
      </c>
      <c r="AJ105" s="85">
        <f t="shared" si="52"/>
        <v>2678.8000000000175</v>
      </c>
    </row>
    <row r="106" spans="2:54" ht="12.75" customHeight="1" x14ac:dyDescent="0.2">
      <c r="B106" s="335">
        <v>86875.27</v>
      </c>
      <c r="C106" s="336">
        <v>87200.34</v>
      </c>
      <c r="D106" s="337" t="s">
        <v>15</v>
      </c>
      <c r="E106" s="337" t="s">
        <v>101</v>
      </c>
      <c r="F106" s="337" t="s">
        <v>107</v>
      </c>
      <c r="G106" s="103" t="str">
        <f t="shared" si="33"/>
        <v>E/S - C/B</v>
      </c>
      <c r="H106" s="77">
        <f t="shared" si="34"/>
        <v>1.5</v>
      </c>
      <c r="I106" s="27">
        <f t="shared" si="35"/>
        <v>9.0297222222220128</v>
      </c>
      <c r="J106" s="78">
        <f t="shared" si="36"/>
        <v>-1.42</v>
      </c>
      <c r="K106" s="83">
        <f t="shared" si="37"/>
        <v>325.06999999999243</v>
      </c>
      <c r="L106" s="384" t="s">
        <v>97</v>
      </c>
      <c r="M106" s="385" t="s">
        <v>97</v>
      </c>
      <c r="N106" s="222">
        <f t="shared" si="53"/>
        <v>0</v>
      </c>
      <c r="O106" s="274">
        <f t="shared" si="38"/>
        <v>0</v>
      </c>
      <c r="P106" s="394">
        <v>20246</v>
      </c>
      <c r="Q106" s="395">
        <v>6501</v>
      </c>
      <c r="R106" s="221">
        <f t="shared" si="39"/>
        <v>20246</v>
      </c>
      <c r="S106" s="269">
        <f t="shared" si="39"/>
        <v>6501</v>
      </c>
      <c r="T106" s="402">
        <v>0</v>
      </c>
      <c r="U106" s="403">
        <v>0</v>
      </c>
      <c r="V106" s="410">
        <f t="shared" si="41"/>
        <v>1.1518669444444438</v>
      </c>
      <c r="W106" s="411">
        <f t="shared" si="41"/>
        <v>0.36116666666666669</v>
      </c>
      <c r="X106" s="398">
        <f t="shared" si="42"/>
        <v>2303.7338888888876</v>
      </c>
      <c r="Y106" s="399">
        <f t="shared" si="42"/>
        <v>722.33333333333337</v>
      </c>
      <c r="Z106" s="398">
        <f t="shared" si="55"/>
        <v>2303.7338888888876</v>
      </c>
      <c r="AA106" s="399">
        <f t="shared" si="44"/>
        <v>722.33333333333337</v>
      </c>
      <c r="AB106" s="398">
        <f t="shared" si="45"/>
        <v>68.420896499999941</v>
      </c>
      <c r="AC106" s="399">
        <f t="shared" si="46"/>
        <v>21.453299999999999</v>
      </c>
      <c r="AD106" s="398">
        <f t="shared" si="56"/>
        <v>383.95564814814793</v>
      </c>
      <c r="AE106" s="399">
        <f t="shared" si="48"/>
        <v>120.38888888888889</v>
      </c>
      <c r="AF106" s="344">
        <v>0</v>
      </c>
      <c r="AG106" s="398">
        <f t="shared" si="57"/>
        <v>2198.2667333333347</v>
      </c>
      <c r="AH106" s="399">
        <f t="shared" si="58"/>
        <v>722.33333333333337</v>
      </c>
      <c r="AI106" s="454">
        <f t="shared" si="51"/>
        <v>12.039629629629349</v>
      </c>
      <c r="AJ106" s="85">
        <f t="shared" si="52"/>
        <v>650.13999999998487</v>
      </c>
    </row>
    <row r="107" spans="2:54" ht="12.75" customHeight="1" x14ac:dyDescent="0.2">
      <c r="B107" s="335">
        <v>87200.34</v>
      </c>
      <c r="C107" s="336">
        <v>87372.92</v>
      </c>
      <c r="D107" s="337" t="s">
        <v>15</v>
      </c>
      <c r="E107" s="337" t="s">
        <v>102</v>
      </c>
      <c r="F107" s="337" t="s">
        <v>107</v>
      </c>
      <c r="G107" s="103" t="str">
        <f t="shared" ref="G107:G131" si="80">IF(AND($E107=$AL$2,$F107=$AL$2),$AN$2,IF(OR(AND($E107=$AL$2,$F107=$AL$3),AND($E107=$AL$3,$F107=$AL$2)),$AN$3,IF(OR(AND($E107=$AL$2,$F107=$AL$4),AND($E107=$AL$4,$F107=$AL$2)),$AN$4,IF(OR(AND($E107=$AL$3,$F107=$AL$4),AND($E107=$AL$4,$F107=$AL$3)),$AN$5,IF(AND($E107=$AL$3,$F107=$AL$3),$AN$6,IF(AND($E107=$AL$4,$F107=$AL$4),$AN$7,"-"))))))</f>
        <v>F/C - C/B</v>
      </c>
      <c r="H107" s="77">
        <f t="shared" si="34"/>
        <v>2</v>
      </c>
      <c r="I107" s="27">
        <f t="shared" si="35"/>
        <v>4.7938888888889375</v>
      </c>
      <c r="J107" s="78">
        <f t="shared" si="36"/>
        <v>-1.42</v>
      </c>
      <c r="K107" s="83">
        <f t="shared" ref="K107:K131" si="81">C107-B107</f>
        <v>172.58000000000175</v>
      </c>
      <c r="L107" s="384" t="s">
        <v>97</v>
      </c>
      <c r="M107" s="385" t="s">
        <v>97</v>
      </c>
      <c r="N107" s="222">
        <f t="shared" si="53"/>
        <v>0</v>
      </c>
      <c r="O107" s="274">
        <f t="shared" si="38"/>
        <v>0</v>
      </c>
      <c r="P107" s="394">
        <v>9158</v>
      </c>
      <c r="Q107" s="395">
        <v>3452</v>
      </c>
      <c r="R107" s="221">
        <f t="shared" si="39"/>
        <v>9158</v>
      </c>
      <c r="S107" s="269">
        <f t="shared" si="39"/>
        <v>3452</v>
      </c>
      <c r="T107" s="402">
        <v>0</v>
      </c>
      <c r="U107" s="403">
        <v>0</v>
      </c>
      <c r="V107" s="410">
        <f t="shared" si="41"/>
        <v>0.5279533333333335</v>
      </c>
      <c r="W107" s="411">
        <f t="shared" si="41"/>
        <v>0.19177777777777777</v>
      </c>
      <c r="X107" s="398">
        <f t="shared" si="42"/>
        <v>1055.906666666667</v>
      </c>
      <c r="Y107" s="399">
        <f t="shared" si="42"/>
        <v>383.55555555555554</v>
      </c>
      <c r="Z107" s="398">
        <f t="shared" si="55"/>
        <v>1055.906666666667</v>
      </c>
      <c r="AA107" s="399">
        <f t="shared" si="44"/>
        <v>383.55555555555554</v>
      </c>
      <c r="AB107" s="398">
        <f t="shared" ref="AB107:AB131" si="82">IF(OR($A107="APP SLAB",T107&lt;&gt;0),0,$Z$1*Z107*110*0.06*0.75/2000)</f>
        <v>31.360428000000013</v>
      </c>
      <c r="AC107" s="399">
        <f t="shared" ref="AC107:AC131" si="83">IF(OR($A107="APP SLAB",U107&lt;&gt;0),0,$Z$1*AA107*110*0.06*0.75/2000)</f>
        <v>11.391599999999999</v>
      </c>
      <c r="AD107" s="398">
        <f t="shared" si="56"/>
        <v>174.38648148148152</v>
      </c>
      <c r="AE107" s="399">
        <f t="shared" si="48"/>
        <v>63.925925925925924</v>
      </c>
      <c r="AF107" s="344">
        <v>0</v>
      </c>
      <c r="AG107" s="398">
        <f t="shared" si="57"/>
        <v>990.32626666666636</v>
      </c>
      <c r="AH107" s="399">
        <f t="shared" si="58"/>
        <v>383.55555555555554</v>
      </c>
      <c r="AI107" s="454">
        <f t="shared" si="51"/>
        <v>0</v>
      </c>
      <c r="AJ107" s="85">
        <f t="shared" si="52"/>
        <v>345.16000000000349</v>
      </c>
    </row>
    <row r="108" spans="2:54" ht="12.75" customHeight="1" x14ac:dyDescent="0.2">
      <c r="B108" s="335">
        <v>87372.92</v>
      </c>
      <c r="C108" s="336">
        <v>87675.37</v>
      </c>
      <c r="D108" s="337" t="s">
        <v>15</v>
      </c>
      <c r="E108" s="337" t="s">
        <v>102</v>
      </c>
      <c r="F108" s="337" t="s">
        <v>107</v>
      </c>
      <c r="G108" s="103" t="str">
        <f t="shared" si="80"/>
        <v>F/C - C/B</v>
      </c>
      <c r="H108" s="77">
        <f t="shared" si="34"/>
        <v>2</v>
      </c>
      <c r="I108" s="27">
        <f t="shared" si="35"/>
        <v>8.4013888888888086</v>
      </c>
      <c r="J108" s="78">
        <f t="shared" si="36"/>
        <v>-1.42</v>
      </c>
      <c r="K108" s="83">
        <f t="shared" si="81"/>
        <v>302.44999999999709</v>
      </c>
      <c r="L108" s="384">
        <v>51.42</v>
      </c>
      <c r="M108" s="385">
        <v>20</v>
      </c>
      <c r="N108" s="222">
        <f t="shared" si="53"/>
        <v>15552</v>
      </c>
      <c r="O108" s="274">
        <f t="shared" si="38"/>
        <v>6049</v>
      </c>
      <c r="P108" s="394">
        <v>0</v>
      </c>
      <c r="Q108" s="395">
        <v>0</v>
      </c>
      <c r="R108" s="221">
        <f t="shared" si="39"/>
        <v>15552</v>
      </c>
      <c r="S108" s="269">
        <f t="shared" si="39"/>
        <v>6049</v>
      </c>
      <c r="T108" s="402">
        <v>0</v>
      </c>
      <c r="U108" s="403">
        <v>0</v>
      </c>
      <c r="V108" s="410">
        <f t="shared" si="41"/>
        <v>0.89760555555555532</v>
      </c>
      <c r="W108" s="411">
        <f t="shared" si="41"/>
        <v>0.33605555555555555</v>
      </c>
      <c r="X108" s="398">
        <f t="shared" si="42"/>
        <v>1795.2111111111105</v>
      </c>
      <c r="Y108" s="399">
        <f t="shared" si="42"/>
        <v>672.11111111111109</v>
      </c>
      <c r="Z108" s="398">
        <f t="shared" si="55"/>
        <v>1795.2111111111105</v>
      </c>
      <c r="AA108" s="399">
        <f t="shared" si="44"/>
        <v>672.11111111111109</v>
      </c>
      <c r="AB108" s="398">
        <f t="shared" si="82"/>
        <v>53.317769999999975</v>
      </c>
      <c r="AC108" s="399">
        <f t="shared" si="83"/>
        <v>19.961699999999997</v>
      </c>
      <c r="AD108" s="398">
        <f t="shared" si="56"/>
        <v>296.40138888888879</v>
      </c>
      <c r="AE108" s="399">
        <f t="shared" si="48"/>
        <v>112.01851851851852</v>
      </c>
      <c r="AF108" s="344">
        <v>0</v>
      </c>
      <c r="AG108" s="398">
        <f t="shared" si="57"/>
        <v>1680.2801111111116</v>
      </c>
      <c r="AH108" s="399">
        <f t="shared" si="58"/>
        <v>672.11111111111109</v>
      </c>
      <c r="AI108" s="454">
        <f t="shared" si="51"/>
        <v>0</v>
      </c>
      <c r="AJ108" s="85">
        <f t="shared" si="52"/>
        <v>604.89999999999418</v>
      </c>
    </row>
    <row r="109" spans="2:54" ht="12.75" customHeight="1" x14ac:dyDescent="0.2">
      <c r="B109" s="335">
        <v>87675.37</v>
      </c>
      <c r="C109" s="336">
        <v>87775.37</v>
      </c>
      <c r="D109" s="337" t="s">
        <v>15</v>
      </c>
      <c r="E109" s="337" t="s">
        <v>102</v>
      </c>
      <c r="F109" s="337" t="s">
        <v>107</v>
      </c>
      <c r="G109" s="103" t="str">
        <f t="shared" si="80"/>
        <v>F/C - C/B</v>
      </c>
      <c r="H109" s="77">
        <f t="shared" si="34"/>
        <v>2</v>
      </c>
      <c r="I109" s="27">
        <f t="shared" si="35"/>
        <v>2.7777777777777777</v>
      </c>
      <c r="J109" s="78">
        <f t="shared" si="36"/>
        <v>-1.42</v>
      </c>
      <c r="K109" s="83">
        <f t="shared" si="81"/>
        <v>100</v>
      </c>
      <c r="L109" s="384">
        <v>47.42</v>
      </c>
      <c r="M109" s="385">
        <v>20</v>
      </c>
      <c r="N109" s="222">
        <f t="shared" si="53"/>
        <v>4742</v>
      </c>
      <c r="O109" s="274">
        <f t="shared" si="38"/>
        <v>2000</v>
      </c>
      <c r="P109" s="394">
        <v>0</v>
      </c>
      <c r="Q109" s="395">
        <v>0</v>
      </c>
      <c r="R109" s="221">
        <f t="shared" si="39"/>
        <v>4742</v>
      </c>
      <c r="S109" s="269">
        <f t="shared" si="39"/>
        <v>2000</v>
      </c>
      <c r="T109" s="402">
        <v>0</v>
      </c>
      <c r="U109" s="403">
        <v>0</v>
      </c>
      <c r="V109" s="410">
        <f t="shared" si="41"/>
        <v>0.27455555555555555</v>
      </c>
      <c r="W109" s="411">
        <f t="shared" si="41"/>
        <v>0.11111111111111112</v>
      </c>
      <c r="X109" s="398">
        <f t="shared" si="42"/>
        <v>549.11111111111109</v>
      </c>
      <c r="Y109" s="399">
        <f t="shared" si="42"/>
        <v>222.22222222222223</v>
      </c>
      <c r="Z109" s="398">
        <f t="shared" si="55"/>
        <v>549.11111111111109</v>
      </c>
      <c r="AA109" s="399">
        <f t="shared" si="44"/>
        <v>222.22222222222223</v>
      </c>
      <c r="AB109" s="398">
        <f t="shared" si="82"/>
        <v>16.308599999999998</v>
      </c>
      <c r="AC109" s="399">
        <f t="shared" si="83"/>
        <v>6.6</v>
      </c>
      <c r="AD109" s="398">
        <f t="shared" si="56"/>
        <v>90.592592592592581</v>
      </c>
      <c r="AE109" s="399">
        <f t="shared" si="48"/>
        <v>37.037037037037038</v>
      </c>
      <c r="AF109" s="344">
        <v>0</v>
      </c>
      <c r="AG109" s="398">
        <f t="shared" si="57"/>
        <v>511.11111111111109</v>
      </c>
      <c r="AH109" s="399">
        <f t="shared" si="58"/>
        <v>222.22222222222223</v>
      </c>
      <c r="AI109" s="454">
        <f t="shared" si="51"/>
        <v>0</v>
      </c>
      <c r="AJ109" s="85">
        <f t="shared" si="52"/>
        <v>200</v>
      </c>
    </row>
    <row r="110" spans="2:54" ht="12.75" customHeight="1" x14ac:dyDescent="0.2">
      <c r="B110" s="335">
        <v>87775.37</v>
      </c>
      <c r="C110" s="336">
        <v>87820</v>
      </c>
      <c r="D110" s="337" t="s">
        <v>15</v>
      </c>
      <c r="E110" s="337" t="s">
        <v>102</v>
      </c>
      <c r="F110" s="337" t="s">
        <v>107</v>
      </c>
      <c r="G110" s="103" t="str">
        <f t="shared" si="80"/>
        <v>F/C - C/B</v>
      </c>
      <c r="H110" s="77">
        <f t="shared" si="34"/>
        <v>2</v>
      </c>
      <c r="I110" s="27">
        <f t="shared" si="35"/>
        <v>1.2397222222223516</v>
      </c>
      <c r="J110" s="78">
        <f t="shared" si="36"/>
        <v>-1.42</v>
      </c>
      <c r="K110" s="83">
        <f t="shared" si="81"/>
        <v>44.630000000004657</v>
      </c>
      <c r="L110" s="384">
        <v>43.42</v>
      </c>
      <c r="M110" s="385">
        <v>20</v>
      </c>
      <c r="N110" s="222">
        <f t="shared" si="53"/>
        <v>1938</v>
      </c>
      <c r="O110" s="274">
        <f t="shared" si="38"/>
        <v>893</v>
      </c>
      <c r="P110" s="394">
        <v>0</v>
      </c>
      <c r="Q110" s="395">
        <v>0</v>
      </c>
      <c r="R110" s="221">
        <f t="shared" si="39"/>
        <v>1938</v>
      </c>
      <c r="S110" s="269">
        <f t="shared" si="39"/>
        <v>893</v>
      </c>
      <c r="T110" s="402">
        <v>0</v>
      </c>
      <c r="U110" s="403">
        <v>0</v>
      </c>
      <c r="V110" s="410">
        <f t="shared" si="41"/>
        <v>0.11262555555555608</v>
      </c>
      <c r="W110" s="411">
        <f t="shared" si="41"/>
        <v>4.9611111111111113E-2</v>
      </c>
      <c r="X110" s="398">
        <f t="shared" si="42"/>
        <v>225.25111111111215</v>
      </c>
      <c r="Y110" s="399">
        <f t="shared" si="42"/>
        <v>99.222222222222229</v>
      </c>
      <c r="Z110" s="398">
        <f t="shared" si="55"/>
        <v>225.25111111111215</v>
      </c>
      <c r="AA110" s="399">
        <f t="shared" si="44"/>
        <v>99.222222222222229</v>
      </c>
      <c r="AB110" s="398">
        <f t="shared" si="82"/>
        <v>6.6899580000000318</v>
      </c>
      <c r="AC110" s="399">
        <f t="shared" si="83"/>
        <v>2.9469000000000003</v>
      </c>
      <c r="AD110" s="398">
        <f t="shared" si="56"/>
        <v>37.12861111111124</v>
      </c>
      <c r="AE110" s="399">
        <f t="shared" si="48"/>
        <v>16.537037037037038</v>
      </c>
      <c r="AF110" s="344">
        <v>0</v>
      </c>
      <c r="AG110" s="398">
        <f t="shared" si="57"/>
        <v>208.29171111111037</v>
      </c>
      <c r="AH110" s="399">
        <f t="shared" si="58"/>
        <v>99.222222222222229</v>
      </c>
      <c r="AI110" s="454">
        <f t="shared" si="51"/>
        <v>0</v>
      </c>
      <c r="AJ110" s="85">
        <f t="shared" si="52"/>
        <v>89.260000000009313</v>
      </c>
      <c r="AK110" s="94"/>
      <c r="AL110" s="94"/>
      <c r="AM110" s="94"/>
      <c r="AN110" s="94"/>
      <c r="AO110" s="94"/>
      <c r="AP110" s="94"/>
      <c r="AQ110" s="94"/>
      <c r="AR110" s="94"/>
      <c r="AS110" s="94"/>
      <c r="AT110" s="94"/>
      <c r="AU110" s="94"/>
      <c r="AV110" s="94"/>
      <c r="AW110" s="94"/>
      <c r="AX110" s="94"/>
      <c r="AY110" s="94"/>
      <c r="AZ110" s="94"/>
      <c r="BA110" s="94"/>
      <c r="BB110" s="94"/>
    </row>
    <row r="111" spans="2:54" ht="12.75" customHeight="1" x14ac:dyDescent="0.2">
      <c r="B111" s="335">
        <v>87820</v>
      </c>
      <c r="C111" s="336">
        <v>89190.3</v>
      </c>
      <c r="D111" s="337" t="s">
        <v>15</v>
      </c>
      <c r="E111" s="337" t="s">
        <v>101</v>
      </c>
      <c r="F111" s="337" t="s">
        <v>107</v>
      </c>
      <c r="G111" s="103" t="str">
        <f t="shared" si="80"/>
        <v>E/S - C/B</v>
      </c>
      <c r="H111" s="77">
        <f t="shared" si="34"/>
        <v>1.5</v>
      </c>
      <c r="I111" s="27">
        <f t="shared" si="35"/>
        <v>38.063888888888968</v>
      </c>
      <c r="J111" s="78">
        <f t="shared" si="36"/>
        <v>-1.42</v>
      </c>
      <c r="K111" s="83">
        <f t="shared" si="81"/>
        <v>1370.3000000000029</v>
      </c>
      <c r="L111" s="384">
        <v>41.42</v>
      </c>
      <c r="M111" s="385">
        <v>20</v>
      </c>
      <c r="N111" s="222">
        <f t="shared" si="53"/>
        <v>56758</v>
      </c>
      <c r="O111" s="274">
        <f t="shared" si="38"/>
        <v>27407</v>
      </c>
      <c r="P111" s="394">
        <v>0</v>
      </c>
      <c r="Q111" s="395">
        <v>0</v>
      </c>
      <c r="R111" s="221">
        <f t="shared" si="39"/>
        <v>56758</v>
      </c>
      <c r="S111" s="269">
        <f t="shared" si="39"/>
        <v>27407</v>
      </c>
      <c r="T111" s="402">
        <v>0</v>
      </c>
      <c r="U111" s="403">
        <v>0</v>
      </c>
      <c r="V111" s="410">
        <f t="shared" si="41"/>
        <v>3.2674138888888891</v>
      </c>
      <c r="W111" s="411">
        <f t="shared" si="41"/>
        <v>1.5226111111111111</v>
      </c>
      <c r="X111" s="398">
        <f t="shared" si="42"/>
        <v>6534.8277777777785</v>
      </c>
      <c r="Y111" s="399">
        <f t="shared" si="42"/>
        <v>3045.2222222222222</v>
      </c>
      <c r="Z111" s="398">
        <f t="shared" si="55"/>
        <v>6534.8277777777785</v>
      </c>
      <c r="AA111" s="399">
        <f t="shared" si="44"/>
        <v>3045.2222222222222</v>
      </c>
      <c r="AB111" s="398">
        <f t="shared" si="82"/>
        <v>194.084385</v>
      </c>
      <c r="AC111" s="399">
        <f t="shared" si="83"/>
        <v>90.443099999999987</v>
      </c>
      <c r="AD111" s="398">
        <f t="shared" si="56"/>
        <v>1089.137962962963</v>
      </c>
      <c r="AE111" s="399">
        <f t="shared" si="48"/>
        <v>507.53703703703701</v>
      </c>
      <c r="AF111" s="344">
        <v>0</v>
      </c>
      <c r="AG111" s="398">
        <f t="shared" si="57"/>
        <v>6090.2415555555554</v>
      </c>
      <c r="AH111" s="399">
        <f t="shared" si="58"/>
        <v>3045.2222222222222</v>
      </c>
      <c r="AI111" s="454">
        <f t="shared" si="51"/>
        <v>50.75185185185196</v>
      </c>
      <c r="AJ111" s="85">
        <f t="shared" si="52"/>
        <v>2740.6000000000058</v>
      </c>
      <c r="AK111" s="94"/>
      <c r="AL111" s="94"/>
      <c r="AM111" s="94"/>
      <c r="AN111" s="94"/>
      <c r="AO111" s="94"/>
      <c r="AP111" s="94"/>
      <c r="AQ111" s="94"/>
      <c r="AR111" s="94"/>
      <c r="AS111" s="94"/>
      <c r="AT111" s="94"/>
      <c r="AU111" s="94"/>
      <c r="AV111" s="94"/>
      <c r="AW111" s="94"/>
      <c r="AX111" s="94"/>
      <c r="AY111" s="94"/>
      <c r="AZ111" s="94"/>
      <c r="BA111" s="94"/>
      <c r="BB111" s="94"/>
    </row>
    <row r="112" spans="2:54" ht="12.75" customHeight="1" x14ac:dyDescent="0.2">
      <c r="B112" s="335">
        <v>89190.3</v>
      </c>
      <c r="C112" s="336">
        <v>89617.84</v>
      </c>
      <c r="D112" s="337" t="s">
        <v>15</v>
      </c>
      <c r="E112" s="337" t="s">
        <v>102</v>
      </c>
      <c r="F112" s="337" t="s">
        <v>107</v>
      </c>
      <c r="G112" s="103" t="str">
        <f t="shared" si="80"/>
        <v>F/C - C/B</v>
      </c>
      <c r="H112" s="77">
        <f t="shared" si="34"/>
        <v>2</v>
      </c>
      <c r="I112" s="27">
        <f t="shared" si="35"/>
        <v>11.876111111110934</v>
      </c>
      <c r="J112" s="78">
        <f t="shared" si="36"/>
        <v>-1.42</v>
      </c>
      <c r="K112" s="83">
        <f t="shared" si="81"/>
        <v>427.5399999999936</v>
      </c>
      <c r="L112" s="384">
        <v>43.42</v>
      </c>
      <c r="M112" s="385">
        <v>20</v>
      </c>
      <c r="N112" s="222">
        <f t="shared" si="53"/>
        <v>18564</v>
      </c>
      <c r="O112" s="274">
        <f t="shared" si="38"/>
        <v>8551</v>
      </c>
      <c r="P112" s="394">
        <v>0</v>
      </c>
      <c r="Q112" s="395">
        <v>0</v>
      </c>
      <c r="R112" s="221">
        <f t="shared" si="39"/>
        <v>18564</v>
      </c>
      <c r="S112" s="269">
        <f t="shared" si="39"/>
        <v>8551</v>
      </c>
      <c r="T112" s="402">
        <v>0</v>
      </c>
      <c r="U112" s="403">
        <v>0</v>
      </c>
      <c r="V112" s="410">
        <f t="shared" si="41"/>
        <v>1.0788377777777771</v>
      </c>
      <c r="W112" s="411">
        <f t="shared" si="41"/>
        <v>0.47505555555555556</v>
      </c>
      <c r="X112" s="398">
        <f t="shared" si="42"/>
        <v>2157.6755555555542</v>
      </c>
      <c r="Y112" s="399">
        <f t="shared" si="42"/>
        <v>950.11111111111109</v>
      </c>
      <c r="Z112" s="398">
        <f t="shared" si="55"/>
        <v>2157.6755555555542</v>
      </c>
      <c r="AA112" s="399">
        <f t="shared" si="44"/>
        <v>950.11111111111109</v>
      </c>
      <c r="AB112" s="398">
        <f t="shared" si="82"/>
        <v>64.082963999999961</v>
      </c>
      <c r="AC112" s="399">
        <f t="shared" si="83"/>
        <v>28.218299999999996</v>
      </c>
      <c r="AD112" s="398">
        <f t="shared" si="56"/>
        <v>355.65388888888873</v>
      </c>
      <c r="AE112" s="399">
        <f t="shared" si="48"/>
        <v>158.35185185185185</v>
      </c>
      <c r="AF112" s="344">
        <v>0</v>
      </c>
      <c r="AG112" s="398">
        <f t="shared" si="57"/>
        <v>1995.2103555555566</v>
      </c>
      <c r="AH112" s="399">
        <f t="shared" si="58"/>
        <v>950.11111111111109</v>
      </c>
      <c r="AI112" s="454">
        <f t="shared" si="51"/>
        <v>0</v>
      </c>
      <c r="AJ112" s="85">
        <f t="shared" si="52"/>
        <v>855.07999999998719</v>
      </c>
    </row>
    <row r="113" spans="1:36" ht="12.75" customHeight="1" x14ac:dyDescent="0.2">
      <c r="B113" s="335">
        <v>89617.84</v>
      </c>
      <c r="C113" s="336">
        <v>89637.55</v>
      </c>
      <c r="D113" s="337" t="s">
        <v>15</v>
      </c>
      <c r="E113" s="337" t="s">
        <v>102</v>
      </c>
      <c r="F113" s="337" t="s">
        <v>97</v>
      </c>
      <c r="G113" s="103" t="str">
        <f t="shared" si="80"/>
        <v>-</v>
      </c>
      <c r="H113" s="349">
        <v>1.5</v>
      </c>
      <c r="I113" s="338">
        <v>0.37</v>
      </c>
      <c r="J113" s="358">
        <v>0</v>
      </c>
      <c r="K113" s="83">
        <f t="shared" si="81"/>
        <v>19.710000000006403</v>
      </c>
      <c r="L113" s="384" t="s">
        <v>97</v>
      </c>
      <c r="M113" s="385" t="s">
        <v>97</v>
      </c>
      <c r="N113" s="222">
        <f t="shared" si="53"/>
        <v>0</v>
      </c>
      <c r="O113" s="274">
        <f t="shared" si="38"/>
        <v>0</v>
      </c>
      <c r="P113" s="394">
        <v>432</v>
      </c>
      <c r="Q113" s="395">
        <v>197</v>
      </c>
      <c r="R113" s="221">
        <f t="shared" si="39"/>
        <v>432</v>
      </c>
      <c r="S113" s="269">
        <f t="shared" si="39"/>
        <v>197</v>
      </c>
      <c r="T113" s="402">
        <v>0</v>
      </c>
      <c r="U113" s="403">
        <v>0</v>
      </c>
      <c r="V113" s="410">
        <f t="shared" si="41"/>
        <v>2.5642500000000536E-2</v>
      </c>
      <c r="W113" s="411">
        <f t="shared" si="41"/>
        <v>1.0944444444444444E-2</v>
      </c>
      <c r="X113" s="398">
        <f t="shared" si="42"/>
        <v>51.28500000000107</v>
      </c>
      <c r="Y113" s="399">
        <f t="shared" si="42"/>
        <v>21.888888888888889</v>
      </c>
      <c r="Z113" s="398">
        <f t="shared" si="55"/>
        <v>51.28500000000107</v>
      </c>
      <c r="AA113" s="399">
        <f t="shared" si="44"/>
        <v>21.888888888888889</v>
      </c>
      <c r="AB113" s="398">
        <f t="shared" si="82"/>
        <v>1.5231645000000318</v>
      </c>
      <c r="AC113" s="399">
        <f t="shared" si="83"/>
        <v>0.65010000000000001</v>
      </c>
      <c r="AD113" s="398">
        <f t="shared" si="56"/>
        <v>8.3699999999999992</v>
      </c>
      <c r="AE113" s="399">
        <f t="shared" si="48"/>
        <v>3.6481481481481484</v>
      </c>
      <c r="AF113" s="344">
        <v>0</v>
      </c>
      <c r="AG113" s="398">
        <f t="shared" si="57"/>
        <v>48</v>
      </c>
      <c r="AH113" s="399">
        <f t="shared" si="58"/>
        <v>21.888888888888889</v>
      </c>
      <c r="AI113" s="454">
        <f t="shared" si="51"/>
        <v>0</v>
      </c>
      <c r="AJ113" s="85">
        <f t="shared" si="52"/>
        <v>39.420000000012806</v>
      </c>
    </row>
    <row r="114" spans="1:36" ht="12.75" customHeight="1" x14ac:dyDescent="0.2">
      <c r="A114" s="106" t="s">
        <v>28</v>
      </c>
      <c r="B114" s="335">
        <v>89617.38</v>
      </c>
      <c r="C114" s="336">
        <v>89642.38</v>
      </c>
      <c r="D114" s="337" t="s">
        <v>15</v>
      </c>
      <c r="E114" s="337" t="s">
        <v>97</v>
      </c>
      <c r="F114" s="337" t="s">
        <v>97</v>
      </c>
      <c r="G114" s="103" t="str">
        <f t="shared" si="80"/>
        <v>-</v>
      </c>
      <c r="H114" s="77">
        <v>4</v>
      </c>
      <c r="I114" s="27">
        <f t="shared" si="35"/>
        <v>0</v>
      </c>
      <c r="J114" s="78">
        <f t="shared" si="36"/>
        <v>0</v>
      </c>
      <c r="K114" s="83">
        <f t="shared" si="81"/>
        <v>25</v>
      </c>
      <c r="L114" s="384" t="s">
        <v>97</v>
      </c>
      <c r="M114" s="385" t="s">
        <v>97</v>
      </c>
      <c r="N114" s="222">
        <f t="shared" si="53"/>
        <v>0</v>
      </c>
      <c r="O114" s="274">
        <f t="shared" si="38"/>
        <v>0</v>
      </c>
      <c r="P114" s="394">
        <v>1123</v>
      </c>
      <c r="Q114" s="395">
        <v>500</v>
      </c>
      <c r="R114" s="221">
        <f t="shared" si="39"/>
        <v>1123</v>
      </c>
      <c r="S114" s="269">
        <f t="shared" si="39"/>
        <v>500</v>
      </c>
      <c r="T114" s="402">
        <v>0</v>
      </c>
      <c r="U114" s="403">
        <v>0</v>
      </c>
      <c r="V114" s="410">
        <f t="shared" si="41"/>
        <v>6.7944444444444446E-2</v>
      </c>
      <c r="W114" s="411">
        <f t="shared" si="41"/>
        <v>2.777777777777778E-2</v>
      </c>
      <c r="X114" s="398">
        <f>IF(OR(T114&lt;&gt;0),0,Z114)</f>
        <v>135.88888888888889</v>
      </c>
      <c r="Y114" s="399">
        <f>IF(OR(U114&lt;&gt;0),0,AA114)</f>
        <v>55.555555555555557</v>
      </c>
      <c r="Z114" s="398">
        <f>IF(OR(T114&lt;&gt;0),0,(R114+$H114*$K114)/9)</f>
        <v>135.88888888888889</v>
      </c>
      <c r="AA114" s="399">
        <f>IF(OR(U114&lt;&gt;0),0,S114/9)</f>
        <v>55.555555555555557</v>
      </c>
      <c r="AB114" s="398">
        <f>IF(OR(T114&lt;&gt;0),0,$Z$1*Z114*110*0.06*0.75/2000)</f>
        <v>4.0358999999999989</v>
      </c>
      <c r="AC114" s="399">
        <f>IF(OR(U114&lt;&gt;0),0,$Z$1*AA114*110*0.06*0.75/2000)</f>
        <v>1.65</v>
      </c>
      <c r="AD114" s="398">
        <f t="shared" si="56"/>
        <v>20.796296296296298</v>
      </c>
      <c r="AE114" s="399">
        <f t="shared" si="48"/>
        <v>9.2592592592592595</v>
      </c>
      <c r="AF114" s="380">
        <v>67</v>
      </c>
      <c r="AG114" s="398">
        <f t="shared" si="57"/>
        <v>0</v>
      </c>
      <c r="AH114" s="399">
        <f t="shared" si="58"/>
        <v>0</v>
      </c>
      <c r="AI114" s="454">
        <f t="shared" si="51"/>
        <v>0</v>
      </c>
      <c r="AJ114" s="85">
        <f t="shared" si="52"/>
        <v>0</v>
      </c>
    </row>
    <row r="115" spans="1:36" ht="12.75" customHeight="1" x14ac:dyDescent="0.2">
      <c r="A115" s="106" t="s">
        <v>28</v>
      </c>
      <c r="B115" s="335">
        <v>89984.24</v>
      </c>
      <c r="C115" s="336">
        <v>90009.24</v>
      </c>
      <c r="D115" s="337" t="s">
        <v>15</v>
      </c>
      <c r="E115" s="337" t="s">
        <v>97</v>
      </c>
      <c r="F115" s="337" t="s">
        <v>97</v>
      </c>
      <c r="G115" s="103" t="str">
        <f t="shared" si="80"/>
        <v>-</v>
      </c>
      <c r="H115" s="77">
        <v>4</v>
      </c>
      <c r="I115" s="27">
        <f t="shared" si="35"/>
        <v>0</v>
      </c>
      <c r="J115" s="78">
        <f t="shared" si="36"/>
        <v>0</v>
      </c>
      <c r="K115" s="83">
        <f t="shared" si="81"/>
        <v>25</v>
      </c>
      <c r="L115" s="384" t="s">
        <v>97</v>
      </c>
      <c r="M115" s="385" t="s">
        <v>97</v>
      </c>
      <c r="N115" s="222">
        <f t="shared" si="53"/>
        <v>0</v>
      </c>
      <c r="O115" s="274">
        <f t="shared" si="38"/>
        <v>0</v>
      </c>
      <c r="P115" s="394">
        <v>1123</v>
      </c>
      <c r="Q115" s="395">
        <v>500</v>
      </c>
      <c r="R115" s="221">
        <f t="shared" si="39"/>
        <v>1123</v>
      </c>
      <c r="S115" s="269">
        <f t="shared" si="39"/>
        <v>500</v>
      </c>
      <c r="T115" s="402">
        <v>0</v>
      </c>
      <c r="U115" s="403">
        <v>0</v>
      </c>
      <c r="V115" s="410">
        <f t="shared" si="41"/>
        <v>6.7944444444444446E-2</v>
      </c>
      <c r="W115" s="411">
        <f t="shared" si="41"/>
        <v>2.777777777777778E-2</v>
      </c>
      <c r="X115" s="398">
        <f>IF(OR(T115&lt;&gt;0),0,Z115)</f>
        <v>135.88888888888889</v>
      </c>
      <c r="Y115" s="399">
        <f>IF(OR(U115&lt;&gt;0),0,AA115)</f>
        <v>55.555555555555557</v>
      </c>
      <c r="Z115" s="398">
        <f>IF(OR(T115&lt;&gt;0),0,(R115+$H115*$K115)/9)</f>
        <v>135.88888888888889</v>
      </c>
      <c r="AA115" s="399">
        <f>IF(OR(U115&lt;&gt;0),0,S115/9)</f>
        <v>55.555555555555557</v>
      </c>
      <c r="AB115" s="398">
        <f>IF(OR(T115&lt;&gt;0),0,$Z$1*Z115*110*0.06*0.75/2000)</f>
        <v>4.0358999999999989</v>
      </c>
      <c r="AC115" s="399">
        <f>IF(OR(U115&lt;&gt;0),0,$Z$1*AA115*110*0.06*0.75/2000)</f>
        <v>1.65</v>
      </c>
      <c r="AD115" s="398">
        <f t="shared" si="56"/>
        <v>20.796296296296298</v>
      </c>
      <c r="AE115" s="399">
        <f t="shared" si="48"/>
        <v>9.2592592592592595</v>
      </c>
      <c r="AF115" s="380">
        <v>67</v>
      </c>
      <c r="AG115" s="398">
        <f t="shared" si="57"/>
        <v>0</v>
      </c>
      <c r="AH115" s="399">
        <f t="shared" si="58"/>
        <v>0</v>
      </c>
      <c r="AI115" s="454">
        <f t="shared" si="51"/>
        <v>0</v>
      </c>
      <c r="AJ115" s="85">
        <f t="shared" si="52"/>
        <v>0</v>
      </c>
    </row>
    <row r="116" spans="1:36" ht="12.75" customHeight="1" x14ac:dyDescent="0.2">
      <c r="B116" s="335">
        <v>90009.24</v>
      </c>
      <c r="C116" s="336">
        <v>90029.24</v>
      </c>
      <c r="D116" s="337" t="s">
        <v>15</v>
      </c>
      <c r="E116" s="337" t="s">
        <v>97</v>
      </c>
      <c r="F116" s="337" t="s">
        <v>107</v>
      </c>
      <c r="G116" s="103" t="str">
        <f t="shared" si="80"/>
        <v>-</v>
      </c>
      <c r="H116" s="349">
        <v>1.5</v>
      </c>
      <c r="I116" s="338">
        <v>0.56000000000000005</v>
      </c>
      <c r="J116" s="358">
        <v>-1.42</v>
      </c>
      <c r="K116" s="83">
        <f t="shared" si="81"/>
        <v>20</v>
      </c>
      <c r="L116" s="384" t="s">
        <v>97</v>
      </c>
      <c r="M116" s="385" t="s">
        <v>97</v>
      </c>
      <c r="N116" s="222">
        <f t="shared" si="53"/>
        <v>0</v>
      </c>
      <c r="O116" s="274">
        <f t="shared" si="38"/>
        <v>0</v>
      </c>
      <c r="P116" s="394">
        <v>435</v>
      </c>
      <c r="Q116" s="395">
        <v>200</v>
      </c>
      <c r="R116" s="221">
        <f t="shared" si="39"/>
        <v>435</v>
      </c>
      <c r="S116" s="269">
        <f t="shared" si="39"/>
        <v>200</v>
      </c>
      <c r="T116" s="402">
        <v>0</v>
      </c>
      <c r="U116" s="403">
        <v>0</v>
      </c>
      <c r="V116" s="410">
        <f t="shared" si="41"/>
        <v>2.5833333333333333E-2</v>
      </c>
      <c r="W116" s="411">
        <f t="shared" si="41"/>
        <v>1.1111111111111112E-2</v>
      </c>
      <c r="X116" s="398">
        <f t="shared" si="42"/>
        <v>51.666666666666664</v>
      </c>
      <c r="Y116" s="399">
        <f t="shared" si="42"/>
        <v>22.222222222222221</v>
      </c>
      <c r="Z116" s="398">
        <f t="shared" si="55"/>
        <v>51.666666666666664</v>
      </c>
      <c r="AA116" s="399">
        <f t="shared" si="44"/>
        <v>22.222222222222221</v>
      </c>
      <c r="AB116" s="398">
        <f t="shared" si="82"/>
        <v>1.5345</v>
      </c>
      <c r="AC116" s="399">
        <f t="shared" si="83"/>
        <v>0.65999999999999981</v>
      </c>
      <c r="AD116" s="398">
        <f t="shared" si="56"/>
        <v>8.6155555555555559</v>
      </c>
      <c r="AE116" s="399">
        <f t="shared" si="48"/>
        <v>3.7037037037037037</v>
      </c>
      <c r="AF116" s="344">
        <v>0</v>
      </c>
      <c r="AG116" s="398">
        <f t="shared" si="57"/>
        <v>45.177777777777777</v>
      </c>
      <c r="AH116" s="399">
        <f t="shared" si="58"/>
        <v>22.222222222222221</v>
      </c>
      <c r="AI116" s="454">
        <f t="shared" si="51"/>
        <v>0</v>
      </c>
      <c r="AJ116" s="85">
        <f t="shared" si="52"/>
        <v>40</v>
      </c>
    </row>
    <row r="117" spans="1:36" ht="12.75" customHeight="1" x14ac:dyDescent="0.2">
      <c r="B117" s="335">
        <v>90029.24</v>
      </c>
      <c r="C117" s="336">
        <v>90318.11</v>
      </c>
      <c r="D117" s="337" t="s">
        <v>15</v>
      </c>
      <c r="E117" s="337" t="s">
        <v>102</v>
      </c>
      <c r="F117" s="337" t="s">
        <v>107</v>
      </c>
      <c r="G117" s="103" t="str">
        <f t="shared" si="80"/>
        <v>F/C - C/B</v>
      </c>
      <c r="H117" s="77">
        <f t="shared" si="34"/>
        <v>2</v>
      </c>
      <c r="I117" s="27">
        <f t="shared" si="35"/>
        <v>8.0241666666665381</v>
      </c>
      <c r="J117" s="78">
        <f t="shared" si="36"/>
        <v>-1.42</v>
      </c>
      <c r="K117" s="83">
        <f t="shared" si="81"/>
        <v>288.86999999999534</v>
      </c>
      <c r="L117" s="384">
        <v>43.42</v>
      </c>
      <c r="M117" s="385">
        <v>20</v>
      </c>
      <c r="N117" s="222">
        <f t="shared" si="53"/>
        <v>12543</v>
      </c>
      <c r="O117" s="274">
        <f t="shared" si="38"/>
        <v>5778</v>
      </c>
      <c r="P117" s="394">
        <v>0</v>
      </c>
      <c r="Q117" s="395">
        <v>0</v>
      </c>
      <c r="R117" s="221">
        <f t="shared" si="39"/>
        <v>12543</v>
      </c>
      <c r="S117" s="269">
        <f t="shared" si="39"/>
        <v>5778</v>
      </c>
      <c r="T117" s="402">
        <v>0</v>
      </c>
      <c r="U117" s="403">
        <v>0</v>
      </c>
      <c r="V117" s="410">
        <f t="shared" si="41"/>
        <v>0.72892999999999952</v>
      </c>
      <c r="W117" s="411">
        <f t="shared" si="41"/>
        <v>0.32100000000000001</v>
      </c>
      <c r="X117" s="398">
        <f t="shared" si="42"/>
        <v>1457.859999999999</v>
      </c>
      <c r="Y117" s="399">
        <f t="shared" si="42"/>
        <v>642</v>
      </c>
      <c r="Z117" s="398">
        <f t="shared" si="55"/>
        <v>1457.859999999999</v>
      </c>
      <c r="AA117" s="399">
        <f t="shared" si="44"/>
        <v>642</v>
      </c>
      <c r="AB117" s="398">
        <f t="shared" si="82"/>
        <v>43.298441999999973</v>
      </c>
      <c r="AC117" s="399">
        <f t="shared" si="83"/>
        <v>19.067400000000003</v>
      </c>
      <c r="AD117" s="398">
        <f t="shared" si="56"/>
        <v>240.3019444444443</v>
      </c>
      <c r="AE117" s="399">
        <f t="shared" si="48"/>
        <v>107</v>
      </c>
      <c r="AF117" s="344">
        <v>0</v>
      </c>
      <c r="AG117" s="398">
        <f t="shared" si="57"/>
        <v>1348.0894000000008</v>
      </c>
      <c r="AH117" s="399">
        <f t="shared" si="58"/>
        <v>642</v>
      </c>
      <c r="AI117" s="454">
        <f t="shared" si="51"/>
        <v>0</v>
      </c>
      <c r="AJ117" s="85">
        <f t="shared" si="52"/>
        <v>577.73999999999069</v>
      </c>
    </row>
    <row r="118" spans="1:36" ht="12.75" customHeight="1" x14ac:dyDescent="0.2">
      <c r="B118" s="335">
        <v>90318.11</v>
      </c>
      <c r="C118" s="336">
        <v>91368.11</v>
      </c>
      <c r="D118" s="337" t="s">
        <v>15</v>
      </c>
      <c r="E118" s="337" t="s">
        <v>102</v>
      </c>
      <c r="F118" s="337" t="s">
        <v>107</v>
      </c>
      <c r="G118" s="103" t="str">
        <f t="shared" si="80"/>
        <v>F/C - C/B</v>
      </c>
      <c r="H118" s="77">
        <f t="shared" si="34"/>
        <v>2</v>
      </c>
      <c r="I118" s="27">
        <f t="shared" si="35"/>
        <v>29.166666666666668</v>
      </c>
      <c r="J118" s="78">
        <f t="shared" si="36"/>
        <v>-1.42</v>
      </c>
      <c r="K118" s="83">
        <f t="shared" si="81"/>
        <v>1050</v>
      </c>
      <c r="L118" s="384">
        <v>53.92</v>
      </c>
      <c r="M118" s="385">
        <v>20</v>
      </c>
      <c r="N118" s="222">
        <f t="shared" si="53"/>
        <v>56616</v>
      </c>
      <c r="O118" s="274">
        <f t="shared" si="38"/>
        <v>21000</v>
      </c>
      <c r="P118" s="394">
        <v>0</v>
      </c>
      <c r="Q118" s="395">
        <v>0</v>
      </c>
      <c r="R118" s="221">
        <f t="shared" si="39"/>
        <v>56616</v>
      </c>
      <c r="S118" s="269">
        <f t="shared" si="39"/>
        <v>21000</v>
      </c>
      <c r="T118" s="402">
        <v>0</v>
      </c>
      <c r="U118" s="403">
        <v>0</v>
      </c>
      <c r="V118" s="410">
        <f t="shared" si="41"/>
        <v>3.262</v>
      </c>
      <c r="W118" s="411">
        <f t="shared" si="41"/>
        <v>1.1666666666666667</v>
      </c>
      <c r="X118" s="398">
        <f t="shared" si="42"/>
        <v>6524</v>
      </c>
      <c r="Y118" s="399">
        <f t="shared" si="42"/>
        <v>2333.3333333333335</v>
      </c>
      <c r="Z118" s="398">
        <f t="shared" si="55"/>
        <v>6524</v>
      </c>
      <c r="AA118" s="399">
        <f t="shared" si="44"/>
        <v>2333.3333333333335</v>
      </c>
      <c r="AB118" s="398">
        <f t="shared" si="82"/>
        <v>193.7628</v>
      </c>
      <c r="AC118" s="399">
        <f t="shared" si="83"/>
        <v>69.3</v>
      </c>
      <c r="AD118" s="398">
        <f t="shared" si="56"/>
        <v>1077.6111111111111</v>
      </c>
      <c r="AE118" s="399">
        <f t="shared" si="48"/>
        <v>388.88888888888891</v>
      </c>
      <c r="AF118" s="344">
        <v>0</v>
      </c>
      <c r="AG118" s="398">
        <f t="shared" si="57"/>
        <v>6125</v>
      </c>
      <c r="AH118" s="399">
        <f t="shared" si="58"/>
        <v>2333.3333333333335</v>
      </c>
      <c r="AI118" s="454">
        <f t="shared" si="51"/>
        <v>0</v>
      </c>
      <c r="AJ118" s="85">
        <f t="shared" si="52"/>
        <v>2100</v>
      </c>
    </row>
    <row r="119" spans="1:36" ht="12.75" customHeight="1" x14ac:dyDescent="0.2">
      <c r="B119" s="335">
        <v>91368.11</v>
      </c>
      <c r="C119" s="336">
        <v>91745.83</v>
      </c>
      <c r="D119" s="337" t="s">
        <v>15</v>
      </c>
      <c r="E119" s="337" t="s">
        <v>102</v>
      </c>
      <c r="F119" s="337" t="s">
        <v>107</v>
      </c>
      <c r="G119" s="103" t="str">
        <f t="shared" si="80"/>
        <v>F/C - C/B</v>
      </c>
      <c r="H119" s="77">
        <f t="shared" si="34"/>
        <v>2</v>
      </c>
      <c r="I119" s="27">
        <f t="shared" si="35"/>
        <v>10.492222222222255</v>
      </c>
      <c r="J119" s="78">
        <f t="shared" si="36"/>
        <v>-1.42</v>
      </c>
      <c r="K119" s="83">
        <f t="shared" si="81"/>
        <v>377.72000000000116</v>
      </c>
      <c r="L119" s="384" t="s">
        <v>97</v>
      </c>
      <c r="M119" s="385" t="s">
        <v>97</v>
      </c>
      <c r="N119" s="222">
        <f t="shared" si="53"/>
        <v>0</v>
      </c>
      <c r="O119" s="274">
        <f t="shared" si="38"/>
        <v>0</v>
      </c>
      <c r="P119" s="394">
        <v>25013</v>
      </c>
      <c r="Q119" s="395">
        <v>7554</v>
      </c>
      <c r="R119" s="221">
        <f t="shared" si="39"/>
        <v>25013</v>
      </c>
      <c r="S119" s="269">
        <f t="shared" si="39"/>
        <v>7554</v>
      </c>
      <c r="T119" s="402">
        <v>0</v>
      </c>
      <c r="U119" s="403">
        <v>0</v>
      </c>
      <c r="V119" s="410">
        <f t="shared" si="41"/>
        <v>1.4315800000000001</v>
      </c>
      <c r="W119" s="411">
        <f t="shared" si="41"/>
        <v>0.41966666666666669</v>
      </c>
      <c r="X119" s="398">
        <f t="shared" si="42"/>
        <v>2863.1600000000003</v>
      </c>
      <c r="Y119" s="399">
        <f t="shared" si="42"/>
        <v>839.33333333333337</v>
      </c>
      <c r="Z119" s="398">
        <f t="shared" si="55"/>
        <v>2863.1600000000003</v>
      </c>
      <c r="AA119" s="399">
        <f t="shared" si="44"/>
        <v>839.33333333333337</v>
      </c>
      <c r="AB119" s="398">
        <f t="shared" si="82"/>
        <v>85.03585200000002</v>
      </c>
      <c r="AC119" s="399">
        <f t="shared" si="83"/>
        <v>24.928199999999997</v>
      </c>
      <c r="AD119" s="398">
        <f t="shared" si="56"/>
        <v>473.69592592592596</v>
      </c>
      <c r="AE119" s="399">
        <f t="shared" si="48"/>
        <v>139.88888888888889</v>
      </c>
      <c r="AF119" s="344">
        <v>0</v>
      </c>
      <c r="AG119" s="398">
        <f t="shared" si="57"/>
        <v>2719.6263999999996</v>
      </c>
      <c r="AH119" s="399">
        <f t="shared" si="58"/>
        <v>839.33333333333337</v>
      </c>
      <c r="AI119" s="454">
        <f t="shared" si="51"/>
        <v>0</v>
      </c>
      <c r="AJ119" s="85">
        <f t="shared" si="52"/>
        <v>755.44000000000233</v>
      </c>
    </row>
    <row r="120" spans="1:36" ht="12.75" customHeight="1" x14ac:dyDescent="0.2">
      <c r="B120" s="335">
        <v>91745.83</v>
      </c>
      <c r="C120" s="336">
        <v>93258.71</v>
      </c>
      <c r="D120" s="337" t="s">
        <v>15</v>
      </c>
      <c r="E120" s="337" t="s">
        <v>101</v>
      </c>
      <c r="F120" s="337" t="s">
        <v>107</v>
      </c>
      <c r="G120" s="103" t="str">
        <f t="shared" si="80"/>
        <v>E/S - C/B</v>
      </c>
      <c r="H120" s="77">
        <f t="shared" si="34"/>
        <v>1.5</v>
      </c>
      <c r="I120" s="27">
        <f t="shared" si="35"/>
        <v>42.024444444444576</v>
      </c>
      <c r="J120" s="78">
        <f t="shared" si="36"/>
        <v>-1.42</v>
      </c>
      <c r="K120" s="83">
        <f t="shared" si="81"/>
        <v>1512.8800000000047</v>
      </c>
      <c r="L120" s="384">
        <v>41.42</v>
      </c>
      <c r="M120" s="385">
        <v>20</v>
      </c>
      <c r="N120" s="222">
        <f t="shared" si="53"/>
        <v>62664</v>
      </c>
      <c r="O120" s="274">
        <f t="shared" si="38"/>
        <v>30258</v>
      </c>
      <c r="P120" s="394">
        <v>0</v>
      </c>
      <c r="Q120" s="395">
        <v>0</v>
      </c>
      <c r="R120" s="221">
        <f t="shared" si="39"/>
        <v>62664</v>
      </c>
      <c r="S120" s="269">
        <f t="shared" si="39"/>
        <v>30258</v>
      </c>
      <c r="T120" s="402">
        <v>0</v>
      </c>
      <c r="U120" s="403">
        <v>0</v>
      </c>
      <c r="V120" s="410">
        <f t="shared" si="41"/>
        <v>3.6074066666666673</v>
      </c>
      <c r="W120" s="411">
        <f t="shared" si="41"/>
        <v>1.681</v>
      </c>
      <c r="X120" s="398">
        <f t="shared" si="42"/>
        <v>7214.8133333333344</v>
      </c>
      <c r="Y120" s="399">
        <f t="shared" si="42"/>
        <v>3362</v>
      </c>
      <c r="Z120" s="398">
        <f t="shared" si="55"/>
        <v>7214.8133333333344</v>
      </c>
      <c r="AA120" s="399">
        <f t="shared" si="44"/>
        <v>3362</v>
      </c>
      <c r="AB120" s="398">
        <f t="shared" si="82"/>
        <v>214.279956</v>
      </c>
      <c r="AC120" s="399">
        <f t="shared" si="83"/>
        <v>99.851399999999998</v>
      </c>
      <c r="AD120" s="398">
        <f t="shared" si="56"/>
        <v>1202.4688888888888</v>
      </c>
      <c r="AE120" s="399">
        <f t="shared" si="48"/>
        <v>560.33333333333337</v>
      </c>
      <c r="AF120" s="344">
        <v>0</v>
      </c>
      <c r="AG120" s="398">
        <f t="shared" si="57"/>
        <v>6723.9678222222219</v>
      </c>
      <c r="AH120" s="399">
        <f t="shared" si="58"/>
        <v>3362</v>
      </c>
      <c r="AI120" s="454">
        <f t="shared" si="51"/>
        <v>56.032592592592763</v>
      </c>
      <c r="AJ120" s="85">
        <f t="shared" si="52"/>
        <v>3025.7600000000093</v>
      </c>
    </row>
    <row r="121" spans="1:36" ht="12.75" customHeight="1" x14ac:dyDescent="0.2">
      <c r="B121" s="335">
        <v>93258.71</v>
      </c>
      <c r="C121" s="336">
        <v>93710.71</v>
      </c>
      <c r="D121" s="337" t="s">
        <v>15</v>
      </c>
      <c r="E121" s="337" t="s">
        <v>101</v>
      </c>
      <c r="F121" s="337" t="s">
        <v>107</v>
      </c>
      <c r="G121" s="103" t="str">
        <f t="shared" si="80"/>
        <v>E/S - C/B</v>
      </c>
      <c r="H121" s="77">
        <f t="shared" si="34"/>
        <v>1.5</v>
      </c>
      <c r="I121" s="27">
        <f t="shared" si="35"/>
        <v>12.555555555555555</v>
      </c>
      <c r="J121" s="78">
        <f t="shared" si="36"/>
        <v>-1.42</v>
      </c>
      <c r="K121" s="83">
        <f t="shared" si="81"/>
        <v>452</v>
      </c>
      <c r="L121" s="384" t="s">
        <v>97</v>
      </c>
      <c r="M121" s="385" t="s">
        <v>97</v>
      </c>
      <c r="N121" s="222">
        <f t="shared" si="53"/>
        <v>0</v>
      </c>
      <c r="O121" s="274">
        <f t="shared" si="38"/>
        <v>0</v>
      </c>
      <c r="P121" s="394">
        <v>26355</v>
      </c>
      <c r="Q121" s="395">
        <v>9040</v>
      </c>
      <c r="R121" s="221">
        <f t="shared" si="39"/>
        <v>26355</v>
      </c>
      <c r="S121" s="269">
        <f t="shared" si="39"/>
        <v>9040</v>
      </c>
      <c r="T121" s="402">
        <v>0</v>
      </c>
      <c r="U121" s="403">
        <v>0</v>
      </c>
      <c r="V121" s="410">
        <f t="shared" si="41"/>
        <v>1.5018333333333334</v>
      </c>
      <c r="W121" s="411">
        <f t="shared" si="41"/>
        <v>0.50222222222222224</v>
      </c>
      <c r="X121" s="398">
        <f t="shared" si="42"/>
        <v>3003.6666666666665</v>
      </c>
      <c r="Y121" s="399">
        <f t="shared" si="42"/>
        <v>1004.4444444444445</v>
      </c>
      <c r="Z121" s="398">
        <f t="shared" si="55"/>
        <v>3003.6666666666665</v>
      </c>
      <c r="AA121" s="399">
        <f t="shared" si="44"/>
        <v>1004.4444444444445</v>
      </c>
      <c r="AB121" s="398">
        <f t="shared" si="82"/>
        <v>89.2089</v>
      </c>
      <c r="AC121" s="399">
        <f t="shared" si="83"/>
        <v>29.832000000000001</v>
      </c>
      <c r="AD121" s="398">
        <f t="shared" si="56"/>
        <v>500.61111111111109</v>
      </c>
      <c r="AE121" s="399">
        <f t="shared" si="48"/>
        <v>167.40740740740742</v>
      </c>
      <c r="AF121" s="344">
        <v>0</v>
      </c>
      <c r="AG121" s="398">
        <f t="shared" si="57"/>
        <v>2857.0177777777776</v>
      </c>
      <c r="AH121" s="399">
        <f t="shared" si="58"/>
        <v>1004.4444444444445</v>
      </c>
      <c r="AI121" s="454">
        <f t="shared" si="51"/>
        <v>16.74074074074074</v>
      </c>
      <c r="AJ121" s="85">
        <f t="shared" si="52"/>
        <v>904</v>
      </c>
    </row>
    <row r="122" spans="1:36" ht="12.75" customHeight="1" x14ac:dyDescent="0.2">
      <c r="B122" s="335">
        <v>93710.71</v>
      </c>
      <c r="C122" s="336">
        <v>94058.71</v>
      </c>
      <c r="D122" s="337" t="s">
        <v>15</v>
      </c>
      <c r="E122" s="337" t="s">
        <v>101</v>
      </c>
      <c r="F122" s="337" t="s">
        <v>107</v>
      </c>
      <c r="G122" s="103" t="str">
        <f t="shared" si="80"/>
        <v>E/S - C/B</v>
      </c>
      <c r="H122" s="77">
        <f t="shared" si="34"/>
        <v>1.5</v>
      </c>
      <c r="I122" s="27">
        <f t="shared" si="35"/>
        <v>9.6666666666666661</v>
      </c>
      <c r="J122" s="78">
        <f t="shared" si="36"/>
        <v>-1.42</v>
      </c>
      <c r="K122" s="83">
        <f t="shared" si="81"/>
        <v>348</v>
      </c>
      <c r="L122" s="384">
        <v>49.42</v>
      </c>
      <c r="M122" s="385">
        <v>20</v>
      </c>
      <c r="N122" s="222">
        <f t="shared" si="53"/>
        <v>17199</v>
      </c>
      <c r="O122" s="274">
        <f t="shared" si="38"/>
        <v>6960</v>
      </c>
      <c r="P122" s="394">
        <v>0</v>
      </c>
      <c r="Q122" s="395">
        <v>0</v>
      </c>
      <c r="R122" s="221">
        <f t="shared" si="39"/>
        <v>17199</v>
      </c>
      <c r="S122" s="269">
        <f t="shared" si="39"/>
        <v>6960</v>
      </c>
      <c r="T122" s="402">
        <v>0</v>
      </c>
      <c r="U122" s="403">
        <v>0</v>
      </c>
      <c r="V122" s="410">
        <f t="shared" si="41"/>
        <v>0.98450000000000004</v>
      </c>
      <c r="W122" s="411">
        <f t="shared" si="41"/>
        <v>0.38666666666666666</v>
      </c>
      <c r="X122" s="398">
        <f t="shared" si="42"/>
        <v>1969</v>
      </c>
      <c r="Y122" s="399">
        <f t="shared" si="42"/>
        <v>773.33333333333337</v>
      </c>
      <c r="Z122" s="398">
        <f t="shared" si="55"/>
        <v>1969</v>
      </c>
      <c r="AA122" s="399">
        <f t="shared" si="44"/>
        <v>773.33333333333337</v>
      </c>
      <c r="AB122" s="398">
        <f t="shared" si="82"/>
        <v>58.479299999999995</v>
      </c>
      <c r="AC122" s="399">
        <f t="shared" si="83"/>
        <v>22.968</v>
      </c>
      <c r="AD122" s="398">
        <f t="shared" si="56"/>
        <v>328.16666666666669</v>
      </c>
      <c r="AE122" s="399">
        <f t="shared" si="48"/>
        <v>128.88888888888889</v>
      </c>
      <c r="AF122" s="344">
        <v>0</v>
      </c>
      <c r="AG122" s="398">
        <f t="shared" si="57"/>
        <v>1856.0933333333332</v>
      </c>
      <c r="AH122" s="399">
        <f t="shared" si="58"/>
        <v>773.33333333333337</v>
      </c>
      <c r="AI122" s="454">
        <f t="shared" si="51"/>
        <v>12.888888888888889</v>
      </c>
      <c r="AJ122" s="85">
        <f t="shared" si="52"/>
        <v>696</v>
      </c>
    </row>
    <row r="123" spans="1:36" ht="12.75" customHeight="1" x14ac:dyDescent="0.2">
      <c r="B123" s="335">
        <v>94058.71</v>
      </c>
      <c r="C123" s="336">
        <v>94158.71</v>
      </c>
      <c r="D123" s="337" t="s">
        <v>15</v>
      </c>
      <c r="E123" s="337" t="s">
        <v>101</v>
      </c>
      <c r="F123" s="337" t="s">
        <v>107</v>
      </c>
      <c r="G123" s="103" t="str">
        <f t="shared" si="80"/>
        <v>E/S - C/B</v>
      </c>
      <c r="H123" s="77">
        <f t="shared" si="34"/>
        <v>1.5</v>
      </c>
      <c r="I123" s="27">
        <f t="shared" si="35"/>
        <v>2.7777777777777777</v>
      </c>
      <c r="J123" s="78">
        <f t="shared" si="36"/>
        <v>-1.42</v>
      </c>
      <c r="K123" s="83">
        <f t="shared" si="81"/>
        <v>100</v>
      </c>
      <c r="L123" s="384">
        <v>45.42</v>
      </c>
      <c r="M123" s="385">
        <v>20</v>
      </c>
      <c r="N123" s="222">
        <f t="shared" si="53"/>
        <v>4542</v>
      </c>
      <c r="O123" s="274">
        <f t="shared" si="38"/>
        <v>2000</v>
      </c>
      <c r="P123" s="394">
        <v>0</v>
      </c>
      <c r="Q123" s="395">
        <v>0</v>
      </c>
      <c r="R123" s="221">
        <f t="shared" si="39"/>
        <v>4542</v>
      </c>
      <c r="S123" s="269">
        <f t="shared" si="39"/>
        <v>2000</v>
      </c>
      <c r="T123" s="402">
        <v>0</v>
      </c>
      <c r="U123" s="403">
        <v>0</v>
      </c>
      <c r="V123" s="410">
        <f t="shared" si="41"/>
        <v>0.26066666666666671</v>
      </c>
      <c r="W123" s="411">
        <f t="shared" si="41"/>
        <v>0.11111111111111112</v>
      </c>
      <c r="X123" s="398">
        <f t="shared" si="42"/>
        <v>521.33333333333337</v>
      </c>
      <c r="Y123" s="399">
        <f t="shared" si="42"/>
        <v>222.22222222222223</v>
      </c>
      <c r="Z123" s="398">
        <f t="shared" si="55"/>
        <v>521.33333333333337</v>
      </c>
      <c r="AA123" s="399">
        <f t="shared" si="44"/>
        <v>222.22222222222223</v>
      </c>
      <c r="AB123" s="398">
        <f t="shared" si="82"/>
        <v>15.483599999999999</v>
      </c>
      <c r="AC123" s="399">
        <f t="shared" si="83"/>
        <v>6.6</v>
      </c>
      <c r="AD123" s="398">
        <f t="shared" si="56"/>
        <v>86.888888888888886</v>
      </c>
      <c r="AE123" s="399">
        <f t="shared" si="48"/>
        <v>37.037037037037038</v>
      </c>
      <c r="AF123" s="344">
        <v>0</v>
      </c>
      <c r="AG123" s="398">
        <f t="shared" si="57"/>
        <v>488.88888888888891</v>
      </c>
      <c r="AH123" s="399">
        <f t="shared" si="58"/>
        <v>222.22222222222223</v>
      </c>
      <c r="AI123" s="454">
        <f t="shared" si="51"/>
        <v>3.7037037037037037</v>
      </c>
      <c r="AJ123" s="85">
        <f t="shared" si="52"/>
        <v>200</v>
      </c>
    </row>
    <row r="124" spans="1:36" ht="12.75" customHeight="1" x14ac:dyDescent="0.2">
      <c r="B124" s="335">
        <v>94158.71</v>
      </c>
      <c r="C124" s="336">
        <v>94895</v>
      </c>
      <c r="D124" s="337" t="s">
        <v>15</v>
      </c>
      <c r="E124" s="337" t="s">
        <v>101</v>
      </c>
      <c r="F124" s="337" t="s">
        <v>107</v>
      </c>
      <c r="G124" s="103" t="str">
        <f t="shared" si="80"/>
        <v>E/S - C/B</v>
      </c>
      <c r="H124" s="77">
        <f t="shared" si="34"/>
        <v>1.5</v>
      </c>
      <c r="I124" s="27">
        <f t="shared" si="35"/>
        <v>20.452499999999823</v>
      </c>
      <c r="J124" s="78">
        <f t="shared" si="36"/>
        <v>-1.42</v>
      </c>
      <c r="K124" s="83">
        <f t="shared" si="81"/>
        <v>736.2899999999936</v>
      </c>
      <c r="L124" s="384">
        <v>41.42</v>
      </c>
      <c r="M124" s="385">
        <v>20</v>
      </c>
      <c r="N124" s="222">
        <f t="shared" si="53"/>
        <v>30498</v>
      </c>
      <c r="O124" s="274">
        <f t="shared" si="38"/>
        <v>14726</v>
      </c>
      <c r="P124" s="394">
        <v>0</v>
      </c>
      <c r="Q124" s="395">
        <v>0</v>
      </c>
      <c r="R124" s="221">
        <f t="shared" si="39"/>
        <v>30498</v>
      </c>
      <c r="S124" s="269">
        <f t="shared" si="39"/>
        <v>14726</v>
      </c>
      <c r="T124" s="402">
        <v>0</v>
      </c>
      <c r="U124" s="403">
        <v>0</v>
      </c>
      <c r="V124" s="410">
        <f t="shared" si="41"/>
        <v>1.755690833333333</v>
      </c>
      <c r="W124" s="411">
        <f t="shared" si="41"/>
        <v>0.81811111111111112</v>
      </c>
      <c r="X124" s="398">
        <f t="shared" si="42"/>
        <v>3511.3816666666658</v>
      </c>
      <c r="Y124" s="399">
        <f t="shared" si="42"/>
        <v>1636.2222222222222</v>
      </c>
      <c r="Z124" s="398">
        <f t="shared" si="55"/>
        <v>3511.3816666666658</v>
      </c>
      <c r="AA124" s="399">
        <f t="shared" si="44"/>
        <v>1636.2222222222222</v>
      </c>
      <c r="AB124" s="398">
        <f t="shared" si="82"/>
        <v>104.28803549999996</v>
      </c>
      <c r="AC124" s="399">
        <f t="shared" si="83"/>
        <v>48.59579999999999</v>
      </c>
      <c r="AD124" s="398">
        <f t="shared" si="56"/>
        <v>585.2302777777777</v>
      </c>
      <c r="AE124" s="399">
        <f t="shared" si="48"/>
        <v>272.7037037037037</v>
      </c>
      <c r="AF124" s="344">
        <v>0</v>
      </c>
      <c r="AG124" s="398">
        <f t="shared" si="57"/>
        <v>3272.4964666666679</v>
      </c>
      <c r="AH124" s="399">
        <f t="shared" si="58"/>
        <v>1636.2222222222222</v>
      </c>
      <c r="AI124" s="454">
        <f t="shared" si="51"/>
        <v>27.269999999999762</v>
      </c>
      <c r="AJ124" s="85">
        <f t="shared" si="52"/>
        <v>1472.5799999999872</v>
      </c>
    </row>
    <row r="125" spans="1:36" ht="12.75" customHeight="1" x14ac:dyDescent="0.2">
      <c r="B125" s="335">
        <v>94895</v>
      </c>
      <c r="C125" s="336">
        <v>95726.25</v>
      </c>
      <c r="D125" s="337" t="s">
        <v>15</v>
      </c>
      <c r="E125" s="337" t="s">
        <v>108</v>
      </c>
      <c r="F125" s="337" t="s">
        <v>107</v>
      </c>
      <c r="G125" s="103" t="str">
        <f t="shared" si="80"/>
        <v>-</v>
      </c>
      <c r="H125" s="349">
        <v>3.17</v>
      </c>
      <c r="I125" s="338">
        <v>33.56</v>
      </c>
      <c r="J125" s="358">
        <v>-1.42</v>
      </c>
      <c r="K125" s="83">
        <f t="shared" si="81"/>
        <v>831.25</v>
      </c>
      <c r="L125" s="384">
        <v>43.42</v>
      </c>
      <c r="M125" s="385">
        <v>20</v>
      </c>
      <c r="N125" s="222">
        <f t="shared" si="53"/>
        <v>36093</v>
      </c>
      <c r="O125" s="274">
        <f t="shared" si="38"/>
        <v>16625</v>
      </c>
      <c r="P125" s="394">
        <v>0</v>
      </c>
      <c r="Q125" s="395">
        <v>0</v>
      </c>
      <c r="R125" s="221">
        <f t="shared" si="39"/>
        <v>36093</v>
      </c>
      <c r="S125" s="269">
        <f t="shared" si="39"/>
        <v>16625</v>
      </c>
      <c r="T125" s="402">
        <v>0</v>
      </c>
      <c r="U125" s="403">
        <v>0</v>
      </c>
      <c r="V125" s="410">
        <f t="shared" si="41"/>
        <v>2.1515590277777776</v>
      </c>
      <c r="W125" s="411">
        <f t="shared" si="41"/>
        <v>0.92361111111111105</v>
      </c>
      <c r="X125" s="398">
        <f t="shared" si="42"/>
        <v>4303.1180555555557</v>
      </c>
      <c r="Y125" s="399">
        <f t="shared" si="42"/>
        <v>1847.2222222222222</v>
      </c>
      <c r="Z125" s="398">
        <f t="shared" si="55"/>
        <v>4303.1180555555557</v>
      </c>
      <c r="AA125" s="399">
        <f t="shared" si="44"/>
        <v>1847.2222222222222</v>
      </c>
      <c r="AB125" s="398">
        <f t="shared" si="82"/>
        <v>127.80260625000001</v>
      </c>
      <c r="AC125" s="399">
        <f t="shared" si="83"/>
        <v>54.862499999999983</v>
      </c>
      <c r="AD125" s="398">
        <f t="shared" si="56"/>
        <v>701.94888888888886</v>
      </c>
      <c r="AE125" s="399">
        <f t="shared" si="48"/>
        <v>307.87037037037038</v>
      </c>
      <c r="AF125" s="344">
        <v>0</v>
      </c>
      <c r="AG125" s="398">
        <f t="shared" si="57"/>
        <v>3879.1805555555557</v>
      </c>
      <c r="AH125" s="399">
        <f t="shared" si="58"/>
        <v>1847.2222222222222</v>
      </c>
      <c r="AI125" s="454">
        <f t="shared" si="51"/>
        <v>0</v>
      </c>
      <c r="AJ125" s="85">
        <f t="shared" si="52"/>
        <v>1662.5</v>
      </c>
    </row>
    <row r="126" spans="1:36" ht="12.75" customHeight="1" x14ac:dyDescent="0.2">
      <c r="B126" s="335">
        <v>95726.25</v>
      </c>
      <c r="C126" s="336">
        <v>98057.71</v>
      </c>
      <c r="D126" s="337" t="s">
        <v>15</v>
      </c>
      <c r="E126" s="337" t="s">
        <v>101</v>
      </c>
      <c r="F126" s="337" t="s">
        <v>107</v>
      </c>
      <c r="G126" s="103" t="str">
        <f t="shared" si="80"/>
        <v>E/S - C/B</v>
      </c>
      <c r="H126" s="77">
        <f t="shared" si="34"/>
        <v>1.5</v>
      </c>
      <c r="I126" s="27">
        <f t="shared" si="35"/>
        <v>64.762777777777956</v>
      </c>
      <c r="J126" s="78">
        <f t="shared" si="36"/>
        <v>-1.42</v>
      </c>
      <c r="K126" s="83">
        <f t="shared" si="81"/>
        <v>2331.4600000000064</v>
      </c>
      <c r="L126" s="384">
        <v>41.42</v>
      </c>
      <c r="M126" s="385">
        <v>20</v>
      </c>
      <c r="N126" s="222">
        <f t="shared" si="53"/>
        <v>96570</v>
      </c>
      <c r="O126" s="274">
        <f t="shared" si="38"/>
        <v>46630</v>
      </c>
      <c r="P126" s="394">
        <v>0</v>
      </c>
      <c r="Q126" s="395">
        <v>0</v>
      </c>
      <c r="R126" s="221">
        <f t="shared" si="39"/>
        <v>96570</v>
      </c>
      <c r="S126" s="269">
        <f t="shared" si="39"/>
        <v>46630</v>
      </c>
      <c r="T126" s="402">
        <v>0</v>
      </c>
      <c r="U126" s="403">
        <v>0</v>
      </c>
      <c r="V126" s="410">
        <f t="shared" si="41"/>
        <v>5.5592883333333338</v>
      </c>
      <c r="W126" s="411">
        <f t="shared" si="41"/>
        <v>2.5905555555555555</v>
      </c>
      <c r="X126" s="398">
        <f t="shared" si="42"/>
        <v>11118.576666666668</v>
      </c>
      <c r="Y126" s="399">
        <f t="shared" si="42"/>
        <v>5181.1111111111113</v>
      </c>
      <c r="Z126" s="398">
        <f t="shared" si="55"/>
        <v>11118.576666666668</v>
      </c>
      <c r="AA126" s="399">
        <f t="shared" si="44"/>
        <v>5181.1111111111113</v>
      </c>
      <c r="AB126" s="398">
        <f t="shared" si="82"/>
        <v>330.22172699999999</v>
      </c>
      <c r="AC126" s="399">
        <f t="shared" si="83"/>
        <v>153.87899999999999</v>
      </c>
      <c r="AD126" s="398">
        <f t="shared" si="56"/>
        <v>1853.0961111111112</v>
      </c>
      <c r="AE126" s="399">
        <f t="shared" si="48"/>
        <v>863.51851851851848</v>
      </c>
      <c r="AF126" s="344">
        <v>0</v>
      </c>
      <c r="AG126" s="398">
        <f t="shared" si="57"/>
        <v>10362.147422222222</v>
      </c>
      <c r="AH126" s="399">
        <f t="shared" si="58"/>
        <v>5181.1111111111113</v>
      </c>
      <c r="AI126" s="454">
        <f t="shared" si="51"/>
        <v>86.350370370370612</v>
      </c>
      <c r="AJ126" s="85">
        <f t="shared" si="52"/>
        <v>4662.9200000000128</v>
      </c>
    </row>
    <row r="127" spans="1:36" ht="12.75" customHeight="1" x14ac:dyDescent="0.2">
      <c r="B127" s="335">
        <v>98057.71</v>
      </c>
      <c r="C127" s="336">
        <v>98116.800000000003</v>
      </c>
      <c r="D127" s="337" t="s">
        <v>15</v>
      </c>
      <c r="E127" s="337" t="s">
        <v>108</v>
      </c>
      <c r="F127" s="337" t="s">
        <v>107</v>
      </c>
      <c r="G127" s="103" t="str">
        <f t="shared" si="80"/>
        <v>-</v>
      </c>
      <c r="H127" s="349">
        <v>3.17</v>
      </c>
      <c r="I127" s="338">
        <v>2.39</v>
      </c>
      <c r="J127" s="358">
        <v>-1.42</v>
      </c>
      <c r="K127" s="83">
        <f t="shared" si="81"/>
        <v>59.089999999996508</v>
      </c>
      <c r="L127" s="384">
        <v>41.42</v>
      </c>
      <c r="M127" s="385">
        <v>20</v>
      </c>
      <c r="N127" s="222">
        <f t="shared" si="53"/>
        <v>2448</v>
      </c>
      <c r="O127" s="274">
        <f t="shared" si="38"/>
        <v>1182</v>
      </c>
      <c r="P127" s="394">
        <v>0</v>
      </c>
      <c r="Q127" s="395">
        <v>0</v>
      </c>
      <c r="R127" s="221">
        <f t="shared" si="39"/>
        <v>2448</v>
      </c>
      <c r="S127" s="269">
        <f t="shared" si="39"/>
        <v>1182</v>
      </c>
      <c r="T127" s="402">
        <v>0</v>
      </c>
      <c r="U127" s="403">
        <v>0</v>
      </c>
      <c r="V127" s="410">
        <f t="shared" si="41"/>
        <v>0.14640640555555492</v>
      </c>
      <c r="W127" s="411">
        <f t="shared" si="41"/>
        <v>6.5666666666666665E-2</v>
      </c>
      <c r="X127" s="398">
        <f t="shared" si="42"/>
        <v>292.81281111110985</v>
      </c>
      <c r="Y127" s="399">
        <f t="shared" si="42"/>
        <v>131.33333333333334</v>
      </c>
      <c r="Z127" s="398">
        <f t="shared" si="55"/>
        <v>292.81281111110985</v>
      </c>
      <c r="AA127" s="399">
        <f t="shared" si="44"/>
        <v>131.33333333333334</v>
      </c>
      <c r="AB127" s="398">
        <f t="shared" si="82"/>
        <v>8.6965404899999612</v>
      </c>
      <c r="AC127" s="399">
        <f t="shared" si="83"/>
        <v>3.9006000000000003</v>
      </c>
      <c r="AD127" s="398">
        <f t="shared" si="56"/>
        <v>47.723333333333336</v>
      </c>
      <c r="AE127" s="399">
        <f t="shared" si="48"/>
        <v>21.888888888888889</v>
      </c>
      <c r="AF127" s="344">
        <v>0</v>
      </c>
      <c r="AG127" s="398">
        <f t="shared" si="57"/>
        <v>262.67691111111168</v>
      </c>
      <c r="AH127" s="399">
        <f t="shared" si="58"/>
        <v>131.33333333333334</v>
      </c>
      <c r="AI127" s="454">
        <f t="shared" si="51"/>
        <v>0</v>
      </c>
      <c r="AJ127" s="85">
        <f t="shared" si="52"/>
        <v>118.17999999999302</v>
      </c>
    </row>
    <row r="128" spans="1:36" ht="12.75" customHeight="1" x14ac:dyDescent="0.2">
      <c r="B128" s="335">
        <v>98116.800000000003</v>
      </c>
      <c r="C128" s="336">
        <v>98141.8</v>
      </c>
      <c r="D128" s="337" t="s">
        <v>15</v>
      </c>
      <c r="E128" s="337" t="s">
        <v>102</v>
      </c>
      <c r="F128" s="337" t="s">
        <v>107</v>
      </c>
      <c r="G128" s="103" t="str">
        <f t="shared" si="80"/>
        <v>F/C - C/B</v>
      </c>
      <c r="H128" s="77">
        <f t="shared" si="34"/>
        <v>2</v>
      </c>
      <c r="I128" s="27">
        <f t="shared" si="35"/>
        <v>0.69444444444444442</v>
      </c>
      <c r="J128" s="78">
        <f t="shared" si="36"/>
        <v>-1.42</v>
      </c>
      <c r="K128" s="83">
        <f t="shared" si="81"/>
        <v>25</v>
      </c>
      <c r="L128" s="384">
        <v>41.42</v>
      </c>
      <c r="M128" s="385">
        <v>20</v>
      </c>
      <c r="N128" s="222">
        <f t="shared" si="53"/>
        <v>1036</v>
      </c>
      <c r="O128" s="274">
        <f t="shared" si="38"/>
        <v>500</v>
      </c>
      <c r="P128" s="394">
        <v>0</v>
      </c>
      <c r="Q128" s="395">
        <v>0</v>
      </c>
      <c r="R128" s="221">
        <f t="shared" si="39"/>
        <v>1036</v>
      </c>
      <c r="S128" s="269">
        <f t="shared" si="39"/>
        <v>500</v>
      </c>
      <c r="T128" s="402">
        <v>0</v>
      </c>
      <c r="U128" s="403">
        <v>0</v>
      </c>
      <c r="V128" s="410">
        <f t="shared" si="41"/>
        <v>6.0333333333333336E-2</v>
      </c>
      <c r="W128" s="411">
        <f t="shared" si="41"/>
        <v>2.777777777777778E-2</v>
      </c>
      <c r="X128" s="398">
        <f t="shared" si="42"/>
        <v>120.66666666666667</v>
      </c>
      <c r="Y128" s="399">
        <f t="shared" si="42"/>
        <v>55.555555555555557</v>
      </c>
      <c r="Z128" s="398">
        <f t="shared" si="55"/>
        <v>120.66666666666667</v>
      </c>
      <c r="AA128" s="399">
        <f t="shared" si="44"/>
        <v>55.555555555555557</v>
      </c>
      <c r="AB128" s="398">
        <f t="shared" si="82"/>
        <v>3.5837999999999997</v>
      </c>
      <c r="AC128" s="399">
        <f t="shared" si="83"/>
        <v>1.65</v>
      </c>
      <c r="AD128" s="398">
        <f t="shared" si="56"/>
        <v>19.87962962962963</v>
      </c>
      <c r="AE128" s="399">
        <f t="shared" si="48"/>
        <v>9.2592592592592595</v>
      </c>
      <c r="AF128" s="344">
        <v>0</v>
      </c>
      <c r="AG128" s="398">
        <f t="shared" si="57"/>
        <v>111.16666666666667</v>
      </c>
      <c r="AH128" s="399">
        <f t="shared" si="58"/>
        <v>55.555555555555557</v>
      </c>
      <c r="AI128" s="454">
        <f t="shared" si="51"/>
        <v>0</v>
      </c>
      <c r="AJ128" s="85">
        <f t="shared" si="52"/>
        <v>50</v>
      </c>
    </row>
    <row r="129" spans="1:54" ht="12.75" customHeight="1" x14ac:dyDescent="0.2">
      <c r="B129" s="335">
        <v>98141.8</v>
      </c>
      <c r="C129" s="336">
        <v>98171.8</v>
      </c>
      <c r="D129" s="337" t="s">
        <v>15</v>
      </c>
      <c r="E129" s="337" t="s">
        <v>102</v>
      </c>
      <c r="F129" s="337" t="s">
        <v>107</v>
      </c>
      <c r="G129" s="103" t="str">
        <f t="shared" si="80"/>
        <v>F/C - C/B</v>
      </c>
      <c r="H129" s="77">
        <f t="shared" si="34"/>
        <v>2</v>
      </c>
      <c r="I129" s="27">
        <f t="shared" si="35"/>
        <v>0.83333333333333337</v>
      </c>
      <c r="J129" s="78">
        <f t="shared" si="36"/>
        <v>-1.42</v>
      </c>
      <c r="K129" s="83">
        <f t="shared" si="81"/>
        <v>30</v>
      </c>
      <c r="L129" s="384">
        <v>42.42</v>
      </c>
      <c r="M129" s="385">
        <v>20</v>
      </c>
      <c r="N129" s="222">
        <f t="shared" si="53"/>
        <v>1273</v>
      </c>
      <c r="O129" s="274">
        <f t="shared" si="38"/>
        <v>600</v>
      </c>
      <c r="P129" s="394">
        <v>0</v>
      </c>
      <c r="Q129" s="395">
        <v>0</v>
      </c>
      <c r="R129" s="221">
        <f t="shared" si="39"/>
        <v>1273</v>
      </c>
      <c r="S129" s="269">
        <f t="shared" si="39"/>
        <v>600</v>
      </c>
      <c r="T129" s="402">
        <v>0</v>
      </c>
      <c r="U129" s="403">
        <v>0</v>
      </c>
      <c r="V129" s="410">
        <f t="shared" si="41"/>
        <v>7.4055555555555555E-2</v>
      </c>
      <c r="W129" s="411">
        <f t="shared" si="41"/>
        <v>3.3333333333333333E-2</v>
      </c>
      <c r="X129" s="398">
        <f t="shared" si="42"/>
        <v>148.11111111111111</v>
      </c>
      <c r="Y129" s="399">
        <f t="shared" si="42"/>
        <v>66.666666666666671</v>
      </c>
      <c r="Z129" s="398">
        <f t="shared" si="55"/>
        <v>148.11111111111111</v>
      </c>
      <c r="AA129" s="399">
        <f t="shared" si="44"/>
        <v>66.666666666666671</v>
      </c>
      <c r="AB129" s="398">
        <f t="shared" si="82"/>
        <v>4.3989000000000003</v>
      </c>
      <c r="AC129" s="399">
        <f t="shared" si="83"/>
        <v>1.98</v>
      </c>
      <c r="AD129" s="398">
        <f t="shared" si="56"/>
        <v>24.407407407407405</v>
      </c>
      <c r="AE129" s="399">
        <f t="shared" si="48"/>
        <v>11.111111111111111</v>
      </c>
      <c r="AF129" s="344">
        <v>0</v>
      </c>
      <c r="AG129" s="398">
        <f t="shared" si="57"/>
        <v>136.71111111111111</v>
      </c>
      <c r="AH129" s="399">
        <f t="shared" si="58"/>
        <v>66.666666666666671</v>
      </c>
      <c r="AI129" s="454">
        <f t="shared" si="51"/>
        <v>0</v>
      </c>
      <c r="AJ129" s="85">
        <f t="shared" si="52"/>
        <v>60</v>
      </c>
    </row>
    <row r="130" spans="1:54" ht="12.75" customHeight="1" x14ac:dyDescent="0.2">
      <c r="B130" s="335">
        <v>98171.8</v>
      </c>
      <c r="C130" s="336">
        <v>98778.16</v>
      </c>
      <c r="D130" s="337" t="s">
        <v>15</v>
      </c>
      <c r="E130" s="337" t="s">
        <v>102</v>
      </c>
      <c r="F130" s="337" t="s">
        <v>107</v>
      </c>
      <c r="G130" s="103" t="str">
        <f t="shared" si="80"/>
        <v>F/C - C/B</v>
      </c>
      <c r="H130" s="77">
        <f t="shared" si="34"/>
        <v>2</v>
      </c>
      <c r="I130" s="27">
        <f t="shared" si="35"/>
        <v>16.843333333333348</v>
      </c>
      <c r="J130" s="78">
        <f t="shared" si="36"/>
        <v>-1.42</v>
      </c>
      <c r="K130" s="83">
        <f t="shared" si="81"/>
        <v>606.36000000000058</v>
      </c>
      <c r="L130" s="384">
        <v>43.42</v>
      </c>
      <c r="M130" s="385">
        <v>20</v>
      </c>
      <c r="N130" s="222">
        <f t="shared" si="53"/>
        <v>26329</v>
      </c>
      <c r="O130" s="274">
        <f t="shared" si="38"/>
        <v>12128</v>
      </c>
      <c r="P130" s="394">
        <v>0</v>
      </c>
      <c r="Q130" s="395">
        <v>0</v>
      </c>
      <c r="R130" s="221">
        <f t="shared" si="39"/>
        <v>26329</v>
      </c>
      <c r="S130" s="269">
        <f t="shared" si="39"/>
        <v>12128</v>
      </c>
      <c r="T130" s="402">
        <v>0</v>
      </c>
      <c r="U130" s="403">
        <v>0</v>
      </c>
      <c r="V130" s="410">
        <f t="shared" si="41"/>
        <v>1.5300955555555555</v>
      </c>
      <c r="W130" s="411">
        <f t="shared" si="41"/>
        <v>0.67377777777777781</v>
      </c>
      <c r="X130" s="398">
        <f t="shared" si="42"/>
        <v>3060.1911111111112</v>
      </c>
      <c r="Y130" s="399">
        <f t="shared" si="42"/>
        <v>1347.5555555555557</v>
      </c>
      <c r="Z130" s="398">
        <f t="shared" si="55"/>
        <v>3060.1911111111112</v>
      </c>
      <c r="AA130" s="399">
        <f t="shared" si="44"/>
        <v>1347.5555555555557</v>
      </c>
      <c r="AB130" s="398">
        <f t="shared" si="82"/>
        <v>90.887676000000013</v>
      </c>
      <c r="AC130" s="399">
        <f t="shared" si="83"/>
        <v>40.022400000000005</v>
      </c>
      <c r="AD130" s="398">
        <f t="shared" si="56"/>
        <v>504.41740740740744</v>
      </c>
      <c r="AE130" s="399">
        <f t="shared" si="48"/>
        <v>224.59259259259258</v>
      </c>
      <c r="AF130" s="344">
        <v>0</v>
      </c>
      <c r="AG130" s="398">
        <f t="shared" si="57"/>
        <v>2829.7743111111108</v>
      </c>
      <c r="AH130" s="399">
        <f t="shared" si="58"/>
        <v>1347.5555555555557</v>
      </c>
      <c r="AI130" s="454">
        <f t="shared" si="51"/>
        <v>0</v>
      </c>
      <c r="AJ130" s="85">
        <f t="shared" si="52"/>
        <v>1212.7200000000012</v>
      </c>
    </row>
    <row r="131" spans="1:54" ht="12.75" customHeight="1" x14ac:dyDescent="0.2">
      <c r="B131" s="335">
        <v>98778.16</v>
      </c>
      <c r="C131" s="336">
        <v>101500</v>
      </c>
      <c r="D131" s="337" t="s">
        <v>15</v>
      </c>
      <c r="E131" s="337" t="s">
        <v>101</v>
      </c>
      <c r="F131" s="337" t="s">
        <v>107</v>
      </c>
      <c r="G131" s="103" t="str">
        <f t="shared" si="80"/>
        <v>E/S - C/B</v>
      </c>
      <c r="H131" s="77">
        <f t="shared" si="34"/>
        <v>1.5</v>
      </c>
      <c r="I131" s="27">
        <f t="shared" si="35"/>
        <v>75.60666666666657</v>
      </c>
      <c r="J131" s="78">
        <f t="shared" si="36"/>
        <v>-1.42</v>
      </c>
      <c r="K131" s="83">
        <f t="shared" si="81"/>
        <v>2721.8399999999965</v>
      </c>
      <c r="L131" s="384">
        <v>41.42</v>
      </c>
      <c r="M131" s="385">
        <v>20</v>
      </c>
      <c r="N131" s="222">
        <f>IF(L131="-",0,ROUNDUP($K131*L131,0))</f>
        <v>112739</v>
      </c>
      <c r="O131" s="274">
        <f t="shared" si="38"/>
        <v>54437</v>
      </c>
      <c r="P131" s="394">
        <v>0</v>
      </c>
      <c r="Q131" s="395">
        <v>0</v>
      </c>
      <c r="R131" s="221">
        <f t="shared" si="39"/>
        <v>112739</v>
      </c>
      <c r="S131" s="269">
        <f t="shared" si="39"/>
        <v>54437</v>
      </c>
      <c r="T131" s="402">
        <v>0</v>
      </c>
      <c r="U131" s="403">
        <v>0</v>
      </c>
      <c r="V131" s="410">
        <f t="shared" si="41"/>
        <v>6.4900977777777769</v>
      </c>
      <c r="W131" s="411">
        <f t="shared" si="41"/>
        <v>3.0242777777777778</v>
      </c>
      <c r="X131" s="398">
        <f t="shared" si="42"/>
        <v>12980.195555555554</v>
      </c>
      <c r="Y131" s="399">
        <f t="shared" si="42"/>
        <v>6048.5555555555557</v>
      </c>
      <c r="Z131" s="398">
        <f t="shared" si="55"/>
        <v>12980.195555555554</v>
      </c>
      <c r="AA131" s="399">
        <f t="shared" si="44"/>
        <v>6048.5555555555557</v>
      </c>
      <c r="AB131" s="398">
        <f t="shared" si="82"/>
        <v>385.51180799999997</v>
      </c>
      <c r="AC131" s="399">
        <f t="shared" si="83"/>
        <v>179.6421</v>
      </c>
      <c r="AD131" s="398">
        <f t="shared" si="56"/>
        <v>2163.3659259259257</v>
      </c>
      <c r="AE131" s="399">
        <f t="shared" si="48"/>
        <v>1008.0925925925926</v>
      </c>
      <c r="AF131" s="344">
        <v>0</v>
      </c>
      <c r="AG131" s="398">
        <f t="shared" si="57"/>
        <v>12097.10968888889</v>
      </c>
      <c r="AH131" s="399">
        <f t="shared" si="58"/>
        <v>6048.5555555555557</v>
      </c>
      <c r="AI131" s="454">
        <f t="shared" si="51"/>
        <v>100.80888888888876</v>
      </c>
      <c r="AJ131" s="85">
        <f t="shared" si="52"/>
        <v>5443.679999999993</v>
      </c>
    </row>
    <row r="132" spans="1:54" ht="12.75" customHeight="1" thickBot="1" x14ac:dyDescent="0.25">
      <c r="B132" s="107"/>
      <c r="C132" s="82"/>
      <c r="D132" s="32"/>
      <c r="E132" s="32"/>
      <c r="F132" s="32"/>
      <c r="G132" s="32"/>
      <c r="H132" s="26"/>
      <c r="I132" s="27"/>
      <c r="J132" s="27"/>
      <c r="K132" s="83"/>
      <c r="L132" s="386"/>
      <c r="M132" s="387"/>
      <c r="N132" s="392"/>
      <c r="O132" s="393"/>
      <c r="P132" s="223"/>
      <c r="Q132" s="280"/>
      <c r="R132" s="223"/>
      <c r="S132" s="280"/>
      <c r="T132" s="221"/>
      <c r="U132" s="269"/>
      <c r="V132" s="398"/>
      <c r="W132" s="399"/>
      <c r="X132" s="398"/>
      <c r="Y132" s="399"/>
      <c r="Z132" s="398"/>
      <c r="AA132" s="399"/>
      <c r="AB132" s="398"/>
      <c r="AC132" s="399"/>
      <c r="AD132" s="421"/>
      <c r="AE132" s="422"/>
      <c r="AF132" s="83"/>
      <c r="AG132" s="420"/>
      <c r="AH132" s="399"/>
      <c r="AI132" s="111"/>
      <c r="AJ132" s="85"/>
    </row>
    <row r="133" spans="1:54" s="94" customFormat="1" ht="12.75" customHeight="1" x14ac:dyDescent="0.2">
      <c r="A133" s="81"/>
      <c r="B133" s="725" t="s">
        <v>261</v>
      </c>
      <c r="C133" s="673"/>
      <c r="D133" s="602" t="s">
        <v>236</v>
      </c>
      <c r="E133" s="603"/>
      <c r="F133" s="603"/>
      <c r="G133" s="603"/>
      <c r="H133" s="603"/>
      <c r="I133" s="603"/>
      <c r="J133" s="603"/>
      <c r="K133" s="603"/>
      <c r="L133" s="603"/>
      <c r="M133" s="603"/>
      <c r="N133" s="603"/>
      <c r="O133" s="603"/>
      <c r="P133" s="603"/>
      <c r="Q133" s="603"/>
      <c r="R133" s="603"/>
      <c r="S133" s="604"/>
      <c r="T133" s="612">
        <f>ROUNDUP(SUM(T74:T131),0)</f>
        <v>19881</v>
      </c>
      <c r="U133" s="614">
        <f t="shared" ref="U133:AJ133" si="84">ROUNDUP(SUM(U74:U131),0)</f>
        <v>8388</v>
      </c>
      <c r="V133" s="612">
        <f t="shared" si="84"/>
        <v>69</v>
      </c>
      <c r="W133" s="614">
        <f t="shared" si="84"/>
        <v>29</v>
      </c>
      <c r="X133" s="612">
        <f t="shared" si="84"/>
        <v>117217</v>
      </c>
      <c r="Y133" s="614">
        <f t="shared" si="84"/>
        <v>49292</v>
      </c>
      <c r="Z133" s="612">
        <f t="shared" si="84"/>
        <v>117217</v>
      </c>
      <c r="AA133" s="614">
        <f t="shared" si="84"/>
        <v>49292</v>
      </c>
      <c r="AB133" s="612">
        <f t="shared" si="84"/>
        <v>3482</v>
      </c>
      <c r="AC133" s="614">
        <f t="shared" si="84"/>
        <v>1464</v>
      </c>
      <c r="AD133" s="612">
        <f t="shared" si="84"/>
        <v>22818</v>
      </c>
      <c r="AE133" s="614">
        <f t="shared" si="84"/>
        <v>9636</v>
      </c>
      <c r="AF133" s="610">
        <f t="shared" si="84"/>
        <v>461</v>
      </c>
      <c r="AG133" s="612">
        <f t="shared" si="84"/>
        <v>127430</v>
      </c>
      <c r="AH133" s="614">
        <f t="shared" si="84"/>
        <v>57436</v>
      </c>
      <c r="AI133" s="610">
        <f t="shared" ref="AI133" si="85">ROUNDUP(SUM(AI74:AI131),0)</f>
        <v>710</v>
      </c>
      <c r="AJ133" s="610">
        <f t="shared" si="84"/>
        <v>52536</v>
      </c>
      <c r="AK133" s="81"/>
      <c r="AL133" s="81"/>
      <c r="AM133" s="81"/>
      <c r="AN133" s="81"/>
      <c r="AO133" s="81"/>
      <c r="AP133" s="81"/>
      <c r="AQ133" s="81"/>
      <c r="AR133" s="81"/>
      <c r="AS133" s="81"/>
      <c r="AT133" s="81"/>
      <c r="AU133" s="81"/>
      <c r="AV133" s="81"/>
      <c r="AW133" s="81"/>
      <c r="AX133" s="81"/>
      <c r="AY133" s="81"/>
      <c r="AZ133" s="81"/>
      <c r="BA133" s="81"/>
      <c r="BB133" s="81"/>
    </row>
    <row r="134" spans="1:54" s="94" customFormat="1" ht="12.75" customHeight="1" thickBot="1" x14ac:dyDescent="0.25">
      <c r="A134" s="81"/>
      <c r="B134" s="782"/>
      <c r="C134" s="783"/>
      <c r="D134" s="605"/>
      <c r="E134" s="606"/>
      <c r="F134" s="606"/>
      <c r="G134" s="606"/>
      <c r="H134" s="606"/>
      <c r="I134" s="606"/>
      <c r="J134" s="606"/>
      <c r="K134" s="606"/>
      <c r="L134" s="606"/>
      <c r="M134" s="606"/>
      <c r="N134" s="606"/>
      <c r="O134" s="606"/>
      <c r="P134" s="606"/>
      <c r="Q134" s="606"/>
      <c r="R134" s="606"/>
      <c r="S134" s="607"/>
      <c r="T134" s="613"/>
      <c r="U134" s="615"/>
      <c r="V134" s="613"/>
      <c r="W134" s="615"/>
      <c r="X134" s="613"/>
      <c r="Y134" s="615"/>
      <c r="Z134" s="613"/>
      <c r="AA134" s="615"/>
      <c r="AB134" s="613"/>
      <c r="AC134" s="615"/>
      <c r="AD134" s="613"/>
      <c r="AE134" s="615"/>
      <c r="AF134" s="611"/>
      <c r="AG134" s="613"/>
      <c r="AH134" s="615"/>
      <c r="AI134" s="611"/>
      <c r="AJ134" s="611"/>
      <c r="AK134" s="81"/>
      <c r="AL134" s="81"/>
      <c r="AM134" s="81"/>
      <c r="AN134" s="81"/>
      <c r="AO134" s="81"/>
      <c r="AP134" s="81"/>
      <c r="AQ134" s="81"/>
      <c r="AR134" s="81"/>
      <c r="AS134" s="81"/>
      <c r="AT134" s="81"/>
      <c r="AU134" s="81"/>
      <c r="AV134" s="81"/>
      <c r="AW134" s="81"/>
      <c r="AX134" s="81"/>
      <c r="AY134" s="81"/>
      <c r="AZ134" s="81"/>
      <c r="BA134" s="81"/>
      <c r="BB134" s="81"/>
    </row>
    <row r="135" spans="1:54" x14ac:dyDescent="0.2">
      <c r="B135" s="782"/>
      <c r="C135" s="783"/>
      <c r="D135" s="602" t="s">
        <v>243</v>
      </c>
      <c r="E135" s="603"/>
      <c r="F135" s="603"/>
      <c r="G135" s="603"/>
      <c r="H135" s="603"/>
      <c r="I135" s="603"/>
      <c r="J135" s="603"/>
      <c r="K135" s="603"/>
      <c r="L135" s="603"/>
      <c r="M135" s="603"/>
      <c r="N135" s="603"/>
      <c r="O135" s="603"/>
      <c r="P135" s="603"/>
      <c r="Q135" s="603"/>
      <c r="R135" s="603"/>
      <c r="S135" s="604"/>
      <c r="T135" s="612">
        <f>T133+T71</f>
        <v>38701</v>
      </c>
      <c r="U135" s="614">
        <f t="shared" ref="U135:AJ135" si="86">U133+U71</f>
        <v>12767</v>
      </c>
      <c r="V135" s="612">
        <f t="shared" si="86"/>
        <v>138</v>
      </c>
      <c r="W135" s="614">
        <f t="shared" si="86"/>
        <v>57</v>
      </c>
      <c r="X135" s="612">
        <f t="shared" si="86"/>
        <v>235651</v>
      </c>
      <c r="Y135" s="614">
        <f t="shared" si="86"/>
        <v>99191</v>
      </c>
      <c r="Z135" s="612">
        <f t="shared" si="86"/>
        <v>235651</v>
      </c>
      <c r="AA135" s="614">
        <f t="shared" si="86"/>
        <v>99191</v>
      </c>
      <c r="AB135" s="612">
        <f t="shared" si="86"/>
        <v>7000</v>
      </c>
      <c r="AC135" s="614">
        <f t="shared" si="86"/>
        <v>2946</v>
      </c>
      <c r="AD135" s="612">
        <f t="shared" si="86"/>
        <v>45674</v>
      </c>
      <c r="AE135" s="614">
        <f t="shared" si="86"/>
        <v>18705</v>
      </c>
      <c r="AF135" s="610">
        <f t="shared" si="86"/>
        <v>991</v>
      </c>
      <c r="AG135" s="612">
        <f t="shared" si="86"/>
        <v>255017</v>
      </c>
      <c r="AH135" s="614">
        <f t="shared" si="86"/>
        <v>111469</v>
      </c>
      <c r="AI135" s="610">
        <f t="shared" ref="AI135" si="87">AI133+AI71</f>
        <v>1438</v>
      </c>
      <c r="AJ135" s="610">
        <f t="shared" si="86"/>
        <v>105037</v>
      </c>
    </row>
    <row r="136" spans="1:54" ht="13.5" thickBot="1" x14ac:dyDescent="0.25">
      <c r="B136" s="782"/>
      <c r="C136" s="783"/>
      <c r="D136" s="605"/>
      <c r="E136" s="606"/>
      <c r="F136" s="606"/>
      <c r="G136" s="606"/>
      <c r="H136" s="606"/>
      <c r="I136" s="606"/>
      <c r="J136" s="606"/>
      <c r="K136" s="606"/>
      <c r="L136" s="606"/>
      <c r="M136" s="606"/>
      <c r="N136" s="606"/>
      <c r="O136" s="606"/>
      <c r="P136" s="606"/>
      <c r="Q136" s="606"/>
      <c r="R136" s="606"/>
      <c r="S136" s="607"/>
      <c r="T136" s="613"/>
      <c r="U136" s="615"/>
      <c r="V136" s="613"/>
      <c r="W136" s="615"/>
      <c r="X136" s="613"/>
      <c r="Y136" s="615"/>
      <c r="Z136" s="613"/>
      <c r="AA136" s="615"/>
      <c r="AB136" s="613"/>
      <c r="AC136" s="615"/>
      <c r="AD136" s="613"/>
      <c r="AE136" s="615"/>
      <c r="AF136" s="611"/>
      <c r="AG136" s="613"/>
      <c r="AH136" s="615"/>
      <c r="AI136" s="611"/>
      <c r="AJ136" s="611"/>
    </row>
    <row r="137" spans="1:54" x14ac:dyDescent="0.2">
      <c r="B137" s="782"/>
      <c r="C137" s="783"/>
      <c r="D137" s="602" t="s">
        <v>244</v>
      </c>
      <c r="E137" s="603"/>
      <c r="F137" s="603"/>
      <c r="G137" s="603"/>
      <c r="H137" s="603"/>
      <c r="I137" s="603"/>
      <c r="J137" s="603"/>
      <c r="K137" s="603"/>
      <c r="L137" s="603"/>
      <c r="M137" s="603"/>
      <c r="N137" s="603"/>
      <c r="O137" s="603"/>
      <c r="P137" s="603"/>
      <c r="Q137" s="603"/>
      <c r="R137" s="603"/>
      <c r="S137" s="604"/>
      <c r="T137" s="784">
        <f>T135+U135</f>
        <v>51468</v>
      </c>
      <c r="U137" s="785"/>
      <c r="V137" s="784">
        <f t="shared" ref="V137" si="88">V135+W135</f>
        <v>195</v>
      </c>
      <c r="W137" s="785"/>
      <c r="X137" s="784">
        <f t="shared" ref="X137" si="89">X135+Y135</f>
        <v>334842</v>
      </c>
      <c r="Y137" s="785"/>
      <c r="Z137" s="784">
        <f t="shared" ref="Z137" si="90">Z135+AA135</f>
        <v>334842</v>
      </c>
      <c r="AA137" s="785"/>
      <c r="AB137" s="784">
        <f t="shared" ref="AB137" si="91">AB135+AC135</f>
        <v>9946</v>
      </c>
      <c r="AC137" s="785"/>
      <c r="AD137" s="784">
        <f t="shared" ref="AD137" si="92">AD135+AE135</f>
        <v>64379</v>
      </c>
      <c r="AE137" s="785"/>
      <c r="AF137" s="610">
        <f>AF135</f>
        <v>991</v>
      </c>
      <c r="AG137" s="784">
        <f t="shared" ref="AG137" si="93">AG135+AH135</f>
        <v>366486</v>
      </c>
      <c r="AH137" s="785"/>
      <c r="AI137" s="610">
        <f>AI135</f>
        <v>1438</v>
      </c>
      <c r="AJ137" s="610">
        <f>AJ135</f>
        <v>105037</v>
      </c>
    </row>
    <row r="138" spans="1:54" ht="13.5" thickBot="1" x14ac:dyDescent="0.25">
      <c r="B138" s="727"/>
      <c r="C138" s="674"/>
      <c r="D138" s="605"/>
      <c r="E138" s="606"/>
      <c r="F138" s="606"/>
      <c r="G138" s="606"/>
      <c r="H138" s="606"/>
      <c r="I138" s="606"/>
      <c r="J138" s="606"/>
      <c r="K138" s="606"/>
      <c r="L138" s="606"/>
      <c r="M138" s="606"/>
      <c r="N138" s="606"/>
      <c r="O138" s="606"/>
      <c r="P138" s="606"/>
      <c r="Q138" s="606"/>
      <c r="R138" s="606"/>
      <c r="S138" s="607"/>
      <c r="T138" s="786"/>
      <c r="U138" s="787"/>
      <c r="V138" s="786"/>
      <c r="W138" s="787"/>
      <c r="X138" s="786"/>
      <c r="Y138" s="787"/>
      <c r="Z138" s="786"/>
      <c r="AA138" s="787"/>
      <c r="AB138" s="786"/>
      <c r="AC138" s="787"/>
      <c r="AD138" s="786"/>
      <c r="AE138" s="787"/>
      <c r="AF138" s="611"/>
      <c r="AG138" s="786"/>
      <c r="AH138" s="787"/>
      <c r="AI138" s="611"/>
      <c r="AJ138" s="611"/>
    </row>
  </sheetData>
  <mergeCells count="143">
    <mergeCell ref="B2:C2"/>
    <mergeCell ref="B3:C3"/>
    <mergeCell ref="B4:C4"/>
    <mergeCell ref="AN14:AP14"/>
    <mergeCell ref="AQ14:AS14"/>
    <mergeCell ref="D137:S138"/>
    <mergeCell ref="B133:C138"/>
    <mergeCell ref="T137:U138"/>
    <mergeCell ref="V137:W138"/>
    <mergeCell ref="X137:Y138"/>
    <mergeCell ref="Z137:AA138"/>
    <mergeCell ref="AB137:AC138"/>
    <mergeCell ref="AD137:AE138"/>
    <mergeCell ref="AG137:AH138"/>
    <mergeCell ref="AF137:AF138"/>
    <mergeCell ref="AJ137:AJ138"/>
    <mergeCell ref="AB133:AB134"/>
    <mergeCell ref="B73:C73"/>
    <mergeCell ref="D133:S134"/>
    <mergeCell ref="T133:T134"/>
    <mergeCell ref="U133:U134"/>
    <mergeCell ref="AL9:AV9"/>
    <mergeCell ref="AL10:AL11"/>
    <mergeCell ref="AM10:AM11"/>
    <mergeCell ref="AN10:AP10"/>
    <mergeCell ref="AQ10:AS10"/>
    <mergeCell ref="AT10:AV10"/>
    <mergeCell ref="AN11:AP11"/>
    <mergeCell ref="AQ11:AS11"/>
    <mergeCell ref="AT11:AV11"/>
    <mergeCell ref="AT14:AV14"/>
    <mergeCell ref="AN15:AP15"/>
    <mergeCell ref="AQ15:AS15"/>
    <mergeCell ref="AT15:AV15"/>
    <mergeCell ref="AT12:AV12"/>
    <mergeCell ref="AN13:AP13"/>
    <mergeCell ref="AQ13:AS13"/>
    <mergeCell ref="AT13:AV13"/>
    <mergeCell ref="AN12:AP12"/>
    <mergeCell ref="AQ12:AS12"/>
    <mergeCell ref="K16:K17"/>
    <mergeCell ref="B18:C18"/>
    <mergeCell ref="AN16:AP16"/>
    <mergeCell ref="AQ16:AS16"/>
    <mergeCell ref="AT16:AV16"/>
    <mergeCell ref="V16:W16"/>
    <mergeCell ref="X16:Y16"/>
    <mergeCell ref="Z16:AA16"/>
    <mergeCell ref="AB16:AC16"/>
    <mergeCell ref="AD16:AE16"/>
    <mergeCell ref="B16:B17"/>
    <mergeCell ref="C16:C17"/>
    <mergeCell ref="L16:M16"/>
    <mergeCell ref="N16:O16"/>
    <mergeCell ref="P16:Q16"/>
    <mergeCell ref="R16:S16"/>
    <mergeCell ref="AG16:AH16"/>
    <mergeCell ref="E5:E17"/>
    <mergeCell ref="F5:F17"/>
    <mergeCell ref="G5:G17"/>
    <mergeCell ref="H16:H17"/>
    <mergeCell ref="I16:I17"/>
    <mergeCell ref="J16:J17"/>
    <mergeCell ref="T16:U16"/>
    <mergeCell ref="AJ6:AJ15"/>
    <mergeCell ref="AG5:AH5"/>
    <mergeCell ref="AF6:AF15"/>
    <mergeCell ref="AG6:AH15"/>
    <mergeCell ref="AI6:AI15"/>
    <mergeCell ref="AI71:AI72"/>
    <mergeCell ref="B5:C15"/>
    <mergeCell ref="D5:D17"/>
    <mergeCell ref="H5:H15"/>
    <mergeCell ref="I5:I15"/>
    <mergeCell ref="J5:J15"/>
    <mergeCell ref="X5:AC5"/>
    <mergeCell ref="AD5:AE5"/>
    <mergeCell ref="K5:K15"/>
    <mergeCell ref="L5:M15"/>
    <mergeCell ref="N5:O15"/>
    <mergeCell ref="P5:Q15"/>
    <mergeCell ref="R5:S15"/>
    <mergeCell ref="V6:W15"/>
    <mergeCell ref="X6:Y15"/>
    <mergeCell ref="Z6:AA15"/>
    <mergeCell ref="AB6:AC15"/>
    <mergeCell ref="AD6:AE15"/>
    <mergeCell ref="T5:W5"/>
    <mergeCell ref="Z1:AA1"/>
    <mergeCell ref="AD1:AE1"/>
    <mergeCell ref="AF1:AG1"/>
    <mergeCell ref="T71:T72"/>
    <mergeCell ref="U71:U72"/>
    <mergeCell ref="V71:V72"/>
    <mergeCell ref="W71:W72"/>
    <mergeCell ref="X71:X72"/>
    <mergeCell ref="Y71:Y72"/>
    <mergeCell ref="Z71:Z72"/>
    <mergeCell ref="AA71:AA72"/>
    <mergeCell ref="AB71:AB72"/>
    <mergeCell ref="AC71:AC72"/>
    <mergeCell ref="AD71:AD72"/>
    <mergeCell ref="AE71:AE72"/>
    <mergeCell ref="T6:U15"/>
    <mergeCell ref="AF71:AF72"/>
    <mergeCell ref="AG71:AG72"/>
    <mergeCell ref="AH71:AH72"/>
    <mergeCell ref="AJ71:AJ72"/>
    <mergeCell ref="B71:C72"/>
    <mergeCell ref="D71:S72"/>
    <mergeCell ref="V133:V134"/>
    <mergeCell ref="AJ133:AJ134"/>
    <mergeCell ref="AC133:AC134"/>
    <mergeCell ref="AD133:AD134"/>
    <mergeCell ref="AE133:AE134"/>
    <mergeCell ref="AF133:AF134"/>
    <mergeCell ref="AG133:AG134"/>
    <mergeCell ref="AH133:AH134"/>
    <mergeCell ref="W133:W134"/>
    <mergeCell ref="X133:X134"/>
    <mergeCell ref="Y133:Y134"/>
    <mergeCell ref="Z133:Z134"/>
    <mergeCell ref="AA133:AA134"/>
    <mergeCell ref="AI133:AI134"/>
    <mergeCell ref="W135:W136"/>
    <mergeCell ref="X135:X136"/>
    <mergeCell ref="Y135:Y136"/>
    <mergeCell ref="Z135:Z136"/>
    <mergeCell ref="AA135:AA136"/>
    <mergeCell ref="D135:S136"/>
    <mergeCell ref="T135:T136"/>
    <mergeCell ref="U135:U136"/>
    <mergeCell ref="V135:V136"/>
    <mergeCell ref="AI135:AI136"/>
    <mergeCell ref="AI137:AI138"/>
    <mergeCell ref="AH135:AH136"/>
    <mergeCell ref="AJ135:AJ136"/>
    <mergeCell ref="AB135:AB136"/>
    <mergeCell ref="AC135:AC136"/>
    <mergeCell ref="AD135:AD136"/>
    <mergeCell ref="AE135:AE136"/>
    <mergeCell ref="AF135:AF136"/>
    <mergeCell ref="AG135:AG136"/>
  </mergeCells>
  <dataValidations count="1">
    <dataValidation type="list" allowBlank="1" showInputMessage="1" showErrorMessage="1" sqref="E19:F70 E74:F131">
      <formula1>$AL$2:$AL$6</formula1>
    </dataValidation>
  </dataValidations>
  <printOptions horizontalCentered="1" verticalCentered="1"/>
  <pageMargins left="0.73" right="0.25" top="0.66" bottom="0.4" header="0.65" footer="0.25"/>
  <pageSetup paperSize="17" scale="57" orientation="landscape" r:id="rId1"/>
  <headerFooter scaleWithDoc="0" alignWithMargins="0">
    <oddHeader>&amp;LHAN-75-14.39</oddHeader>
    <oddFooter>&amp;R&amp;A</oddFooter>
  </headerFooter>
  <rowBreaks count="1" manualBreakCount="1">
    <brk id="72" min="1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14</vt:i4>
      </vt:variant>
    </vt:vector>
  </HeadingPairs>
  <TitlesOfParts>
    <vt:vector size="27" baseType="lpstr">
      <vt:lpstr>SUMMARY</vt:lpstr>
      <vt:lpstr>IR75 FLEXIBLE</vt:lpstr>
      <vt:lpstr>US68 FLEXIBLE</vt:lpstr>
      <vt:lpstr>US68 RAMPS FLEXIBLE</vt:lpstr>
      <vt:lpstr>LIMA RAMPS</vt:lpstr>
      <vt:lpstr>SR12,US224 RAMPS</vt:lpstr>
      <vt:lpstr>LIMA,GRAY,LOGAN,BIKE PATH</vt:lpstr>
      <vt:lpstr>HARRISON,SERVICE RD</vt:lpstr>
      <vt:lpstr>IR75 RIGID</vt:lpstr>
      <vt:lpstr>US68 RIGID</vt:lpstr>
      <vt:lpstr>US68 RAMPS RIGID</vt:lpstr>
      <vt:lpstr>CABLE BARRIER</vt:lpstr>
      <vt:lpstr>Area Split Calcs</vt:lpstr>
      <vt:lpstr>'CABLE BARRIER'!Print_Area</vt:lpstr>
      <vt:lpstr>'HARRISON,SERVICE RD'!Print_Area</vt:lpstr>
      <vt:lpstr>'IR75 FLEXIBLE'!Print_Area</vt:lpstr>
      <vt:lpstr>'IR75 RIGID'!Print_Area</vt:lpstr>
      <vt:lpstr>'LIMA RAMPS'!Print_Area</vt:lpstr>
      <vt:lpstr>'LIMA,GRAY,LOGAN,BIKE PATH'!Print_Area</vt:lpstr>
      <vt:lpstr>'SR12,US224 RAMPS'!Print_Area</vt:lpstr>
      <vt:lpstr>SUMMARY!Print_Area</vt:lpstr>
      <vt:lpstr>'US68 FLEXIBLE'!Print_Area</vt:lpstr>
      <vt:lpstr>'US68 RAMPS FLEXIBLE'!Print_Area</vt:lpstr>
      <vt:lpstr>'US68 RAMPS RIGID'!Print_Area</vt:lpstr>
      <vt:lpstr>'US68 RIGID'!Print_Area</vt:lpstr>
      <vt:lpstr>'IR75 FLEXIBLE'!Print_Titles</vt:lpstr>
      <vt:lpstr>'IR75 RIGID'!Print_Titles</vt:lpstr>
    </vt:vector>
  </TitlesOfParts>
  <Company>Ohio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Cavello</dc:creator>
  <cp:lastModifiedBy>Schetter, Andrew B.</cp:lastModifiedBy>
  <cp:lastPrinted>2016-07-28T07:24:07Z</cp:lastPrinted>
  <dcterms:created xsi:type="dcterms:W3CDTF">2007-01-18T14:43:23Z</dcterms:created>
  <dcterms:modified xsi:type="dcterms:W3CDTF">2016-08-29T22:33:07Z</dcterms:modified>
</cp:coreProperties>
</file>