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25035" yWindow="60" windowWidth="24915" windowHeight="12540" tabRatio="872" activeTab="8"/>
  </bookViews>
  <sheets>
    <sheet name="SUMMARY" sheetId="19" r:id="rId1"/>
    <sheet name="1-IR75" sheetId="5" r:id="rId2"/>
    <sheet name="2-US68" sheetId="20" r:id="rId3"/>
    <sheet name="3-US68 RAMPS" sheetId="21" r:id="rId4"/>
    <sheet name="4-LIMA,GRAY,LOGAN" sheetId="22" r:id="rId5"/>
    <sheet name="5-LIMA RAMPS" sheetId="23" r:id="rId6"/>
    <sheet name="6-SR12 RAMPS" sheetId="24" r:id="rId7"/>
    <sheet name="7-US224 RAMPS" sheetId="25" r:id="rId8"/>
    <sheet name="8-HARRISON, SERV RD" sheetId="27" r:id="rId9"/>
  </sheets>
  <definedNames>
    <definedName name="_xlnm.Print_Area" localSheetId="1">'1-IR75'!$A$2:$AI$129</definedName>
    <definedName name="_xlnm.Print_Area" localSheetId="2">'2-US68'!$A$2:$AK$52</definedName>
    <definedName name="_xlnm.Print_Area" localSheetId="3">'3-US68 RAMPS'!$A$2:$AH$56</definedName>
    <definedName name="_xlnm.Print_Area" localSheetId="4">'4-LIMA,GRAY,LOGAN'!$A$2:$W$131</definedName>
    <definedName name="_xlnm.Print_Area" localSheetId="5">'5-LIMA RAMPS'!$A$2:$U$61</definedName>
    <definedName name="_xlnm.Print_Area" localSheetId="6">'6-SR12 RAMPS'!$A$2:$U$63</definedName>
    <definedName name="_xlnm.Print_Area" localSheetId="7">'7-US224 RAMPS'!$A$2:$U$63</definedName>
    <definedName name="_xlnm.Print_Area" localSheetId="8">'8-HARRISON, SERV RD'!$B$2:$Z$43</definedName>
    <definedName name="_xlnm.Print_Area" localSheetId="0">SUMMARY!$B$2:$AD$72</definedName>
  </definedNames>
  <calcPr calcId="152511"/>
</workbook>
</file>

<file path=xl/calcChain.xml><?xml version="1.0" encoding="utf-8"?>
<calcChain xmlns="http://schemas.openxmlformats.org/spreadsheetml/2006/main">
  <c r="J21" i="27" l="1"/>
  <c r="J20" i="27"/>
  <c r="F17" i="22"/>
  <c r="F16" i="22"/>
  <c r="O16" i="22"/>
  <c r="L15" i="24"/>
  <c r="N19" i="25"/>
  <c r="N20" i="25"/>
  <c r="T20" i="25"/>
  <c r="T15" i="25"/>
  <c r="N15" i="27"/>
  <c r="P19" i="27"/>
  <c r="X19" i="27" s="1"/>
  <c r="R23" i="27"/>
  <c r="P26" i="27"/>
  <c r="P27" i="27"/>
  <c r="N20" i="27"/>
  <c r="P20" i="27" s="1"/>
  <c r="R20" i="27" s="1"/>
  <c r="N19" i="27"/>
  <c r="L20" i="27"/>
  <c r="I20" i="27"/>
  <c r="H20" i="27"/>
  <c r="H23" i="27"/>
  <c r="L23" i="27"/>
  <c r="I23" i="27" s="1"/>
  <c r="U20" i="27" l="1"/>
  <c r="Y20" i="27"/>
  <c r="X20" i="27"/>
  <c r="Q20" i="27"/>
  <c r="Z20" i="27"/>
  <c r="W20" i="27"/>
  <c r="N23" i="27"/>
  <c r="P23" i="27" s="1"/>
  <c r="J23" i="27"/>
  <c r="U23" i="27" l="1"/>
  <c r="Q23" i="27"/>
  <c r="Z23" i="27"/>
  <c r="W23" i="27"/>
  <c r="X23" i="27"/>
  <c r="Y23" i="27"/>
  <c r="S42" i="27" l="1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I40" i="27"/>
  <c r="J40" i="27"/>
  <c r="J26" i="27"/>
  <c r="I26" i="27"/>
  <c r="H26" i="27"/>
  <c r="L38" i="27"/>
  <c r="I38" i="27" s="1"/>
  <c r="L39" i="27"/>
  <c r="N39" i="27" s="1"/>
  <c r="P39" i="27" s="1"/>
  <c r="J38" i="27" l="1"/>
  <c r="N38" i="27"/>
  <c r="P38" i="27" s="1"/>
  <c r="Y38" i="27" s="1"/>
  <c r="J39" i="27"/>
  <c r="W39" i="27" s="1"/>
  <c r="I39" i="27"/>
  <c r="V39" i="27" s="1"/>
  <c r="Y39" i="27"/>
  <c r="Z39" i="27"/>
  <c r="R39" i="27"/>
  <c r="Q39" i="27" s="1"/>
  <c r="X39" i="27"/>
  <c r="Z38" i="27"/>
  <c r="O15" i="22"/>
  <c r="H16" i="27"/>
  <c r="H19" i="27"/>
  <c r="H21" i="27"/>
  <c r="H22" i="27"/>
  <c r="H15" i="27"/>
  <c r="F15" i="22"/>
  <c r="Q15" i="21"/>
  <c r="Q20" i="20"/>
  <c r="Q16" i="5"/>
  <c r="R15" i="22"/>
  <c r="R38" i="27" l="1"/>
  <c r="Q38" i="27" s="1"/>
  <c r="V38" i="27"/>
  <c r="W38" i="27"/>
  <c r="X38" i="27"/>
  <c r="N40" i="27"/>
  <c r="P40" i="27" s="1"/>
  <c r="R40" i="27" s="1"/>
  <c r="L37" i="27"/>
  <c r="L36" i="27"/>
  <c r="L35" i="27"/>
  <c r="L34" i="27"/>
  <c r="L33" i="27"/>
  <c r="L32" i="27"/>
  <c r="L31" i="27"/>
  <c r="L30" i="27"/>
  <c r="L29" i="27"/>
  <c r="L28" i="27"/>
  <c r="L27" i="27"/>
  <c r="L22" i="27"/>
  <c r="I22" i="27" s="1"/>
  <c r="L21" i="27"/>
  <c r="L19" i="27"/>
  <c r="R19" i="27" s="1"/>
  <c r="Q19" i="27" s="1"/>
  <c r="L18" i="27"/>
  <c r="I18" i="27" s="1"/>
  <c r="L17" i="27"/>
  <c r="L16" i="27"/>
  <c r="L15" i="27"/>
  <c r="N31" i="27" l="1"/>
  <c r="P31" i="27" s="1"/>
  <c r="X31" i="27" s="1"/>
  <c r="J31" i="27"/>
  <c r="W31" i="27" s="1"/>
  <c r="I31" i="27"/>
  <c r="V31" i="27" s="1"/>
  <c r="I27" i="27"/>
  <c r="J27" i="27"/>
  <c r="N35" i="27"/>
  <c r="P35" i="27" s="1"/>
  <c r="J35" i="27"/>
  <c r="I35" i="27"/>
  <c r="I28" i="27"/>
  <c r="J28" i="27"/>
  <c r="J36" i="27"/>
  <c r="I36" i="27"/>
  <c r="I29" i="27"/>
  <c r="J29" i="27"/>
  <c r="I30" i="27"/>
  <c r="J30" i="27"/>
  <c r="N32" i="27"/>
  <c r="P32" i="27" s="1"/>
  <c r="Z32" i="27" s="1"/>
  <c r="I32" i="27"/>
  <c r="J32" i="27"/>
  <c r="N33" i="27"/>
  <c r="P33" i="27" s="1"/>
  <c r="Z33" i="27" s="1"/>
  <c r="J33" i="27"/>
  <c r="I33" i="27"/>
  <c r="N34" i="27"/>
  <c r="P34" i="27" s="1"/>
  <c r="Y34" i="27" s="1"/>
  <c r="J34" i="27"/>
  <c r="W34" i="27" s="1"/>
  <c r="I34" i="27"/>
  <c r="J37" i="27"/>
  <c r="I37" i="27"/>
  <c r="N17" i="27"/>
  <c r="P17" i="27" s="1"/>
  <c r="R17" i="27" s="1"/>
  <c r="Q17" i="27" s="1"/>
  <c r="J17" i="27"/>
  <c r="I17" i="27"/>
  <c r="N30" i="27"/>
  <c r="P30" i="27" s="1"/>
  <c r="R30" i="27" s="1"/>
  <c r="Q30" i="27" s="1"/>
  <c r="R32" i="27"/>
  <c r="Q32" i="27" s="1"/>
  <c r="X35" i="27"/>
  <c r="Y35" i="27"/>
  <c r="Z35" i="27"/>
  <c r="Y40" i="27"/>
  <c r="Z40" i="27"/>
  <c r="X40" i="27"/>
  <c r="V40" i="27"/>
  <c r="W40" i="27"/>
  <c r="R35" i="27"/>
  <c r="Q35" i="27" s="1"/>
  <c r="Y31" i="27"/>
  <c r="Z31" i="27"/>
  <c r="Y32" i="27"/>
  <c r="W32" i="27"/>
  <c r="X32" i="27"/>
  <c r="V32" i="27"/>
  <c r="V34" i="27"/>
  <c r="Z34" i="27"/>
  <c r="X34" i="27"/>
  <c r="Y30" i="27"/>
  <c r="R34" i="27"/>
  <c r="Q34" i="27" s="1"/>
  <c r="Q40" i="27"/>
  <c r="I21" i="27"/>
  <c r="J15" i="27"/>
  <c r="P15" i="27"/>
  <c r="I15" i="27"/>
  <c r="I16" i="27"/>
  <c r="J16" i="27"/>
  <c r="I19" i="27"/>
  <c r="U19" i="27" s="1"/>
  <c r="N37" i="27"/>
  <c r="P37" i="27" s="1"/>
  <c r="W35" i="27"/>
  <c r="V35" i="27"/>
  <c r="N36" i="27"/>
  <c r="P36" i="27" s="1"/>
  <c r="N27" i="27"/>
  <c r="N28" i="27"/>
  <c r="P28" i="27" s="1"/>
  <c r="J18" i="27"/>
  <c r="N18" i="27"/>
  <c r="Y19" i="27"/>
  <c r="N21" i="27"/>
  <c r="J19" i="27"/>
  <c r="W19" i="27" s="1"/>
  <c r="N26" i="27"/>
  <c r="R26" i="27" s="1"/>
  <c r="N16" i="27"/>
  <c r="P16" i="27" s="1"/>
  <c r="Z19" i="27"/>
  <c r="J22" i="27"/>
  <c r="N22" i="27"/>
  <c r="P22" i="27" s="1"/>
  <c r="R22" i="27" s="1"/>
  <c r="Q22" i="27" s="1"/>
  <c r="N29" i="27"/>
  <c r="P29" i="27" s="1"/>
  <c r="N33" i="25"/>
  <c r="Q33" i="25" s="1"/>
  <c r="L33" i="25"/>
  <c r="J33" i="25"/>
  <c r="I33" i="25"/>
  <c r="H33" i="25"/>
  <c r="H29" i="25"/>
  <c r="J29" i="25"/>
  <c r="I29" i="25" s="1"/>
  <c r="H28" i="25"/>
  <c r="J28" i="25"/>
  <c r="I28" i="25" s="1"/>
  <c r="H27" i="25"/>
  <c r="J27" i="25"/>
  <c r="I27" i="25" s="1"/>
  <c r="J26" i="25"/>
  <c r="L26" i="25" s="1"/>
  <c r="N26" i="25" s="1"/>
  <c r="H26" i="25"/>
  <c r="H21" i="25"/>
  <c r="J21" i="25"/>
  <c r="I21" i="25" s="1"/>
  <c r="H20" i="25"/>
  <c r="J20" i="25"/>
  <c r="I20" i="25" s="1"/>
  <c r="S35" i="25"/>
  <c r="J19" i="25"/>
  <c r="L19" i="25" s="1"/>
  <c r="I19" i="25"/>
  <c r="H19" i="25"/>
  <c r="J15" i="25"/>
  <c r="L15" i="25" s="1"/>
  <c r="N15" i="25" s="1"/>
  <c r="I15" i="25"/>
  <c r="H15" i="25"/>
  <c r="J33" i="24"/>
  <c r="L33" i="24" s="1"/>
  <c r="N33" i="24" s="1"/>
  <c r="I33" i="24"/>
  <c r="H33" i="24"/>
  <c r="H29" i="24"/>
  <c r="J29" i="24"/>
  <c r="I29" i="24" s="1"/>
  <c r="H28" i="24"/>
  <c r="J28" i="24"/>
  <c r="I28" i="24" s="1"/>
  <c r="H27" i="24"/>
  <c r="J27" i="24"/>
  <c r="I27" i="24" s="1"/>
  <c r="J26" i="24"/>
  <c r="L26" i="24" s="1"/>
  <c r="N26" i="24" s="1"/>
  <c r="I26" i="24"/>
  <c r="H26" i="24"/>
  <c r="H21" i="24"/>
  <c r="J21" i="24"/>
  <c r="I21" i="24" s="1"/>
  <c r="H20" i="24"/>
  <c r="J20" i="24"/>
  <c r="I20" i="24" s="1"/>
  <c r="J19" i="24"/>
  <c r="L19" i="24" s="1"/>
  <c r="N19" i="24" s="1"/>
  <c r="U19" i="24" s="1"/>
  <c r="I19" i="24"/>
  <c r="H19" i="24"/>
  <c r="H15" i="24"/>
  <c r="X15" i="27" l="1"/>
  <c r="R15" i="27"/>
  <c r="V33" i="27"/>
  <c r="R33" i="27"/>
  <c r="Q33" i="27" s="1"/>
  <c r="W33" i="27"/>
  <c r="V30" i="27"/>
  <c r="Y33" i="27"/>
  <c r="R31" i="27"/>
  <c r="Q31" i="27" s="1"/>
  <c r="X33" i="27"/>
  <c r="Y15" i="27"/>
  <c r="Z15" i="27"/>
  <c r="R16" i="27"/>
  <c r="Q16" i="27" s="1"/>
  <c r="Z16" i="27"/>
  <c r="X30" i="27"/>
  <c r="W16" i="27"/>
  <c r="U16" i="27"/>
  <c r="U22" i="27"/>
  <c r="W22" i="27"/>
  <c r="W15" i="27"/>
  <c r="U15" i="27"/>
  <c r="Z30" i="27"/>
  <c r="W17" i="27"/>
  <c r="W30" i="27"/>
  <c r="Z28" i="27"/>
  <c r="X28" i="27"/>
  <c r="V28" i="27"/>
  <c r="Y28" i="27"/>
  <c r="W28" i="27"/>
  <c r="R28" i="27"/>
  <c r="Q28" i="27" s="1"/>
  <c r="Z36" i="27"/>
  <c r="X36" i="27"/>
  <c r="V36" i="27"/>
  <c r="Y36" i="27"/>
  <c r="W36" i="27"/>
  <c r="R36" i="27"/>
  <c r="Q36" i="27" s="1"/>
  <c r="V29" i="27"/>
  <c r="Z29" i="27"/>
  <c r="X29" i="27"/>
  <c r="W29" i="27"/>
  <c r="Y29" i="27"/>
  <c r="R29" i="27"/>
  <c r="Q29" i="27" s="1"/>
  <c r="Z27" i="27"/>
  <c r="V27" i="27"/>
  <c r="Y27" i="27"/>
  <c r="X27" i="27"/>
  <c r="W27" i="27"/>
  <c r="R27" i="27"/>
  <c r="Q27" i="27" s="1"/>
  <c r="W26" i="27"/>
  <c r="V26" i="27"/>
  <c r="Z37" i="27"/>
  <c r="X37" i="27"/>
  <c r="V37" i="27"/>
  <c r="Y37" i="27"/>
  <c r="W37" i="27"/>
  <c r="R37" i="27"/>
  <c r="Q37" i="27" s="1"/>
  <c r="Q15" i="27"/>
  <c r="P18" i="27"/>
  <c r="R18" i="27" s="1"/>
  <c r="Q18" i="27" s="1"/>
  <c r="P21" i="27"/>
  <c r="R21" i="27" s="1"/>
  <c r="Q21" i="27" s="1"/>
  <c r="Y16" i="27"/>
  <c r="X16" i="27"/>
  <c r="Z22" i="27"/>
  <c r="Y22" i="27"/>
  <c r="X22" i="27"/>
  <c r="Z26" i="27"/>
  <c r="X26" i="27"/>
  <c r="Y26" i="27"/>
  <c r="T33" i="25"/>
  <c r="U33" i="25"/>
  <c r="R33" i="25"/>
  <c r="P33" i="25"/>
  <c r="O33" i="25"/>
  <c r="L29" i="25"/>
  <c r="N29" i="25" s="1"/>
  <c r="L27" i="25"/>
  <c r="N27" i="25" s="1"/>
  <c r="U27" i="25" s="1"/>
  <c r="Q26" i="25"/>
  <c r="R26" i="25" s="1"/>
  <c r="U26" i="25"/>
  <c r="T27" i="25"/>
  <c r="L28" i="25"/>
  <c r="N28" i="25" s="1"/>
  <c r="L21" i="25"/>
  <c r="N21" i="25" s="1"/>
  <c r="I26" i="25"/>
  <c r="T26" i="25" s="1"/>
  <c r="L20" i="25"/>
  <c r="Q15" i="25"/>
  <c r="U15" i="25"/>
  <c r="U19" i="25"/>
  <c r="T19" i="25"/>
  <c r="Q19" i="25"/>
  <c r="L21" i="24"/>
  <c r="N21" i="24" s="1"/>
  <c r="T21" i="24" s="1"/>
  <c r="L28" i="24"/>
  <c r="N28" i="24" s="1"/>
  <c r="U28" i="24" s="1"/>
  <c r="T28" i="24"/>
  <c r="Q28" i="24"/>
  <c r="Q33" i="24"/>
  <c r="R33" i="24" s="1"/>
  <c r="U33" i="24"/>
  <c r="T33" i="24"/>
  <c r="Q26" i="24"/>
  <c r="R26" i="24" s="1"/>
  <c r="U26" i="24"/>
  <c r="T26" i="24"/>
  <c r="L20" i="24"/>
  <c r="N20" i="24" s="1"/>
  <c r="U20" i="24" s="1"/>
  <c r="L29" i="24"/>
  <c r="N29" i="24" s="1"/>
  <c r="L27" i="24"/>
  <c r="N27" i="24" s="1"/>
  <c r="P28" i="24"/>
  <c r="T19" i="24"/>
  <c r="Q19" i="24"/>
  <c r="S35" i="24"/>
  <c r="J15" i="24"/>
  <c r="S60" i="23"/>
  <c r="J58" i="23"/>
  <c r="I58" i="23" s="1"/>
  <c r="H58" i="23"/>
  <c r="H55" i="23"/>
  <c r="J55" i="23"/>
  <c r="I55" i="23" s="1"/>
  <c r="L54" i="23"/>
  <c r="N54" i="23" s="1"/>
  <c r="J54" i="23"/>
  <c r="I54" i="23" s="1"/>
  <c r="H54" i="23"/>
  <c r="H51" i="23"/>
  <c r="J51" i="23"/>
  <c r="L51" i="23" s="1"/>
  <c r="N51" i="23" s="1"/>
  <c r="H50" i="23"/>
  <c r="J50" i="23"/>
  <c r="I50" i="23" s="1"/>
  <c r="L49" i="23"/>
  <c r="N49" i="23" s="1"/>
  <c r="H49" i="23"/>
  <c r="J49" i="23"/>
  <c r="I49" i="23" s="1"/>
  <c r="J48" i="23"/>
  <c r="L48" i="23" s="1"/>
  <c r="N48" i="23" s="1"/>
  <c r="H48" i="23"/>
  <c r="L47" i="23"/>
  <c r="N47" i="23" s="1"/>
  <c r="H47" i="23"/>
  <c r="J47" i="23"/>
  <c r="I47" i="23" s="1"/>
  <c r="L46" i="23"/>
  <c r="N46" i="23" s="1"/>
  <c r="J46" i="23"/>
  <c r="I46" i="23" s="1"/>
  <c r="H46" i="23"/>
  <c r="H43" i="23"/>
  <c r="J43" i="23"/>
  <c r="I43" i="23" s="1"/>
  <c r="H42" i="23"/>
  <c r="J42" i="23"/>
  <c r="L42" i="23" s="1"/>
  <c r="N42" i="23" s="1"/>
  <c r="H41" i="23"/>
  <c r="J41" i="23"/>
  <c r="I41" i="23" s="1"/>
  <c r="J40" i="23"/>
  <c r="L40" i="23" s="1"/>
  <c r="N40" i="23" s="1"/>
  <c r="H40" i="23"/>
  <c r="H37" i="23"/>
  <c r="J37" i="23"/>
  <c r="L37" i="23" s="1"/>
  <c r="N37" i="23" s="1"/>
  <c r="H36" i="23"/>
  <c r="J36" i="23"/>
  <c r="I36" i="23" s="1"/>
  <c r="N35" i="23"/>
  <c r="Q35" i="23"/>
  <c r="O35" i="23" s="1"/>
  <c r="L35" i="23"/>
  <c r="H35" i="23"/>
  <c r="J35" i="23"/>
  <c r="I35" i="23" s="1"/>
  <c r="H34" i="23"/>
  <c r="J34" i="23"/>
  <c r="L34" i="23" s="1"/>
  <c r="N34" i="23" s="1"/>
  <c r="J33" i="23"/>
  <c r="I33" i="23" s="1"/>
  <c r="H33" i="23"/>
  <c r="L32" i="23"/>
  <c r="N32" i="23" s="1"/>
  <c r="J32" i="23"/>
  <c r="I32" i="23" s="1"/>
  <c r="H32" i="23"/>
  <c r="I25" i="23"/>
  <c r="N29" i="23"/>
  <c r="L29" i="23"/>
  <c r="H29" i="23"/>
  <c r="J29" i="23"/>
  <c r="I29" i="23" s="1"/>
  <c r="L27" i="23"/>
  <c r="N27" i="23" s="1"/>
  <c r="U27" i="23" s="1"/>
  <c r="L28" i="23"/>
  <c r="N28" i="23" s="1"/>
  <c r="H28" i="23"/>
  <c r="J28" i="23"/>
  <c r="I28" i="23" s="1"/>
  <c r="H27" i="23"/>
  <c r="J27" i="23"/>
  <c r="I27" i="23" s="1"/>
  <c r="H26" i="23"/>
  <c r="J26" i="23"/>
  <c r="I26" i="23" s="1"/>
  <c r="J25" i="23"/>
  <c r="L25" i="23" s="1"/>
  <c r="N25" i="23" s="1"/>
  <c r="H25" i="23"/>
  <c r="L22" i="23"/>
  <c r="N22" i="23" s="1"/>
  <c r="H22" i="23"/>
  <c r="I22" i="23"/>
  <c r="J22" i="23"/>
  <c r="H21" i="23"/>
  <c r="J21" i="23"/>
  <c r="L21" i="23" s="1"/>
  <c r="N21" i="23" s="1"/>
  <c r="H20" i="23"/>
  <c r="J20" i="23"/>
  <c r="L20" i="23" s="1"/>
  <c r="N20" i="23" s="1"/>
  <c r="H19" i="23"/>
  <c r="J19" i="23"/>
  <c r="I19" i="23" s="1"/>
  <c r="H18" i="23"/>
  <c r="J18" i="23"/>
  <c r="I18" i="23" s="1"/>
  <c r="L17" i="23"/>
  <c r="N17" i="23" s="1"/>
  <c r="H17" i="23"/>
  <c r="J17" i="23"/>
  <c r="I17" i="23" s="1"/>
  <c r="I15" i="23"/>
  <c r="H16" i="23"/>
  <c r="J16" i="23"/>
  <c r="I16" i="23" s="1"/>
  <c r="L15" i="23"/>
  <c r="N15" i="23" s="1"/>
  <c r="U15" i="23" s="1"/>
  <c r="J15" i="23"/>
  <c r="H15" i="23"/>
  <c r="J37" i="22"/>
  <c r="L37" i="22" s="1"/>
  <c r="H37" i="22"/>
  <c r="G37" i="22" s="1"/>
  <c r="F37" i="22"/>
  <c r="J34" i="22"/>
  <c r="L34" i="22" s="1"/>
  <c r="F34" i="22"/>
  <c r="H34" i="22"/>
  <c r="G34" i="22" s="1"/>
  <c r="J33" i="22"/>
  <c r="L33" i="22" s="1"/>
  <c r="F33" i="22"/>
  <c r="H33" i="22"/>
  <c r="G33" i="22" s="1"/>
  <c r="H32" i="22"/>
  <c r="G32" i="22" s="1"/>
  <c r="F32" i="22"/>
  <c r="G27" i="22"/>
  <c r="F27" i="22"/>
  <c r="J27" i="22"/>
  <c r="L27" i="22" s="1"/>
  <c r="J26" i="22"/>
  <c r="L26" i="22" s="1"/>
  <c r="G26" i="22"/>
  <c r="Z44" i="22"/>
  <c r="AF44" i="22"/>
  <c r="AC44" i="22"/>
  <c r="H26" i="22"/>
  <c r="H25" i="22"/>
  <c r="G25" i="22" s="1"/>
  <c r="F25" i="22"/>
  <c r="H24" i="22"/>
  <c r="G24" i="22"/>
  <c r="Z30" i="22"/>
  <c r="AF30" i="22"/>
  <c r="W24" i="22" s="1"/>
  <c r="AC30" i="22"/>
  <c r="J24" i="22"/>
  <c r="L24" i="22" s="1"/>
  <c r="R42" i="27" l="1"/>
  <c r="Q26" i="27"/>
  <c r="Q42" i="27" s="1"/>
  <c r="W21" i="27"/>
  <c r="U21" i="27"/>
  <c r="U42" i="27" s="1"/>
  <c r="W18" i="27"/>
  <c r="Y21" i="27"/>
  <c r="Y42" i="27" s="1"/>
  <c r="X21" i="27"/>
  <c r="X42" i="27"/>
  <c r="Z21" i="27"/>
  <c r="Z42" i="27" s="1"/>
  <c r="Q29" i="23"/>
  <c r="R29" i="23" s="1"/>
  <c r="L19" i="23"/>
  <c r="N19" i="23" s="1"/>
  <c r="U21" i="24"/>
  <c r="L50" i="23"/>
  <c r="N50" i="23" s="1"/>
  <c r="I51" i="23"/>
  <c r="T51" i="23" s="1"/>
  <c r="Q27" i="25"/>
  <c r="I21" i="23"/>
  <c r="I40" i="23"/>
  <c r="T40" i="23" s="1"/>
  <c r="L43" i="23"/>
  <c r="N43" i="23" s="1"/>
  <c r="I48" i="23"/>
  <c r="P26" i="25"/>
  <c r="O26" i="25"/>
  <c r="T29" i="25"/>
  <c r="U29" i="25"/>
  <c r="U35" i="25" s="1"/>
  <c r="Q29" i="25"/>
  <c r="T28" i="25"/>
  <c r="U28" i="25"/>
  <c r="Q28" i="25"/>
  <c r="Q20" i="25"/>
  <c r="U20" i="25"/>
  <c r="Q21" i="25"/>
  <c r="Q35" i="25" s="1"/>
  <c r="T21" i="25"/>
  <c r="U21" i="25"/>
  <c r="R19" i="25"/>
  <c r="O19" i="25"/>
  <c r="P19" i="25"/>
  <c r="R15" i="25"/>
  <c r="P15" i="25"/>
  <c r="O15" i="25"/>
  <c r="O26" i="24"/>
  <c r="P26" i="24"/>
  <c r="Q21" i="24"/>
  <c r="O21" i="24" s="1"/>
  <c r="P33" i="24"/>
  <c r="Q27" i="24"/>
  <c r="T27" i="24"/>
  <c r="U27" i="24"/>
  <c r="O28" i="24"/>
  <c r="R28" i="24"/>
  <c r="T29" i="24"/>
  <c r="U29" i="24"/>
  <c r="Q29" i="24"/>
  <c r="T20" i="24"/>
  <c r="Q20" i="24"/>
  <c r="O33" i="24"/>
  <c r="P21" i="24"/>
  <c r="P19" i="24"/>
  <c r="R19" i="24"/>
  <c r="O19" i="24"/>
  <c r="N15" i="24"/>
  <c r="U15" i="24" s="1"/>
  <c r="U35" i="24" s="1"/>
  <c r="I15" i="24"/>
  <c r="T43" i="23"/>
  <c r="Q43" i="23"/>
  <c r="P43" i="23" s="1"/>
  <c r="U43" i="23"/>
  <c r="Q49" i="23"/>
  <c r="R49" i="23" s="1"/>
  <c r="U49" i="23"/>
  <c r="T49" i="23"/>
  <c r="Q32" i="23"/>
  <c r="R32" i="23" s="1"/>
  <c r="U32" i="23"/>
  <c r="T32" i="23"/>
  <c r="U28" i="23"/>
  <c r="Q28" i="23"/>
  <c r="P28" i="23" s="1"/>
  <c r="Q54" i="23"/>
  <c r="R54" i="23" s="1"/>
  <c r="U54" i="23"/>
  <c r="T54" i="23"/>
  <c r="T17" i="23"/>
  <c r="U17" i="23"/>
  <c r="Q17" i="23"/>
  <c r="Q46" i="23"/>
  <c r="P46" i="23" s="1"/>
  <c r="U46" i="23"/>
  <c r="T46" i="23"/>
  <c r="Q34" i="23"/>
  <c r="O34" i="23" s="1"/>
  <c r="U34" i="23"/>
  <c r="U22" i="23"/>
  <c r="T22" i="23"/>
  <c r="Q22" i="23"/>
  <c r="P22" i="23" s="1"/>
  <c r="Q40" i="23"/>
  <c r="R40" i="23" s="1"/>
  <c r="U40" i="23"/>
  <c r="Q47" i="23"/>
  <c r="R47" i="23" s="1"/>
  <c r="T47" i="23"/>
  <c r="U47" i="23"/>
  <c r="Q25" i="23"/>
  <c r="P25" i="23" s="1"/>
  <c r="U25" i="23"/>
  <c r="T25" i="23"/>
  <c r="O29" i="23"/>
  <c r="Q42" i="23"/>
  <c r="P42" i="23" s="1"/>
  <c r="U42" i="23"/>
  <c r="U48" i="23"/>
  <c r="T48" i="23"/>
  <c r="Q48" i="23"/>
  <c r="P48" i="23" s="1"/>
  <c r="T35" i="23"/>
  <c r="Q51" i="23"/>
  <c r="O51" i="23" s="1"/>
  <c r="U51" i="23"/>
  <c r="T21" i="23"/>
  <c r="Q21" i="23"/>
  <c r="O21" i="23" s="1"/>
  <c r="I34" i="23"/>
  <c r="T34" i="23" s="1"/>
  <c r="U35" i="23"/>
  <c r="I37" i="23"/>
  <c r="T37" i="23" s="1"/>
  <c r="L41" i="23"/>
  <c r="N41" i="23" s="1"/>
  <c r="L55" i="23"/>
  <c r="N55" i="23" s="1"/>
  <c r="L16" i="23"/>
  <c r="N16" i="23" s="1"/>
  <c r="L36" i="23"/>
  <c r="N36" i="23" s="1"/>
  <c r="I20" i="23"/>
  <c r="T20" i="23" s="1"/>
  <c r="T28" i="23"/>
  <c r="L33" i="23"/>
  <c r="N33" i="23" s="1"/>
  <c r="I42" i="23"/>
  <c r="T42" i="23" s="1"/>
  <c r="U50" i="23"/>
  <c r="L58" i="23"/>
  <c r="N58" i="23" s="1"/>
  <c r="L26" i="23"/>
  <c r="N26" i="23" s="1"/>
  <c r="L18" i="23"/>
  <c r="N18" i="23" s="1"/>
  <c r="T29" i="23"/>
  <c r="O54" i="23"/>
  <c r="P51" i="23"/>
  <c r="O49" i="23"/>
  <c r="P49" i="23"/>
  <c r="O47" i="23"/>
  <c r="P47" i="23"/>
  <c r="R46" i="23"/>
  <c r="O46" i="23"/>
  <c r="R43" i="23"/>
  <c r="O43" i="23"/>
  <c r="P40" i="23"/>
  <c r="O40" i="23"/>
  <c r="U37" i="23"/>
  <c r="Q37" i="23"/>
  <c r="R35" i="23"/>
  <c r="P35" i="23"/>
  <c r="P34" i="23"/>
  <c r="R34" i="23"/>
  <c r="U29" i="23"/>
  <c r="Q27" i="23"/>
  <c r="P27" i="23" s="1"/>
  <c r="T27" i="23"/>
  <c r="R25" i="23"/>
  <c r="U21" i="23"/>
  <c r="P21" i="23"/>
  <c r="Q20" i="23"/>
  <c r="U20" i="23"/>
  <c r="Q19" i="23"/>
  <c r="U19" i="23"/>
  <c r="T19" i="23"/>
  <c r="T15" i="23"/>
  <c r="Q15" i="23"/>
  <c r="R34" i="22"/>
  <c r="S34" i="22"/>
  <c r="V34" i="22"/>
  <c r="T34" i="22"/>
  <c r="U34" i="22"/>
  <c r="W34" i="22" s="1"/>
  <c r="M34" i="22"/>
  <c r="O34" i="22"/>
  <c r="V37" i="22"/>
  <c r="U37" i="22"/>
  <c r="W37" i="22" s="1"/>
  <c r="T37" i="22"/>
  <c r="S37" i="22"/>
  <c r="R37" i="22"/>
  <c r="O37" i="22"/>
  <c r="M37" i="22"/>
  <c r="R33" i="22"/>
  <c r="U33" i="22"/>
  <c r="W33" i="22" s="1"/>
  <c r="S33" i="22"/>
  <c r="T33" i="22"/>
  <c r="V33" i="22"/>
  <c r="M33" i="22"/>
  <c r="O33" i="22"/>
  <c r="J32" i="22"/>
  <c r="L32" i="22" s="1"/>
  <c r="O24" i="22"/>
  <c r="M24" i="22" s="1"/>
  <c r="J25" i="22"/>
  <c r="L25" i="22" s="1"/>
  <c r="S25" i="22" s="1"/>
  <c r="O26" i="22"/>
  <c r="M26" i="22" s="1"/>
  <c r="W26" i="22"/>
  <c r="S26" i="22"/>
  <c r="O27" i="22"/>
  <c r="N27" i="22" s="1"/>
  <c r="S27" i="22"/>
  <c r="R27" i="22"/>
  <c r="V27" i="22"/>
  <c r="U27" i="22"/>
  <c r="W27" i="22" s="1"/>
  <c r="T27" i="22"/>
  <c r="P27" i="22"/>
  <c r="M27" i="22"/>
  <c r="S24" i="22"/>
  <c r="F23" i="22"/>
  <c r="H23" i="22"/>
  <c r="J23" i="22" s="1"/>
  <c r="L23" i="22" s="1"/>
  <c r="F18" i="22"/>
  <c r="F19" i="22"/>
  <c r="F20" i="22"/>
  <c r="F21" i="22"/>
  <c r="F22" i="22"/>
  <c r="H22" i="22"/>
  <c r="J22" i="22" s="1"/>
  <c r="L22" i="22" s="1"/>
  <c r="H21" i="22"/>
  <c r="J21" i="22" s="1"/>
  <c r="L21" i="22" s="1"/>
  <c r="H20" i="22"/>
  <c r="G20" i="22" s="1"/>
  <c r="H19" i="22"/>
  <c r="J19" i="22" s="1"/>
  <c r="L19" i="22" s="1"/>
  <c r="H18" i="22"/>
  <c r="G18" i="22" s="1"/>
  <c r="H17" i="22"/>
  <c r="G17" i="22" s="1"/>
  <c r="J16" i="22"/>
  <c r="L16" i="22" s="1"/>
  <c r="H16" i="22"/>
  <c r="G16" i="22" s="1"/>
  <c r="H15" i="22"/>
  <c r="J15" i="22" s="1"/>
  <c r="L15" i="22" s="1"/>
  <c r="M15" i="22" s="1"/>
  <c r="AE19" i="21"/>
  <c r="AH49" i="20"/>
  <c r="AH39" i="20"/>
  <c r="AH41" i="20"/>
  <c r="AG41" i="20" s="1"/>
  <c r="AH22" i="20"/>
  <c r="Q40" i="22"/>
  <c r="AB48" i="21"/>
  <c r="N52" i="21"/>
  <c r="P52" i="21" s="1"/>
  <c r="H52" i="21"/>
  <c r="I52" i="21"/>
  <c r="J52" i="21"/>
  <c r="K52" i="21"/>
  <c r="L52" i="21"/>
  <c r="H51" i="21"/>
  <c r="K51" i="21"/>
  <c r="L51" i="21"/>
  <c r="N51" i="21" s="1"/>
  <c r="P51" i="21" s="1"/>
  <c r="AE51" i="21" s="1"/>
  <c r="H50" i="21"/>
  <c r="I50" i="21"/>
  <c r="K50" i="21"/>
  <c r="L50" i="21"/>
  <c r="AB50" i="21" s="1"/>
  <c r="H49" i="21"/>
  <c r="I49" i="21"/>
  <c r="K49" i="21"/>
  <c r="L49" i="21"/>
  <c r="N49" i="21"/>
  <c r="P49" i="21" s="1"/>
  <c r="H45" i="21"/>
  <c r="I45" i="21"/>
  <c r="K45" i="21"/>
  <c r="L45" i="21"/>
  <c r="J45" i="21" s="1"/>
  <c r="N45" i="21"/>
  <c r="P45" i="21" s="1"/>
  <c r="AE45" i="21" s="1"/>
  <c r="H48" i="21"/>
  <c r="AE48" i="21" s="1"/>
  <c r="AD48" i="21" s="1"/>
  <c r="I48" i="21"/>
  <c r="J48" i="21"/>
  <c r="K48" i="21"/>
  <c r="L48" i="21"/>
  <c r="N48" i="21"/>
  <c r="P48" i="21" s="1"/>
  <c r="AH48" i="21" s="1"/>
  <c r="H47" i="21"/>
  <c r="I47" i="21"/>
  <c r="J47" i="21"/>
  <c r="K47" i="21"/>
  <c r="L47" i="21"/>
  <c r="N47" i="21"/>
  <c r="P47" i="21" s="1"/>
  <c r="H46" i="21"/>
  <c r="I46" i="21"/>
  <c r="J46" i="21"/>
  <c r="K46" i="21"/>
  <c r="L46" i="21"/>
  <c r="N46" i="21"/>
  <c r="P46" i="21" s="1"/>
  <c r="N44" i="21"/>
  <c r="P44" i="21" s="1"/>
  <c r="AE44" i="21" s="1"/>
  <c r="AD44" i="21" s="1"/>
  <c r="H44" i="21"/>
  <c r="I44" i="21"/>
  <c r="K44" i="21"/>
  <c r="L44" i="21"/>
  <c r="J44" i="21" s="1"/>
  <c r="H43" i="21"/>
  <c r="I43" i="21"/>
  <c r="K43" i="21"/>
  <c r="L43" i="21"/>
  <c r="AB43" i="21" s="1"/>
  <c r="H42" i="21"/>
  <c r="K42" i="21"/>
  <c r="L42" i="21"/>
  <c r="AB42" i="21" s="1"/>
  <c r="H41" i="21"/>
  <c r="K41" i="21"/>
  <c r="L41" i="21"/>
  <c r="AB41" i="21" s="1"/>
  <c r="L40" i="21"/>
  <c r="J40" i="21" s="1"/>
  <c r="K40" i="21"/>
  <c r="H40" i="21"/>
  <c r="H37" i="21"/>
  <c r="K37" i="21"/>
  <c r="L37" i="21"/>
  <c r="I37" i="21" s="1"/>
  <c r="H36" i="21"/>
  <c r="K36" i="21"/>
  <c r="L36" i="21"/>
  <c r="J36" i="21" s="1"/>
  <c r="H35" i="21"/>
  <c r="K35" i="21"/>
  <c r="L35" i="21"/>
  <c r="N35" i="21" s="1"/>
  <c r="P35" i="21" s="1"/>
  <c r="AE35" i="21" s="1"/>
  <c r="H34" i="21"/>
  <c r="K34" i="21"/>
  <c r="L34" i="21"/>
  <c r="J34" i="21" s="1"/>
  <c r="H33" i="21"/>
  <c r="I33" i="21"/>
  <c r="K33" i="21"/>
  <c r="L33" i="21"/>
  <c r="AB33" i="21" s="1"/>
  <c r="H32" i="21"/>
  <c r="I32" i="21"/>
  <c r="J32" i="21"/>
  <c r="K32" i="21"/>
  <c r="L32" i="21"/>
  <c r="N32" i="21"/>
  <c r="P32" i="21" s="1"/>
  <c r="H31" i="21"/>
  <c r="I31" i="21"/>
  <c r="J31" i="21"/>
  <c r="K31" i="21"/>
  <c r="L31" i="21"/>
  <c r="N31" i="21"/>
  <c r="P31" i="21" s="1"/>
  <c r="N30" i="21"/>
  <c r="P30" i="21" s="1"/>
  <c r="AE30" i="21" s="1"/>
  <c r="H30" i="21"/>
  <c r="I30" i="21"/>
  <c r="K30" i="21"/>
  <c r="L30" i="21"/>
  <c r="J30" i="21" s="1"/>
  <c r="H29" i="21"/>
  <c r="K29" i="21"/>
  <c r="L29" i="21"/>
  <c r="N29" i="21" s="1"/>
  <c r="P29" i="21" s="1"/>
  <c r="AE29" i="21" s="1"/>
  <c r="H28" i="21"/>
  <c r="K28" i="21"/>
  <c r="L28" i="21"/>
  <c r="J28" i="21" s="1"/>
  <c r="L27" i="21"/>
  <c r="I27" i="21" s="1"/>
  <c r="K27" i="21"/>
  <c r="H27" i="21"/>
  <c r="H24" i="21"/>
  <c r="K24" i="21"/>
  <c r="L24" i="21"/>
  <c r="I24" i="21" s="1"/>
  <c r="N23" i="21"/>
  <c r="P23" i="21" s="1"/>
  <c r="AE23" i="21" s="1"/>
  <c r="L23" i="21"/>
  <c r="AB23" i="21" s="1"/>
  <c r="K23" i="21"/>
  <c r="I23" i="21"/>
  <c r="H23" i="21"/>
  <c r="AB19" i="21"/>
  <c r="H20" i="21"/>
  <c r="K20" i="21"/>
  <c r="L20" i="21"/>
  <c r="AB20" i="21" s="1"/>
  <c r="N19" i="21"/>
  <c r="P19" i="21" s="1"/>
  <c r="H19" i="21"/>
  <c r="K19" i="21"/>
  <c r="L19" i="21"/>
  <c r="I19" i="21" s="1"/>
  <c r="H18" i="21"/>
  <c r="K18" i="21"/>
  <c r="L18" i="21"/>
  <c r="N18" i="21" s="1"/>
  <c r="P18" i="21" s="1"/>
  <c r="AE18" i="21" s="1"/>
  <c r="H17" i="21"/>
  <c r="K17" i="21"/>
  <c r="L17" i="21"/>
  <c r="I17" i="21" s="1"/>
  <c r="H16" i="21"/>
  <c r="L16" i="21"/>
  <c r="I16" i="21" s="1"/>
  <c r="N15" i="21"/>
  <c r="P15" i="21" s="1"/>
  <c r="AE15" i="21" s="1"/>
  <c r="AD15" i="21" s="1"/>
  <c r="H15" i="21"/>
  <c r="K15" i="21"/>
  <c r="L15" i="21"/>
  <c r="U55" i="21"/>
  <c r="AE36" i="20"/>
  <c r="AE39" i="20"/>
  <c r="AE40" i="20"/>
  <c r="AE41" i="20"/>
  <c r="AE42" i="20"/>
  <c r="AE45" i="20"/>
  <c r="AE34" i="20"/>
  <c r="H49" i="20"/>
  <c r="K49" i="20"/>
  <c r="L49" i="20"/>
  <c r="AC49" i="20" s="1"/>
  <c r="N49" i="20"/>
  <c r="P49" i="20" s="1"/>
  <c r="N48" i="20"/>
  <c r="P48" i="20" s="1"/>
  <c r="AH48" i="20" s="1"/>
  <c r="H48" i="20"/>
  <c r="I48" i="20"/>
  <c r="K48" i="20"/>
  <c r="L48" i="20"/>
  <c r="AE48" i="20" s="1"/>
  <c r="H47" i="20"/>
  <c r="I47" i="20"/>
  <c r="K47" i="20"/>
  <c r="L47" i="20"/>
  <c r="AE47" i="20" s="1"/>
  <c r="H46" i="20"/>
  <c r="I46" i="20"/>
  <c r="K46" i="20"/>
  <c r="L46" i="20"/>
  <c r="AE46" i="20" s="1"/>
  <c r="H45" i="20"/>
  <c r="I45" i="20"/>
  <c r="J45" i="20"/>
  <c r="K45" i="20"/>
  <c r="L45" i="20"/>
  <c r="AC45" i="20" s="1"/>
  <c r="N45" i="20"/>
  <c r="P45" i="20" s="1"/>
  <c r="N44" i="20"/>
  <c r="P44" i="20" s="1"/>
  <c r="H44" i="20"/>
  <c r="I44" i="20"/>
  <c r="J44" i="20"/>
  <c r="K44" i="20"/>
  <c r="L44" i="20"/>
  <c r="H43" i="20"/>
  <c r="I43" i="20"/>
  <c r="J43" i="20"/>
  <c r="K43" i="20"/>
  <c r="L43" i="20"/>
  <c r="N43" i="20"/>
  <c r="P43" i="20" s="1"/>
  <c r="N42" i="20"/>
  <c r="P42" i="20" s="1"/>
  <c r="AH42" i="20" s="1"/>
  <c r="H42" i="20"/>
  <c r="I42" i="20"/>
  <c r="J42" i="20"/>
  <c r="K42" i="20"/>
  <c r="L42" i="20"/>
  <c r="AC42" i="20" s="1"/>
  <c r="H41" i="20"/>
  <c r="I41" i="20"/>
  <c r="J41" i="20"/>
  <c r="K41" i="20"/>
  <c r="L41" i="20"/>
  <c r="N41" i="20" s="1"/>
  <c r="P41" i="20" s="1"/>
  <c r="AC41" i="20"/>
  <c r="H40" i="20"/>
  <c r="I40" i="20"/>
  <c r="J40" i="20"/>
  <c r="K40" i="20"/>
  <c r="L40" i="20"/>
  <c r="AC40" i="20" s="1"/>
  <c r="H39" i="20"/>
  <c r="I39" i="20"/>
  <c r="J39" i="20"/>
  <c r="K39" i="20"/>
  <c r="L39" i="20"/>
  <c r="AC39" i="20" s="1"/>
  <c r="N39" i="20"/>
  <c r="P39" i="20" s="1"/>
  <c r="N38" i="20"/>
  <c r="P38" i="20" s="1"/>
  <c r="H38" i="20"/>
  <c r="K38" i="20"/>
  <c r="L38" i="20"/>
  <c r="AC38" i="20" s="1"/>
  <c r="H37" i="20"/>
  <c r="K37" i="20"/>
  <c r="L37" i="20"/>
  <c r="I37" i="20" s="1"/>
  <c r="N36" i="20"/>
  <c r="P36" i="20" s="1"/>
  <c r="AA36" i="20" s="1"/>
  <c r="H36" i="20"/>
  <c r="I36" i="20"/>
  <c r="J36" i="20"/>
  <c r="K36" i="20"/>
  <c r="L36" i="20"/>
  <c r="AC36" i="20" s="1"/>
  <c r="N35" i="20"/>
  <c r="P35" i="20" s="1"/>
  <c r="H35" i="20"/>
  <c r="K35" i="20"/>
  <c r="L35" i="20"/>
  <c r="AE35" i="20" s="1"/>
  <c r="L34" i="20"/>
  <c r="N34" i="20" s="1"/>
  <c r="P34" i="20" s="1"/>
  <c r="J34" i="20"/>
  <c r="I34" i="20"/>
  <c r="H34" i="20"/>
  <c r="AE25" i="20"/>
  <c r="AE28" i="20"/>
  <c r="N30" i="20"/>
  <c r="P30" i="20" s="1"/>
  <c r="AK30" i="20" s="1"/>
  <c r="H30" i="20"/>
  <c r="I30" i="20"/>
  <c r="K30" i="20"/>
  <c r="L30" i="20"/>
  <c r="J30" i="20" s="1"/>
  <c r="H29" i="20"/>
  <c r="I29" i="20"/>
  <c r="K29" i="20"/>
  <c r="L29" i="20"/>
  <c r="AC29" i="20" s="1"/>
  <c r="H28" i="20"/>
  <c r="I28" i="20"/>
  <c r="J28" i="20"/>
  <c r="K28" i="20"/>
  <c r="L28" i="20"/>
  <c r="AC28" i="20" s="1"/>
  <c r="N28" i="20"/>
  <c r="P28" i="20" s="1"/>
  <c r="H27" i="20"/>
  <c r="I27" i="20"/>
  <c r="J27" i="20"/>
  <c r="K27" i="20"/>
  <c r="L27" i="20"/>
  <c r="N27" i="20"/>
  <c r="P27" i="20" s="1"/>
  <c r="H26" i="20"/>
  <c r="I26" i="20"/>
  <c r="J26" i="20"/>
  <c r="K26" i="20"/>
  <c r="L26" i="20"/>
  <c r="N26" i="20"/>
  <c r="P26" i="20" s="1"/>
  <c r="N25" i="20"/>
  <c r="P25" i="20" s="1"/>
  <c r="AK25" i="20" s="1"/>
  <c r="H25" i="20"/>
  <c r="I25" i="20"/>
  <c r="J25" i="20"/>
  <c r="K25" i="20"/>
  <c r="L25" i="20"/>
  <c r="AC25" i="20" s="1"/>
  <c r="H24" i="20"/>
  <c r="I24" i="20"/>
  <c r="K24" i="20"/>
  <c r="L24" i="20"/>
  <c r="N24" i="20" s="1"/>
  <c r="P24" i="20" s="1"/>
  <c r="AH24" i="20" s="1"/>
  <c r="H23" i="20"/>
  <c r="K23" i="20"/>
  <c r="L23" i="20"/>
  <c r="J23" i="20" s="1"/>
  <c r="N22" i="20"/>
  <c r="P22" i="20" s="1"/>
  <c r="H22" i="20"/>
  <c r="K22" i="20"/>
  <c r="L22" i="20"/>
  <c r="I22" i="20" s="1"/>
  <c r="H21" i="20"/>
  <c r="K21" i="20"/>
  <c r="L21" i="20"/>
  <c r="J21" i="20" s="1"/>
  <c r="W42" i="27" l="1"/>
  <c r="AD19" i="21"/>
  <c r="AF19" i="21"/>
  <c r="AD35" i="21"/>
  <c r="AF35" i="21"/>
  <c r="P27" i="25"/>
  <c r="O27" i="25"/>
  <c r="R27" i="25"/>
  <c r="AH34" i="20"/>
  <c r="AG28" i="20"/>
  <c r="AH28" i="20"/>
  <c r="AD23" i="21"/>
  <c r="AF23" i="21"/>
  <c r="AB49" i="21"/>
  <c r="AG49" i="21" s="1"/>
  <c r="AE49" i="21"/>
  <c r="AD51" i="21"/>
  <c r="AF51" i="21"/>
  <c r="AI45" i="20"/>
  <c r="AH45" i="20"/>
  <c r="AD18" i="21"/>
  <c r="AF18" i="21"/>
  <c r="AD30" i="21"/>
  <c r="AF30" i="21"/>
  <c r="AD29" i="21"/>
  <c r="AF29" i="21"/>
  <c r="AD45" i="21"/>
  <c r="AF45" i="21"/>
  <c r="AH38" i="20"/>
  <c r="R21" i="23"/>
  <c r="T50" i="23"/>
  <c r="Q50" i="23"/>
  <c r="P29" i="23"/>
  <c r="AH30" i="20"/>
  <c r="AH25" i="20"/>
  <c r="AI39" i="20"/>
  <c r="AH36" i="20"/>
  <c r="O25" i="23"/>
  <c r="N26" i="22"/>
  <c r="R51" i="23"/>
  <c r="T35" i="25"/>
  <c r="O28" i="25"/>
  <c r="R28" i="25"/>
  <c r="P28" i="25"/>
  <c r="O29" i="25"/>
  <c r="R29" i="25"/>
  <c r="P29" i="25"/>
  <c r="O21" i="25"/>
  <c r="R21" i="25"/>
  <c r="P21" i="25"/>
  <c r="O20" i="25"/>
  <c r="O35" i="25" s="1"/>
  <c r="P20" i="25"/>
  <c r="R20" i="25"/>
  <c r="R21" i="24"/>
  <c r="O27" i="24"/>
  <c r="R27" i="24"/>
  <c r="P27" i="24"/>
  <c r="O29" i="24"/>
  <c r="R29" i="24"/>
  <c r="P29" i="24"/>
  <c r="R20" i="24"/>
  <c r="P20" i="24"/>
  <c r="O20" i="24"/>
  <c r="T15" i="24"/>
  <c r="T35" i="24" s="1"/>
  <c r="Q15" i="24"/>
  <c r="O15" i="24" s="1"/>
  <c r="U33" i="23"/>
  <c r="Q33" i="23"/>
  <c r="T33" i="23"/>
  <c r="O28" i="23"/>
  <c r="R28" i="23"/>
  <c r="U36" i="23"/>
  <c r="T36" i="23"/>
  <c r="Q36" i="23"/>
  <c r="U16" i="23"/>
  <c r="Q16" i="23"/>
  <c r="Q60" i="23" s="1"/>
  <c r="T16" i="23"/>
  <c r="T60" i="23" s="1"/>
  <c r="Q55" i="23"/>
  <c r="T55" i="23"/>
  <c r="U55" i="23"/>
  <c r="U41" i="23"/>
  <c r="T41" i="23"/>
  <c r="Q41" i="23"/>
  <c r="U18" i="23"/>
  <c r="Q18" i="23"/>
  <c r="T18" i="23"/>
  <c r="O17" i="23"/>
  <c r="R17" i="23"/>
  <c r="Q26" i="23"/>
  <c r="U26" i="23"/>
  <c r="T26" i="23"/>
  <c r="O32" i="23"/>
  <c r="Q58" i="23"/>
  <c r="U58" i="23"/>
  <c r="T58" i="23"/>
  <c r="P17" i="23"/>
  <c r="P32" i="23"/>
  <c r="P54" i="23"/>
  <c r="O42" i="23"/>
  <c r="R42" i="23"/>
  <c r="O22" i="23"/>
  <c r="R22" i="23"/>
  <c r="O48" i="23"/>
  <c r="R48" i="23"/>
  <c r="O37" i="23"/>
  <c r="P37" i="23"/>
  <c r="R37" i="23"/>
  <c r="O27" i="23"/>
  <c r="R27" i="23"/>
  <c r="O20" i="23"/>
  <c r="P20" i="23"/>
  <c r="R20" i="23"/>
  <c r="O19" i="23"/>
  <c r="P19" i="23"/>
  <c r="R19" i="23"/>
  <c r="P15" i="23"/>
  <c r="O15" i="23"/>
  <c r="R15" i="23"/>
  <c r="O25" i="22"/>
  <c r="O32" i="22"/>
  <c r="U32" i="22"/>
  <c r="W32" i="22" s="1"/>
  <c r="V32" i="22"/>
  <c r="T32" i="22"/>
  <c r="S32" i="22"/>
  <c r="R32" i="22"/>
  <c r="P33" i="22"/>
  <c r="N33" i="22"/>
  <c r="M25" i="22"/>
  <c r="N34" i="22"/>
  <c r="P34" i="22"/>
  <c r="W25" i="22"/>
  <c r="M32" i="22"/>
  <c r="J18" i="22"/>
  <c r="L18" i="22" s="1"/>
  <c r="U18" i="22" s="1"/>
  <c r="W18" i="22" s="1"/>
  <c r="G22" i="22"/>
  <c r="P37" i="22"/>
  <c r="N37" i="22"/>
  <c r="G15" i="22"/>
  <c r="S15" i="22" s="1"/>
  <c r="J20" i="22"/>
  <c r="L20" i="22" s="1"/>
  <c r="R20" i="22" s="1"/>
  <c r="M16" i="22"/>
  <c r="S16" i="22"/>
  <c r="T16" i="22"/>
  <c r="U16" i="22"/>
  <c r="W16" i="22" s="1"/>
  <c r="V16" i="22"/>
  <c r="R16" i="22"/>
  <c r="J17" i="22"/>
  <c r="L17" i="22" s="1"/>
  <c r="G21" i="22"/>
  <c r="S21" i="22" s="1"/>
  <c r="V18" i="22"/>
  <c r="G19" i="22"/>
  <c r="S19" i="22" s="1"/>
  <c r="P26" i="22"/>
  <c r="G23" i="22"/>
  <c r="S23" i="22" s="1"/>
  <c r="N24" i="22"/>
  <c r="P24" i="22"/>
  <c r="M23" i="22"/>
  <c r="O23" i="22"/>
  <c r="W23" i="22"/>
  <c r="O22" i="22"/>
  <c r="M22" i="22"/>
  <c r="T22" i="22"/>
  <c r="S22" i="22"/>
  <c r="U22" i="22"/>
  <c r="W22" i="22" s="1"/>
  <c r="R22" i="22"/>
  <c r="V22" i="22"/>
  <c r="U21" i="22"/>
  <c r="W21" i="22" s="1"/>
  <c r="O21" i="22"/>
  <c r="M21" i="22"/>
  <c r="R21" i="22"/>
  <c r="T21" i="22"/>
  <c r="V21" i="22"/>
  <c r="T19" i="22"/>
  <c r="M19" i="22"/>
  <c r="O19" i="22"/>
  <c r="R19" i="22"/>
  <c r="U19" i="22"/>
  <c r="W19" i="22" s="1"/>
  <c r="V19" i="22"/>
  <c r="U15" i="22"/>
  <c r="V15" i="22"/>
  <c r="T15" i="22"/>
  <c r="AF48" i="21"/>
  <c r="AF44" i="21"/>
  <c r="AF20" i="21"/>
  <c r="AF15" i="21"/>
  <c r="AI34" i="20"/>
  <c r="AG34" i="20"/>
  <c r="AG42" i="20"/>
  <c r="AI42" i="20"/>
  <c r="AI30" i="20"/>
  <c r="AG30" i="20"/>
  <c r="AE49" i="20"/>
  <c r="AJ49" i="20" s="1"/>
  <c r="AC23" i="20"/>
  <c r="AG45" i="20"/>
  <c r="AG39" i="20"/>
  <c r="AI41" i="20"/>
  <c r="AI28" i="20"/>
  <c r="I38" i="20"/>
  <c r="AC48" i="20"/>
  <c r="J47" i="20"/>
  <c r="AE37" i="20"/>
  <c r="AJ37" i="20" s="1"/>
  <c r="J49" i="20"/>
  <c r="N47" i="20"/>
  <c r="P47" i="20" s="1"/>
  <c r="AJ47" i="20" s="1"/>
  <c r="I49" i="20"/>
  <c r="W49" i="20" s="1"/>
  <c r="AC47" i="20"/>
  <c r="N46" i="20"/>
  <c r="P46" i="20" s="1"/>
  <c r="AH46" i="20" s="1"/>
  <c r="AB27" i="21"/>
  <c r="W32" i="21"/>
  <c r="N37" i="21"/>
  <c r="P37" i="21" s="1"/>
  <c r="AE37" i="21" s="1"/>
  <c r="N43" i="21"/>
  <c r="P43" i="21" s="1"/>
  <c r="N50" i="21"/>
  <c r="P50" i="21" s="1"/>
  <c r="AH50" i="21" s="1"/>
  <c r="J23" i="21"/>
  <c r="W23" i="21" s="1"/>
  <c r="AB34" i="21"/>
  <c r="I15" i="21"/>
  <c r="V15" i="21" s="1"/>
  <c r="J43" i="21"/>
  <c r="J49" i="21"/>
  <c r="W49" i="21" s="1"/>
  <c r="AB18" i="21"/>
  <c r="AG18" i="21" s="1"/>
  <c r="J27" i="21"/>
  <c r="W27" i="21" s="1"/>
  <c r="AB28" i="21"/>
  <c r="N41" i="21"/>
  <c r="P41" i="21" s="1"/>
  <c r="AB15" i="21"/>
  <c r="AB44" i="21"/>
  <c r="AG44" i="21" s="1"/>
  <c r="I41" i="21"/>
  <c r="N27" i="21"/>
  <c r="P27" i="21" s="1"/>
  <c r="J15" i="21"/>
  <c r="W15" i="21" s="1"/>
  <c r="W47" i="21"/>
  <c r="AG47" i="21"/>
  <c r="I36" i="21"/>
  <c r="J42" i="21"/>
  <c r="I34" i="21"/>
  <c r="I42" i="21"/>
  <c r="S30" i="21"/>
  <c r="AC30" i="21" s="1"/>
  <c r="J50" i="21"/>
  <c r="W50" i="21" s="1"/>
  <c r="N34" i="21"/>
  <c r="P34" i="21" s="1"/>
  <c r="N42" i="21"/>
  <c r="P42" i="21" s="1"/>
  <c r="AB36" i="21"/>
  <c r="AG48" i="21"/>
  <c r="N36" i="21"/>
  <c r="P36" i="21" s="1"/>
  <c r="AG23" i="21"/>
  <c r="N33" i="21"/>
  <c r="P33" i="21" s="1"/>
  <c r="S49" i="21"/>
  <c r="Q49" i="21" s="1"/>
  <c r="AG15" i="21"/>
  <c r="AK22" i="20"/>
  <c r="AA22" i="20"/>
  <c r="AB22" i="20"/>
  <c r="S22" i="20"/>
  <c r="Q22" i="20" s="1"/>
  <c r="AE29" i="20"/>
  <c r="AC21" i="20"/>
  <c r="N23" i="20"/>
  <c r="P23" i="20" s="1"/>
  <c r="AH23" i="20" s="1"/>
  <c r="J29" i="20"/>
  <c r="AJ25" i="20"/>
  <c r="J38" i="20"/>
  <c r="X38" i="20" s="1"/>
  <c r="N40" i="20"/>
  <c r="P40" i="20" s="1"/>
  <c r="AH40" i="20" s="1"/>
  <c r="J48" i="20"/>
  <c r="AC34" i="20"/>
  <c r="J46" i="20"/>
  <c r="X27" i="20"/>
  <c r="N37" i="20"/>
  <c r="P37" i="20" s="1"/>
  <c r="AH37" i="20" s="1"/>
  <c r="AC46" i="20"/>
  <c r="N29" i="20"/>
  <c r="P29" i="20" s="1"/>
  <c r="AH29" i="20" s="1"/>
  <c r="AE30" i="20"/>
  <c r="AJ30" i="20" s="1"/>
  <c r="AC37" i="20"/>
  <c r="Y45" i="21"/>
  <c r="Z45" i="21"/>
  <c r="W45" i="21"/>
  <c r="X45" i="21"/>
  <c r="S45" i="21"/>
  <c r="T45" i="21" s="1"/>
  <c r="AH45" i="21"/>
  <c r="V45" i="21"/>
  <c r="S18" i="21"/>
  <c r="AC18" i="21" s="1"/>
  <c r="Z18" i="21"/>
  <c r="X18" i="21"/>
  <c r="AH18" i="21"/>
  <c r="Y18" i="21"/>
  <c r="Z44" i="21"/>
  <c r="X44" i="21"/>
  <c r="AH44" i="21"/>
  <c r="S44" i="21"/>
  <c r="R44" i="21" s="1"/>
  <c r="V44" i="21"/>
  <c r="Y44" i="21"/>
  <c r="W44" i="21"/>
  <c r="AG52" i="21"/>
  <c r="W52" i="21"/>
  <c r="W46" i="21"/>
  <c r="AG46" i="21"/>
  <c r="S23" i="21"/>
  <c r="AC23" i="21" s="1"/>
  <c r="Y23" i="21"/>
  <c r="X23" i="21"/>
  <c r="Z23" i="21"/>
  <c r="V23" i="21"/>
  <c r="AH23" i="21"/>
  <c r="S51" i="21"/>
  <c r="AC51" i="21" s="1"/>
  <c r="X51" i="21"/>
  <c r="Y51" i="21"/>
  <c r="AH51" i="21"/>
  <c r="Z51" i="21"/>
  <c r="S29" i="21"/>
  <c r="AC29" i="21" s="1"/>
  <c r="Z29" i="21"/>
  <c r="X29" i="21"/>
  <c r="AH29" i="21"/>
  <c r="Y29" i="21"/>
  <c r="Z19" i="21"/>
  <c r="X19" i="21"/>
  <c r="Y19" i="21"/>
  <c r="AH19" i="21"/>
  <c r="S19" i="21"/>
  <c r="V19" i="21"/>
  <c r="N40" i="21"/>
  <c r="P40" i="21" s="1"/>
  <c r="AE40" i="21" s="1"/>
  <c r="AD40" i="21" s="1"/>
  <c r="AG32" i="21"/>
  <c r="J33" i="21"/>
  <c r="W48" i="21"/>
  <c r="J20" i="21"/>
  <c r="AH37" i="21"/>
  <c r="X48" i="21"/>
  <c r="Y49" i="21"/>
  <c r="N16" i="21"/>
  <c r="P16" i="21" s="1"/>
  <c r="AE16" i="21" s="1"/>
  <c r="AD16" i="21" s="1"/>
  <c r="N17" i="21"/>
  <c r="P17" i="21" s="1"/>
  <c r="AE17" i="21" s="1"/>
  <c r="I18" i="21"/>
  <c r="V18" i="21" s="1"/>
  <c r="I20" i="21"/>
  <c r="AB17" i="21"/>
  <c r="J29" i="21"/>
  <c r="W29" i="21" s="1"/>
  <c r="AB30" i="21"/>
  <c r="AG30" i="21" s="1"/>
  <c r="Y48" i="21"/>
  <c r="X49" i="21"/>
  <c r="N24" i="21"/>
  <c r="P24" i="21" s="1"/>
  <c r="AE24" i="21" s="1"/>
  <c r="AD24" i="21" s="1"/>
  <c r="AB24" i="21"/>
  <c r="Z49" i="21"/>
  <c r="J18" i="21"/>
  <c r="W18" i="21" s="1"/>
  <c r="I29" i="21"/>
  <c r="V29" i="21" s="1"/>
  <c r="J37" i="21"/>
  <c r="W37" i="21" s="1"/>
  <c r="AB37" i="21"/>
  <c r="Z48" i="21"/>
  <c r="AB40" i="21"/>
  <c r="AH49" i="21"/>
  <c r="AB45" i="21"/>
  <c r="AG45" i="21" s="1"/>
  <c r="AG19" i="21"/>
  <c r="AB35" i="21"/>
  <c r="AG35" i="21" s="1"/>
  <c r="S48" i="21"/>
  <c r="R48" i="21" s="1"/>
  <c r="N20" i="21"/>
  <c r="P20" i="21" s="1"/>
  <c r="AE20" i="21" s="1"/>
  <c r="AD20" i="21" s="1"/>
  <c r="N28" i="21"/>
  <c r="P28" i="21" s="1"/>
  <c r="AE28" i="21" s="1"/>
  <c r="AD28" i="21" s="1"/>
  <c r="AB29" i="21"/>
  <c r="AG29" i="21" s="1"/>
  <c r="I40" i="21"/>
  <c r="V49" i="21"/>
  <c r="V27" i="21"/>
  <c r="J51" i="21"/>
  <c r="W51" i="21" s="1"/>
  <c r="I35" i="21"/>
  <c r="V35" i="21" s="1"/>
  <c r="I51" i="21"/>
  <c r="V51" i="21" s="1"/>
  <c r="J19" i="21"/>
  <c r="W19" i="21" s="1"/>
  <c r="AB16" i="21"/>
  <c r="J41" i="21"/>
  <c r="J35" i="21"/>
  <c r="W35" i="21" s="1"/>
  <c r="AB51" i="21"/>
  <c r="AG51" i="21" s="1"/>
  <c r="V48" i="21"/>
  <c r="W31" i="21"/>
  <c r="X43" i="21"/>
  <c r="Y30" i="21"/>
  <c r="X30" i="21"/>
  <c r="W30" i="21"/>
  <c r="V30" i="21"/>
  <c r="S35" i="21"/>
  <c r="Z35" i="21"/>
  <c r="AH30" i="21"/>
  <c r="Z30" i="21"/>
  <c r="AH35" i="21"/>
  <c r="AG31" i="21"/>
  <c r="Y35" i="21"/>
  <c r="X35" i="21"/>
  <c r="Z37" i="21"/>
  <c r="V37" i="21"/>
  <c r="I28" i="21"/>
  <c r="J24" i="21"/>
  <c r="J17" i="21"/>
  <c r="J16" i="21"/>
  <c r="K16" i="21"/>
  <c r="Z15" i="21"/>
  <c r="Y15" i="21"/>
  <c r="X15" i="21"/>
  <c r="S15" i="21"/>
  <c r="R15" i="21" s="1"/>
  <c r="AH15" i="21"/>
  <c r="AA28" i="20"/>
  <c r="X28" i="20"/>
  <c r="Y28" i="20"/>
  <c r="W28" i="20"/>
  <c r="AK28" i="20"/>
  <c r="AB28" i="20"/>
  <c r="Y38" i="20"/>
  <c r="S38" i="20"/>
  <c r="AA38" i="20"/>
  <c r="AB38" i="20"/>
  <c r="AK38" i="20"/>
  <c r="W38" i="20"/>
  <c r="S34" i="20"/>
  <c r="AF34" i="20" s="1"/>
  <c r="W34" i="20"/>
  <c r="AK34" i="20"/>
  <c r="AA34" i="20"/>
  <c r="Y34" i="20"/>
  <c r="X34" i="20"/>
  <c r="S42" i="20"/>
  <c r="Q42" i="20" s="1"/>
  <c r="W42" i="20"/>
  <c r="X42" i="20"/>
  <c r="Y42" i="20"/>
  <c r="AK42" i="20"/>
  <c r="AA42" i="20"/>
  <c r="AB42" i="20"/>
  <c r="X44" i="20"/>
  <c r="X43" i="20"/>
  <c r="S45" i="20"/>
  <c r="AF45" i="20" s="1"/>
  <c r="AB45" i="20"/>
  <c r="AA45" i="20"/>
  <c r="Y45" i="20"/>
  <c r="AK45" i="20"/>
  <c r="X45" i="20"/>
  <c r="W45" i="20"/>
  <c r="W37" i="20"/>
  <c r="S35" i="20"/>
  <c r="R35" i="20" s="1"/>
  <c r="AJ35" i="20"/>
  <c r="Y35" i="20"/>
  <c r="AA35" i="20"/>
  <c r="AB35" i="20"/>
  <c r="S48" i="20"/>
  <c r="AF48" i="20" s="1"/>
  <c r="Y48" i="20"/>
  <c r="AB48" i="20"/>
  <c r="AA48" i="20"/>
  <c r="AK48" i="20"/>
  <c r="W48" i="20"/>
  <c r="S41" i="20"/>
  <c r="AF41" i="20" s="1"/>
  <c r="AA41" i="20"/>
  <c r="AK41" i="20"/>
  <c r="AJ26" i="20"/>
  <c r="X26" i="20"/>
  <c r="Y24" i="20"/>
  <c r="AB24" i="20"/>
  <c r="AA24" i="20"/>
  <c r="S24" i="20"/>
  <c r="R24" i="20" s="1"/>
  <c r="W24" i="20"/>
  <c r="AK24" i="20"/>
  <c r="AA39" i="20"/>
  <c r="AK39" i="20"/>
  <c r="AB39" i="20"/>
  <c r="S39" i="20"/>
  <c r="R39" i="20" s="1"/>
  <c r="W39" i="20"/>
  <c r="X39" i="20"/>
  <c r="Y39" i="20"/>
  <c r="AB49" i="20"/>
  <c r="S49" i="20"/>
  <c r="T49" i="20" s="1"/>
  <c r="Y49" i="20"/>
  <c r="AA49" i="20"/>
  <c r="AK49" i="20"/>
  <c r="AE24" i="20"/>
  <c r="AJ24" i="20" s="1"/>
  <c r="Y36" i="20"/>
  <c r="X30" i="20"/>
  <c r="X36" i="20"/>
  <c r="W22" i="20"/>
  <c r="AJ28" i="20"/>
  <c r="I23" i="20"/>
  <c r="AC24" i="20"/>
  <c r="S30" i="20"/>
  <c r="R30" i="20" s="1"/>
  <c r="AE22" i="20"/>
  <c r="AJ22" i="20" s="1"/>
  <c r="AC35" i="20"/>
  <c r="S36" i="20"/>
  <c r="Q36" i="20" s="1"/>
  <c r="AJ43" i="20"/>
  <c r="AJ39" i="20"/>
  <c r="AJ34" i="20"/>
  <c r="AC30" i="20"/>
  <c r="AC22" i="20"/>
  <c r="J24" i="20"/>
  <c r="X24" i="20" s="1"/>
  <c r="AB30" i="20"/>
  <c r="AE21" i="20"/>
  <c r="AB36" i="20"/>
  <c r="AJ42" i="20"/>
  <c r="AE38" i="20"/>
  <c r="AJ38" i="20" s="1"/>
  <c r="AJ45" i="20"/>
  <c r="I21" i="20"/>
  <c r="W30" i="20"/>
  <c r="K34" i="20"/>
  <c r="AB34" i="20" s="1"/>
  <c r="J35" i="20"/>
  <c r="X35" i="20" s="1"/>
  <c r="W36" i="20"/>
  <c r="AK36" i="20"/>
  <c r="AA30" i="20"/>
  <c r="Y22" i="20"/>
  <c r="AJ41" i="20"/>
  <c r="N21" i="20"/>
  <c r="P21" i="20" s="1"/>
  <c r="AH21" i="20" s="1"/>
  <c r="AE23" i="20"/>
  <c r="AJ36" i="20"/>
  <c r="Y30" i="20"/>
  <c r="I35" i="20"/>
  <c r="W35" i="20" s="1"/>
  <c r="AJ48" i="20"/>
  <c r="J22" i="20"/>
  <c r="X22" i="20" s="1"/>
  <c r="AJ27" i="20"/>
  <c r="AJ44" i="20"/>
  <c r="J37" i="20"/>
  <c r="R45" i="20"/>
  <c r="Q45" i="20"/>
  <c r="AB41" i="20"/>
  <c r="Y41" i="20"/>
  <c r="X41" i="20"/>
  <c r="W41" i="20"/>
  <c r="S28" i="20"/>
  <c r="AF28" i="20" s="1"/>
  <c r="S25" i="20"/>
  <c r="AF25" i="20" s="1"/>
  <c r="Y25" i="20"/>
  <c r="AA25" i="20"/>
  <c r="AB25" i="20"/>
  <c r="W25" i="20"/>
  <c r="X25" i="20"/>
  <c r="T24" i="20"/>
  <c r="N15" i="20"/>
  <c r="P15" i="20" s="1"/>
  <c r="V15" i="20" s="1"/>
  <c r="Z15" i="20" s="1"/>
  <c r="L15" i="20"/>
  <c r="AC15" i="20" s="1"/>
  <c r="U51" i="20"/>
  <c r="L20" i="20"/>
  <c r="AE20" i="20" s="1"/>
  <c r="K20" i="20"/>
  <c r="H20" i="20"/>
  <c r="N19" i="20"/>
  <c r="L16" i="20"/>
  <c r="AC83" i="5"/>
  <c r="AC88" i="5"/>
  <c r="AC109" i="5"/>
  <c r="H125" i="5"/>
  <c r="K125" i="5"/>
  <c r="L125" i="5"/>
  <c r="N125" i="5" s="1"/>
  <c r="P125" i="5" s="1"/>
  <c r="H124" i="5"/>
  <c r="K124" i="5"/>
  <c r="L124" i="5"/>
  <c r="AA124" i="5" s="1"/>
  <c r="H123" i="5"/>
  <c r="I123" i="5"/>
  <c r="K123" i="5"/>
  <c r="L123" i="5"/>
  <c r="AA123" i="5" s="1"/>
  <c r="H122" i="5"/>
  <c r="I122" i="5"/>
  <c r="K122" i="5"/>
  <c r="L122" i="5"/>
  <c r="N122" i="5" s="1"/>
  <c r="P122" i="5" s="1"/>
  <c r="H121" i="5"/>
  <c r="I121" i="5"/>
  <c r="K121" i="5"/>
  <c r="L121" i="5"/>
  <c r="N121" i="5" s="1"/>
  <c r="P121" i="5" s="1"/>
  <c r="H120" i="5"/>
  <c r="L120" i="5"/>
  <c r="AA120" i="5" s="1"/>
  <c r="H119" i="5"/>
  <c r="K119" i="5"/>
  <c r="L119" i="5"/>
  <c r="AA119" i="5" s="1"/>
  <c r="H118" i="5"/>
  <c r="L118" i="5"/>
  <c r="AA118" i="5" s="1"/>
  <c r="H117" i="5"/>
  <c r="K117" i="5"/>
  <c r="L117" i="5"/>
  <c r="N117" i="5" s="1"/>
  <c r="P117" i="5" s="1"/>
  <c r="H116" i="5"/>
  <c r="K116" i="5"/>
  <c r="L116" i="5"/>
  <c r="N116" i="5" s="1"/>
  <c r="P116" i="5" s="1"/>
  <c r="H115" i="5"/>
  <c r="K115" i="5"/>
  <c r="L115" i="5"/>
  <c r="I115" i="5" s="1"/>
  <c r="N114" i="5"/>
  <c r="P114" i="5" s="1"/>
  <c r="H114" i="5"/>
  <c r="K114" i="5"/>
  <c r="L114" i="5"/>
  <c r="I114" i="5" s="1"/>
  <c r="H113" i="5"/>
  <c r="K113" i="5"/>
  <c r="L113" i="5"/>
  <c r="N113" i="5" s="1"/>
  <c r="P113" i="5" s="1"/>
  <c r="N112" i="5"/>
  <c r="P112" i="5" s="1"/>
  <c r="H112" i="5"/>
  <c r="I112" i="5"/>
  <c r="K112" i="5"/>
  <c r="L112" i="5"/>
  <c r="J112" i="5" s="1"/>
  <c r="H111" i="5"/>
  <c r="I111" i="5"/>
  <c r="K111" i="5"/>
  <c r="L111" i="5"/>
  <c r="AA111" i="5" s="1"/>
  <c r="H110" i="5"/>
  <c r="I110" i="5"/>
  <c r="K110" i="5"/>
  <c r="L110" i="5"/>
  <c r="J110" i="5" s="1"/>
  <c r="H109" i="5"/>
  <c r="I109" i="5"/>
  <c r="J109" i="5"/>
  <c r="K109" i="5"/>
  <c r="L109" i="5"/>
  <c r="AA109" i="5" s="1"/>
  <c r="N109" i="5"/>
  <c r="P109" i="5" s="1"/>
  <c r="N108" i="5"/>
  <c r="P108" i="5" s="1"/>
  <c r="AH108" i="5" s="1"/>
  <c r="I108" i="5"/>
  <c r="J108" i="5"/>
  <c r="K108" i="5"/>
  <c r="L108" i="5"/>
  <c r="H108" i="5"/>
  <c r="N107" i="5"/>
  <c r="P107" i="5" s="1"/>
  <c r="AH107" i="5" s="1"/>
  <c r="I107" i="5"/>
  <c r="J107" i="5"/>
  <c r="K107" i="5"/>
  <c r="L107" i="5"/>
  <c r="H107" i="5"/>
  <c r="N106" i="5"/>
  <c r="P106" i="5" s="1"/>
  <c r="H106" i="5"/>
  <c r="I106" i="5"/>
  <c r="K106" i="5"/>
  <c r="L106" i="5"/>
  <c r="AA106" i="5" s="1"/>
  <c r="H105" i="5"/>
  <c r="I105" i="5"/>
  <c r="K105" i="5"/>
  <c r="L105" i="5"/>
  <c r="N105" i="5" s="1"/>
  <c r="P105" i="5" s="1"/>
  <c r="H104" i="5"/>
  <c r="K104" i="5"/>
  <c r="L104" i="5"/>
  <c r="AA104" i="5" s="1"/>
  <c r="H103" i="5"/>
  <c r="I103" i="5"/>
  <c r="K103" i="5"/>
  <c r="L103" i="5"/>
  <c r="N103" i="5" s="1"/>
  <c r="P103" i="5" s="1"/>
  <c r="AF103" i="5" s="1"/>
  <c r="AG103" i="5" s="1"/>
  <c r="H102" i="5"/>
  <c r="I102" i="5"/>
  <c r="K102" i="5"/>
  <c r="L102" i="5"/>
  <c r="AA102" i="5" s="1"/>
  <c r="H101" i="5"/>
  <c r="I101" i="5"/>
  <c r="K101" i="5"/>
  <c r="L101" i="5"/>
  <c r="J101" i="5" s="1"/>
  <c r="H100" i="5"/>
  <c r="I100" i="5"/>
  <c r="K100" i="5"/>
  <c r="L100" i="5"/>
  <c r="J100" i="5" s="1"/>
  <c r="N100" i="5"/>
  <c r="P100" i="5" s="1"/>
  <c r="AF100" i="5" s="1"/>
  <c r="AG100" i="5" s="1"/>
  <c r="N99" i="5"/>
  <c r="P99" i="5" s="1"/>
  <c r="H99" i="5"/>
  <c r="K99" i="5"/>
  <c r="L99" i="5"/>
  <c r="I99" i="5" s="1"/>
  <c r="H98" i="5"/>
  <c r="K98" i="5"/>
  <c r="L98" i="5"/>
  <c r="AA98" i="5" s="1"/>
  <c r="N97" i="5"/>
  <c r="P97" i="5" s="1"/>
  <c r="H97" i="5"/>
  <c r="K97" i="5"/>
  <c r="L97" i="5"/>
  <c r="AA97" i="5" s="1"/>
  <c r="H96" i="5"/>
  <c r="K96" i="5"/>
  <c r="L96" i="5"/>
  <c r="N96" i="5" s="1"/>
  <c r="P96" i="5" s="1"/>
  <c r="H95" i="5"/>
  <c r="K95" i="5"/>
  <c r="L95" i="5"/>
  <c r="J95" i="5" s="1"/>
  <c r="H94" i="5"/>
  <c r="K94" i="5"/>
  <c r="L94" i="5"/>
  <c r="N94" i="5" s="1"/>
  <c r="P94" i="5" s="1"/>
  <c r="H93" i="5"/>
  <c r="K93" i="5"/>
  <c r="L93" i="5"/>
  <c r="I93" i="5" s="1"/>
  <c r="N92" i="5"/>
  <c r="P92" i="5" s="1"/>
  <c r="H92" i="5"/>
  <c r="K92" i="5"/>
  <c r="L92" i="5"/>
  <c r="I92" i="5" s="1"/>
  <c r="H91" i="5"/>
  <c r="I91" i="5"/>
  <c r="K91" i="5"/>
  <c r="L91" i="5"/>
  <c r="AA91" i="5" s="1"/>
  <c r="N90" i="5"/>
  <c r="P90" i="5" s="1"/>
  <c r="AH90" i="5" s="1"/>
  <c r="I90" i="5"/>
  <c r="J90" i="5"/>
  <c r="K90" i="5"/>
  <c r="L90" i="5"/>
  <c r="H90" i="5"/>
  <c r="H89" i="5"/>
  <c r="I89" i="5"/>
  <c r="J89" i="5"/>
  <c r="K89" i="5"/>
  <c r="L89" i="5"/>
  <c r="N89" i="5"/>
  <c r="P89" i="5" s="1"/>
  <c r="N88" i="5"/>
  <c r="P88" i="5" s="1"/>
  <c r="H88" i="5"/>
  <c r="I88" i="5"/>
  <c r="J88" i="5"/>
  <c r="K88" i="5"/>
  <c r="L88" i="5"/>
  <c r="AA88" i="5" s="1"/>
  <c r="H87" i="5"/>
  <c r="I87" i="5"/>
  <c r="K87" i="5"/>
  <c r="L87" i="5"/>
  <c r="J87" i="5" s="1"/>
  <c r="H86" i="5"/>
  <c r="I86" i="5"/>
  <c r="K86" i="5"/>
  <c r="L86" i="5"/>
  <c r="AA86" i="5" s="1"/>
  <c r="N86" i="5"/>
  <c r="P86" i="5" s="1"/>
  <c r="N85" i="5"/>
  <c r="P85" i="5" s="1"/>
  <c r="AH85" i="5" s="1"/>
  <c r="H85" i="5"/>
  <c r="I85" i="5"/>
  <c r="J85" i="5"/>
  <c r="K85" i="5"/>
  <c r="L85" i="5"/>
  <c r="H84" i="5"/>
  <c r="I84" i="5"/>
  <c r="J84" i="5"/>
  <c r="K84" i="5"/>
  <c r="L84" i="5"/>
  <c r="N84" i="5"/>
  <c r="P84" i="5" s="1"/>
  <c r="AH84" i="5" s="1"/>
  <c r="N83" i="5"/>
  <c r="P83" i="5" s="1"/>
  <c r="H83" i="5"/>
  <c r="I83" i="5"/>
  <c r="J83" i="5"/>
  <c r="K83" i="5"/>
  <c r="L83" i="5"/>
  <c r="AA83" i="5" s="1"/>
  <c r="H82" i="5"/>
  <c r="I82" i="5"/>
  <c r="K82" i="5"/>
  <c r="L82" i="5"/>
  <c r="J82" i="5" s="1"/>
  <c r="H81" i="5"/>
  <c r="K81" i="5"/>
  <c r="L81" i="5"/>
  <c r="AA81" i="5" s="1"/>
  <c r="N80" i="5"/>
  <c r="P80" i="5" s="1"/>
  <c r="H80" i="5"/>
  <c r="K80" i="5"/>
  <c r="L80" i="5"/>
  <c r="AA80" i="5" s="1"/>
  <c r="H79" i="5"/>
  <c r="K79" i="5"/>
  <c r="L79" i="5"/>
  <c r="AA79" i="5" s="1"/>
  <c r="H78" i="5"/>
  <c r="K78" i="5"/>
  <c r="L78" i="5"/>
  <c r="AA78" i="5" s="1"/>
  <c r="H77" i="5"/>
  <c r="I77" i="5"/>
  <c r="K77" i="5"/>
  <c r="L77" i="5"/>
  <c r="J77" i="5" s="1"/>
  <c r="H76" i="5"/>
  <c r="I76" i="5"/>
  <c r="K76" i="5"/>
  <c r="L76" i="5"/>
  <c r="N76" i="5" s="1"/>
  <c r="P76" i="5" s="1"/>
  <c r="H75" i="5"/>
  <c r="K75" i="5"/>
  <c r="L75" i="5"/>
  <c r="N75" i="5" s="1"/>
  <c r="P75" i="5" s="1"/>
  <c r="AF75" i="5" s="1"/>
  <c r="H74" i="5"/>
  <c r="K74" i="5"/>
  <c r="L74" i="5"/>
  <c r="I74" i="5" s="1"/>
  <c r="H73" i="5"/>
  <c r="L73" i="5"/>
  <c r="AA73" i="5" s="1"/>
  <c r="H72" i="5"/>
  <c r="K72" i="5"/>
  <c r="L72" i="5"/>
  <c r="I72" i="5" s="1"/>
  <c r="H71" i="5"/>
  <c r="K71" i="5"/>
  <c r="L71" i="5"/>
  <c r="J71" i="5" s="1"/>
  <c r="L70" i="5"/>
  <c r="AA70" i="5" s="1"/>
  <c r="K70" i="5"/>
  <c r="H70" i="5"/>
  <c r="AC23" i="5"/>
  <c r="AC30" i="5"/>
  <c r="AC36" i="5"/>
  <c r="AC48" i="5"/>
  <c r="J23" i="5"/>
  <c r="J28" i="5"/>
  <c r="J29" i="5"/>
  <c r="J30" i="5"/>
  <c r="J34" i="5"/>
  <c r="J35" i="5"/>
  <c r="J36" i="5"/>
  <c r="J48" i="5"/>
  <c r="J49" i="5"/>
  <c r="J50" i="5"/>
  <c r="H50" i="5"/>
  <c r="I50" i="5"/>
  <c r="K50" i="5"/>
  <c r="L50" i="5"/>
  <c r="N50" i="5"/>
  <c r="P50" i="5" s="1"/>
  <c r="H49" i="5"/>
  <c r="I49" i="5"/>
  <c r="K49" i="5"/>
  <c r="L49" i="5"/>
  <c r="N49" i="5"/>
  <c r="P49" i="5" s="1"/>
  <c r="H35" i="5"/>
  <c r="I35" i="5"/>
  <c r="K35" i="5"/>
  <c r="L35" i="5"/>
  <c r="N35" i="5"/>
  <c r="P35" i="5" s="1"/>
  <c r="H34" i="5"/>
  <c r="I34" i="5"/>
  <c r="K34" i="5"/>
  <c r="L34" i="5"/>
  <c r="N34" i="5"/>
  <c r="P34" i="5" s="1"/>
  <c r="H29" i="5"/>
  <c r="I29" i="5"/>
  <c r="K29" i="5"/>
  <c r="L29" i="5"/>
  <c r="N29" i="5"/>
  <c r="P29" i="5" s="1"/>
  <c r="H28" i="5"/>
  <c r="I28" i="5"/>
  <c r="K28" i="5"/>
  <c r="L28" i="5"/>
  <c r="N28" i="5"/>
  <c r="P28" i="5" s="1"/>
  <c r="H65" i="5"/>
  <c r="K65" i="5"/>
  <c r="L65" i="5"/>
  <c r="AA65" i="5" s="1"/>
  <c r="H64" i="5"/>
  <c r="K64" i="5"/>
  <c r="L64" i="5"/>
  <c r="AA64" i="5" s="1"/>
  <c r="H63" i="5"/>
  <c r="L63" i="5"/>
  <c r="AC63" i="5" s="1"/>
  <c r="H62" i="5"/>
  <c r="K62" i="5"/>
  <c r="L62" i="5"/>
  <c r="N62" i="5" s="1"/>
  <c r="P62" i="5" s="1"/>
  <c r="H61" i="5"/>
  <c r="L61" i="5"/>
  <c r="N61" i="5" s="1"/>
  <c r="P61" i="5" s="1"/>
  <c r="H60" i="5"/>
  <c r="I60" i="5"/>
  <c r="K60" i="5"/>
  <c r="L60" i="5"/>
  <c r="AA60" i="5" s="1"/>
  <c r="H59" i="5"/>
  <c r="K59" i="5"/>
  <c r="L59" i="5"/>
  <c r="N59" i="5" s="1"/>
  <c r="P59" i="5" s="1"/>
  <c r="H58" i="5"/>
  <c r="K58" i="5"/>
  <c r="L58" i="5"/>
  <c r="AC58" i="5" s="1"/>
  <c r="N57" i="5"/>
  <c r="P57" i="5" s="1"/>
  <c r="H57" i="5"/>
  <c r="K57" i="5"/>
  <c r="L57" i="5"/>
  <c r="AA57" i="5" s="1"/>
  <c r="H56" i="5"/>
  <c r="K56" i="5"/>
  <c r="L56" i="5"/>
  <c r="AA56" i="5" s="1"/>
  <c r="N55" i="5"/>
  <c r="P55" i="5" s="1"/>
  <c r="H55" i="5"/>
  <c r="I55" i="5"/>
  <c r="K55" i="5"/>
  <c r="L55" i="5"/>
  <c r="AC55" i="5" s="1"/>
  <c r="H54" i="5"/>
  <c r="I54" i="5"/>
  <c r="K54" i="5"/>
  <c r="L54" i="5"/>
  <c r="AA54" i="5" s="1"/>
  <c r="H53" i="5"/>
  <c r="I53" i="5"/>
  <c r="K53" i="5"/>
  <c r="L53" i="5"/>
  <c r="N53" i="5" s="1"/>
  <c r="P53" i="5" s="1"/>
  <c r="H52" i="5"/>
  <c r="I52" i="5"/>
  <c r="K52" i="5"/>
  <c r="L52" i="5"/>
  <c r="J52" i="5" s="1"/>
  <c r="N51" i="5"/>
  <c r="P51" i="5" s="1"/>
  <c r="H51" i="5"/>
  <c r="I51" i="5"/>
  <c r="K51" i="5"/>
  <c r="L51" i="5"/>
  <c r="AA51" i="5" s="1"/>
  <c r="N48" i="5"/>
  <c r="P48" i="5" s="1"/>
  <c r="H48" i="5"/>
  <c r="I48" i="5"/>
  <c r="K48" i="5"/>
  <c r="L48" i="5"/>
  <c r="AA48" i="5" s="1"/>
  <c r="H47" i="5"/>
  <c r="I47" i="5"/>
  <c r="K47" i="5"/>
  <c r="L47" i="5"/>
  <c r="AC47" i="5" s="1"/>
  <c r="H46" i="5"/>
  <c r="K46" i="5"/>
  <c r="L46" i="5"/>
  <c r="AC46" i="5" s="1"/>
  <c r="N45" i="5"/>
  <c r="P45" i="5" s="1"/>
  <c r="H45" i="5"/>
  <c r="K45" i="5"/>
  <c r="L45" i="5"/>
  <c r="AA45" i="5" s="1"/>
  <c r="AH41" i="21" l="1"/>
  <c r="AE41" i="21"/>
  <c r="W15" i="22"/>
  <c r="AF57" i="5"/>
  <c r="AF40" i="21"/>
  <c r="AH43" i="21"/>
  <c r="AE43" i="21"/>
  <c r="U60" i="23"/>
  <c r="AI25" i="20"/>
  <c r="AG25" i="20"/>
  <c r="AC74" i="5"/>
  <c r="T45" i="20"/>
  <c r="Y43" i="21"/>
  <c r="S27" i="21"/>
  <c r="AE27" i="21"/>
  <c r="AD37" i="21"/>
  <c r="AF37" i="21"/>
  <c r="M18" i="22"/>
  <c r="O35" i="24"/>
  <c r="R35" i="25"/>
  <c r="AF48" i="5"/>
  <c r="AF61" i="5"/>
  <c r="AI83" i="5"/>
  <c r="AF83" i="5"/>
  <c r="AF109" i="5"/>
  <c r="AI117" i="5"/>
  <c r="AF117" i="5"/>
  <c r="R22" i="20"/>
  <c r="AF22" i="20"/>
  <c r="Y37" i="21"/>
  <c r="Z43" i="21"/>
  <c r="S50" i="21"/>
  <c r="R50" i="21" s="1"/>
  <c r="AE100" i="5"/>
  <c r="AF16" i="21"/>
  <c r="O18" i="22"/>
  <c r="AD49" i="21"/>
  <c r="AF49" i="21"/>
  <c r="AI51" i="5"/>
  <c r="AF51" i="5"/>
  <c r="S47" i="20"/>
  <c r="AF47" i="20" s="1"/>
  <c r="AH47" i="20"/>
  <c r="AE103" i="5"/>
  <c r="AI99" i="5"/>
  <c r="AF99" i="5"/>
  <c r="S41" i="21"/>
  <c r="T41" i="21" s="1"/>
  <c r="AI97" i="5"/>
  <c r="AF97" i="5"/>
  <c r="AI96" i="5"/>
  <c r="AF96" i="5"/>
  <c r="AI114" i="5"/>
  <c r="AF114" i="5"/>
  <c r="V43" i="21"/>
  <c r="AH27" i="21"/>
  <c r="W43" i="21"/>
  <c r="AI53" i="5"/>
  <c r="AF53" i="5"/>
  <c r="AI62" i="5"/>
  <c r="AF62" i="5"/>
  <c r="AF76" i="5"/>
  <c r="AF112" i="5"/>
  <c r="AI121" i="5"/>
  <c r="AF121" i="5"/>
  <c r="S43" i="21"/>
  <c r="AC43" i="21" s="1"/>
  <c r="AD17" i="21"/>
  <c r="AF17" i="21"/>
  <c r="X42" i="21"/>
  <c r="AE42" i="21"/>
  <c r="AF24" i="21"/>
  <c r="AI45" i="5"/>
  <c r="AF45" i="5"/>
  <c r="X33" i="21"/>
  <c r="AE33" i="21"/>
  <c r="O50" i="23"/>
  <c r="R50" i="23"/>
  <c r="P50" i="23"/>
  <c r="X86" i="5"/>
  <c r="AF86" i="5"/>
  <c r="AI116" i="5"/>
  <c r="AF116" i="5"/>
  <c r="AG50" i="21"/>
  <c r="AE50" i="21"/>
  <c r="AI55" i="5"/>
  <c r="AF55" i="5"/>
  <c r="AI122" i="5"/>
  <c r="AF122" i="5"/>
  <c r="W36" i="21"/>
  <c r="AE36" i="21"/>
  <c r="AG75" i="5"/>
  <c r="AE75" i="5"/>
  <c r="AI92" i="5"/>
  <c r="AF92" i="5"/>
  <c r="AI59" i="5"/>
  <c r="AF59" i="5"/>
  <c r="AI125" i="5"/>
  <c r="AF125" i="5"/>
  <c r="Y27" i="21"/>
  <c r="T40" i="22"/>
  <c r="R18" i="22"/>
  <c r="AI80" i="5"/>
  <c r="AF80" i="5"/>
  <c r="AF88" i="5"/>
  <c r="AF94" i="5"/>
  <c r="AI105" i="5"/>
  <c r="AF105" i="5"/>
  <c r="AI106" i="5"/>
  <c r="AF106" i="5"/>
  <c r="AI113" i="5"/>
  <c r="AF113" i="5"/>
  <c r="X37" i="21"/>
  <c r="AG37" i="21"/>
  <c r="AG43" i="21"/>
  <c r="AH34" i="21"/>
  <c r="AE34" i="21"/>
  <c r="V50" i="21"/>
  <c r="S37" i="21"/>
  <c r="AF28" i="21"/>
  <c r="P35" i="25"/>
  <c r="P15" i="24"/>
  <c r="P35" i="24" s="1"/>
  <c r="R15" i="24"/>
  <c r="R35" i="24" s="1"/>
  <c r="Q35" i="24"/>
  <c r="O55" i="23"/>
  <c r="P55" i="23"/>
  <c r="R55" i="23"/>
  <c r="O26" i="23"/>
  <c r="P26" i="23"/>
  <c r="R26" i="23"/>
  <c r="O16" i="23"/>
  <c r="O60" i="23" s="1"/>
  <c r="R16" i="23"/>
  <c r="P16" i="23"/>
  <c r="P60" i="23" s="1"/>
  <c r="P36" i="23"/>
  <c r="R36" i="23"/>
  <c r="O36" i="23"/>
  <c r="O18" i="23"/>
  <c r="R18" i="23"/>
  <c r="R60" i="23" s="1"/>
  <c r="P18" i="23"/>
  <c r="O41" i="23"/>
  <c r="R41" i="23"/>
  <c r="P41" i="23"/>
  <c r="R58" i="23"/>
  <c r="P58" i="23"/>
  <c r="O58" i="23"/>
  <c r="R33" i="23"/>
  <c r="P33" i="23"/>
  <c r="O33" i="23"/>
  <c r="O20" i="22"/>
  <c r="P20" i="22" s="1"/>
  <c r="M20" i="22"/>
  <c r="T18" i="22"/>
  <c r="S20" i="22"/>
  <c r="T20" i="22"/>
  <c r="S18" i="22"/>
  <c r="P32" i="22"/>
  <c r="N32" i="22"/>
  <c r="U20" i="22"/>
  <c r="W20" i="22" s="1"/>
  <c r="P25" i="22"/>
  <c r="N25" i="22"/>
  <c r="V20" i="22"/>
  <c r="M17" i="22"/>
  <c r="M40" i="22" s="1"/>
  <c r="R17" i="22"/>
  <c r="R40" i="22" s="1"/>
  <c r="U17" i="22"/>
  <c r="W17" i="22" s="1"/>
  <c r="S17" i="22"/>
  <c r="T17" i="22"/>
  <c r="V17" i="22"/>
  <c r="V40" i="22" s="1"/>
  <c r="O17" i="22"/>
  <c r="N17" i="22" s="1"/>
  <c r="N23" i="22"/>
  <c r="P23" i="22"/>
  <c r="P22" i="22"/>
  <c r="N22" i="22"/>
  <c r="N21" i="22"/>
  <c r="P21" i="22"/>
  <c r="N19" i="22"/>
  <c r="P19" i="22"/>
  <c r="N16" i="22"/>
  <c r="P16" i="22"/>
  <c r="N15" i="22"/>
  <c r="P15" i="22"/>
  <c r="AG49" i="20"/>
  <c r="AI49" i="20"/>
  <c r="AB47" i="20"/>
  <c r="X48" i="20"/>
  <c r="AG38" i="20"/>
  <c r="AI38" i="20"/>
  <c r="X49" i="20"/>
  <c r="Y47" i="20"/>
  <c r="W40" i="20"/>
  <c r="AA47" i="20"/>
  <c r="W47" i="20"/>
  <c r="AK23" i="20"/>
  <c r="AG36" i="20"/>
  <c r="AI36" i="20"/>
  <c r="Y29" i="20"/>
  <c r="AI21" i="20"/>
  <c r="AG21" i="20"/>
  <c r="S46" i="20"/>
  <c r="AF46" i="20" s="1"/>
  <c r="AK47" i="20"/>
  <c r="AI24" i="20"/>
  <c r="AG24" i="20"/>
  <c r="X47" i="20"/>
  <c r="AB37" i="20"/>
  <c r="S37" i="20"/>
  <c r="R37" i="20" s="1"/>
  <c r="Y46" i="20"/>
  <c r="Y37" i="20"/>
  <c r="W46" i="20"/>
  <c r="AA46" i="20"/>
  <c r="AJ46" i="20"/>
  <c r="T46" i="20"/>
  <c r="AB23" i="20"/>
  <c r="AA37" i="20"/>
  <c r="AJ23" i="20"/>
  <c r="X37" i="20"/>
  <c r="AK37" i="20"/>
  <c r="X46" i="20"/>
  <c r="AK46" i="20"/>
  <c r="AB46" i="20"/>
  <c r="Q41" i="20"/>
  <c r="Q35" i="20"/>
  <c r="T36" i="20"/>
  <c r="S29" i="20"/>
  <c r="R29" i="20" s="1"/>
  <c r="AA29" i="20"/>
  <c r="AB40" i="20"/>
  <c r="W29" i="20"/>
  <c r="AA40" i="20"/>
  <c r="Y40" i="20"/>
  <c r="T27" i="21"/>
  <c r="Z27" i="21"/>
  <c r="AG27" i="21"/>
  <c r="X27" i="21"/>
  <c r="Q27" i="21"/>
  <c r="AC50" i="21"/>
  <c r="X50" i="21"/>
  <c r="Y50" i="21"/>
  <c r="Z50" i="21"/>
  <c r="Y42" i="21"/>
  <c r="R23" i="21"/>
  <c r="AG41" i="21"/>
  <c r="W42" i="21"/>
  <c r="W33" i="21"/>
  <c r="Z42" i="21"/>
  <c r="Y33" i="21"/>
  <c r="Q18" i="21"/>
  <c r="AH42" i="21"/>
  <c r="S33" i="21"/>
  <c r="AC33" i="21" s="1"/>
  <c r="S42" i="21"/>
  <c r="AC42" i="21" s="1"/>
  <c r="V42" i="21"/>
  <c r="V36" i="21"/>
  <c r="Q37" i="21"/>
  <c r="AG36" i="21"/>
  <c r="X36" i="21"/>
  <c r="R43" i="21"/>
  <c r="AG40" i="21"/>
  <c r="Z36" i="21"/>
  <c r="V33" i="21"/>
  <c r="Q48" i="21"/>
  <c r="Y36" i="21"/>
  <c r="Y41" i="21"/>
  <c r="T29" i="21"/>
  <c r="Z33" i="21"/>
  <c r="R49" i="21"/>
  <c r="X41" i="21"/>
  <c r="R29" i="21"/>
  <c r="T49" i="21"/>
  <c r="W41" i="21"/>
  <c r="AH36" i="21"/>
  <c r="S36" i="21"/>
  <c r="Q36" i="21" s="1"/>
  <c r="Z41" i="21"/>
  <c r="Q23" i="21"/>
  <c r="Q29" i="21"/>
  <c r="V41" i="21"/>
  <c r="R18" i="21"/>
  <c r="T51" i="21"/>
  <c r="AG42" i="21"/>
  <c r="S34" i="21"/>
  <c r="T34" i="21" s="1"/>
  <c r="R30" i="21"/>
  <c r="T30" i="21"/>
  <c r="R51" i="21"/>
  <c r="Y34" i="21"/>
  <c r="Q30" i="21"/>
  <c r="Q51" i="21"/>
  <c r="AG16" i="21"/>
  <c r="X34" i="21"/>
  <c r="T23" i="21"/>
  <c r="T43" i="21"/>
  <c r="W34" i="21"/>
  <c r="AC49" i="21"/>
  <c r="V34" i="21"/>
  <c r="T44" i="21"/>
  <c r="AG34" i="21"/>
  <c r="AG33" i="21"/>
  <c r="Z34" i="21"/>
  <c r="AH33" i="21"/>
  <c r="AK29" i="20"/>
  <c r="AJ40" i="20"/>
  <c r="X29" i="20"/>
  <c r="T22" i="20"/>
  <c r="T35" i="20"/>
  <c r="X23" i="20"/>
  <c r="AJ29" i="20"/>
  <c r="W23" i="20"/>
  <c r="X40" i="20"/>
  <c r="Y23" i="20"/>
  <c r="AK40" i="20"/>
  <c r="AA23" i="20"/>
  <c r="S23" i="20"/>
  <c r="T48" i="20"/>
  <c r="S40" i="20"/>
  <c r="R40" i="20" s="1"/>
  <c r="R48" i="20"/>
  <c r="AB29" i="20"/>
  <c r="Q48" i="20"/>
  <c r="AC77" i="5"/>
  <c r="AI86" i="5"/>
  <c r="N124" i="5"/>
  <c r="P124" i="5" s="1"/>
  <c r="AH88" i="5"/>
  <c r="AC121" i="5"/>
  <c r="AH121" i="5" s="1"/>
  <c r="AI103" i="5"/>
  <c r="AC103" i="5"/>
  <c r="AH103" i="5" s="1"/>
  <c r="AI100" i="5"/>
  <c r="AC100" i="5"/>
  <c r="AH100" i="5" s="1"/>
  <c r="AC70" i="5"/>
  <c r="AA116" i="5"/>
  <c r="AC119" i="5"/>
  <c r="AC114" i="5"/>
  <c r="AH114" i="5" s="1"/>
  <c r="AI88" i="5"/>
  <c r="AH109" i="5"/>
  <c r="AC113" i="5"/>
  <c r="AH113" i="5" s="1"/>
  <c r="AA122" i="5"/>
  <c r="I124" i="5"/>
  <c r="V124" i="5" s="1"/>
  <c r="AC93" i="5"/>
  <c r="AC80" i="5"/>
  <c r="AH80" i="5" s="1"/>
  <c r="AC112" i="5"/>
  <c r="AH112" i="5" s="1"/>
  <c r="AC86" i="5"/>
  <c r="AH86" i="5" s="1"/>
  <c r="AC111" i="5"/>
  <c r="AC125" i="5"/>
  <c r="AH125" i="5" s="1"/>
  <c r="AC97" i="5"/>
  <c r="AH97" i="5" s="1"/>
  <c r="AH83" i="5"/>
  <c r="AC71" i="5"/>
  <c r="J124" i="5"/>
  <c r="W124" i="5" s="1"/>
  <c r="AC94" i="5"/>
  <c r="AH94" i="5" s="1"/>
  <c r="Q19" i="21"/>
  <c r="AC19" i="21"/>
  <c r="S24" i="21"/>
  <c r="V24" i="21"/>
  <c r="Z24" i="21"/>
  <c r="AG24" i="21"/>
  <c r="W24" i="21"/>
  <c r="X24" i="21"/>
  <c r="Y24" i="21"/>
  <c r="AH24" i="21"/>
  <c r="Z17" i="21"/>
  <c r="W17" i="21"/>
  <c r="Y17" i="21"/>
  <c r="S17" i="21"/>
  <c r="X17" i="21"/>
  <c r="AG17" i="21"/>
  <c r="AH17" i="21"/>
  <c r="V17" i="21"/>
  <c r="S40" i="21"/>
  <c r="AH40" i="21"/>
  <c r="V40" i="21"/>
  <c r="W40" i="21"/>
  <c r="Z40" i="21"/>
  <c r="Y40" i="21"/>
  <c r="X40" i="21"/>
  <c r="T18" i="21"/>
  <c r="Z16" i="21"/>
  <c r="V16" i="21"/>
  <c r="S16" i="21"/>
  <c r="AH16" i="21"/>
  <c r="W16" i="21"/>
  <c r="X16" i="21"/>
  <c r="Y16" i="21"/>
  <c r="V28" i="21"/>
  <c r="X28" i="21"/>
  <c r="AH28" i="21"/>
  <c r="S28" i="21"/>
  <c r="W28" i="21"/>
  <c r="Z28" i="21"/>
  <c r="Y28" i="21"/>
  <c r="AG28" i="21"/>
  <c r="T48" i="21"/>
  <c r="AC48" i="21"/>
  <c r="R36" i="21"/>
  <c r="S20" i="21"/>
  <c r="AH20" i="21"/>
  <c r="V20" i="21"/>
  <c r="X20" i="21"/>
  <c r="Z20" i="21"/>
  <c r="AG20" i="21"/>
  <c r="W20" i="21"/>
  <c r="Y20" i="21"/>
  <c r="R41" i="21"/>
  <c r="R45" i="21"/>
  <c r="R19" i="21"/>
  <c r="Q44" i="21"/>
  <c r="AC44" i="21"/>
  <c r="T19" i="21"/>
  <c r="Q41" i="21"/>
  <c r="AC41" i="21"/>
  <c r="Q45" i="21"/>
  <c r="AC45" i="21"/>
  <c r="Q35" i="21"/>
  <c r="AC35" i="21"/>
  <c r="T35" i="21"/>
  <c r="R35" i="21"/>
  <c r="T15" i="21"/>
  <c r="AC15" i="21"/>
  <c r="R41" i="20"/>
  <c r="Q38" i="20"/>
  <c r="AF38" i="20"/>
  <c r="R49" i="20"/>
  <c r="S21" i="20"/>
  <c r="Y21" i="20"/>
  <c r="AK21" i="20"/>
  <c r="W21" i="20"/>
  <c r="X21" i="20"/>
  <c r="AA21" i="20"/>
  <c r="AB21" i="20"/>
  <c r="T41" i="20"/>
  <c r="Y15" i="20"/>
  <c r="R36" i="20"/>
  <c r="AF36" i="20"/>
  <c r="Q39" i="20"/>
  <c r="AF39" i="20"/>
  <c r="T39" i="20"/>
  <c r="Q49" i="20"/>
  <c r="AF49" i="20"/>
  <c r="AA15" i="20"/>
  <c r="Q25" i="20"/>
  <c r="Q34" i="20"/>
  <c r="R42" i="20"/>
  <c r="T42" i="20"/>
  <c r="AF42" i="20"/>
  <c r="AB15" i="20"/>
  <c r="T25" i="20"/>
  <c r="R34" i="20"/>
  <c r="AJ21" i="20"/>
  <c r="Q24" i="20"/>
  <c r="AF24" i="20"/>
  <c r="R38" i="20"/>
  <c r="R25" i="20"/>
  <c r="T34" i="20"/>
  <c r="Q30" i="20"/>
  <c r="T30" i="20"/>
  <c r="AF30" i="20"/>
  <c r="T38" i="20"/>
  <c r="AI76" i="5"/>
  <c r="AH89" i="5"/>
  <c r="AC110" i="5"/>
  <c r="AC92" i="5"/>
  <c r="AH92" i="5" s="1"/>
  <c r="AC82" i="5"/>
  <c r="AC79" i="5"/>
  <c r="AC76" i="5"/>
  <c r="AH76" i="5" s="1"/>
  <c r="AC73" i="5"/>
  <c r="J70" i="5"/>
  <c r="AA125" i="5"/>
  <c r="AC117" i="5"/>
  <c r="AH117" i="5" s="1"/>
  <c r="AI109" i="5"/>
  <c r="AC99" i="5"/>
  <c r="AH99" i="5" s="1"/>
  <c r="AI75" i="5"/>
  <c r="AC122" i="5"/>
  <c r="AH122" i="5" s="1"/>
  <c r="AC104" i="5"/>
  <c r="AC96" i="5"/>
  <c r="AH96" i="5" s="1"/>
  <c r="AC124" i="5"/>
  <c r="AC106" i="5"/>
  <c r="AH106" i="5" s="1"/>
  <c r="AC95" i="5"/>
  <c r="AC118" i="5"/>
  <c r="AA117" i="5"/>
  <c r="AC120" i="5"/>
  <c r="AI112" i="5"/>
  <c r="AC102" i="5"/>
  <c r="AI94" i="5"/>
  <c r="AC101" i="5"/>
  <c r="N72" i="5"/>
  <c r="P72" i="5" s="1"/>
  <c r="AF72" i="5" s="1"/>
  <c r="W107" i="5"/>
  <c r="AC116" i="5"/>
  <c r="AH116" i="5" s="1"/>
  <c r="AC98" i="5"/>
  <c r="AC91" i="5"/>
  <c r="AC81" i="5"/>
  <c r="AC78" i="5"/>
  <c r="AC75" i="5"/>
  <c r="AH75" i="5" s="1"/>
  <c r="AC72" i="5"/>
  <c r="AC115" i="5"/>
  <c r="AA72" i="5"/>
  <c r="AC123" i="5"/>
  <c r="AC105" i="5"/>
  <c r="AH105" i="5" s="1"/>
  <c r="AC87" i="5"/>
  <c r="T28" i="20"/>
  <c r="R28" i="20"/>
  <c r="Q28" i="20"/>
  <c r="I20" i="20"/>
  <c r="J20" i="20"/>
  <c r="AC16" i="20"/>
  <c r="AC20" i="20"/>
  <c r="N16" i="20"/>
  <c r="P16" i="20" s="1"/>
  <c r="V16" i="20" s="1"/>
  <c r="Z16" i="20" s="1"/>
  <c r="N20" i="20"/>
  <c r="P20" i="20" s="1"/>
  <c r="AH20" i="20" s="1"/>
  <c r="J125" i="5"/>
  <c r="W125" i="5" s="1"/>
  <c r="I125" i="5"/>
  <c r="V125" i="5" s="1"/>
  <c r="Y124" i="5"/>
  <c r="N70" i="5"/>
  <c r="P70" i="5" s="1"/>
  <c r="N71" i="5"/>
  <c r="P71" i="5" s="1"/>
  <c r="AA71" i="5"/>
  <c r="I70" i="5"/>
  <c r="Z124" i="5"/>
  <c r="S125" i="5"/>
  <c r="AD125" i="5" s="1"/>
  <c r="Z125" i="5"/>
  <c r="Y125" i="5"/>
  <c r="X125" i="5"/>
  <c r="J119" i="5"/>
  <c r="I119" i="5"/>
  <c r="N119" i="5"/>
  <c r="P119" i="5" s="1"/>
  <c r="AF119" i="5" s="1"/>
  <c r="J123" i="5"/>
  <c r="S122" i="5"/>
  <c r="V122" i="5"/>
  <c r="Z122" i="5"/>
  <c r="S121" i="5"/>
  <c r="V121" i="5"/>
  <c r="X121" i="5"/>
  <c r="Y121" i="5"/>
  <c r="Z121" i="5"/>
  <c r="I118" i="5"/>
  <c r="AA114" i="5"/>
  <c r="J116" i="5"/>
  <c r="W116" i="5" s="1"/>
  <c r="N118" i="5"/>
  <c r="P118" i="5" s="1"/>
  <c r="AF118" i="5" s="1"/>
  <c r="J121" i="5"/>
  <c r="W121" i="5" s="1"/>
  <c r="I116" i="5"/>
  <c r="V116" i="5" s="1"/>
  <c r="J122" i="5"/>
  <c r="W122" i="5" s="1"/>
  <c r="K118" i="5"/>
  <c r="J120" i="5"/>
  <c r="K120" i="5"/>
  <c r="J118" i="5"/>
  <c r="N120" i="5"/>
  <c r="P120" i="5" s="1"/>
  <c r="I120" i="5"/>
  <c r="AA115" i="5"/>
  <c r="AA121" i="5"/>
  <c r="N123" i="5"/>
  <c r="P123" i="5" s="1"/>
  <c r="Y122" i="5"/>
  <c r="X122" i="5"/>
  <c r="J117" i="5"/>
  <c r="W117" i="5" s="1"/>
  <c r="I117" i="5"/>
  <c r="V117" i="5" s="1"/>
  <c r="N115" i="5"/>
  <c r="P115" i="5" s="1"/>
  <c r="AF115" i="5" s="1"/>
  <c r="J113" i="5"/>
  <c r="W113" i="5" s="1"/>
  <c r="I113" i="5"/>
  <c r="V113" i="5" s="1"/>
  <c r="J115" i="5"/>
  <c r="AA113" i="5"/>
  <c r="Z117" i="5"/>
  <c r="S117" i="5"/>
  <c r="AD117" i="5" s="1"/>
  <c r="X117" i="5"/>
  <c r="Y117" i="5"/>
  <c r="X116" i="5"/>
  <c r="S116" i="5"/>
  <c r="AD116" i="5" s="1"/>
  <c r="Z116" i="5"/>
  <c r="Y116" i="5"/>
  <c r="J114" i="5"/>
  <c r="W114" i="5" s="1"/>
  <c r="AA112" i="5"/>
  <c r="V114" i="5"/>
  <c r="X114" i="5"/>
  <c r="Y114" i="5"/>
  <c r="Z114" i="5"/>
  <c r="S114" i="5"/>
  <c r="S112" i="5"/>
  <c r="Z112" i="5"/>
  <c r="V112" i="5"/>
  <c r="W112" i="5"/>
  <c r="X112" i="5"/>
  <c r="Y112" i="5"/>
  <c r="Y113" i="5"/>
  <c r="X113" i="5"/>
  <c r="Z113" i="5"/>
  <c r="S113" i="5"/>
  <c r="J111" i="5"/>
  <c r="N111" i="5"/>
  <c r="P111" i="5" s="1"/>
  <c r="AF111" i="5" s="1"/>
  <c r="N98" i="5"/>
  <c r="P98" i="5" s="1"/>
  <c r="AF98" i="5" s="1"/>
  <c r="AA105" i="5"/>
  <c r="AA110" i="5"/>
  <c r="N104" i="5"/>
  <c r="P104" i="5" s="1"/>
  <c r="AF104" i="5" s="1"/>
  <c r="W108" i="5"/>
  <c r="N110" i="5"/>
  <c r="P110" i="5" s="1"/>
  <c r="AF110" i="5" s="1"/>
  <c r="W109" i="5"/>
  <c r="X109" i="5"/>
  <c r="S109" i="5"/>
  <c r="AD109" i="5" s="1"/>
  <c r="V109" i="5"/>
  <c r="Z109" i="5"/>
  <c r="Y109" i="5"/>
  <c r="S106" i="5"/>
  <c r="V106" i="5"/>
  <c r="X106" i="5"/>
  <c r="Y106" i="5"/>
  <c r="Z106" i="5"/>
  <c r="AA99" i="5"/>
  <c r="J104" i="5"/>
  <c r="I104" i="5"/>
  <c r="J105" i="5"/>
  <c r="W105" i="5" s="1"/>
  <c r="I98" i="5"/>
  <c r="I95" i="5"/>
  <c r="J106" i="5"/>
  <c r="W106" i="5" s="1"/>
  <c r="Z105" i="5"/>
  <c r="S105" i="5"/>
  <c r="AD105" i="5" s="1"/>
  <c r="V105" i="5"/>
  <c r="Y105" i="5"/>
  <c r="X105" i="5"/>
  <c r="AA103" i="5"/>
  <c r="Z100" i="5"/>
  <c r="Y100" i="5"/>
  <c r="X100" i="5"/>
  <c r="W100" i="5"/>
  <c r="J99" i="5"/>
  <c r="W99" i="5" s="1"/>
  <c r="AA101" i="5"/>
  <c r="N101" i="5"/>
  <c r="P101" i="5" s="1"/>
  <c r="AF101" i="5" s="1"/>
  <c r="N91" i="5"/>
  <c r="P91" i="5" s="1"/>
  <c r="AF91" i="5" s="1"/>
  <c r="S99" i="5"/>
  <c r="X99" i="5"/>
  <c r="Y99" i="5"/>
  <c r="Z99" i="5"/>
  <c r="V99" i="5"/>
  <c r="AA100" i="5"/>
  <c r="N95" i="5"/>
  <c r="P95" i="5" s="1"/>
  <c r="AF95" i="5" s="1"/>
  <c r="J98" i="5"/>
  <c r="V100" i="5"/>
  <c r="J103" i="5"/>
  <c r="W103" i="5" s="1"/>
  <c r="J102" i="5"/>
  <c r="J97" i="5"/>
  <c r="W97" i="5" s="1"/>
  <c r="S100" i="5"/>
  <c r="N102" i="5"/>
  <c r="P102" i="5" s="1"/>
  <c r="S103" i="5"/>
  <c r="AD103" i="5" s="1"/>
  <c r="V103" i="5"/>
  <c r="X103" i="5"/>
  <c r="Y103" i="5"/>
  <c r="Z103" i="5"/>
  <c r="N93" i="5"/>
  <c r="P93" i="5" s="1"/>
  <c r="AF93" i="5" s="1"/>
  <c r="AA96" i="5"/>
  <c r="J91" i="5"/>
  <c r="AA93" i="5"/>
  <c r="N81" i="5"/>
  <c r="P81" i="5" s="1"/>
  <c r="AF81" i="5" s="1"/>
  <c r="J93" i="5"/>
  <c r="AA94" i="5"/>
  <c r="AA95" i="5"/>
  <c r="AA92" i="5"/>
  <c r="J96" i="5"/>
  <c r="W96" i="5" s="1"/>
  <c r="I97" i="5"/>
  <c r="V97" i="5" s="1"/>
  <c r="J92" i="5"/>
  <c r="W92" i="5" s="1"/>
  <c r="W90" i="5"/>
  <c r="S92" i="5"/>
  <c r="Z92" i="5"/>
  <c r="Y92" i="5"/>
  <c r="V92" i="5"/>
  <c r="X92" i="5"/>
  <c r="S94" i="5"/>
  <c r="Z94" i="5"/>
  <c r="X94" i="5"/>
  <c r="Y94" i="5"/>
  <c r="X97" i="5"/>
  <c r="S97" i="5"/>
  <c r="AD97" i="5" s="1"/>
  <c r="Y97" i="5"/>
  <c r="Z97" i="5"/>
  <c r="I73" i="5"/>
  <c r="I96" i="5"/>
  <c r="V96" i="5" s="1"/>
  <c r="N73" i="5"/>
  <c r="P73" i="5" s="1"/>
  <c r="AF73" i="5" s="1"/>
  <c r="J94" i="5"/>
  <c r="W94" i="5" s="1"/>
  <c r="I94" i="5"/>
  <c r="V94" i="5" s="1"/>
  <c r="W84" i="5"/>
  <c r="AA82" i="5"/>
  <c r="S96" i="5"/>
  <c r="AD96" i="5" s="1"/>
  <c r="X96" i="5"/>
  <c r="Y96" i="5"/>
  <c r="Z96" i="5"/>
  <c r="J63" i="5"/>
  <c r="AH35" i="5"/>
  <c r="J73" i="5"/>
  <c r="AH34" i="5"/>
  <c r="W29" i="5"/>
  <c r="AA74" i="5"/>
  <c r="AH49" i="5"/>
  <c r="J62" i="5"/>
  <c r="N87" i="5"/>
  <c r="P87" i="5" s="1"/>
  <c r="AF87" i="5" s="1"/>
  <c r="W89" i="5"/>
  <c r="J46" i="5"/>
  <c r="AC60" i="5"/>
  <c r="I75" i="5"/>
  <c r="V75" i="5" s="1"/>
  <c r="AH48" i="5"/>
  <c r="AC64" i="5"/>
  <c r="AC52" i="5"/>
  <c r="J78" i="5"/>
  <c r="AA76" i="5"/>
  <c r="I78" i="5"/>
  <c r="Y86" i="5"/>
  <c r="J60" i="5"/>
  <c r="AA75" i="5"/>
  <c r="W85" i="5"/>
  <c r="J64" i="5"/>
  <c r="AH28" i="5"/>
  <c r="J59" i="5"/>
  <c r="AI48" i="5"/>
  <c r="N78" i="5"/>
  <c r="P78" i="5" s="1"/>
  <c r="AF78" i="5" s="1"/>
  <c r="AH55" i="5"/>
  <c r="J57" i="5"/>
  <c r="AA87" i="5"/>
  <c r="AC51" i="5"/>
  <c r="AH51" i="5" s="1"/>
  <c r="AH50" i="5"/>
  <c r="J51" i="5"/>
  <c r="K73" i="5"/>
  <c r="J75" i="5"/>
  <c r="W75" i="5" s="1"/>
  <c r="Z86" i="5"/>
  <c r="J76" i="5"/>
  <c r="W76" i="5" s="1"/>
  <c r="S75" i="5"/>
  <c r="Y75" i="5"/>
  <c r="Z75" i="5"/>
  <c r="X75" i="5"/>
  <c r="S76" i="5"/>
  <c r="Z76" i="5"/>
  <c r="X76" i="5"/>
  <c r="Y76" i="5"/>
  <c r="X80" i="5"/>
  <c r="Y80" i="5"/>
  <c r="Z80" i="5"/>
  <c r="S80" i="5"/>
  <c r="S88" i="5"/>
  <c r="X88" i="5"/>
  <c r="Y88" i="5"/>
  <c r="V88" i="5"/>
  <c r="W88" i="5"/>
  <c r="Z88" i="5"/>
  <c r="S83" i="5"/>
  <c r="Z83" i="5"/>
  <c r="X83" i="5"/>
  <c r="V83" i="5"/>
  <c r="W83" i="5"/>
  <c r="Y83" i="5"/>
  <c r="Y72" i="5"/>
  <c r="Z72" i="5"/>
  <c r="J61" i="5"/>
  <c r="J86" i="5"/>
  <c r="W86" i="5" s="1"/>
  <c r="I80" i="5"/>
  <c r="V80" i="5" s="1"/>
  <c r="J81" i="5"/>
  <c r="J58" i="5"/>
  <c r="AH29" i="5"/>
  <c r="J56" i="5"/>
  <c r="AC57" i="5"/>
  <c r="AH57" i="5" s="1"/>
  <c r="AC45" i="5"/>
  <c r="AH45" i="5" s="1"/>
  <c r="N77" i="5"/>
  <c r="P77" i="5" s="1"/>
  <c r="AF77" i="5" s="1"/>
  <c r="N82" i="5"/>
  <c r="P82" i="5" s="1"/>
  <c r="AF82" i="5" s="1"/>
  <c r="J45" i="5"/>
  <c r="J55" i="5"/>
  <c r="W55" i="5" s="1"/>
  <c r="AC56" i="5"/>
  <c r="AI57" i="5"/>
  <c r="AA77" i="5"/>
  <c r="J79" i="5"/>
  <c r="J80" i="5"/>
  <c r="W80" i="5" s="1"/>
  <c r="AC61" i="5"/>
  <c r="AH61" i="5" s="1"/>
  <c r="J47" i="5"/>
  <c r="AI61" i="5"/>
  <c r="AC59" i="5"/>
  <c r="AH59" i="5" s="1"/>
  <c r="J54" i="5"/>
  <c r="N74" i="5"/>
  <c r="P74" i="5" s="1"/>
  <c r="AF74" i="5" s="1"/>
  <c r="I79" i="5"/>
  <c r="S86" i="5"/>
  <c r="AC62" i="5"/>
  <c r="AH62" i="5" s="1"/>
  <c r="J65" i="5"/>
  <c r="J53" i="5"/>
  <c r="AC54" i="5"/>
  <c r="V86" i="5"/>
  <c r="J74" i="5"/>
  <c r="I81" i="5"/>
  <c r="AC65" i="5"/>
  <c r="AC53" i="5"/>
  <c r="AH53" i="5" s="1"/>
  <c r="N79" i="5"/>
  <c r="P79" i="5" s="1"/>
  <c r="AF79" i="5" s="1"/>
  <c r="V76" i="5"/>
  <c r="J72" i="5"/>
  <c r="W72" i="5" s="1"/>
  <c r="I71" i="5"/>
  <c r="W35" i="5"/>
  <c r="W50" i="5"/>
  <c r="W49" i="5"/>
  <c r="W34" i="5"/>
  <c r="AA62" i="5"/>
  <c r="W28" i="5"/>
  <c r="AA59" i="5"/>
  <c r="I63" i="5"/>
  <c r="I58" i="5"/>
  <c r="AA63" i="5"/>
  <c r="I65" i="5"/>
  <c r="N63" i="5"/>
  <c r="P63" i="5" s="1"/>
  <c r="AF63" i="5" s="1"/>
  <c r="N65" i="5"/>
  <c r="P65" i="5" s="1"/>
  <c r="AF65" i="5" s="1"/>
  <c r="I64" i="5"/>
  <c r="K63" i="5"/>
  <c r="N64" i="5"/>
  <c r="P64" i="5" s="1"/>
  <c r="AF64" i="5" s="1"/>
  <c r="AA58" i="5"/>
  <c r="K61" i="5"/>
  <c r="Z61" i="5" s="1"/>
  <c r="S59" i="5"/>
  <c r="I61" i="5"/>
  <c r="V61" i="5" s="1"/>
  <c r="N58" i="5"/>
  <c r="P58" i="5" s="1"/>
  <c r="AF58" i="5" s="1"/>
  <c r="I62" i="5"/>
  <c r="V62" i="5" s="1"/>
  <c r="AA61" i="5"/>
  <c r="I59" i="5"/>
  <c r="V59" i="5" s="1"/>
  <c r="N60" i="5"/>
  <c r="P60" i="5" s="1"/>
  <c r="AF60" i="5" s="1"/>
  <c r="S62" i="5"/>
  <c r="AD62" i="5" s="1"/>
  <c r="Y62" i="5"/>
  <c r="X62" i="5"/>
  <c r="Z62" i="5"/>
  <c r="Y61" i="5"/>
  <c r="S61" i="5"/>
  <c r="AD61" i="5" s="1"/>
  <c r="X61" i="5"/>
  <c r="Z59" i="5"/>
  <c r="Y59" i="5"/>
  <c r="X59" i="5"/>
  <c r="I56" i="5"/>
  <c r="AA53" i="5"/>
  <c r="AA52" i="5"/>
  <c r="N52" i="5"/>
  <c r="P52" i="5" s="1"/>
  <c r="AF52" i="5" s="1"/>
  <c r="N46" i="5"/>
  <c r="P46" i="5" s="1"/>
  <c r="AF46" i="5" s="1"/>
  <c r="X57" i="5"/>
  <c r="Y57" i="5"/>
  <c r="Z57" i="5"/>
  <c r="S57" i="5"/>
  <c r="V55" i="5"/>
  <c r="X55" i="5"/>
  <c r="Y55" i="5"/>
  <c r="Z55" i="5"/>
  <c r="S55" i="5"/>
  <c r="N54" i="5"/>
  <c r="P54" i="5" s="1"/>
  <c r="AF54" i="5" s="1"/>
  <c r="I57" i="5"/>
  <c r="V57" i="5" s="1"/>
  <c r="AA55" i="5"/>
  <c r="N56" i="5"/>
  <c r="P56" i="5" s="1"/>
  <c r="AF56" i="5" s="1"/>
  <c r="S53" i="5"/>
  <c r="AD53" i="5" s="1"/>
  <c r="V53" i="5"/>
  <c r="X53" i="5"/>
  <c r="Y53" i="5"/>
  <c r="Z53" i="5"/>
  <c r="N47" i="5"/>
  <c r="P47" i="5" s="1"/>
  <c r="AF47" i="5" s="1"/>
  <c r="AA47" i="5"/>
  <c r="V48" i="5"/>
  <c r="W48" i="5"/>
  <c r="X48" i="5"/>
  <c r="Z48" i="5"/>
  <c r="Y48" i="5"/>
  <c r="S48" i="5"/>
  <c r="AD48" i="5" s="1"/>
  <c r="V51" i="5"/>
  <c r="S51" i="5"/>
  <c r="AD51" i="5" s="1"/>
  <c r="I45" i="5"/>
  <c r="V45" i="5" s="1"/>
  <c r="Z51" i="5"/>
  <c r="Y51" i="5"/>
  <c r="X51" i="5"/>
  <c r="AA46" i="5"/>
  <c r="I46" i="5"/>
  <c r="S45" i="5"/>
  <c r="AD45" i="5" s="1"/>
  <c r="Z45" i="5"/>
  <c r="Y45" i="5"/>
  <c r="X45" i="5"/>
  <c r="N44" i="5"/>
  <c r="P44" i="5" s="1"/>
  <c r="H44" i="5"/>
  <c r="K44" i="5"/>
  <c r="L44" i="5"/>
  <c r="N43" i="5"/>
  <c r="P43" i="5" s="1"/>
  <c r="H43" i="5"/>
  <c r="K43" i="5"/>
  <c r="L43" i="5"/>
  <c r="H42" i="5"/>
  <c r="K42" i="5"/>
  <c r="L42" i="5"/>
  <c r="N41" i="5"/>
  <c r="P41" i="5" s="1"/>
  <c r="H41" i="5"/>
  <c r="K41" i="5"/>
  <c r="L41" i="5"/>
  <c r="H40" i="5"/>
  <c r="K40" i="5"/>
  <c r="L40" i="5"/>
  <c r="H39" i="5"/>
  <c r="K39" i="5"/>
  <c r="L39" i="5"/>
  <c r="N18" i="5"/>
  <c r="P18" i="5" s="1"/>
  <c r="AF18" i="5" s="1"/>
  <c r="N22" i="5"/>
  <c r="N27" i="5"/>
  <c r="N30" i="5"/>
  <c r="P30" i="5" s="1"/>
  <c r="N33" i="5"/>
  <c r="P33" i="5" s="1"/>
  <c r="N36" i="5"/>
  <c r="P36" i="5" s="1"/>
  <c r="N37" i="5"/>
  <c r="P37" i="5" s="1"/>
  <c r="H38" i="5"/>
  <c r="K38" i="5"/>
  <c r="L38" i="5"/>
  <c r="H37" i="5"/>
  <c r="I37" i="5"/>
  <c r="K37" i="5"/>
  <c r="L37" i="5"/>
  <c r="H36" i="5"/>
  <c r="I36" i="5"/>
  <c r="K36" i="5"/>
  <c r="L36" i="5"/>
  <c r="AA36" i="5" s="1"/>
  <c r="H33" i="5"/>
  <c r="K33" i="5"/>
  <c r="L33" i="5"/>
  <c r="H32" i="5"/>
  <c r="K32" i="5"/>
  <c r="L32" i="5"/>
  <c r="H31" i="5"/>
  <c r="I31" i="5"/>
  <c r="K31" i="5"/>
  <c r="L31" i="5"/>
  <c r="H30" i="5"/>
  <c r="I30" i="5"/>
  <c r="K30" i="5"/>
  <c r="L30" i="5"/>
  <c r="AA30" i="5" s="1"/>
  <c r="H21" i="5"/>
  <c r="K21" i="5"/>
  <c r="L21" i="5"/>
  <c r="H27" i="5"/>
  <c r="I27" i="5"/>
  <c r="K27" i="5"/>
  <c r="L27" i="5"/>
  <c r="H26" i="5"/>
  <c r="I26" i="5"/>
  <c r="K26" i="5"/>
  <c r="L26" i="5"/>
  <c r="H25" i="5"/>
  <c r="I25" i="5"/>
  <c r="K25" i="5"/>
  <c r="L25" i="5"/>
  <c r="H24" i="5"/>
  <c r="L24" i="5"/>
  <c r="I23" i="5"/>
  <c r="H17" i="5"/>
  <c r="H18" i="5"/>
  <c r="H19" i="5"/>
  <c r="H20" i="5"/>
  <c r="H22" i="5"/>
  <c r="H23" i="5"/>
  <c r="H16" i="5"/>
  <c r="K17" i="5"/>
  <c r="K18" i="5"/>
  <c r="K19" i="5"/>
  <c r="K20" i="5"/>
  <c r="K22" i="5"/>
  <c r="K23" i="5"/>
  <c r="K16" i="5"/>
  <c r="L23" i="5"/>
  <c r="AA23" i="5" s="1"/>
  <c r="L22" i="5"/>
  <c r="L20" i="5"/>
  <c r="L19" i="5"/>
  <c r="I19" i="5" s="1"/>
  <c r="L18" i="5"/>
  <c r="I18" i="5" s="1"/>
  <c r="L17" i="5"/>
  <c r="I17" i="5" s="1"/>
  <c r="AG58" i="5" l="1"/>
  <c r="AE58" i="5"/>
  <c r="AG78" i="5"/>
  <c r="AE78" i="5"/>
  <c r="AE93" i="5"/>
  <c r="AG93" i="5"/>
  <c r="AD33" i="21"/>
  <c r="AF33" i="21"/>
  <c r="AG96" i="5"/>
  <c r="AE96" i="5"/>
  <c r="AG18" i="5"/>
  <c r="AE18" i="5"/>
  <c r="AG82" i="5"/>
  <c r="AE82" i="5"/>
  <c r="AG98" i="5"/>
  <c r="AE98" i="5"/>
  <c r="AD36" i="21"/>
  <c r="AF36" i="21"/>
  <c r="AG53" i="5"/>
  <c r="AE53" i="5"/>
  <c r="AG83" i="5"/>
  <c r="AE83" i="5"/>
  <c r="AF43" i="5"/>
  <c r="AG111" i="5"/>
  <c r="AE111" i="5"/>
  <c r="AG118" i="5"/>
  <c r="AE118" i="5"/>
  <c r="AG94" i="5"/>
  <c r="AE94" i="5"/>
  <c r="AG51" i="5"/>
  <c r="AE51" i="5"/>
  <c r="W40" i="22"/>
  <c r="AF37" i="5"/>
  <c r="AF41" i="5"/>
  <c r="AG54" i="5"/>
  <c r="AE54" i="5"/>
  <c r="AG87" i="5"/>
  <c r="AE87" i="5"/>
  <c r="X124" i="5"/>
  <c r="AF124" i="5"/>
  <c r="N20" i="22"/>
  <c r="AG88" i="5"/>
  <c r="AE88" i="5"/>
  <c r="AE59" i="5"/>
  <c r="AG59" i="5"/>
  <c r="AG122" i="5"/>
  <c r="AE122" i="5"/>
  <c r="AG86" i="5"/>
  <c r="AE86" i="5"/>
  <c r="AE121" i="5"/>
  <c r="AG121" i="5"/>
  <c r="AE61" i="5"/>
  <c r="AG61" i="5"/>
  <c r="AD27" i="21"/>
  <c r="AF27" i="21"/>
  <c r="AF55" i="21" s="1"/>
  <c r="AE55" i="21"/>
  <c r="AD43" i="21"/>
  <c r="AF43" i="21"/>
  <c r="AD41" i="21"/>
  <c r="AF41" i="21"/>
  <c r="AE119" i="5"/>
  <c r="AG119" i="5"/>
  <c r="AE79" i="5"/>
  <c r="AG79" i="5"/>
  <c r="AG109" i="5"/>
  <c r="AE109" i="5"/>
  <c r="AG63" i="5"/>
  <c r="AE63" i="5"/>
  <c r="AG115" i="5"/>
  <c r="AE115" i="5"/>
  <c r="X71" i="5"/>
  <c r="AF71" i="5"/>
  <c r="AE125" i="5"/>
  <c r="AG125" i="5"/>
  <c r="AG116" i="5"/>
  <c r="AE116" i="5"/>
  <c r="U40" i="22"/>
  <c r="AG47" i="5"/>
  <c r="AE47" i="5"/>
  <c r="AG77" i="5"/>
  <c r="AE77" i="5"/>
  <c r="AI120" i="5"/>
  <c r="AF120" i="5"/>
  <c r="Z70" i="5"/>
  <c r="AF70" i="5"/>
  <c r="T50" i="21"/>
  <c r="AG45" i="5"/>
  <c r="AE45" i="5"/>
  <c r="AE97" i="5"/>
  <c r="AG97" i="5"/>
  <c r="AH36" i="5"/>
  <c r="AF36" i="5"/>
  <c r="AG60" i="5"/>
  <c r="AE60" i="5"/>
  <c r="AG74" i="5"/>
  <c r="AE74" i="5"/>
  <c r="AG73" i="5"/>
  <c r="AE73" i="5"/>
  <c r="AE81" i="5"/>
  <c r="AG81" i="5"/>
  <c r="AG91" i="5"/>
  <c r="AE91" i="5"/>
  <c r="AG110" i="5"/>
  <c r="AE110" i="5"/>
  <c r="AG72" i="5"/>
  <c r="AE72" i="5"/>
  <c r="Q47" i="20"/>
  <c r="Q50" i="21"/>
  <c r="AE113" i="5"/>
  <c r="AG113" i="5"/>
  <c r="AG80" i="5"/>
  <c r="AE80" i="5"/>
  <c r="AG48" i="5"/>
  <c r="AE48" i="5"/>
  <c r="AC27" i="21"/>
  <c r="R27" i="21"/>
  <c r="AD34" i="21"/>
  <c r="AF34" i="21"/>
  <c r="AD50" i="21"/>
  <c r="AD55" i="21" s="1"/>
  <c r="AF50" i="21"/>
  <c r="AG62" i="5"/>
  <c r="AE62" i="5"/>
  <c r="AG57" i="5"/>
  <c r="AE57" i="5"/>
  <c r="AG56" i="5"/>
  <c r="AE56" i="5"/>
  <c r="AG65" i="5"/>
  <c r="AE65" i="5"/>
  <c r="AE105" i="5"/>
  <c r="AG105" i="5"/>
  <c r="AF33" i="5"/>
  <c r="AG46" i="5"/>
  <c r="AE46" i="5"/>
  <c r="AG64" i="5"/>
  <c r="AE64" i="5"/>
  <c r="AG95" i="5"/>
  <c r="AE95" i="5"/>
  <c r="AG101" i="5"/>
  <c r="AE101" i="5"/>
  <c r="AC37" i="21"/>
  <c r="T37" i="21"/>
  <c r="R37" i="21"/>
  <c r="AG92" i="5"/>
  <c r="AE92" i="5"/>
  <c r="AG55" i="5"/>
  <c r="AE55" i="5"/>
  <c r="AG112" i="5"/>
  <c r="AE112" i="5"/>
  <c r="AE99" i="5"/>
  <c r="AG99" i="5"/>
  <c r="AH30" i="5"/>
  <c r="AF30" i="5"/>
  <c r="AF44" i="5"/>
  <c r="AG52" i="5"/>
  <c r="AE52" i="5"/>
  <c r="AI102" i="5"/>
  <c r="AF102" i="5"/>
  <c r="AG104" i="5"/>
  <c r="AE104" i="5"/>
  <c r="AI123" i="5"/>
  <c r="AF123" i="5"/>
  <c r="R47" i="20"/>
  <c r="T47" i="20"/>
  <c r="Q43" i="21"/>
  <c r="R33" i="21"/>
  <c r="AG106" i="5"/>
  <c r="AE106" i="5"/>
  <c r="AD42" i="21"/>
  <c r="AF42" i="21"/>
  <c r="AG76" i="5"/>
  <c r="AE76" i="5"/>
  <c r="AG114" i="5"/>
  <c r="AE114" i="5"/>
  <c r="N18" i="22"/>
  <c r="P18" i="22"/>
  <c r="AE117" i="5"/>
  <c r="AG117" i="5"/>
  <c r="P17" i="22"/>
  <c r="R46" i="20"/>
  <c r="AG29" i="20"/>
  <c r="AI29" i="20"/>
  <c r="T37" i="20"/>
  <c r="AG37" i="20"/>
  <c r="AI37" i="20"/>
  <c r="AG40" i="20"/>
  <c r="AI40" i="20"/>
  <c r="AG48" i="20"/>
  <c r="AI48" i="20"/>
  <c r="AI22" i="20"/>
  <c r="AG22" i="20"/>
  <c r="AJ20" i="20"/>
  <c r="AI23" i="20"/>
  <c r="AG23" i="20"/>
  <c r="AI46" i="20"/>
  <c r="AG46" i="20"/>
  <c r="Q46" i="20"/>
  <c r="AI47" i="20"/>
  <c r="AG47" i="20"/>
  <c r="AI124" i="5"/>
  <c r="S124" i="5"/>
  <c r="AD124" i="5" s="1"/>
  <c r="AH124" i="5"/>
  <c r="AF37" i="20"/>
  <c r="Q37" i="20"/>
  <c r="Q29" i="20"/>
  <c r="AF40" i="20"/>
  <c r="AF29" i="20"/>
  <c r="Q40" i="20"/>
  <c r="T29" i="20"/>
  <c r="Q42" i="21"/>
  <c r="T42" i="21"/>
  <c r="T36" i="21"/>
  <c r="AC36" i="21"/>
  <c r="R42" i="21"/>
  <c r="AH55" i="21"/>
  <c r="Q33" i="21"/>
  <c r="AC34" i="21"/>
  <c r="T33" i="21"/>
  <c r="R34" i="21"/>
  <c r="Q34" i="21"/>
  <c r="X55" i="21"/>
  <c r="O40" i="22"/>
  <c r="S40" i="22"/>
  <c r="Y55" i="21"/>
  <c r="S55" i="21"/>
  <c r="W55" i="21"/>
  <c r="V55" i="21"/>
  <c r="AG55" i="21"/>
  <c r="Z55" i="21"/>
  <c r="T40" i="20"/>
  <c r="Q23" i="20"/>
  <c r="R23" i="20"/>
  <c r="AF23" i="20"/>
  <c r="T23" i="20"/>
  <c r="R124" i="5"/>
  <c r="Q124" i="5"/>
  <c r="S71" i="5"/>
  <c r="AD71" i="5" s="1"/>
  <c r="AH93" i="5"/>
  <c r="V71" i="5"/>
  <c r="Y70" i="5"/>
  <c r="S70" i="5"/>
  <c r="R70" i="5" s="1"/>
  <c r="AH120" i="5"/>
  <c r="W71" i="5"/>
  <c r="AH104" i="5"/>
  <c r="V70" i="5"/>
  <c r="AH110" i="5"/>
  <c r="W70" i="5"/>
  <c r="AH111" i="5"/>
  <c r="X70" i="5"/>
  <c r="AH102" i="5"/>
  <c r="Q20" i="21"/>
  <c r="T20" i="21"/>
  <c r="AC20" i="21"/>
  <c r="R20" i="21"/>
  <c r="AC40" i="21"/>
  <c r="Q40" i="21"/>
  <c r="T40" i="21"/>
  <c r="R40" i="21"/>
  <c r="Q17" i="21"/>
  <c r="AC17" i="21"/>
  <c r="T17" i="21"/>
  <c r="R17" i="21"/>
  <c r="AC24" i="21"/>
  <c r="Q24" i="21"/>
  <c r="R24" i="21"/>
  <c r="T24" i="21"/>
  <c r="Q16" i="21"/>
  <c r="AC16" i="21"/>
  <c r="T16" i="21"/>
  <c r="R16" i="21"/>
  <c r="Q28" i="21"/>
  <c r="AC28" i="21"/>
  <c r="T28" i="21"/>
  <c r="R28" i="21"/>
  <c r="V51" i="20"/>
  <c r="Q21" i="20"/>
  <c r="T21" i="20"/>
  <c r="AF21" i="20"/>
  <c r="R21" i="20"/>
  <c r="X101" i="5"/>
  <c r="AI101" i="5"/>
  <c r="R86" i="5"/>
  <c r="AD86" i="5"/>
  <c r="R83" i="5"/>
  <c r="AD83" i="5"/>
  <c r="Q100" i="5"/>
  <c r="AD100" i="5"/>
  <c r="Q99" i="5"/>
  <c r="AD99" i="5"/>
  <c r="T121" i="5"/>
  <c r="AD121" i="5"/>
  <c r="AH72" i="5"/>
  <c r="AI72" i="5"/>
  <c r="X78" i="5"/>
  <c r="AH78" i="5"/>
  <c r="AI78" i="5"/>
  <c r="AI73" i="5"/>
  <c r="AH73" i="5"/>
  <c r="X81" i="5"/>
  <c r="AH81" i="5"/>
  <c r="AI81" i="5"/>
  <c r="S91" i="5"/>
  <c r="Q91" i="5" s="1"/>
  <c r="AH91" i="5"/>
  <c r="AI91" i="5"/>
  <c r="R121" i="5"/>
  <c r="AH101" i="5"/>
  <c r="X98" i="5"/>
  <c r="AI98" i="5"/>
  <c r="R114" i="5"/>
  <c r="AD114" i="5"/>
  <c r="S82" i="5"/>
  <c r="AD82" i="5" s="1"/>
  <c r="AI82" i="5"/>
  <c r="AH82" i="5"/>
  <c r="Q106" i="5"/>
  <c r="AD106" i="5"/>
  <c r="X119" i="5"/>
  <c r="AI119" i="5"/>
  <c r="V74" i="5"/>
  <c r="AI74" i="5"/>
  <c r="AH74" i="5"/>
  <c r="Y77" i="5"/>
  <c r="AI77" i="5"/>
  <c r="AH77" i="5"/>
  <c r="X72" i="5"/>
  <c r="S87" i="5"/>
  <c r="Q87" i="5" s="1"/>
  <c r="AI87" i="5"/>
  <c r="AH98" i="5"/>
  <c r="AH95" i="5"/>
  <c r="Q75" i="5"/>
  <c r="AD75" i="5"/>
  <c r="Q92" i="5"/>
  <c r="AD92" i="5"/>
  <c r="X118" i="5"/>
  <c r="AH118" i="5"/>
  <c r="AI118" i="5"/>
  <c r="V72" i="5"/>
  <c r="V110" i="5"/>
  <c r="AI110" i="5"/>
  <c r="Y71" i="5"/>
  <c r="AI71" i="5"/>
  <c r="AH71" i="5"/>
  <c r="AH87" i="5"/>
  <c r="T122" i="5"/>
  <c r="AD122" i="5"/>
  <c r="Q113" i="5"/>
  <c r="AD113" i="5"/>
  <c r="Y79" i="5"/>
  <c r="AH79" i="5"/>
  <c r="AI79" i="5"/>
  <c r="T76" i="5"/>
  <c r="AD76" i="5"/>
  <c r="S95" i="5"/>
  <c r="AD95" i="5" s="1"/>
  <c r="AI95" i="5"/>
  <c r="S72" i="5"/>
  <c r="R72" i="5" s="1"/>
  <c r="T88" i="5"/>
  <c r="AD88" i="5"/>
  <c r="V115" i="5"/>
  <c r="AI115" i="5"/>
  <c r="AH115" i="5"/>
  <c r="AH70" i="5"/>
  <c r="AI70" i="5"/>
  <c r="AH119" i="5"/>
  <c r="R112" i="5"/>
  <c r="AD112" i="5"/>
  <c r="S111" i="5"/>
  <c r="T111" i="5" s="1"/>
  <c r="AI111" i="5"/>
  <c r="X93" i="5"/>
  <c r="AI93" i="5"/>
  <c r="Q80" i="5"/>
  <c r="AD80" i="5"/>
  <c r="Q94" i="5"/>
  <c r="AD94" i="5"/>
  <c r="S104" i="5"/>
  <c r="Q104" i="5" s="1"/>
  <c r="AI104" i="5"/>
  <c r="AH123" i="5"/>
  <c r="AB16" i="20"/>
  <c r="AA16" i="20"/>
  <c r="Y16" i="20"/>
  <c r="AC51" i="20"/>
  <c r="X20" i="20"/>
  <c r="AB20" i="20"/>
  <c r="AA20" i="20"/>
  <c r="Y20" i="20"/>
  <c r="W20" i="20"/>
  <c r="S20" i="20"/>
  <c r="AF20" i="20" s="1"/>
  <c r="AK20" i="20"/>
  <c r="AK51" i="20" s="1"/>
  <c r="Y119" i="5"/>
  <c r="S119" i="5"/>
  <c r="AD119" i="5" s="1"/>
  <c r="Z119" i="5"/>
  <c r="Z71" i="5"/>
  <c r="Z118" i="5"/>
  <c r="N17" i="5"/>
  <c r="P17" i="5" s="1"/>
  <c r="S118" i="5"/>
  <c r="R118" i="5" s="1"/>
  <c r="Y118" i="5"/>
  <c r="W119" i="5"/>
  <c r="Q121" i="5"/>
  <c r="AC17" i="5"/>
  <c r="J17" i="5"/>
  <c r="W118" i="5"/>
  <c r="AA18" i="5"/>
  <c r="AC18" i="5"/>
  <c r="AH18" i="5" s="1"/>
  <c r="J18" i="5"/>
  <c r="W18" i="5" s="1"/>
  <c r="Q125" i="5"/>
  <c r="R125" i="5"/>
  <c r="T125" i="5"/>
  <c r="R122" i="5"/>
  <c r="S115" i="5"/>
  <c r="R115" i="5" s="1"/>
  <c r="V119" i="5"/>
  <c r="Q122" i="5"/>
  <c r="W115" i="5"/>
  <c r="V118" i="5"/>
  <c r="S120" i="5"/>
  <c r="AD120" i="5" s="1"/>
  <c r="V120" i="5"/>
  <c r="W120" i="5"/>
  <c r="Z120" i="5"/>
  <c r="X120" i="5"/>
  <c r="Y120" i="5"/>
  <c r="V123" i="5"/>
  <c r="S123" i="5"/>
  <c r="AD123" i="5" s="1"/>
  <c r="Z123" i="5"/>
  <c r="W123" i="5"/>
  <c r="X123" i="5"/>
  <c r="Y123" i="5"/>
  <c r="X115" i="5"/>
  <c r="Y115" i="5"/>
  <c r="Z115" i="5"/>
  <c r="Q112" i="5"/>
  <c r="Y111" i="5"/>
  <c r="V98" i="5"/>
  <c r="V111" i="5"/>
  <c r="W98" i="5"/>
  <c r="S98" i="5"/>
  <c r="R98" i="5" s="1"/>
  <c r="Y98" i="5"/>
  <c r="Q117" i="5"/>
  <c r="R117" i="5"/>
  <c r="T117" i="5"/>
  <c r="Q116" i="5"/>
  <c r="R116" i="5"/>
  <c r="T116" i="5"/>
  <c r="T113" i="5"/>
  <c r="R113" i="5"/>
  <c r="X111" i="5"/>
  <c r="Z98" i="5"/>
  <c r="Z111" i="5"/>
  <c r="T112" i="5"/>
  <c r="Q114" i="5"/>
  <c r="T114" i="5"/>
  <c r="W111" i="5"/>
  <c r="R99" i="5"/>
  <c r="Y104" i="5"/>
  <c r="Z104" i="5"/>
  <c r="V104" i="5"/>
  <c r="Z110" i="5"/>
  <c r="T99" i="5"/>
  <c r="V101" i="5"/>
  <c r="S101" i="5"/>
  <c r="W110" i="5"/>
  <c r="X110" i="5"/>
  <c r="Y110" i="5"/>
  <c r="W104" i="5"/>
  <c r="Z101" i="5"/>
  <c r="X104" i="5"/>
  <c r="S110" i="5"/>
  <c r="AD110" i="5" s="1"/>
  <c r="T106" i="5"/>
  <c r="T109" i="5"/>
  <c r="Q109" i="5"/>
  <c r="R109" i="5"/>
  <c r="R106" i="5"/>
  <c r="Q105" i="5"/>
  <c r="R105" i="5"/>
  <c r="T105" i="5"/>
  <c r="Y81" i="5"/>
  <c r="W101" i="5"/>
  <c r="S81" i="5"/>
  <c r="W91" i="5"/>
  <c r="W81" i="5"/>
  <c r="Y91" i="5"/>
  <c r="V91" i="5"/>
  <c r="Z91" i="5"/>
  <c r="X91" i="5"/>
  <c r="Z81" i="5"/>
  <c r="S93" i="5"/>
  <c r="R100" i="5"/>
  <c r="Y93" i="5"/>
  <c r="V93" i="5"/>
  <c r="Y101" i="5"/>
  <c r="Z93" i="5"/>
  <c r="S78" i="5"/>
  <c r="Z95" i="5"/>
  <c r="W93" i="5"/>
  <c r="X95" i="5"/>
  <c r="T100" i="5"/>
  <c r="Y95" i="5"/>
  <c r="W95" i="5"/>
  <c r="S102" i="5"/>
  <c r="AD102" i="5" s="1"/>
  <c r="V102" i="5"/>
  <c r="Z102" i="5"/>
  <c r="W102" i="5"/>
  <c r="X102" i="5"/>
  <c r="Y102" i="5"/>
  <c r="V95" i="5"/>
  <c r="R103" i="5"/>
  <c r="Q103" i="5"/>
  <c r="T103" i="5"/>
  <c r="R80" i="5"/>
  <c r="V81" i="5"/>
  <c r="W73" i="5"/>
  <c r="R92" i="5"/>
  <c r="T80" i="5"/>
  <c r="S73" i="5"/>
  <c r="Y73" i="5"/>
  <c r="T92" i="5"/>
  <c r="V73" i="5"/>
  <c r="Q83" i="5"/>
  <c r="X73" i="5"/>
  <c r="Z73" i="5"/>
  <c r="X87" i="5"/>
  <c r="T94" i="5"/>
  <c r="R94" i="5"/>
  <c r="Q97" i="5"/>
  <c r="T97" i="5"/>
  <c r="R97" i="5"/>
  <c r="W87" i="5"/>
  <c r="R96" i="5"/>
  <c r="Q96" i="5"/>
  <c r="T96" i="5"/>
  <c r="Y87" i="5"/>
  <c r="W74" i="5"/>
  <c r="V79" i="5"/>
  <c r="S79" i="5"/>
  <c r="Z87" i="5"/>
  <c r="V87" i="5"/>
  <c r="Z79" i="5"/>
  <c r="Q76" i="5"/>
  <c r="Z82" i="5"/>
  <c r="R88" i="5"/>
  <c r="X74" i="5"/>
  <c r="Y82" i="5"/>
  <c r="Q88" i="5"/>
  <c r="Y74" i="5"/>
  <c r="W78" i="5"/>
  <c r="X82" i="5"/>
  <c r="W82" i="5"/>
  <c r="V82" i="5"/>
  <c r="R76" i="5"/>
  <c r="T75" i="5"/>
  <c r="X79" i="5"/>
  <c r="R75" i="5"/>
  <c r="W79" i="5"/>
  <c r="T83" i="5"/>
  <c r="Z78" i="5"/>
  <c r="Y78" i="5"/>
  <c r="V78" i="5"/>
  <c r="AI43" i="5"/>
  <c r="W63" i="5"/>
  <c r="AH63" i="5"/>
  <c r="AI63" i="5"/>
  <c r="N24" i="5"/>
  <c r="P24" i="5" s="1"/>
  <c r="AC24" i="5"/>
  <c r="J24" i="5"/>
  <c r="AI41" i="5"/>
  <c r="R59" i="5"/>
  <c r="AD59" i="5"/>
  <c r="AA32" i="5"/>
  <c r="AC32" i="5"/>
  <c r="J32" i="5"/>
  <c r="AA42" i="5"/>
  <c r="AC42" i="5"/>
  <c r="J42" i="5"/>
  <c r="AI56" i="5"/>
  <c r="AH56" i="5"/>
  <c r="Z47" i="5"/>
  <c r="AH47" i="5"/>
  <c r="AI47" i="5"/>
  <c r="X33" i="5"/>
  <c r="J27" i="5"/>
  <c r="AC27" i="5"/>
  <c r="Z58" i="5"/>
  <c r="AH58" i="5"/>
  <c r="AI58" i="5"/>
  <c r="AC37" i="5"/>
  <c r="AH37" i="5" s="1"/>
  <c r="J37" i="5"/>
  <c r="W37" i="5" s="1"/>
  <c r="AA20" i="5"/>
  <c r="AC20" i="5"/>
  <c r="J20" i="5"/>
  <c r="AA25" i="5"/>
  <c r="AC25" i="5"/>
  <c r="J25" i="5"/>
  <c r="AA21" i="5"/>
  <c r="J21" i="5"/>
  <c r="AC21" i="5"/>
  <c r="X77" i="5"/>
  <c r="Z77" i="5"/>
  <c r="S77" i="5"/>
  <c r="AD77" i="5" s="1"/>
  <c r="W77" i="5"/>
  <c r="V77" i="5"/>
  <c r="AA41" i="5"/>
  <c r="AC41" i="5"/>
  <c r="AH41" i="5" s="1"/>
  <c r="J41" i="5"/>
  <c r="AA38" i="5"/>
  <c r="J38" i="5"/>
  <c r="AC38" i="5"/>
  <c r="AA39" i="5"/>
  <c r="AC39" i="5"/>
  <c r="J39" i="5"/>
  <c r="Y46" i="5"/>
  <c r="AH46" i="5"/>
  <c r="AI46" i="5"/>
  <c r="S64" i="5"/>
  <c r="AD64" i="5" s="1"/>
  <c r="AI64" i="5"/>
  <c r="AH64" i="5"/>
  <c r="AA44" i="5"/>
  <c r="AC44" i="5"/>
  <c r="AH44" i="5" s="1"/>
  <c r="J44" i="5"/>
  <c r="AA33" i="5"/>
  <c r="AC33" i="5"/>
  <c r="AH33" i="5" s="1"/>
  <c r="J33" i="5"/>
  <c r="W33" i="5" s="1"/>
  <c r="AA43" i="5"/>
  <c r="AC43" i="5"/>
  <c r="AH43" i="5" s="1"/>
  <c r="J43" i="5"/>
  <c r="AI54" i="5"/>
  <c r="AH54" i="5"/>
  <c r="X52" i="5"/>
  <c r="AI52" i="5"/>
  <c r="AH52" i="5"/>
  <c r="T86" i="5"/>
  <c r="Q86" i="5"/>
  <c r="AI44" i="5"/>
  <c r="AA22" i="5"/>
  <c r="J22" i="5"/>
  <c r="AC22" i="5"/>
  <c r="R55" i="5"/>
  <c r="AD55" i="5"/>
  <c r="AA31" i="5"/>
  <c r="AC31" i="5"/>
  <c r="J31" i="5"/>
  <c r="Q57" i="5"/>
  <c r="AD57" i="5"/>
  <c r="AA26" i="5"/>
  <c r="J26" i="5"/>
  <c r="AC26" i="5"/>
  <c r="N40" i="5"/>
  <c r="P40" i="5" s="1"/>
  <c r="J40" i="5"/>
  <c r="AC40" i="5"/>
  <c r="AH60" i="5"/>
  <c r="AI60" i="5"/>
  <c r="X65" i="5"/>
  <c r="AI65" i="5"/>
  <c r="AH65" i="5"/>
  <c r="S74" i="5"/>
  <c r="AD74" i="5" s="1"/>
  <c r="Z74" i="5"/>
  <c r="AC19" i="5"/>
  <c r="J19" i="5"/>
  <c r="N19" i="5"/>
  <c r="P19" i="5" s="1"/>
  <c r="AF19" i="5" s="1"/>
  <c r="T59" i="5"/>
  <c r="Q59" i="5"/>
  <c r="X63" i="5"/>
  <c r="Y58" i="5"/>
  <c r="W65" i="5"/>
  <c r="W58" i="5"/>
  <c r="Y63" i="5"/>
  <c r="S63" i="5"/>
  <c r="V63" i="5"/>
  <c r="X58" i="5"/>
  <c r="S65" i="5"/>
  <c r="AD65" i="5" s="1"/>
  <c r="Y65" i="5"/>
  <c r="Z65" i="5"/>
  <c r="V65" i="5"/>
  <c r="V64" i="5"/>
  <c r="W60" i="5"/>
  <c r="Z63" i="5"/>
  <c r="W53" i="5"/>
  <c r="Z64" i="5"/>
  <c r="Y64" i="5"/>
  <c r="X64" i="5"/>
  <c r="W64" i="5"/>
  <c r="V46" i="5"/>
  <c r="X60" i="5"/>
  <c r="V58" i="5"/>
  <c r="W62" i="5"/>
  <c r="S58" i="5"/>
  <c r="AA40" i="5"/>
  <c r="W61" i="5"/>
  <c r="W59" i="5"/>
  <c r="V60" i="5"/>
  <c r="S60" i="5"/>
  <c r="AD60" i="5" s="1"/>
  <c r="Y60" i="5"/>
  <c r="Z60" i="5"/>
  <c r="S52" i="5"/>
  <c r="Q62" i="5"/>
  <c r="R62" i="5"/>
  <c r="T62" i="5"/>
  <c r="T61" i="5"/>
  <c r="R61" i="5"/>
  <c r="Q61" i="5"/>
  <c r="W46" i="5"/>
  <c r="W52" i="5"/>
  <c r="W57" i="5"/>
  <c r="S46" i="5"/>
  <c r="X46" i="5"/>
  <c r="Z46" i="5"/>
  <c r="Z52" i="5"/>
  <c r="Y52" i="5"/>
  <c r="V52" i="5"/>
  <c r="R57" i="5"/>
  <c r="V56" i="5"/>
  <c r="Y56" i="5"/>
  <c r="W56" i="5"/>
  <c r="X56" i="5"/>
  <c r="S56" i="5"/>
  <c r="AD56" i="5" s="1"/>
  <c r="Z56" i="5"/>
  <c r="V54" i="5"/>
  <c r="Y54" i="5"/>
  <c r="W54" i="5"/>
  <c r="Z54" i="5"/>
  <c r="X54" i="5"/>
  <c r="S54" i="5"/>
  <c r="AD54" i="5" s="1"/>
  <c r="Q55" i="5"/>
  <c r="T55" i="5"/>
  <c r="T57" i="5"/>
  <c r="Q53" i="5"/>
  <c r="R53" i="5"/>
  <c r="T53" i="5"/>
  <c r="W45" i="5"/>
  <c r="V47" i="5"/>
  <c r="X47" i="5"/>
  <c r="Y47" i="5"/>
  <c r="W47" i="5"/>
  <c r="S47" i="5"/>
  <c r="AD47" i="5" s="1"/>
  <c r="Q48" i="5"/>
  <c r="T48" i="5"/>
  <c r="Q51" i="5"/>
  <c r="R51" i="5"/>
  <c r="T51" i="5"/>
  <c r="R48" i="5"/>
  <c r="W51" i="5"/>
  <c r="Q45" i="5"/>
  <c r="R45" i="5"/>
  <c r="T45" i="5"/>
  <c r="N42" i="5"/>
  <c r="P42" i="5" s="1"/>
  <c r="AF42" i="5" s="1"/>
  <c r="S44" i="5"/>
  <c r="X44" i="5"/>
  <c r="Y44" i="5"/>
  <c r="Z44" i="5"/>
  <c r="I44" i="5"/>
  <c r="V44" i="5" s="1"/>
  <c r="AA24" i="5"/>
  <c r="I42" i="5"/>
  <c r="AA37" i="5"/>
  <c r="I43" i="5"/>
  <c r="V43" i="5" s="1"/>
  <c r="X43" i="5"/>
  <c r="Y43" i="5"/>
  <c r="Z43" i="5"/>
  <c r="S43" i="5"/>
  <c r="X41" i="5"/>
  <c r="Y41" i="5"/>
  <c r="Z41" i="5"/>
  <c r="S41" i="5"/>
  <c r="I40" i="5"/>
  <c r="I41" i="5"/>
  <c r="V41" i="5" s="1"/>
  <c r="I32" i="5"/>
  <c r="N26" i="5"/>
  <c r="P26" i="5" s="1"/>
  <c r="AF26" i="5" s="1"/>
  <c r="I24" i="5"/>
  <c r="I38" i="5"/>
  <c r="N38" i="5"/>
  <c r="P38" i="5" s="1"/>
  <c r="AF38" i="5" s="1"/>
  <c r="N25" i="5"/>
  <c r="P25" i="5" s="1"/>
  <c r="AF25" i="5" s="1"/>
  <c r="I22" i="5"/>
  <c r="K24" i="5"/>
  <c r="I33" i="5"/>
  <c r="V33" i="5" s="1"/>
  <c r="N32" i="5"/>
  <c r="P32" i="5" s="1"/>
  <c r="AF32" i="5" s="1"/>
  <c r="N31" i="5"/>
  <c r="P31" i="5" s="1"/>
  <c r="AF31" i="5" s="1"/>
  <c r="I21" i="5"/>
  <c r="I39" i="5"/>
  <c r="N39" i="5"/>
  <c r="P39" i="5" s="1"/>
  <c r="AF39" i="5" s="1"/>
  <c r="N23" i="5"/>
  <c r="P23" i="5" s="1"/>
  <c r="N21" i="5"/>
  <c r="P21" i="5" s="1"/>
  <c r="AF21" i="5" s="1"/>
  <c r="Z18" i="5"/>
  <c r="N20" i="5"/>
  <c r="P20" i="5" s="1"/>
  <c r="AF20" i="5" s="1"/>
  <c r="W30" i="5"/>
  <c r="V30" i="5"/>
  <c r="X30" i="5"/>
  <c r="Y30" i="5"/>
  <c r="Z30" i="5"/>
  <c r="S30" i="5"/>
  <c r="R30" i="5" s="1"/>
  <c r="S37" i="5"/>
  <c r="Q37" i="5" s="1"/>
  <c r="V37" i="5"/>
  <c r="X37" i="5"/>
  <c r="Z37" i="5"/>
  <c r="Y37" i="5"/>
  <c r="S36" i="5"/>
  <c r="Q36" i="5" s="1"/>
  <c r="Y36" i="5"/>
  <c r="Z36" i="5"/>
  <c r="V36" i="5"/>
  <c r="W36" i="5"/>
  <c r="X36" i="5"/>
  <c r="P27" i="5"/>
  <c r="AF27" i="5" s="1"/>
  <c r="S33" i="5"/>
  <c r="Y33" i="5"/>
  <c r="Z33" i="5"/>
  <c r="AA27" i="5"/>
  <c r="I20" i="5"/>
  <c r="Y18" i="5"/>
  <c r="X18" i="5"/>
  <c r="AA17" i="5"/>
  <c r="V18" i="5"/>
  <c r="AA19" i="5"/>
  <c r="S18" i="5"/>
  <c r="R18" i="5" s="1"/>
  <c r="P22" i="5"/>
  <c r="AF22" i="5" s="1"/>
  <c r="D36" i="19"/>
  <c r="O36" i="19"/>
  <c r="Q36" i="19"/>
  <c r="R36" i="19"/>
  <c r="X36" i="19"/>
  <c r="Y36" i="19"/>
  <c r="Z36" i="19"/>
  <c r="AB36" i="19"/>
  <c r="P36" i="19"/>
  <c r="C65" i="19"/>
  <c r="F63" i="19"/>
  <c r="H63" i="19"/>
  <c r="K63" i="19"/>
  <c r="L63" i="19"/>
  <c r="N63" i="19"/>
  <c r="O63" i="19"/>
  <c r="P63" i="19"/>
  <c r="Q63" i="19"/>
  <c r="R63" i="19"/>
  <c r="T63" i="19"/>
  <c r="U63" i="19"/>
  <c r="V63" i="19"/>
  <c r="W63" i="19"/>
  <c r="X63" i="19"/>
  <c r="Y63" i="19"/>
  <c r="Z63" i="19"/>
  <c r="AA63" i="19"/>
  <c r="AB63" i="19"/>
  <c r="Z25" i="19"/>
  <c r="M60" i="19"/>
  <c r="AG42" i="5" l="1"/>
  <c r="AE42" i="5"/>
  <c r="AG102" i="5"/>
  <c r="AE102" i="5"/>
  <c r="AG26" i="5"/>
  <c r="AE26" i="5"/>
  <c r="X40" i="5"/>
  <c r="AF40" i="5"/>
  <c r="AG33" i="5"/>
  <c r="AE33" i="5"/>
  <c r="AG120" i="5"/>
  <c r="AE120" i="5"/>
  <c r="R71" i="5"/>
  <c r="T124" i="5"/>
  <c r="AG41" i="5"/>
  <c r="AE41" i="5"/>
  <c r="X24" i="5"/>
  <c r="AF24" i="5"/>
  <c r="AE27" i="5"/>
  <c r="AG27" i="5"/>
  <c r="AG70" i="5"/>
  <c r="AE70" i="5"/>
  <c r="AG32" i="5"/>
  <c r="AE32" i="5"/>
  <c r="T71" i="5"/>
  <c r="AG22" i="5"/>
  <c r="AE22" i="5"/>
  <c r="AG44" i="5"/>
  <c r="AE44" i="5"/>
  <c r="AG37" i="5"/>
  <c r="AE37" i="5"/>
  <c r="AH23" i="5"/>
  <c r="AF23" i="5"/>
  <c r="AG19" i="5"/>
  <c r="AE19" i="5"/>
  <c r="X17" i="5"/>
  <c r="AF17" i="5"/>
  <c r="AG30" i="5"/>
  <c r="AE30" i="5"/>
  <c r="AG71" i="5"/>
  <c r="AE71" i="5"/>
  <c r="AG124" i="5"/>
  <c r="AE124" i="5"/>
  <c r="AG38" i="5"/>
  <c r="AE38" i="5"/>
  <c r="AG31" i="5"/>
  <c r="AE31" i="5"/>
  <c r="AG36" i="5"/>
  <c r="AE36" i="5"/>
  <c r="AG20" i="5"/>
  <c r="AE20" i="5"/>
  <c r="AG21" i="5"/>
  <c r="AE21" i="5"/>
  <c r="AG123" i="5"/>
  <c r="AE123" i="5"/>
  <c r="AE39" i="5"/>
  <c r="AG39" i="5"/>
  <c r="AG25" i="5"/>
  <c r="AE25" i="5"/>
  <c r="AG43" i="5"/>
  <c r="AE43" i="5"/>
  <c r="AI20" i="20"/>
  <c r="AI51" i="20" s="1"/>
  <c r="AH51" i="20"/>
  <c r="AG20" i="20"/>
  <c r="AG51" i="20" s="1"/>
  <c r="Q70" i="5"/>
  <c r="Q71" i="5"/>
  <c r="T70" i="5"/>
  <c r="T55" i="21"/>
  <c r="Q55" i="21"/>
  <c r="R55" i="21"/>
  <c r="N40" i="22"/>
  <c r="P40" i="22"/>
  <c r="AC55" i="21"/>
  <c r="T119" i="5"/>
  <c r="T115" i="5"/>
  <c r="R111" i="5"/>
  <c r="T118" i="5"/>
  <c r="AD70" i="5"/>
  <c r="R119" i="5"/>
  <c r="S17" i="5"/>
  <c r="R17" i="5" s="1"/>
  <c r="Z17" i="5"/>
  <c r="Q119" i="5"/>
  <c r="R104" i="5"/>
  <c r="T91" i="5"/>
  <c r="R95" i="5"/>
  <c r="AH17" i="5"/>
  <c r="T72" i="5"/>
  <c r="Q95" i="5"/>
  <c r="V17" i="5"/>
  <c r="Y17" i="5"/>
  <c r="Q93" i="5"/>
  <c r="AD93" i="5"/>
  <c r="R81" i="5"/>
  <c r="AD81" i="5"/>
  <c r="T87" i="5"/>
  <c r="AD87" i="5"/>
  <c r="T95" i="5"/>
  <c r="R87" i="5"/>
  <c r="R91" i="5"/>
  <c r="AD91" i="5"/>
  <c r="Q115" i="5"/>
  <c r="AD115" i="5"/>
  <c r="Q111" i="5"/>
  <c r="AD111" i="5"/>
  <c r="T101" i="5"/>
  <c r="AD101" i="5"/>
  <c r="Q118" i="5"/>
  <c r="AD118" i="5"/>
  <c r="T82" i="5"/>
  <c r="Q79" i="5"/>
  <c r="AD79" i="5"/>
  <c r="Q78" i="5"/>
  <c r="AD78" i="5"/>
  <c r="Q82" i="5"/>
  <c r="Q73" i="5"/>
  <c r="AD73" i="5"/>
  <c r="Q98" i="5"/>
  <c r="AD98" i="5"/>
  <c r="T104" i="5"/>
  <c r="AD104" i="5"/>
  <c r="Q72" i="5"/>
  <c r="AD72" i="5"/>
  <c r="R82" i="5"/>
  <c r="W51" i="20"/>
  <c r="AJ51" i="20"/>
  <c r="Y51" i="20"/>
  <c r="AA51" i="20"/>
  <c r="R20" i="20"/>
  <c r="T20" i="20"/>
  <c r="Q51" i="20"/>
  <c r="S51" i="20"/>
  <c r="AB51" i="20"/>
  <c r="X51" i="20"/>
  <c r="W17" i="5"/>
  <c r="Q123" i="5"/>
  <c r="T123" i="5"/>
  <c r="R123" i="5"/>
  <c r="T98" i="5"/>
  <c r="R120" i="5"/>
  <c r="T120" i="5"/>
  <c r="Q120" i="5"/>
  <c r="Q101" i="5"/>
  <c r="R101" i="5"/>
  <c r="Q110" i="5"/>
  <c r="T110" i="5"/>
  <c r="R110" i="5"/>
  <c r="Q81" i="5"/>
  <c r="T81" i="5"/>
  <c r="R93" i="5"/>
  <c r="T78" i="5"/>
  <c r="T93" i="5"/>
  <c r="R78" i="5"/>
  <c r="Q102" i="5"/>
  <c r="R102" i="5"/>
  <c r="T102" i="5"/>
  <c r="T73" i="5"/>
  <c r="T79" i="5"/>
  <c r="R79" i="5"/>
  <c r="R73" i="5"/>
  <c r="T64" i="5"/>
  <c r="R64" i="5"/>
  <c r="V40" i="5"/>
  <c r="Y40" i="5"/>
  <c r="S40" i="5"/>
  <c r="R40" i="5" s="1"/>
  <c r="V24" i="5"/>
  <c r="AH20" i="5"/>
  <c r="Q64" i="5"/>
  <c r="Z40" i="5"/>
  <c r="AH38" i="5"/>
  <c r="AI39" i="5"/>
  <c r="AH39" i="5"/>
  <c r="Y26" i="5"/>
  <c r="AH26" i="5"/>
  <c r="W24" i="5"/>
  <c r="R43" i="5"/>
  <c r="AD43" i="5"/>
  <c r="Q44" i="5"/>
  <c r="AD44" i="5"/>
  <c r="R58" i="5"/>
  <c r="AD58" i="5"/>
  <c r="Z31" i="5"/>
  <c r="AH31" i="5"/>
  <c r="Y42" i="5"/>
  <c r="AI42" i="5"/>
  <c r="AH42" i="5"/>
  <c r="AI40" i="5"/>
  <c r="AH40" i="5"/>
  <c r="Y32" i="5"/>
  <c r="AH32" i="5"/>
  <c r="Q63" i="5"/>
  <c r="AD63" i="5"/>
  <c r="Z22" i="5"/>
  <c r="AH22" i="5"/>
  <c r="Y24" i="5"/>
  <c r="V27" i="5"/>
  <c r="AH27" i="5"/>
  <c r="R41" i="5"/>
  <c r="AD41" i="5"/>
  <c r="R52" i="5"/>
  <c r="AD52" i="5"/>
  <c r="R74" i="5"/>
  <c r="T74" i="5"/>
  <c r="Q74" i="5"/>
  <c r="Q77" i="5"/>
  <c r="R77" i="5"/>
  <c r="T77" i="5"/>
  <c r="AH24" i="5"/>
  <c r="S24" i="5"/>
  <c r="Q24" i="5" s="1"/>
  <c r="Z24" i="5"/>
  <c r="S21" i="5"/>
  <c r="T21" i="5" s="1"/>
  <c r="AH21" i="5"/>
  <c r="Q46" i="5"/>
  <c r="AD46" i="5"/>
  <c r="S25" i="5"/>
  <c r="Q25" i="5" s="1"/>
  <c r="AH25" i="5"/>
  <c r="V19" i="5"/>
  <c r="AH19" i="5"/>
  <c r="R63" i="5"/>
  <c r="T63" i="5"/>
  <c r="R65" i="5"/>
  <c r="T65" i="5"/>
  <c r="Q65" i="5"/>
  <c r="T58" i="5"/>
  <c r="Q58" i="5"/>
  <c r="Q52" i="5"/>
  <c r="T52" i="5"/>
  <c r="T60" i="5"/>
  <c r="Q60" i="5"/>
  <c r="R60" i="5"/>
  <c r="R46" i="5"/>
  <c r="T46" i="5"/>
  <c r="Q56" i="5"/>
  <c r="T56" i="5"/>
  <c r="R56" i="5"/>
  <c r="V38" i="5"/>
  <c r="T54" i="5"/>
  <c r="Q54" i="5"/>
  <c r="R54" i="5"/>
  <c r="S26" i="5"/>
  <c r="R26" i="5" s="1"/>
  <c r="S31" i="5"/>
  <c r="Q31" i="5" s="1"/>
  <c r="R47" i="5"/>
  <c r="Q47" i="5"/>
  <c r="T47" i="5"/>
  <c r="T44" i="5"/>
  <c r="R44" i="5"/>
  <c r="X31" i="5"/>
  <c r="X42" i="5"/>
  <c r="Z42" i="5"/>
  <c r="V42" i="5"/>
  <c r="W43" i="5"/>
  <c r="V26" i="5"/>
  <c r="X26" i="5"/>
  <c r="Z26" i="5"/>
  <c r="S42" i="5"/>
  <c r="T36" i="5"/>
  <c r="W44" i="5"/>
  <c r="W42" i="5"/>
  <c r="R36" i="5"/>
  <c r="V31" i="5"/>
  <c r="W31" i="5"/>
  <c r="X38" i="5"/>
  <c r="W38" i="5"/>
  <c r="W26" i="5"/>
  <c r="S38" i="5"/>
  <c r="Q38" i="5" s="1"/>
  <c r="Q41" i="5"/>
  <c r="W40" i="5"/>
  <c r="Y31" i="5"/>
  <c r="T41" i="5"/>
  <c r="W41" i="5"/>
  <c r="Q43" i="5"/>
  <c r="T43" i="5"/>
  <c r="Z38" i="5"/>
  <c r="Y38" i="5"/>
  <c r="V21" i="5"/>
  <c r="X21" i="5"/>
  <c r="Z32" i="5"/>
  <c r="S32" i="5"/>
  <c r="X25" i="5"/>
  <c r="Y25" i="5"/>
  <c r="X32" i="5"/>
  <c r="W32" i="5"/>
  <c r="V32" i="5"/>
  <c r="Z19" i="5"/>
  <c r="W23" i="5"/>
  <c r="Z23" i="5"/>
  <c r="W21" i="5"/>
  <c r="AI21" i="5"/>
  <c r="Z21" i="5"/>
  <c r="Y21" i="5"/>
  <c r="V39" i="5"/>
  <c r="W39" i="5"/>
  <c r="S39" i="5"/>
  <c r="AD39" i="5" s="1"/>
  <c r="X39" i="5"/>
  <c r="Y39" i="5"/>
  <c r="Z39" i="5"/>
  <c r="R37" i="5"/>
  <c r="S27" i="5"/>
  <c r="Q27" i="5" s="1"/>
  <c r="T37" i="5"/>
  <c r="Y27" i="5"/>
  <c r="Q33" i="5"/>
  <c r="T33" i="5"/>
  <c r="AI27" i="5"/>
  <c r="Z27" i="5"/>
  <c r="W27" i="5"/>
  <c r="Q30" i="5"/>
  <c r="T30" i="5"/>
  <c r="X27" i="5"/>
  <c r="S23" i="5"/>
  <c r="Q23" i="5" s="1"/>
  <c r="R33" i="5"/>
  <c r="X23" i="5"/>
  <c r="Y23" i="5"/>
  <c r="S20" i="5"/>
  <c r="Q20" i="5" s="1"/>
  <c r="Z20" i="5"/>
  <c r="V23" i="5"/>
  <c r="W25" i="5"/>
  <c r="Z25" i="5"/>
  <c r="V25" i="5"/>
  <c r="W22" i="5"/>
  <c r="V22" i="5"/>
  <c r="S22" i="5"/>
  <c r="Q22" i="5" s="1"/>
  <c r="Y22" i="5"/>
  <c r="X22" i="5"/>
  <c r="W20" i="5"/>
  <c r="S19" i="5"/>
  <c r="Q19" i="5" s="1"/>
  <c r="X20" i="5"/>
  <c r="Y20" i="5"/>
  <c r="V20" i="5"/>
  <c r="Y19" i="5"/>
  <c r="X19" i="5"/>
  <c r="W19" i="5"/>
  <c r="Q18" i="5"/>
  <c r="T18" i="5"/>
  <c r="AI31" i="5"/>
  <c r="P65" i="19"/>
  <c r="Z65" i="19"/>
  <c r="Q65" i="19"/>
  <c r="O65" i="19"/>
  <c r="X65" i="19"/>
  <c r="AB65" i="19"/>
  <c r="AI38" i="5"/>
  <c r="R65" i="19"/>
  <c r="Z26" i="19"/>
  <c r="Y65" i="19"/>
  <c r="AI37" i="5"/>
  <c r="AI19" i="5"/>
  <c r="AD30" i="5"/>
  <c r="AI30" i="5"/>
  <c r="D25" i="19"/>
  <c r="F25" i="19"/>
  <c r="H25" i="19"/>
  <c r="K25" i="19"/>
  <c r="L25" i="19"/>
  <c r="N25" i="19"/>
  <c r="P25" i="19"/>
  <c r="T25" i="19"/>
  <c r="X25" i="19"/>
  <c r="Y25" i="19"/>
  <c r="AA25" i="19"/>
  <c r="AB25" i="19"/>
  <c r="AI32" i="5"/>
  <c r="AI26" i="5"/>
  <c r="K33" i="19"/>
  <c r="L33" i="19"/>
  <c r="AE17" i="5" l="1"/>
  <c r="AG17" i="5"/>
  <c r="AG40" i="5"/>
  <c r="AE40" i="5"/>
  <c r="AG24" i="5"/>
  <c r="AE24" i="5"/>
  <c r="AG23" i="5"/>
  <c r="AE23" i="5"/>
  <c r="T17" i="5"/>
  <c r="Q17" i="5"/>
  <c r="R51" i="20"/>
  <c r="T51" i="20"/>
  <c r="AF51" i="20"/>
  <c r="T40" i="5"/>
  <c r="Q40" i="5"/>
  <c r="AD40" i="5"/>
  <c r="AD21" i="5"/>
  <c r="R21" i="5"/>
  <c r="Q21" i="5"/>
  <c r="R25" i="5"/>
  <c r="T25" i="5"/>
  <c r="Q42" i="5"/>
  <c r="AD42" i="5"/>
  <c r="R24" i="5"/>
  <c r="T26" i="5"/>
  <c r="T24" i="5"/>
  <c r="Q26" i="5"/>
  <c r="T31" i="5"/>
  <c r="R31" i="5"/>
  <c r="R38" i="5"/>
  <c r="T38" i="5"/>
  <c r="R42" i="5"/>
  <c r="T42" i="5"/>
  <c r="R27" i="5"/>
  <c r="T27" i="5"/>
  <c r="R20" i="5"/>
  <c r="R32" i="5"/>
  <c r="T32" i="5"/>
  <c r="Q32" i="5"/>
  <c r="T20" i="5"/>
  <c r="R23" i="5"/>
  <c r="T23" i="5"/>
  <c r="Q39" i="5"/>
  <c r="T39" i="5"/>
  <c r="R39" i="5"/>
  <c r="R22" i="5"/>
  <c r="T22" i="5"/>
  <c r="R19" i="5"/>
  <c r="T19" i="5"/>
  <c r="M33" i="19"/>
  <c r="AD38" i="5"/>
  <c r="AD37" i="5"/>
  <c r="AD31" i="5"/>
  <c r="AI24" i="5"/>
  <c r="AD27" i="5"/>
  <c r="AD19" i="5"/>
  <c r="C23" i="19"/>
  <c r="C31" i="19"/>
  <c r="W24" i="19" l="1"/>
  <c r="V24" i="19"/>
  <c r="I61" i="19"/>
  <c r="U24" i="19"/>
  <c r="E61" i="19"/>
  <c r="AD26" i="5"/>
  <c r="AI33" i="5"/>
  <c r="AI36" i="5"/>
  <c r="AD32" i="5"/>
  <c r="AI22" i="5"/>
  <c r="AI25" i="5"/>
  <c r="AI23" i="5"/>
  <c r="C32" i="19"/>
  <c r="C36" i="19" s="1"/>
  <c r="Q24" i="19" l="1"/>
  <c r="R24" i="19"/>
  <c r="AD24" i="5"/>
  <c r="AD36" i="5"/>
  <c r="AD25" i="5"/>
  <c r="F33" i="19"/>
  <c r="F36" i="19" s="1"/>
  <c r="F65" i="19" s="1"/>
  <c r="E24" i="19"/>
  <c r="S24" i="19"/>
  <c r="I33" i="19"/>
  <c r="H33" i="19"/>
  <c r="H36" i="19" s="1"/>
  <c r="H65" i="19" s="1"/>
  <c r="AD33" i="5"/>
  <c r="G33" i="19"/>
  <c r="J33" i="19"/>
  <c r="J61" i="19"/>
  <c r="G61" i="19"/>
  <c r="AD22" i="5"/>
  <c r="AD23" i="5"/>
  <c r="C24" i="19"/>
  <c r="D63" i="19"/>
  <c r="D65" i="19" s="1"/>
  <c r="F26" i="19" l="1"/>
  <c r="R23" i="19"/>
  <c r="R25" i="19" s="1"/>
  <c r="O25" i="19"/>
  <c r="R26" i="19" l="1"/>
  <c r="O26" i="19" l="1"/>
  <c r="AB26" i="19" l="1"/>
  <c r="D26" i="19"/>
  <c r="P26" i="19"/>
  <c r="Y26" i="19"/>
  <c r="AC33" i="19" l="1"/>
  <c r="M32" i="19"/>
  <c r="L32" i="19"/>
  <c r="K32" i="19"/>
  <c r="M31" i="19"/>
  <c r="L31" i="19"/>
  <c r="L36" i="19" s="1"/>
  <c r="L65" i="19" s="1"/>
  <c r="K31" i="19"/>
  <c r="K36" i="19" s="1"/>
  <c r="K65" i="19" s="1"/>
  <c r="M23" i="19"/>
  <c r="M36" i="19" l="1"/>
  <c r="AD34" i="19"/>
  <c r="AD36" i="19" s="1"/>
  <c r="X26" i="19"/>
  <c r="C22" i="19"/>
  <c r="C25" i="19" s="1"/>
  <c r="U128" i="5"/>
  <c r="M22" i="19" l="1"/>
  <c r="M25" i="19" s="1"/>
  <c r="M26" i="19" s="1"/>
  <c r="M59" i="19"/>
  <c r="M63" i="19" s="1"/>
  <c r="M65" i="19" s="1"/>
  <c r="AD23" i="19"/>
  <c r="AD60" i="19"/>
  <c r="T34" i="19"/>
  <c r="T36" i="19" s="1"/>
  <c r="T65" i="19" s="1"/>
  <c r="N34" i="19"/>
  <c r="N36" i="19" s="1"/>
  <c r="C26" i="19"/>
  <c r="W34" i="19"/>
  <c r="W36" i="19" s="1"/>
  <c r="W65" i="19" s="1"/>
  <c r="V34" i="19"/>
  <c r="V36" i="19" s="1"/>
  <c r="V65" i="19" s="1"/>
  <c r="U34" i="19"/>
  <c r="U36" i="19" s="1"/>
  <c r="U65" i="19" s="1"/>
  <c r="L16" i="5"/>
  <c r="AC16" i="5" l="1"/>
  <c r="J16" i="5"/>
  <c r="I16" i="5"/>
  <c r="N16" i="5"/>
  <c r="P16" i="5" s="1"/>
  <c r="AF16" i="5" s="1"/>
  <c r="AA16" i="5"/>
  <c r="AA128" i="5" s="1"/>
  <c r="N65" i="19"/>
  <c r="N26" i="19"/>
  <c r="T26" i="19"/>
  <c r="U23" i="19"/>
  <c r="V23" i="19"/>
  <c r="W23" i="19"/>
  <c r="AC60" i="19"/>
  <c r="E60" i="19"/>
  <c r="AA33" i="19"/>
  <c r="S33" i="19"/>
  <c r="L26" i="19"/>
  <c r="I24" i="19"/>
  <c r="K26" i="19"/>
  <c r="I32" i="19"/>
  <c r="S32" i="19"/>
  <c r="AC32" i="19"/>
  <c r="I31" i="19"/>
  <c r="I36" i="19" s="1"/>
  <c r="AC31" i="19"/>
  <c r="AC36" i="19" s="1"/>
  <c r="S31" i="19"/>
  <c r="Q23" i="19"/>
  <c r="AG16" i="5" l="1"/>
  <c r="AG128" i="5" s="1"/>
  <c r="AF128" i="5"/>
  <c r="AE16" i="5"/>
  <c r="AE128" i="5" s="1"/>
  <c r="Z16" i="5"/>
  <c r="AH16" i="5"/>
  <c r="X16" i="5"/>
  <c r="W16" i="5"/>
  <c r="V16" i="5"/>
  <c r="AI16" i="5"/>
  <c r="AD22" i="19"/>
  <c r="AD25" i="19" s="1"/>
  <c r="AD26" i="19" s="1"/>
  <c r="AD59" i="19"/>
  <c r="AD63" i="19" s="1"/>
  <c r="AD65" i="19" s="1"/>
  <c r="S36" i="19"/>
  <c r="AA36" i="19"/>
  <c r="AA65" i="19" s="1"/>
  <c r="I23" i="19"/>
  <c r="I60" i="19"/>
  <c r="AI17" i="5"/>
  <c r="AI20" i="5"/>
  <c r="AI18" i="5"/>
  <c r="S23" i="19"/>
  <c r="S60" i="19"/>
  <c r="S61" i="19"/>
  <c r="AC25" i="19"/>
  <c r="AC61" i="19"/>
  <c r="E31" i="19"/>
  <c r="E33" i="19"/>
  <c r="G32" i="19"/>
  <c r="E32" i="19"/>
  <c r="G24" i="19"/>
  <c r="J24" i="19"/>
  <c r="Y16" i="5"/>
  <c r="S16" i="5"/>
  <c r="J32" i="19"/>
  <c r="J31" i="19"/>
  <c r="J36" i="19" s="1"/>
  <c r="G31" i="19"/>
  <c r="G36" i="19" s="1"/>
  <c r="E23" i="19"/>
  <c r="AA26" i="19" l="1"/>
  <c r="AI128" i="5"/>
  <c r="AC59" i="19" s="1"/>
  <c r="AC63" i="19" s="1"/>
  <c r="AC65" i="19" s="1"/>
  <c r="AD16" i="5"/>
  <c r="T16" i="5"/>
  <c r="E36" i="19"/>
  <c r="G23" i="19"/>
  <c r="G60" i="19"/>
  <c r="J23" i="19"/>
  <c r="J60" i="19"/>
  <c r="AD18" i="5"/>
  <c r="AD20" i="5"/>
  <c r="AD17" i="5"/>
  <c r="AC26" i="19"/>
  <c r="H26" i="19"/>
  <c r="S128" i="5"/>
  <c r="Q128" i="5"/>
  <c r="R16" i="5"/>
  <c r="Y128" i="5"/>
  <c r="V22" i="19" s="1"/>
  <c r="V25" i="19" s="1"/>
  <c r="Z128" i="5"/>
  <c r="W22" i="19" s="1"/>
  <c r="W25" i="19" s="1"/>
  <c r="X128" i="5"/>
  <c r="U22" i="19" s="1"/>
  <c r="U25" i="19" s="1"/>
  <c r="W128" i="5" l="1"/>
  <c r="S22" i="19" s="1"/>
  <c r="S25" i="19" s="1"/>
  <c r="S26" i="19" s="1"/>
  <c r="AD128" i="5"/>
  <c r="E59" i="19" s="1"/>
  <c r="E63" i="19" s="1"/>
  <c r="E65" i="19" s="1"/>
  <c r="AH128" i="5"/>
  <c r="S59" i="19" s="1"/>
  <c r="S63" i="19" s="1"/>
  <c r="S65" i="19" s="1"/>
  <c r="I22" i="19"/>
  <c r="I25" i="19" s="1"/>
  <c r="I26" i="19" s="1"/>
  <c r="I59" i="19"/>
  <c r="I63" i="19" s="1"/>
  <c r="I65" i="19" s="1"/>
  <c r="V26" i="19"/>
  <c r="W26" i="19"/>
  <c r="U26" i="19"/>
  <c r="E22" i="19"/>
  <c r="E25" i="19" s="1"/>
  <c r="T128" i="5"/>
  <c r="R128" i="5"/>
  <c r="V128" i="5"/>
  <c r="Q22" i="19" s="1"/>
  <c r="Q25" i="19" s="1"/>
  <c r="G22" i="19" l="1"/>
  <c r="G25" i="19" s="1"/>
  <c r="G26" i="19" s="1"/>
  <c r="G59" i="19"/>
  <c r="G63" i="19" s="1"/>
  <c r="G65" i="19" s="1"/>
  <c r="J22" i="19"/>
  <c r="J25" i="19" s="1"/>
  <c r="J26" i="19" s="1"/>
  <c r="J59" i="19"/>
  <c r="J63" i="19" s="1"/>
  <c r="J65" i="19" s="1"/>
  <c r="E26" i="19"/>
  <c r="Q26" i="19"/>
</calcChain>
</file>

<file path=xl/comments1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back of barrier from I-75 side</t>
        </r>
      </text>
    </comment>
  </commentList>
</comments>
</file>

<file path=xl/comments2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To E/S or F/B</t>
        </r>
      </text>
    </comment>
  </commentList>
</comments>
</file>

<file path=xl/comments3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4.xml><?xml version="1.0" encoding="utf-8"?>
<comments xmlns="http://schemas.openxmlformats.org/spreadsheetml/2006/main">
  <authors>
    <author>hartzelljh</author>
  </authors>
  <commentList>
    <comment ref="I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SC_Scratch1</t>
        </r>
      </text>
    </comment>
    <comment ref="AF21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W2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Adjusted to account for curve radius heading SE down Service Road.</t>
        </r>
      </text>
    </comment>
    <comment ref="Z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SC_Scratch3</t>
        </r>
      </text>
    </comment>
    <comment ref="AC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SC_Scratch1</t>
        </r>
      </text>
    </comment>
    <comment ref="AF3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On SC_Scratch 2</t>
        </r>
      </text>
    </comment>
  </commentList>
</comments>
</file>

<file path=xl/comments5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Uses C&amp;G based quantity</t>
        </r>
      </text>
    </comment>
  </commentList>
</comments>
</file>

<file path=xl/comments6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7.xml><?xml version="1.0" encoding="utf-8"?>
<comments xmlns="http://schemas.openxmlformats.org/spreadsheetml/2006/main">
  <authors>
    <author>hartzelljh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comments8.xml><?xml version="1.0" encoding="utf-8"?>
<comments xmlns="http://schemas.openxmlformats.org/spreadsheetml/2006/main">
  <authors>
    <author>hartzelljh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sharedStrings.xml><?xml version="1.0" encoding="utf-8"?>
<sst xmlns="http://schemas.openxmlformats.org/spreadsheetml/2006/main" count="1125" uniqueCount="182">
  <si>
    <t>SIDE</t>
  </si>
  <si>
    <t>STATION</t>
  </si>
  <si>
    <t>FROM</t>
  </si>
  <si>
    <t>TO</t>
  </si>
  <si>
    <t>LENGTH</t>
  </si>
  <si>
    <t>FT</t>
  </si>
  <si>
    <t>SQ FT</t>
  </si>
  <si>
    <t>PROOF ROLLING</t>
  </si>
  <si>
    <t>SUBGRADE COMPACTION</t>
  </si>
  <si>
    <t>6" AGGREGATE BASE</t>
  </si>
  <si>
    <t>SQ YD</t>
  </si>
  <si>
    <t>HOUR</t>
  </si>
  <si>
    <t>CU YD</t>
  </si>
  <si>
    <t>GALLON</t>
  </si>
  <si>
    <t xml:space="preserve">TOTAL AREA </t>
  </si>
  <si>
    <t>LT</t>
  </si>
  <si>
    <t>RT</t>
  </si>
  <si>
    <t>SURFACE AREA
A = L x W</t>
  </si>
  <si>
    <t>CURING COAT</t>
  </si>
  <si>
    <t>CEMENT STABILIZED SUBGRADE, 12 INCHES DEEP</t>
  </si>
  <si>
    <t>TACK COAT FOR INTERMEDIATE COURSE
(0.05 GAL/SQ YD)</t>
  </si>
  <si>
    <t>LIME STABILIZED SUBGRADE, 12 INCHES DEEP</t>
  </si>
  <si>
    <t>AREA MEASURED
IN CADD</t>
  </si>
  <si>
    <t>AVERAGE WIDTH</t>
  </si>
  <si>
    <t>DO NOT INCLUDE ITEMS TO THE RIGHT</t>
  </si>
  <si>
    <t>TON</t>
  </si>
  <si>
    <t>CEMENT</t>
  </si>
  <si>
    <t>LIME</t>
  </si>
  <si>
    <t xml:space="preserve">SHEET SUB-TOTAL         </t>
  </si>
  <si>
    <t>PAVEMENT PLANING, ASPHALT CONCRETE</t>
  </si>
  <si>
    <t>FULL DEPTH PAVEMENT SAWING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</si>
  <si>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SHOULDERS</t>
    </r>
  </si>
  <si>
    <t>CEMENT STABILIZED SUBGRADE, 14 INCHES DEEP</t>
  </si>
  <si>
    <t>1.5" ASPHALT CONCRETE SURFACE COURSE,
12.5MM, TYPE A (446)</t>
  </si>
  <si>
    <t>1.75" ASPHALT CONCRETE INTERMEDIATE COURSE,
19MM, TYPE A (446)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</si>
  <si>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CURB</t>
    </r>
  </si>
  <si>
    <t>APP SLAB</t>
  </si>
  <si>
    <t>14" NON-REINFORCED CONCRETE PAVEMENT</t>
  </si>
  <si>
    <t>RT / LT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</si>
  <si>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206 STABILIZATION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</si>
  <si>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BASE</t>
    </r>
  </si>
  <si>
    <t>9" NON-REINFORCED CONCRETE PAVEMENT</t>
  </si>
  <si>
    <t>TACK COAT
(0.075 GAL/SQ YD)</t>
  </si>
  <si>
    <t>8" NON-REINFORCED CONCRETE PAVEMENT</t>
  </si>
  <si>
    <t>10" NON-REINFORCED CONCRETE PAVEMENT</t>
  </si>
  <si>
    <t xml:space="preserve">SHEET 1 OF 11 </t>
  </si>
  <si>
    <t xml:space="preserve">SHEET 6 OF 11 </t>
  </si>
  <si>
    <t>3" ASPHALT CONCRETE BASE, PG64-22</t>
  </si>
  <si>
    <t>3" AGGREGATE BASE</t>
  </si>
  <si>
    <t>DATE:</t>
  </si>
  <si>
    <t>CALCULATED BY:</t>
  </si>
  <si>
    <t>CHECKED BY:</t>
  </si>
  <si>
    <t>TAB</t>
  </si>
  <si>
    <t>SUBTOTAL: RAMPS &amp; SIDESTREETS</t>
  </si>
  <si>
    <t>ROADWAY</t>
  </si>
  <si>
    <t>PAVEMENT QUANTITY CALCULATIONS</t>
  </si>
  <si>
    <t>I-75 NB FLEXIBLE PAVEMENT</t>
  </si>
  <si>
    <t>I-75 SB FLEXIBLE PAVEMENT</t>
  </si>
  <si>
    <t xml:space="preserve">SHEET 4 OF 11 </t>
  </si>
  <si>
    <t>1.75" ASPHALT CONCRETE INTERMEDIATE COURSE, 19MM, TYPE A (446)</t>
  </si>
  <si>
    <t>ALTERNATIVE BID (I-75 MAINLINE)</t>
  </si>
  <si>
    <t>PAVEMENT REMOVED</t>
  </si>
  <si>
    <t>GRANULAR MATERIAL, TYPE B, 12 INCHES DEEP</t>
  </si>
  <si>
    <t>1.5" ASPHALT CONCRETE SURFACE COURSE, 12.5MM, TYPE A (446)</t>
  </si>
  <si>
    <t>RUMBLE STRIPS</t>
  </si>
  <si>
    <t>TACK COAT (0.075 GAL/SQ YD)</t>
  </si>
  <si>
    <t>PID 87005</t>
  </si>
  <si>
    <t>HAN-75-14.69</t>
  </si>
  <si>
    <t>XXX</t>
  </si>
  <si>
    <t>I-75/U.S. 68 RAMPS</t>
  </si>
  <si>
    <t>SR 12 RAMPS</t>
  </si>
  <si>
    <t>US 224 RAMPS</t>
  </si>
  <si>
    <t>I-75 NB/SB</t>
  </si>
  <si>
    <t>US. 68 NB/SB</t>
  </si>
  <si>
    <t>SUBTOTAL: MAINLINE I-75/U.S. 68</t>
  </si>
  <si>
    <t>GRAY STREET</t>
  </si>
  <si>
    <t>US-68 NB/SB</t>
  </si>
  <si>
    <t>US-68 RAMPS</t>
  </si>
  <si>
    <t>MAINLINE I-75/US 68: ASPHALT ALT</t>
  </si>
  <si>
    <t>MAINLINE I-75/US 68: RIGID ALT</t>
  </si>
  <si>
    <t>ALT RIGID PAVEMENT ITEMS TO THE RIGHT</t>
  </si>
  <si>
    <t>MCK</t>
  </si>
  <si>
    <t>11.5" ASPHALT CONCRETE BASE, PG64-22</t>
  </si>
  <si>
    <t>TACK COAT FOR INTERMEDIATE COURSE
(0.04 GAL/SQ YD)</t>
  </si>
  <si>
    <t>TACK COAT FOR INTERMEDIATE COURSE (0.04 GAL/SQ YD)</t>
  </si>
  <si>
    <t>1 / LT</t>
  </si>
  <si>
    <t>2 / LT</t>
  </si>
  <si>
    <t>3 / RT</t>
  </si>
  <si>
    <t>1 / RT</t>
  </si>
  <si>
    <t>2 / RT</t>
  </si>
  <si>
    <t>3 / LT</t>
  </si>
  <si>
    <t>PAVEMENT - BOTH ALT'S</t>
  </si>
  <si>
    <t xml:space="preserve">US. 68 NB/SB - RESURFACE </t>
  </si>
  <si>
    <t>2 / TOP</t>
  </si>
  <si>
    <t>6" NON-REINFORCED CONCRETE PAVEMENT</t>
  </si>
  <si>
    <t>3" PAVEMENT PLANING, ASPHALT CONCRETE</t>
  </si>
  <si>
    <t>LIMA AVE (RAMPS &amp; STREET)</t>
  </si>
  <si>
    <t xml:space="preserve"> </t>
  </si>
  <si>
    <t xml:space="preserve"> ASPHALT CONCRETE INTERMEDIATE COURSE, TYPE 2, PG64-22</t>
  </si>
  <si>
    <t>ASPHALT CONCRETE SURFACE COURSE, TYPE 1, PG64-22</t>
  </si>
  <si>
    <t>RIGID ALTERNATIVE                                               GRAND TOTALS: MAINLINE, RAMPS, &amp; SIDESTREETS</t>
  </si>
  <si>
    <t>FLEXIBLE ALTERNATIVE                                        GRAND TOTALS: MAINLINE, RAMPS, &amp; SIDESTREETS</t>
  </si>
  <si>
    <t>ASPHALT CONCRETE BASE, PG64-22</t>
  </si>
  <si>
    <t xml:space="preserve">SERVICE RD &amp; HARRISON ST (See Korda Spreadsheet) </t>
  </si>
  <si>
    <t xml:space="preserve">RIGID ALTERNATE SUBTOTAL </t>
  </si>
  <si>
    <t>10/17/2013</t>
  </si>
  <si>
    <t>ASPHALT CONCRETE SURFACE COURSE,
TYPE 1, PG64-22</t>
  </si>
  <si>
    <t>ASPHALT CONCRETE INTERMEDIATE COURSE,
TYPE 2, PG64-22</t>
  </si>
  <si>
    <t>ITEM 302</t>
  </si>
  <si>
    <t>ITEM 304</t>
  </si>
  <si>
    <t>ITEM 206</t>
  </si>
  <si>
    <t>UNCURBED, Past E/S</t>
  </si>
  <si>
    <r>
      <t>Additional Area for Stepping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</si>
  <si>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Additional Width for Stepping (ft</t>
    </r>
    <r>
      <rPr>
        <sz val="10"/>
        <rFont val="Arial"/>
        <family val="2"/>
      </rPr>
      <t>)</t>
    </r>
  </si>
  <si>
    <t>CURBED, Past F/C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</si>
  <si>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GRASS BARRIER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</si>
  <si>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AGGREGATE BASE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</si>
  <si>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INTERMEDIATE COURSE</t>
    </r>
  </si>
  <si>
    <t>GRASS BARRIER, Past Back of Barrier</t>
  </si>
  <si>
    <t>ITEM 442</t>
  </si>
  <si>
    <t>1015+00</t>
  </si>
  <si>
    <t>UNCURBED, PAST E/S</t>
  </si>
  <si>
    <t>GRASS BARRIER, Past B/B</t>
  </si>
  <si>
    <t>END BL</t>
  </si>
  <si>
    <t>BEGIN CL</t>
  </si>
  <si>
    <t>6" ASPHALT CONCRETE BASE, PG 64-22</t>
  </si>
  <si>
    <t>1.25" ASPHALT CONCRETE SURFACE COURSE, TYPE 1</t>
  </si>
  <si>
    <t>1.75" ASPHALT CONCRETE INTERMEDIATE COURSE, TYPE 2</t>
  </si>
  <si>
    <t>CURB &amp; GUTTER, Past E/P</t>
  </si>
  <si>
    <t>ROUNDABOUT A</t>
  </si>
  <si>
    <t>ITEM 452</t>
  </si>
  <si>
    <t>TOTALS</t>
  </si>
  <si>
    <r>
      <t>Additional Vol. for Stepping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</si>
  <si>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ROUNDABOUT B</t>
  </si>
  <si>
    <t>LIMA AVENUE</t>
  </si>
  <si>
    <t>LOGAN AVENUE</t>
  </si>
  <si>
    <t xml:space="preserve">SHEET 2 OF 11 </t>
  </si>
  <si>
    <t xml:space="preserve">SHEET 3 OF 11 </t>
  </si>
  <si>
    <t>LIMA RAMP A</t>
  </si>
  <si>
    <t>LIMA RAMP B</t>
  </si>
  <si>
    <t>CURBED, Past E/P</t>
  </si>
  <si>
    <t>Curb &amp; Gutter</t>
  </si>
  <si>
    <t>LIMA RAMP E</t>
  </si>
  <si>
    <t>Curb</t>
  </si>
  <si>
    <t>LIMA RAMP F</t>
  </si>
  <si>
    <t>RIGID</t>
  </si>
  <si>
    <t>LIMA RAMP G</t>
  </si>
  <si>
    <t xml:space="preserve">SHEET 5 OF 11 </t>
  </si>
  <si>
    <t>LIMA RAMP G1</t>
  </si>
  <si>
    <t>LIMA RAMP H</t>
  </si>
  <si>
    <t>S.R. 12 RAMP A</t>
  </si>
  <si>
    <t>U.S. 68 RESURFACED PAVEMENT</t>
  </si>
  <si>
    <t>U.S. 68 NB FLEXIBLE PAVEMENT</t>
  </si>
  <si>
    <t>U.S. 68 SB FLEXIBLE PAVEMENT</t>
  </si>
  <si>
    <t>U.S. 68 RAMP A FLEXIBLE PAVEMENT</t>
  </si>
  <si>
    <t>U.S. 68 RAMP B FLEXIBLE PAVEMENT</t>
  </si>
  <si>
    <t>U.S. 68 RAMP C FLEXIBLE PAVEMENT</t>
  </si>
  <si>
    <t>U.S. 68 RAMP D FLEXIBLE PAVEMENT</t>
  </si>
  <si>
    <t>S.R. 12 RAMP B</t>
  </si>
  <si>
    <t>S.R. 12 RAMP C</t>
  </si>
  <si>
    <t>S.R. 12 RAMP D</t>
  </si>
  <si>
    <t>U.S. 224 RAMP A</t>
  </si>
  <si>
    <t>U.S. 224 RAMP B</t>
  </si>
  <si>
    <t>U.S. 224 RAMP C</t>
  </si>
  <si>
    <t>U.S. 224 RAMP D</t>
  </si>
  <si>
    <t xml:space="preserve">SHEET 7 OF 11 </t>
  </si>
  <si>
    <t>HARRISON STREET</t>
  </si>
  <si>
    <t>SERVICE ROAD</t>
  </si>
  <si>
    <r>
      <t xml:space="preserve">HIDE THIS COLUMN
</t>
    </r>
    <r>
      <rPr>
        <sz val="10"/>
        <rFont val="Arial"/>
        <family val="2"/>
      </rPr>
      <t>NO. OF SIDES WITH CURB AND GUTTER</t>
    </r>
  </si>
  <si>
    <t>ITEM 301</t>
  </si>
  <si>
    <t>ITEM 204</t>
  </si>
  <si>
    <t>6" ASPHALT CONCRETE BASE, PG64-22</t>
  </si>
  <si>
    <t>6" AGGRGATE BASE</t>
  </si>
  <si>
    <t xml:space="preserve">SHEET X OF XX </t>
  </si>
  <si>
    <t>UNCURBED, Past E/S (Harrison Street)</t>
  </si>
  <si>
    <t>UNCURBED, Past E/S (Service Road)</t>
  </si>
  <si>
    <t>CURBED, Past F/C (Harrison Street)</t>
  </si>
  <si>
    <t>CURB AND GUTTER, Past Face of Gutter (Service Road)</t>
  </si>
  <si>
    <t>1 1/4" ASPHALT CONCRETE SURFACE COURSE, TYPE 1, (448) PG64-22</t>
  </si>
  <si>
    <t>1 3/4" ASPHALT CONCRETE INTERMEDIATE COURSE, TYPE 2, (448)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</si>
  <si>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SUBGRADE COMPACTION</t>
    </r>
  </si>
  <si>
    <t>TACK COAT 
(0.055 GAL/SQ YD)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</si>
</sst>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\+##.00"/>
    <numFmt numFmtId="165" formatCode="#,##0.000"/>
    <numFmt numFmtId="166" formatCode="##\+#0.00"/>
    <numFmt numFmtId="167" formatCode="#0\+00.00"/>
    <numFmt numFmtId="168" formatCode="##\+#0"/>
  </numFmts>
  <fonts count="12" x14ac:knownFonts="1">
    <font>
      <sz val="10"/>
      <name val="Arial"/>
    </font>
    <font>
      <sz val="10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u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0" fillId="0" borderId="0" xfId="0" applyFill="1"/>
    <xf numFmtId="1" fontId="3" fillId="0" borderId="1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1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4" fontId="0" fillId="0" borderId="4" xfId="0" applyNumberForma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right"/>
    </xf>
    <xf numFmtId="4" fontId="4" fillId="0" borderId="19" xfId="0" applyNumberFormat="1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right"/>
    </xf>
    <xf numFmtId="4" fontId="4" fillId="0" borderId="22" xfId="0" applyNumberFormat="1" applyFont="1" applyFill="1" applyBorder="1" applyAlignment="1">
      <alignment horizontal="center"/>
    </xf>
    <xf numFmtId="4" fontId="3" fillId="0" borderId="20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4" fontId="0" fillId="0" borderId="19" xfId="0" applyNumberFormat="1" applyFill="1" applyBorder="1" applyAlignment="1">
      <alignment horizontal="center"/>
    </xf>
    <xf numFmtId="4" fontId="3" fillId="0" borderId="21" xfId="0" quotePrefix="1" applyNumberFormat="1" applyFont="1" applyFill="1" applyBorder="1" applyAlignment="1">
      <alignment horizontal="left"/>
    </xf>
    <xf numFmtId="4" fontId="0" fillId="0" borderId="2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vertical="center"/>
    </xf>
    <xf numFmtId="1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 vertical="center"/>
    </xf>
    <xf numFmtId="0" fontId="0" fillId="0" borderId="17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left"/>
    </xf>
    <xf numFmtId="4" fontId="0" fillId="0" borderId="1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4" fontId="0" fillId="0" borderId="16" xfId="0" applyNumberForma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26" xfId="0" applyFill="1" applyBorder="1"/>
    <xf numFmtId="0" fontId="0" fillId="0" borderId="13" xfId="0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1" xfId="0" applyFill="1" applyBorder="1"/>
    <xf numFmtId="164" fontId="4" fillId="0" borderId="9" xfId="0" applyNumberFormat="1" applyFont="1" applyFill="1" applyBorder="1" applyAlignment="1">
      <alignment vertical="center"/>
    </xf>
    <xf numFmtId="4" fontId="0" fillId="0" borderId="9" xfId="0" applyNumberFormat="1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1" fillId="0" borderId="18" xfId="0" quotePrefix="1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4" fillId="0" borderId="31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2" borderId="18" xfId="0" applyNumberForma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4" fontId="1" fillId="3" borderId="13" xfId="0" applyNumberFormat="1" applyFon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4" fontId="1" fillId="3" borderId="28" xfId="0" applyNumberFormat="1" applyFon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0" fontId="1" fillId="3" borderId="28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3" fontId="3" fillId="4" borderId="31" xfId="0" applyNumberFormat="1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 wrapText="1"/>
    </xf>
    <xf numFmtId="3" fontId="4" fillId="4" borderId="22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4" fontId="0" fillId="4" borderId="0" xfId="0" applyNumberFormat="1" applyFill="1" applyBorder="1"/>
    <xf numFmtId="1" fontId="3" fillId="5" borderId="25" xfId="0" applyNumberFormat="1" applyFont="1" applyFill="1" applyBorder="1" applyAlignment="1">
      <alignment horizontal="center" vertical="center"/>
    </xf>
    <xf numFmtId="1" fontId="3" fillId="5" borderId="26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1" fillId="5" borderId="4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28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7" fillId="5" borderId="10" xfId="0" applyNumberFormat="1" applyFont="1" applyFill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" vertical="center" wrapText="1"/>
    </xf>
    <xf numFmtId="0" fontId="3" fillId="5" borderId="13" xfId="0" applyNumberFormat="1" applyFont="1" applyFill="1" applyBorder="1" applyAlignment="1">
      <alignment horizontal="center" vertical="center"/>
    </xf>
    <xf numFmtId="3" fontId="0" fillId="5" borderId="10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3" fillId="5" borderId="12" xfId="0" applyNumberFormat="1" applyFont="1" applyFill="1" applyBorder="1" applyAlignment="1">
      <alignment horizontal="center" vertical="center"/>
    </xf>
    <xf numFmtId="3" fontId="1" fillId="5" borderId="1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1" fillId="5" borderId="5" xfId="0" applyNumberFormat="1" applyFont="1" applyFill="1" applyBorder="1" applyAlignment="1">
      <alignment horizontal="center" vertical="center"/>
    </xf>
    <xf numFmtId="0" fontId="3" fillId="5" borderId="31" xfId="0" applyNumberFormat="1" applyFon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/>
    </xf>
    <xf numFmtId="3" fontId="1" fillId="5" borderId="31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 wrapText="1"/>
    </xf>
    <xf numFmtId="0" fontId="4" fillId="5" borderId="29" xfId="0" applyNumberFormat="1" applyFont="1" applyFill="1" applyBorder="1" applyAlignment="1">
      <alignment horizontal="center" vertical="center"/>
    </xf>
    <xf numFmtId="3" fontId="4" fillId="5" borderId="29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 vertical="center"/>
    </xf>
    <xf numFmtId="3" fontId="0" fillId="4" borderId="29" xfId="0" applyNumberFormat="1" applyFill="1" applyBorder="1" applyAlignment="1">
      <alignment horizontal="center"/>
    </xf>
    <xf numFmtId="3" fontId="1" fillId="4" borderId="29" xfId="0" applyNumberFormat="1" applyFont="1" applyFill="1" applyBorder="1" applyAlignment="1">
      <alignment horizontal="center" vertical="center"/>
    </xf>
    <xf numFmtId="3" fontId="4" fillId="4" borderId="33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5" borderId="34" xfId="0" applyNumberFormat="1" applyFont="1" applyFill="1" applyBorder="1" applyAlignment="1">
      <alignment horizontal="center" vertical="center" wrapText="1"/>
    </xf>
    <xf numFmtId="3" fontId="4" fillId="5" borderId="35" xfId="0" applyNumberFormat="1" applyFont="1" applyFill="1" applyBorder="1" applyAlignment="1">
      <alignment horizontal="center" vertical="center"/>
    </xf>
    <xf numFmtId="3" fontId="4" fillId="5" borderId="36" xfId="0" applyNumberFormat="1" applyFont="1" applyFill="1" applyBorder="1" applyAlignment="1">
      <alignment horizontal="center" vertical="center"/>
    </xf>
    <xf numFmtId="3" fontId="4" fillId="5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3" fontId="4" fillId="5" borderId="38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4" fontId="1" fillId="6" borderId="11" xfId="0" applyNumberFormat="1" applyFont="1" applyFill="1" applyBorder="1" applyAlignment="1">
      <alignment horizontal="center" vertical="center"/>
    </xf>
    <xf numFmtId="4" fontId="0" fillId="6" borderId="11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4" fontId="1" fillId="0" borderId="1" xfId="0" quotePrefix="1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1" fillId="0" borderId="0" xfId="0" applyFont="1" applyFill="1"/>
    <xf numFmtId="164" fontId="11" fillId="6" borderId="6" xfId="0" applyNumberFormat="1" applyFont="1" applyFill="1" applyBorder="1" applyAlignment="1">
      <alignment horizontal="center" vertical="center"/>
    </xf>
    <xf numFmtId="164" fontId="11" fillId="6" borderId="7" xfId="0" applyNumberFormat="1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2" fontId="11" fillId="0" borderId="12" xfId="0" quotePrefix="1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6" borderId="11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4" fontId="11" fillId="0" borderId="1" xfId="0" quotePrefix="1" applyNumberFormat="1" applyFont="1" applyFill="1" applyBorder="1" applyAlignment="1">
      <alignment horizontal="center" vertical="center"/>
    </xf>
    <xf numFmtId="2" fontId="11" fillId="0" borderId="1" xfId="0" quotePrefix="1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4" fontId="1" fillId="6" borderId="1" xfId="0" applyNumberFormat="1" applyFont="1" applyFill="1" applyBorder="1" applyAlignment="1">
      <alignment horizontal="center" vertical="center"/>
    </xf>
    <xf numFmtId="4" fontId="1" fillId="6" borderId="28" xfId="0" applyNumberFormat="1" applyFon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vertical="center" textRotation="90"/>
    </xf>
    <xf numFmtId="4" fontId="0" fillId="0" borderId="31" xfId="0" applyNumberFormat="1" applyFill="1" applyBorder="1" applyAlignment="1">
      <alignment horizontal="center"/>
    </xf>
    <xf numFmtId="0" fontId="0" fillId="0" borderId="8" xfId="0" applyFill="1" applyBorder="1"/>
    <xf numFmtId="1" fontId="4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1" fontId="4" fillId="0" borderId="41" xfId="0" applyNumberFormat="1" applyFont="1" applyFill="1" applyBorder="1" applyAlignment="1">
      <alignment vertical="center"/>
    </xf>
    <xf numFmtId="1" fontId="1" fillId="0" borderId="41" xfId="0" applyNumberFormat="1" applyFont="1" applyFill="1" applyBorder="1" applyAlignment="1">
      <alignment vertical="center"/>
    </xf>
    <xf numFmtId="2" fontId="1" fillId="0" borderId="41" xfId="0" applyNumberFormat="1" applyFont="1" applyFill="1" applyBorder="1" applyAlignment="1"/>
    <xf numFmtId="4" fontId="0" fillId="6" borderId="1" xfId="0" applyNumberForma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2" fontId="3" fillId="6" borderId="12" xfId="0" quotePrefix="1" applyNumberFormat="1" applyFont="1" applyFill="1" applyBorder="1" applyAlignment="1">
      <alignment horizontal="center" vertical="center"/>
    </xf>
    <xf numFmtId="2" fontId="11" fillId="6" borderId="12" xfId="0" quotePrefix="1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166" fontId="1" fillId="6" borderId="46" xfId="0" applyNumberFormat="1" applyFont="1" applyFill="1" applyBorder="1" applyAlignment="1">
      <alignment horizontal="center" vertical="center"/>
    </xf>
    <xf numFmtId="166" fontId="1" fillId="6" borderId="47" xfId="0" applyNumberFormat="1" applyFont="1" applyFill="1" applyBorder="1" applyAlignment="1">
      <alignment horizontal="center" vertical="center"/>
    </xf>
    <xf numFmtId="166" fontId="1" fillId="6" borderId="6" xfId="0" applyNumberFormat="1" applyFont="1" applyFill="1" applyBorder="1" applyAlignment="1">
      <alignment horizontal="center" vertical="center"/>
    </xf>
    <xf numFmtId="166" fontId="1" fillId="6" borderId="7" xfId="0" applyNumberFormat="1" applyFont="1" applyFill="1" applyBorder="1" applyAlignment="1">
      <alignment horizontal="center" vertical="center"/>
    </xf>
    <xf numFmtId="166" fontId="11" fillId="6" borderId="6" xfId="0" applyNumberFormat="1" applyFont="1" applyFill="1" applyBorder="1" applyAlignment="1">
      <alignment horizontal="center" vertical="center"/>
    </xf>
    <xf numFmtId="166" fontId="11" fillId="6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8" fontId="1" fillId="6" borderId="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6" borderId="46" xfId="0" applyNumberFormat="1" applyFont="1" applyFill="1" applyBorder="1" applyAlignment="1">
      <alignment horizontal="center" vertical="center"/>
    </xf>
    <xf numFmtId="167" fontId="1" fillId="6" borderId="47" xfId="0" applyNumberFormat="1" applyFont="1" applyFill="1" applyBorder="1" applyAlignment="1">
      <alignment horizontal="center" vertical="center"/>
    </xf>
    <xf numFmtId="167" fontId="1" fillId="6" borderId="6" xfId="0" applyNumberFormat="1" applyFont="1" applyFill="1" applyBorder="1" applyAlignment="1">
      <alignment horizontal="center" vertical="center"/>
    </xf>
    <xf numFmtId="167" fontId="1" fillId="6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textRotation="90" wrapText="1"/>
    </xf>
    <xf numFmtId="4" fontId="1" fillId="3" borderId="5" xfId="0" applyNumberFormat="1" applyFont="1" applyFill="1" applyBorder="1" applyAlignment="1">
      <alignment horizontal="center" textRotation="90" wrapText="1"/>
    </xf>
    <xf numFmtId="4" fontId="3" fillId="3" borderId="14" xfId="0" applyNumberFormat="1" applyFont="1" applyFill="1" applyBorder="1" applyAlignment="1">
      <alignment horizontal="center" textRotation="90" wrapText="1"/>
    </xf>
    <xf numFmtId="4" fontId="3" fillId="3" borderId="11" xfId="0" applyNumberFormat="1" applyFont="1" applyFill="1" applyBorder="1" applyAlignment="1">
      <alignment horizontal="center" textRotation="90" wrapText="1"/>
    </xf>
    <xf numFmtId="4" fontId="1" fillId="3" borderId="1" xfId="0" applyNumberFormat="1" applyFont="1" applyFill="1" applyBorder="1" applyAlignment="1">
      <alignment horizontal="center" textRotation="90" wrapText="1"/>
    </xf>
    <xf numFmtId="4" fontId="3" fillId="3" borderId="1" xfId="0" applyNumberFormat="1" applyFont="1" applyFill="1" applyBorder="1" applyAlignment="1">
      <alignment horizontal="center" textRotation="90" wrapText="1"/>
    </xf>
    <xf numFmtId="4" fontId="3" fillId="3" borderId="23" xfId="0" applyNumberFormat="1" applyFont="1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 textRotation="90" wrapText="1"/>
    </xf>
    <xf numFmtId="0" fontId="0" fillId="3" borderId="1" xfId="0" applyFill="1" applyBorder="1" applyAlignment="1">
      <alignment horizont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vertical="center" textRotation="90" wrapText="1"/>
    </xf>
    <xf numFmtId="4" fontId="1" fillId="3" borderId="14" xfId="0" applyNumberFormat="1" applyFont="1" applyFill="1" applyBorder="1" applyAlignment="1">
      <alignment horizontal="center" textRotation="90" wrapText="1"/>
    </xf>
    <xf numFmtId="4" fontId="1" fillId="3" borderId="11" xfId="0" applyNumberFormat="1" applyFont="1" applyFill="1" applyBorder="1" applyAlignment="1">
      <alignment horizontal="center" textRotation="90" wrapText="1"/>
    </xf>
    <xf numFmtId="0" fontId="0" fillId="3" borderId="27" xfId="0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textRotation="90" wrapText="1"/>
    </xf>
    <xf numFmtId="1" fontId="0" fillId="3" borderId="13" xfId="0" applyNumberForma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textRotation="90" wrapText="1"/>
    </xf>
    <xf numFmtId="4" fontId="1" fillId="5" borderId="5" xfId="0" applyNumberFormat="1" applyFont="1" applyFill="1" applyBorder="1" applyAlignment="1">
      <alignment horizontal="center" textRotation="90" wrapText="1"/>
    </xf>
    <xf numFmtId="4" fontId="3" fillId="5" borderId="14" xfId="0" applyNumberFormat="1" applyFont="1" applyFill="1" applyBorder="1" applyAlignment="1">
      <alignment horizontal="center" textRotation="90" wrapText="1"/>
    </xf>
    <xf numFmtId="4" fontId="3" fillId="5" borderId="11" xfId="0" applyNumberFormat="1" applyFont="1" applyFill="1" applyBorder="1" applyAlignment="1">
      <alignment horizontal="center" textRotation="90" wrapText="1"/>
    </xf>
    <xf numFmtId="4" fontId="3" fillId="5" borderId="5" xfId="0" applyNumberFormat="1" applyFont="1" applyFill="1" applyBorder="1" applyAlignment="1">
      <alignment horizontal="center" textRotation="90" wrapText="1"/>
    </xf>
    <xf numFmtId="4" fontId="3" fillId="5" borderId="23" xfId="0" applyNumberFormat="1" applyFont="1" applyFill="1" applyBorder="1" applyAlignment="1">
      <alignment horizontal="center" textRotation="90" wrapText="1"/>
    </xf>
    <xf numFmtId="0" fontId="0" fillId="5" borderId="8" xfId="0" applyFill="1" applyBorder="1" applyAlignment="1">
      <alignment horizontal="center" textRotation="90" wrapText="1"/>
    </xf>
    <xf numFmtId="0" fontId="0" fillId="5" borderId="24" xfId="0" applyFill="1" applyBorder="1" applyAlignment="1">
      <alignment horizontal="center" textRotation="90" wrapText="1"/>
    </xf>
    <xf numFmtId="0" fontId="0" fillId="5" borderId="1" xfId="0" applyFill="1" applyBorder="1" applyAlignment="1">
      <alignment horizontal="center" textRotation="90" wrapText="1"/>
    </xf>
    <xf numFmtId="4" fontId="3" fillId="5" borderId="12" xfId="0" applyNumberFormat="1" applyFont="1" applyFill="1" applyBorder="1" applyAlignment="1">
      <alignment horizontal="center" textRotation="90" wrapText="1"/>
    </xf>
    <xf numFmtId="0" fontId="6" fillId="5" borderId="17" xfId="0" applyNumberFormat="1" applyFont="1" applyFill="1" applyBorder="1" applyAlignment="1">
      <alignment horizontal="center" vertical="center"/>
    </xf>
    <xf numFmtId="0" fontId="6" fillId="5" borderId="18" xfId="0" applyNumberFormat="1" applyFont="1" applyFill="1" applyBorder="1" applyAlignment="1">
      <alignment horizontal="center" vertical="center"/>
    </xf>
    <xf numFmtId="0" fontId="6" fillId="5" borderId="19" xfId="0" applyNumberFormat="1" applyFont="1" applyFill="1" applyBorder="1" applyAlignment="1">
      <alignment horizontal="center" vertical="center"/>
    </xf>
    <xf numFmtId="0" fontId="6" fillId="5" borderId="20" xfId="0" applyNumberFormat="1" applyFont="1" applyFill="1" applyBorder="1" applyAlignment="1">
      <alignment horizontal="center" vertical="center"/>
    </xf>
    <xf numFmtId="0" fontId="6" fillId="5" borderId="21" xfId="0" applyNumberFormat="1" applyFont="1" applyFill="1" applyBorder="1" applyAlignment="1">
      <alignment horizontal="center" vertical="center"/>
    </xf>
    <xf numFmtId="0" fontId="6" fillId="5" borderId="22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textRotation="90" wrapText="1"/>
    </xf>
    <xf numFmtId="0" fontId="2" fillId="3" borderId="25" xfId="0" applyNumberFormat="1" applyFon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4" fontId="1" fillId="3" borderId="23" xfId="0" applyNumberFormat="1" applyFont="1" applyFill="1" applyBorder="1" applyAlignment="1">
      <alignment horizontal="center" textRotation="90" wrapText="1"/>
    </xf>
    <xf numFmtId="1" fontId="3" fillId="5" borderId="26" xfId="0" applyNumberFormat="1" applyFont="1" applyFill="1" applyBorder="1" applyAlignment="1">
      <alignment horizontal="center" vertical="center"/>
    </xf>
    <xf numFmtId="1" fontId="3" fillId="5" borderId="27" xfId="0" applyNumberFormat="1" applyFont="1" applyFill="1" applyBorder="1" applyAlignment="1">
      <alignment horizontal="center" vertical="center"/>
    </xf>
    <xf numFmtId="1" fontId="3" fillId="5" borderId="13" xfId="0" applyNumberFormat="1" applyFont="1" applyFill="1" applyBorder="1" applyAlignment="1">
      <alignment horizontal="center" vertical="center"/>
    </xf>
    <xf numFmtId="0" fontId="2" fillId="5" borderId="25" xfId="0" applyNumberFormat="1" applyFont="1" applyFill="1" applyBorder="1" applyAlignment="1">
      <alignment horizontal="center" vertical="center"/>
    </xf>
    <xf numFmtId="0" fontId="0" fillId="5" borderId="14" xfId="0" applyNumberFormat="1" applyFill="1" applyBorder="1" applyAlignment="1">
      <alignment horizontal="center" vertical="center"/>
    </xf>
    <xf numFmtId="0" fontId="0" fillId="5" borderId="15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1" fontId="4" fillId="0" borderId="32" xfId="0" applyNumberFormat="1" applyFont="1" applyFill="1" applyBorder="1" applyAlignment="1">
      <alignment horizontal="center" vertical="center"/>
    </xf>
    <xf numFmtId="1" fontId="4" fillId="0" borderId="40" xfId="0" applyNumberFormat="1" applyFont="1" applyFill="1" applyBorder="1" applyAlignment="1">
      <alignment horizontal="center" vertical="center"/>
    </xf>
    <xf numFmtId="1" fontId="1" fillId="0" borderId="4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42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2" fontId="1" fillId="6" borderId="43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45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 vertical="center" textRotation="90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/>
    </xf>
    <xf numFmtId="4" fontId="3" fillId="0" borderId="23" xfId="0" applyNumberFormat="1" applyFont="1" applyFill="1" applyBorder="1" applyAlignment="1">
      <alignment horizontal="center" textRotation="90" wrapText="1"/>
    </xf>
    <xf numFmtId="0" fontId="0" fillId="0" borderId="8" xfId="0" applyFill="1" applyBorder="1" applyAlignment="1">
      <alignment horizontal="center" textRotation="90" wrapText="1"/>
    </xf>
    <xf numFmtId="0" fontId="0" fillId="0" borderId="24" xfId="0" applyFill="1" applyBorder="1" applyAlignment="1">
      <alignment horizontal="center" textRotation="90" wrapText="1"/>
    </xf>
    <xf numFmtId="4" fontId="3" fillId="0" borderId="25" xfId="0" applyNumberFormat="1" applyFont="1" applyFill="1" applyBorder="1" applyAlignment="1">
      <alignment horizontal="center" textRotation="90" wrapText="1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 textRotation="90" wrapText="1"/>
    </xf>
    <xf numFmtId="4" fontId="3" fillId="0" borderId="1" xfId="0" applyNumberFormat="1" applyFont="1" applyFill="1" applyBorder="1" applyAlignment="1">
      <alignment horizontal="center" textRotation="90" wrapText="1"/>
    </xf>
    <xf numFmtId="4" fontId="1" fillId="0" borderId="1" xfId="0" applyNumberFormat="1" applyFont="1" applyFill="1" applyBorder="1" applyAlignment="1">
      <alignment horizontal="center" textRotation="90" wrapText="1"/>
    </xf>
    <xf numFmtId="3" fontId="3" fillId="0" borderId="25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textRotation="90" wrapText="1"/>
    </xf>
    <xf numFmtId="4" fontId="3" fillId="0" borderId="14" xfId="0" applyNumberFormat="1" applyFont="1" applyFill="1" applyBorder="1" applyAlignment="1">
      <alignment horizontal="center" textRotation="90" wrapText="1"/>
    </xf>
    <xf numFmtId="4" fontId="3" fillId="0" borderId="11" xfId="0" applyNumberFormat="1" applyFont="1" applyFill="1" applyBorder="1" applyAlignment="1">
      <alignment horizont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4" fontId="3" fillId="0" borderId="5" xfId="0" applyNumberFormat="1" applyFont="1" applyFill="1" applyBorder="1" applyAlignment="1">
      <alignment horizontal="center" textRotation="90" wrapText="1"/>
    </xf>
    <xf numFmtId="1" fontId="3" fillId="0" borderId="13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textRotation="90"/>
    </xf>
    <xf numFmtId="0" fontId="3" fillId="0" borderId="25" xfId="0" applyFont="1" applyFill="1" applyBorder="1" applyAlignment="1">
      <alignment horizontal="center" vertical="center" textRotation="90" wrapText="1"/>
    </xf>
    <xf numFmtId="0" fontId="0" fillId="0" borderId="14" xfId="0" applyFill="1" applyBorder="1"/>
    <xf numFmtId="0" fontId="0" fillId="0" borderId="15" xfId="0" applyFill="1" applyBorder="1"/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164" fontId="1" fillId="6" borderId="12" xfId="0" applyNumberFormat="1" applyFont="1" applyFill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85" zoomScaleNormal="85" zoomScaleSheetLayoutView="90" workbookViewId="0">
      <pane ySplit="19" topLeftCell="A20" activePane="bottomLeft" state="frozen"/>
      <selection pane="bottomLeft" activeCell="B68" sqref="B68"/>
    </sheetView>
  </sheetViews>
  <sheetFormatPr defaultColWidth="9.140625" defaultRowHeight="12.75" x14ac:dyDescent="0.2"/>
  <cols>
    <col min="1" max="1" width="10.42578125" style="15" customWidth="1"/>
    <col min="2" max="2" width="48" style="36" customWidth="1"/>
    <col min="3" max="3" width="12.140625" style="36" customWidth="1"/>
    <col min="4" max="4" width="8.7109375" style="8" hidden="1" customWidth="1"/>
    <col min="5" max="5" width="8.7109375" style="8" customWidth="1"/>
    <col min="6" max="6" width="10.28515625" style="8" hidden="1" customWidth="1"/>
    <col min="7" max="7" width="8.7109375" style="11" customWidth="1"/>
    <col min="8" max="8" width="8.7109375" style="11" hidden="1" customWidth="1"/>
    <col min="9" max="10" width="8.7109375" style="11" customWidth="1"/>
    <col min="11" max="11" width="8.7109375" style="11" hidden="1" customWidth="1"/>
    <col min="12" max="12" width="8.7109375" style="13" hidden="1" customWidth="1"/>
    <col min="13" max="14" width="8.7109375" style="13" customWidth="1"/>
    <col min="15" max="15" width="8.7109375" style="13" hidden="1" customWidth="1"/>
    <col min="16" max="16" width="8.7109375" style="13" customWidth="1"/>
    <col min="17" max="17" width="8.7109375" style="8" customWidth="1"/>
    <col min="18" max="18" width="8.7109375" style="8" hidden="1" customWidth="1"/>
    <col min="19" max="21" width="8.7109375" style="8" customWidth="1"/>
    <col min="22" max="22" width="9.85546875" style="8" customWidth="1"/>
    <col min="23" max="23" width="9.7109375" style="8" customWidth="1"/>
    <col min="24" max="24" width="10.42578125" style="8" customWidth="1"/>
    <col min="25" max="25" width="10.140625" style="8" customWidth="1"/>
    <col min="26" max="30" width="8.85546875" style="8" customWidth="1"/>
    <col min="31" max="31" width="10.7109375" style="1" customWidth="1"/>
    <col min="32" max="16384" width="9.140625" style="1"/>
  </cols>
  <sheetData>
    <row r="1" spans="1:32" s="15" customFormat="1" ht="13.5" thickBot="1" x14ac:dyDescent="0.25">
      <c r="B1" s="35"/>
      <c r="C1" s="35"/>
      <c r="D1" s="11"/>
      <c r="E1" s="11"/>
      <c r="F1" s="102"/>
      <c r="G1" s="11"/>
      <c r="H1" s="11"/>
      <c r="I1" s="11"/>
      <c r="J1" s="11"/>
      <c r="K1" s="11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2" s="15" customFormat="1" ht="13.5" thickBot="1" x14ac:dyDescent="0.25">
      <c r="B2" s="67"/>
      <c r="C2" s="68"/>
      <c r="D2" s="69" t="s">
        <v>55</v>
      </c>
      <c r="E2" s="70"/>
      <c r="F2" s="104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59"/>
    </row>
    <row r="3" spans="1:32" s="15" customFormat="1" x14ac:dyDescent="0.2">
      <c r="B3" s="71"/>
      <c r="C3" s="72"/>
      <c r="D3" s="73" t="s">
        <v>66</v>
      </c>
      <c r="E3" s="10"/>
      <c r="F3" s="10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9"/>
      <c r="X3" s="51" t="s">
        <v>50</v>
      </c>
      <c r="Y3" s="52" t="s">
        <v>81</v>
      </c>
      <c r="Z3" s="10"/>
      <c r="AA3" s="10"/>
      <c r="AB3" s="50" t="s">
        <v>49</v>
      </c>
      <c r="AC3" s="96" t="s">
        <v>105</v>
      </c>
      <c r="AD3" s="59"/>
    </row>
    <row r="4" spans="1:32" s="15" customFormat="1" ht="13.5" thickBot="1" x14ac:dyDescent="0.25">
      <c r="B4" s="71"/>
      <c r="C4" s="72"/>
      <c r="D4" s="73" t="s">
        <v>67</v>
      </c>
      <c r="E4" s="10"/>
      <c r="F4" s="10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53"/>
      <c r="X4" s="54" t="s">
        <v>51</v>
      </c>
      <c r="Y4" s="55" t="s">
        <v>68</v>
      </c>
      <c r="Z4" s="10"/>
      <c r="AA4" s="10"/>
      <c r="AB4" s="56" t="s">
        <v>49</v>
      </c>
      <c r="AC4" s="60"/>
      <c r="AD4" s="61"/>
    </row>
    <row r="5" spans="1:32" s="15" customFormat="1" ht="13.5" thickBot="1" x14ac:dyDescent="0.25">
      <c r="B5" s="71"/>
      <c r="C5" s="72"/>
      <c r="D5" s="10"/>
      <c r="E5" s="10"/>
      <c r="F5" s="10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74"/>
    </row>
    <row r="6" spans="1:32" s="16" customFormat="1" ht="12.75" customHeight="1" x14ac:dyDescent="0.2">
      <c r="A6" s="40"/>
      <c r="B6" s="332" t="s">
        <v>54</v>
      </c>
      <c r="C6" s="114">
        <v>202</v>
      </c>
      <c r="D6" s="294">
        <v>204</v>
      </c>
      <c r="E6" s="296"/>
      <c r="F6" s="295"/>
      <c r="G6" s="294">
        <v>206</v>
      </c>
      <c r="H6" s="296"/>
      <c r="I6" s="296"/>
      <c r="J6" s="296"/>
      <c r="K6" s="296"/>
      <c r="L6" s="295"/>
      <c r="M6" s="115">
        <v>252</v>
      </c>
      <c r="N6" s="114">
        <v>254</v>
      </c>
      <c r="O6" s="296">
        <v>301</v>
      </c>
      <c r="P6" s="297"/>
      <c r="Q6" s="116">
        <v>302</v>
      </c>
      <c r="R6" s="294">
        <v>304</v>
      </c>
      <c r="S6" s="297"/>
      <c r="T6" s="294">
        <v>407</v>
      </c>
      <c r="U6" s="314"/>
      <c r="V6" s="294">
        <v>442</v>
      </c>
      <c r="W6" s="295"/>
      <c r="X6" s="294">
        <v>448</v>
      </c>
      <c r="Y6" s="295"/>
      <c r="Z6" s="294">
        <v>452</v>
      </c>
      <c r="AA6" s="312"/>
      <c r="AB6" s="312"/>
      <c r="AC6" s="297"/>
      <c r="AD6" s="117">
        <v>618</v>
      </c>
      <c r="AE6" s="308" t="s">
        <v>24</v>
      </c>
      <c r="AF6" s="17"/>
    </row>
    <row r="7" spans="1:32" ht="12.75" customHeight="1" x14ac:dyDescent="0.2">
      <c r="B7" s="333"/>
      <c r="C7" s="302" t="s">
        <v>61</v>
      </c>
      <c r="D7" s="298" t="s">
        <v>8</v>
      </c>
      <c r="E7" s="303" t="s">
        <v>7</v>
      </c>
      <c r="F7" s="302" t="s">
        <v>62</v>
      </c>
      <c r="G7" s="303" t="s">
        <v>18</v>
      </c>
      <c r="H7" s="304" t="s">
        <v>19</v>
      </c>
      <c r="I7" s="335" t="s">
        <v>19</v>
      </c>
      <c r="J7" s="304" t="s">
        <v>26</v>
      </c>
      <c r="K7" s="304" t="s">
        <v>21</v>
      </c>
      <c r="L7" s="304" t="s">
        <v>27</v>
      </c>
      <c r="M7" s="304" t="s">
        <v>30</v>
      </c>
      <c r="N7" s="302" t="s">
        <v>95</v>
      </c>
      <c r="O7" s="298" t="s">
        <v>47</v>
      </c>
      <c r="P7" s="302" t="s">
        <v>102</v>
      </c>
      <c r="Q7" s="302" t="s">
        <v>82</v>
      </c>
      <c r="R7" s="303" t="s">
        <v>48</v>
      </c>
      <c r="S7" s="303" t="s">
        <v>9</v>
      </c>
      <c r="T7" s="302" t="s">
        <v>65</v>
      </c>
      <c r="U7" s="302" t="s">
        <v>84</v>
      </c>
      <c r="V7" s="313" t="s">
        <v>33</v>
      </c>
      <c r="W7" s="299" t="s">
        <v>59</v>
      </c>
      <c r="X7" s="299" t="s">
        <v>99</v>
      </c>
      <c r="Y7" s="299" t="s">
        <v>98</v>
      </c>
      <c r="Z7" s="299" t="s">
        <v>94</v>
      </c>
      <c r="AA7" s="299" t="s">
        <v>43</v>
      </c>
      <c r="AB7" s="299" t="s">
        <v>44</v>
      </c>
      <c r="AC7" s="299" t="s">
        <v>37</v>
      </c>
      <c r="AD7" s="299" t="s">
        <v>64</v>
      </c>
      <c r="AE7" s="309"/>
      <c r="AF7" s="18"/>
    </row>
    <row r="8" spans="1:32" ht="12.75" customHeight="1" x14ac:dyDescent="0.2">
      <c r="B8" s="333"/>
      <c r="C8" s="307"/>
      <c r="D8" s="298"/>
      <c r="E8" s="303"/>
      <c r="F8" s="303"/>
      <c r="G8" s="303"/>
      <c r="H8" s="305"/>
      <c r="I8" s="305"/>
      <c r="J8" s="305"/>
      <c r="K8" s="305"/>
      <c r="L8" s="305"/>
      <c r="M8" s="305"/>
      <c r="N8" s="307"/>
      <c r="O8" s="298"/>
      <c r="P8" s="303"/>
      <c r="Q8" s="303"/>
      <c r="R8" s="303"/>
      <c r="S8" s="303"/>
      <c r="T8" s="303"/>
      <c r="U8" s="303"/>
      <c r="V8" s="300"/>
      <c r="W8" s="300"/>
      <c r="X8" s="300"/>
      <c r="Y8" s="300"/>
      <c r="Z8" s="310"/>
      <c r="AA8" s="300"/>
      <c r="AB8" s="300"/>
      <c r="AC8" s="300"/>
      <c r="AD8" s="300"/>
      <c r="AE8" s="309"/>
      <c r="AF8" s="18"/>
    </row>
    <row r="9" spans="1:32" ht="12.75" customHeight="1" x14ac:dyDescent="0.2">
      <c r="B9" s="333"/>
      <c r="C9" s="307"/>
      <c r="D9" s="298"/>
      <c r="E9" s="303"/>
      <c r="F9" s="303"/>
      <c r="G9" s="303"/>
      <c r="H9" s="305"/>
      <c r="I9" s="305"/>
      <c r="J9" s="305"/>
      <c r="K9" s="305"/>
      <c r="L9" s="305"/>
      <c r="M9" s="305"/>
      <c r="N9" s="307"/>
      <c r="O9" s="298"/>
      <c r="P9" s="303"/>
      <c r="Q9" s="303"/>
      <c r="R9" s="303"/>
      <c r="S9" s="303"/>
      <c r="T9" s="303"/>
      <c r="U9" s="303"/>
      <c r="V9" s="300"/>
      <c r="W9" s="300"/>
      <c r="X9" s="300"/>
      <c r="Y9" s="300"/>
      <c r="Z9" s="310"/>
      <c r="AA9" s="300"/>
      <c r="AB9" s="300"/>
      <c r="AC9" s="300"/>
      <c r="AD9" s="300"/>
      <c r="AE9" s="309"/>
      <c r="AF9" s="18"/>
    </row>
    <row r="10" spans="1:32" ht="12.75" customHeight="1" x14ac:dyDescent="0.2">
      <c r="B10" s="333"/>
      <c r="C10" s="307"/>
      <c r="D10" s="298"/>
      <c r="E10" s="303"/>
      <c r="F10" s="303"/>
      <c r="G10" s="303"/>
      <c r="H10" s="305"/>
      <c r="I10" s="305"/>
      <c r="J10" s="305"/>
      <c r="K10" s="305"/>
      <c r="L10" s="305"/>
      <c r="M10" s="305"/>
      <c r="N10" s="307"/>
      <c r="O10" s="298"/>
      <c r="P10" s="303"/>
      <c r="Q10" s="303"/>
      <c r="R10" s="303"/>
      <c r="S10" s="303"/>
      <c r="T10" s="303"/>
      <c r="U10" s="303"/>
      <c r="V10" s="300"/>
      <c r="W10" s="300"/>
      <c r="X10" s="300"/>
      <c r="Y10" s="300"/>
      <c r="Z10" s="310"/>
      <c r="AA10" s="300"/>
      <c r="AB10" s="300"/>
      <c r="AC10" s="300"/>
      <c r="AD10" s="300"/>
      <c r="AE10" s="309"/>
      <c r="AF10" s="18"/>
    </row>
    <row r="11" spans="1:32" ht="12.75" customHeight="1" x14ac:dyDescent="0.2">
      <c r="B11" s="333"/>
      <c r="C11" s="307"/>
      <c r="D11" s="298"/>
      <c r="E11" s="303"/>
      <c r="F11" s="303"/>
      <c r="G11" s="303"/>
      <c r="H11" s="305"/>
      <c r="I11" s="305"/>
      <c r="J11" s="305"/>
      <c r="K11" s="305"/>
      <c r="L11" s="305"/>
      <c r="M11" s="305"/>
      <c r="N11" s="307"/>
      <c r="O11" s="298"/>
      <c r="P11" s="303"/>
      <c r="Q11" s="303"/>
      <c r="R11" s="303"/>
      <c r="S11" s="303"/>
      <c r="T11" s="303"/>
      <c r="U11" s="303"/>
      <c r="V11" s="300"/>
      <c r="W11" s="300"/>
      <c r="X11" s="300"/>
      <c r="Y11" s="300"/>
      <c r="Z11" s="310"/>
      <c r="AA11" s="300"/>
      <c r="AB11" s="300"/>
      <c r="AC11" s="300"/>
      <c r="AD11" s="300"/>
      <c r="AE11" s="309"/>
      <c r="AF11" s="18"/>
    </row>
    <row r="12" spans="1:32" ht="12.75" customHeight="1" x14ac:dyDescent="0.2">
      <c r="B12" s="333"/>
      <c r="C12" s="307"/>
      <c r="D12" s="298"/>
      <c r="E12" s="303"/>
      <c r="F12" s="303"/>
      <c r="G12" s="303"/>
      <c r="H12" s="305"/>
      <c r="I12" s="305"/>
      <c r="J12" s="305"/>
      <c r="K12" s="305"/>
      <c r="L12" s="305"/>
      <c r="M12" s="305"/>
      <c r="N12" s="307"/>
      <c r="O12" s="298"/>
      <c r="P12" s="303"/>
      <c r="Q12" s="303"/>
      <c r="R12" s="303"/>
      <c r="S12" s="303"/>
      <c r="T12" s="303"/>
      <c r="U12" s="303"/>
      <c r="V12" s="300"/>
      <c r="W12" s="300"/>
      <c r="X12" s="300"/>
      <c r="Y12" s="300"/>
      <c r="Z12" s="310"/>
      <c r="AA12" s="300"/>
      <c r="AB12" s="300"/>
      <c r="AC12" s="300"/>
      <c r="AD12" s="300"/>
      <c r="AE12" s="309"/>
      <c r="AF12" s="18"/>
    </row>
    <row r="13" spans="1:32" ht="12.75" customHeight="1" x14ac:dyDescent="0.2">
      <c r="B13" s="333"/>
      <c r="C13" s="307"/>
      <c r="D13" s="298"/>
      <c r="E13" s="303"/>
      <c r="F13" s="303"/>
      <c r="G13" s="303"/>
      <c r="H13" s="305"/>
      <c r="I13" s="305"/>
      <c r="J13" s="305"/>
      <c r="K13" s="305"/>
      <c r="L13" s="305"/>
      <c r="M13" s="305"/>
      <c r="N13" s="307"/>
      <c r="O13" s="298"/>
      <c r="P13" s="303"/>
      <c r="Q13" s="303"/>
      <c r="R13" s="303"/>
      <c r="S13" s="303"/>
      <c r="T13" s="303"/>
      <c r="U13" s="303"/>
      <c r="V13" s="300"/>
      <c r="W13" s="300"/>
      <c r="X13" s="300"/>
      <c r="Y13" s="300"/>
      <c r="Z13" s="310"/>
      <c r="AA13" s="300"/>
      <c r="AB13" s="300"/>
      <c r="AC13" s="300"/>
      <c r="AD13" s="300"/>
      <c r="AE13" s="309"/>
      <c r="AF13" s="18"/>
    </row>
    <row r="14" spans="1:32" ht="12.75" customHeight="1" x14ac:dyDescent="0.2">
      <c r="B14" s="333"/>
      <c r="C14" s="307"/>
      <c r="D14" s="298"/>
      <c r="E14" s="303"/>
      <c r="F14" s="303"/>
      <c r="G14" s="303"/>
      <c r="H14" s="305"/>
      <c r="I14" s="305"/>
      <c r="J14" s="305"/>
      <c r="K14" s="305"/>
      <c r="L14" s="305"/>
      <c r="M14" s="305"/>
      <c r="N14" s="307"/>
      <c r="O14" s="298"/>
      <c r="P14" s="303"/>
      <c r="Q14" s="303"/>
      <c r="R14" s="303"/>
      <c r="S14" s="303"/>
      <c r="T14" s="303"/>
      <c r="U14" s="303"/>
      <c r="V14" s="300"/>
      <c r="W14" s="300"/>
      <c r="X14" s="300"/>
      <c r="Y14" s="300"/>
      <c r="Z14" s="310"/>
      <c r="AA14" s="300"/>
      <c r="AB14" s="300"/>
      <c r="AC14" s="300"/>
      <c r="AD14" s="300"/>
      <c r="AE14" s="309"/>
      <c r="AF14" s="18"/>
    </row>
    <row r="15" spans="1:32" ht="12.75" customHeight="1" x14ac:dyDescent="0.2">
      <c r="B15" s="333"/>
      <c r="C15" s="307"/>
      <c r="D15" s="298"/>
      <c r="E15" s="303"/>
      <c r="F15" s="303"/>
      <c r="G15" s="303"/>
      <c r="H15" s="305"/>
      <c r="I15" s="305"/>
      <c r="J15" s="305"/>
      <c r="K15" s="305"/>
      <c r="L15" s="305"/>
      <c r="M15" s="305"/>
      <c r="N15" s="307"/>
      <c r="O15" s="298"/>
      <c r="P15" s="303"/>
      <c r="Q15" s="303"/>
      <c r="R15" s="303"/>
      <c r="S15" s="303"/>
      <c r="T15" s="303"/>
      <c r="U15" s="303"/>
      <c r="V15" s="300"/>
      <c r="W15" s="300"/>
      <c r="X15" s="300"/>
      <c r="Y15" s="300"/>
      <c r="Z15" s="310"/>
      <c r="AA15" s="300"/>
      <c r="AB15" s="300"/>
      <c r="AC15" s="300"/>
      <c r="AD15" s="300"/>
      <c r="AE15" s="309"/>
      <c r="AF15" s="18"/>
    </row>
    <row r="16" spans="1:32" ht="12.75" customHeight="1" x14ac:dyDescent="0.2">
      <c r="B16" s="333"/>
      <c r="C16" s="307"/>
      <c r="D16" s="298"/>
      <c r="E16" s="303"/>
      <c r="F16" s="303"/>
      <c r="G16" s="303"/>
      <c r="H16" s="305"/>
      <c r="I16" s="305"/>
      <c r="J16" s="305"/>
      <c r="K16" s="305"/>
      <c r="L16" s="305"/>
      <c r="M16" s="305"/>
      <c r="N16" s="307"/>
      <c r="O16" s="298"/>
      <c r="P16" s="303"/>
      <c r="Q16" s="303"/>
      <c r="R16" s="303"/>
      <c r="S16" s="303"/>
      <c r="T16" s="303"/>
      <c r="U16" s="303"/>
      <c r="V16" s="300"/>
      <c r="W16" s="300"/>
      <c r="X16" s="300"/>
      <c r="Y16" s="300"/>
      <c r="Z16" s="310"/>
      <c r="AA16" s="300"/>
      <c r="AB16" s="300"/>
      <c r="AC16" s="300"/>
      <c r="AD16" s="300"/>
      <c r="AE16" s="309"/>
      <c r="AF16" s="18"/>
    </row>
    <row r="17" spans="1:32" ht="12.75" customHeight="1" x14ac:dyDescent="0.2">
      <c r="B17" s="333"/>
      <c r="C17" s="307"/>
      <c r="D17" s="298"/>
      <c r="E17" s="303"/>
      <c r="F17" s="303"/>
      <c r="G17" s="303"/>
      <c r="H17" s="305"/>
      <c r="I17" s="305"/>
      <c r="J17" s="305"/>
      <c r="K17" s="305"/>
      <c r="L17" s="305"/>
      <c r="M17" s="305"/>
      <c r="N17" s="307"/>
      <c r="O17" s="298"/>
      <c r="P17" s="303"/>
      <c r="Q17" s="303"/>
      <c r="R17" s="303"/>
      <c r="S17" s="303"/>
      <c r="T17" s="303"/>
      <c r="U17" s="303"/>
      <c r="V17" s="300"/>
      <c r="W17" s="300"/>
      <c r="X17" s="300"/>
      <c r="Y17" s="300"/>
      <c r="Z17" s="310"/>
      <c r="AA17" s="300"/>
      <c r="AB17" s="300"/>
      <c r="AC17" s="300"/>
      <c r="AD17" s="300"/>
      <c r="AE17" s="309"/>
      <c r="AF17" s="18"/>
    </row>
    <row r="18" spans="1:32" ht="31.5" customHeight="1" x14ac:dyDescent="0.2">
      <c r="B18" s="333"/>
      <c r="C18" s="307"/>
      <c r="D18" s="298"/>
      <c r="E18" s="303"/>
      <c r="F18" s="303"/>
      <c r="G18" s="303"/>
      <c r="H18" s="306"/>
      <c r="I18" s="306"/>
      <c r="J18" s="306"/>
      <c r="K18" s="306"/>
      <c r="L18" s="306"/>
      <c r="M18" s="306"/>
      <c r="N18" s="307"/>
      <c r="O18" s="298"/>
      <c r="P18" s="303"/>
      <c r="Q18" s="303"/>
      <c r="R18" s="303"/>
      <c r="S18" s="303"/>
      <c r="T18" s="303"/>
      <c r="U18" s="303"/>
      <c r="V18" s="301"/>
      <c r="W18" s="301"/>
      <c r="X18" s="301"/>
      <c r="Y18" s="301"/>
      <c r="Z18" s="311"/>
      <c r="AA18" s="301"/>
      <c r="AB18" s="301"/>
      <c r="AC18" s="301"/>
      <c r="AD18" s="301"/>
      <c r="AE18" s="309"/>
      <c r="AF18" s="18"/>
    </row>
    <row r="19" spans="1:32" ht="12.75" customHeight="1" thickBot="1" x14ac:dyDescent="0.25">
      <c r="B19" s="334"/>
      <c r="C19" s="105" t="s">
        <v>10</v>
      </c>
      <c r="D19" s="118" t="s">
        <v>10</v>
      </c>
      <c r="E19" s="105" t="s">
        <v>11</v>
      </c>
      <c r="F19" s="119" t="s">
        <v>12</v>
      </c>
      <c r="G19" s="105" t="s">
        <v>10</v>
      </c>
      <c r="H19" s="105" t="s">
        <v>10</v>
      </c>
      <c r="I19" s="105" t="s">
        <v>10</v>
      </c>
      <c r="J19" s="105" t="s">
        <v>25</v>
      </c>
      <c r="K19" s="105" t="s">
        <v>10</v>
      </c>
      <c r="L19" s="105" t="s">
        <v>25</v>
      </c>
      <c r="M19" s="120" t="s">
        <v>5</v>
      </c>
      <c r="N19" s="105" t="s">
        <v>10</v>
      </c>
      <c r="O19" s="118" t="s">
        <v>12</v>
      </c>
      <c r="P19" s="105" t="s">
        <v>12</v>
      </c>
      <c r="Q19" s="105" t="s">
        <v>12</v>
      </c>
      <c r="R19" s="105" t="s">
        <v>12</v>
      </c>
      <c r="S19" s="105" t="s">
        <v>12</v>
      </c>
      <c r="T19" s="105" t="s">
        <v>13</v>
      </c>
      <c r="U19" s="105" t="s">
        <v>13</v>
      </c>
      <c r="V19" s="105" t="s">
        <v>12</v>
      </c>
      <c r="W19" s="105" t="s">
        <v>12</v>
      </c>
      <c r="X19" s="105" t="s">
        <v>12</v>
      </c>
      <c r="Y19" s="105" t="s">
        <v>12</v>
      </c>
      <c r="Z19" s="105" t="s">
        <v>10</v>
      </c>
      <c r="AA19" s="105" t="s">
        <v>10</v>
      </c>
      <c r="AB19" s="105" t="s">
        <v>10</v>
      </c>
      <c r="AC19" s="105" t="s">
        <v>10</v>
      </c>
      <c r="AD19" s="119" t="s">
        <v>5</v>
      </c>
      <c r="AE19" s="309"/>
      <c r="AF19" s="18"/>
    </row>
    <row r="20" spans="1:32" ht="12.75" customHeight="1" thickBot="1" x14ac:dyDescent="0.25">
      <c r="A20" s="15" t="s">
        <v>52</v>
      </c>
      <c r="B20" s="121"/>
      <c r="C20" s="122"/>
      <c r="D20" s="123"/>
      <c r="E20" s="106"/>
      <c r="F20" s="106"/>
      <c r="G20" s="106"/>
      <c r="H20" s="106"/>
      <c r="I20" s="106"/>
      <c r="J20" s="124"/>
      <c r="K20" s="124"/>
      <c r="L20" s="124"/>
      <c r="M20" s="124"/>
      <c r="N20" s="124"/>
      <c r="O20" s="124"/>
      <c r="P20" s="124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1:32" ht="12.75" customHeight="1" x14ac:dyDescent="0.2">
      <c r="B21" s="125" t="s">
        <v>78</v>
      </c>
      <c r="C21" s="126"/>
      <c r="D21" s="127"/>
      <c r="E21" s="107"/>
      <c r="F21" s="107"/>
      <c r="G21" s="107"/>
      <c r="H21" s="107"/>
      <c r="I21" s="107"/>
      <c r="J21" s="128"/>
      <c r="K21" s="128"/>
      <c r="L21" s="128"/>
      <c r="M21" s="128"/>
      <c r="N21" s="128"/>
      <c r="O21" s="128"/>
      <c r="P21" s="128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</row>
    <row r="22" spans="1:32" ht="12.75" customHeight="1" x14ac:dyDescent="0.2">
      <c r="A22" s="100" t="s">
        <v>85</v>
      </c>
      <c r="B22" s="129" t="s">
        <v>72</v>
      </c>
      <c r="C22" s="130" t="e">
        <f>'1-IR75'!#REF!</f>
        <v>#REF!</v>
      </c>
      <c r="D22" s="131"/>
      <c r="E22" s="108">
        <f>'1-IR75'!Q128</f>
        <v>192</v>
      </c>
      <c r="F22" s="108"/>
      <c r="G22" s="108">
        <f>'1-IR75'!R128</f>
        <v>384949</v>
      </c>
      <c r="H22" s="108"/>
      <c r="I22" s="108">
        <f>'1-IR75'!S128</f>
        <v>384949</v>
      </c>
      <c r="J22" s="132">
        <f>'1-IR75'!T128</f>
        <v>11433</v>
      </c>
      <c r="K22" s="132"/>
      <c r="L22" s="132"/>
      <c r="M22" s="132">
        <f>'1-IR75'!U128</f>
        <v>169</v>
      </c>
      <c r="N22" s="132"/>
      <c r="O22" s="132"/>
      <c r="P22" s="132"/>
      <c r="Q22" s="108">
        <f>'1-IR75'!V128</f>
        <v>120813</v>
      </c>
      <c r="R22" s="108"/>
      <c r="S22" s="108">
        <f>'1-IR75'!W128</f>
        <v>64236</v>
      </c>
      <c r="T22" s="108"/>
      <c r="U22" s="108">
        <f>'1-IR75'!X128</f>
        <v>15004</v>
      </c>
      <c r="V22" s="108">
        <f>'1-IR75'!Y128</f>
        <v>15629</v>
      </c>
      <c r="W22" s="108">
        <f>'1-IR75'!Z128</f>
        <v>18240</v>
      </c>
      <c r="X22" s="108"/>
      <c r="Y22" s="108"/>
      <c r="Z22" s="108"/>
      <c r="AA22" s="108"/>
      <c r="AB22" s="108"/>
      <c r="AC22" s="108"/>
      <c r="AD22" s="108">
        <f>'1-IR75'!AA128</f>
        <v>105096</v>
      </c>
    </row>
    <row r="23" spans="1:32" ht="12.75" customHeight="1" x14ac:dyDescent="0.2">
      <c r="A23" s="100" t="s">
        <v>86</v>
      </c>
      <c r="B23" s="129" t="s">
        <v>73</v>
      </c>
      <c r="C23" s="133" t="e">
        <f>#REF!</f>
        <v>#REF!</v>
      </c>
      <c r="D23" s="134"/>
      <c r="E23" s="109" t="e">
        <f>#REF!</f>
        <v>#REF!</v>
      </c>
      <c r="F23" s="109"/>
      <c r="G23" s="109" t="e">
        <f>#REF!</f>
        <v>#REF!</v>
      </c>
      <c r="H23" s="109"/>
      <c r="I23" s="109" t="e">
        <f>#REF!</f>
        <v>#REF!</v>
      </c>
      <c r="J23" s="109" t="e">
        <f>#REF!</f>
        <v>#REF!</v>
      </c>
      <c r="K23" s="109"/>
      <c r="L23" s="109"/>
      <c r="M23" s="112" t="e">
        <f>#REF!</f>
        <v>#REF!</v>
      </c>
      <c r="N23" s="112"/>
      <c r="O23" s="112"/>
      <c r="P23" s="135"/>
      <c r="Q23" s="135" t="e">
        <f>#REF!</f>
        <v>#REF!</v>
      </c>
      <c r="R23" s="135" t="e">
        <f>#REF!</f>
        <v>#REF!</v>
      </c>
      <c r="S23" s="135" t="e">
        <f>#REF!</f>
        <v>#REF!</v>
      </c>
      <c r="T23" s="135"/>
      <c r="U23" s="109" t="e">
        <f>#REF!</f>
        <v>#REF!</v>
      </c>
      <c r="V23" s="135" t="e">
        <f>#REF!</f>
        <v>#REF!</v>
      </c>
      <c r="W23" s="135" t="e">
        <f>#REF!</f>
        <v>#REF!</v>
      </c>
      <c r="X23" s="135"/>
      <c r="Y23" s="135"/>
      <c r="Z23" s="135"/>
      <c r="AA23" s="135"/>
      <c r="AB23" s="135"/>
      <c r="AC23" s="135"/>
      <c r="AD23" s="135" t="e">
        <f>#REF!</f>
        <v>#REF!</v>
      </c>
    </row>
    <row r="24" spans="1:32" ht="12.75" customHeight="1" x14ac:dyDescent="0.2">
      <c r="A24" s="100" t="s">
        <v>87</v>
      </c>
      <c r="B24" s="136" t="s">
        <v>69</v>
      </c>
      <c r="C24" s="130" t="e">
        <f>#REF!</f>
        <v>#REF!</v>
      </c>
      <c r="D24" s="126"/>
      <c r="E24" s="110" t="e">
        <f>#REF!</f>
        <v>#REF!</v>
      </c>
      <c r="F24" s="110"/>
      <c r="G24" s="110" t="e">
        <f>#REF!</f>
        <v>#REF!</v>
      </c>
      <c r="H24" s="110"/>
      <c r="I24" s="110" t="e">
        <f>#REF!</f>
        <v>#REF!</v>
      </c>
      <c r="J24" s="110" t="e">
        <f>#REF!</f>
        <v>#REF!</v>
      </c>
      <c r="K24" s="110"/>
      <c r="L24" s="110"/>
      <c r="M24" s="132"/>
      <c r="N24" s="132"/>
      <c r="O24" s="132"/>
      <c r="P24" s="108"/>
      <c r="Q24" s="110" t="e">
        <f>#REF!</f>
        <v>#REF!</v>
      </c>
      <c r="R24" s="110" t="e">
        <f>#REF!</f>
        <v>#REF!</v>
      </c>
      <c r="S24" s="110" t="e">
        <f>#REF!</f>
        <v>#REF!</v>
      </c>
      <c r="T24" s="108"/>
      <c r="U24" s="110" t="e">
        <f>#REF!</f>
        <v>#REF!</v>
      </c>
      <c r="V24" s="110" t="e">
        <f>#REF!</f>
        <v>#REF!</v>
      </c>
      <c r="W24" s="110" t="e">
        <f>#REF!</f>
        <v>#REF!</v>
      </c>
      <c r="X24" s="108"/>
      <c r="Y24" s="108"/>
      <c r="Z24" s="108"/>
      <c r="AA24" s="108"/>
      <c r="AB24" s="108"/>
      <c r="AC24" s="108"/>
      <c r="AD24" s="108"/>
    </row>
    <row r="25" spans="1:32" s="37" customFormat="1" ht="25.5" customHeight="1" thickBot="1" x14ac:dyDescent="0.25">
      <c r="A25" s="41"/>
      <c r="B25" s="207" t="s">
        <v>74</v>
      </c>
      <c r="C25" s="111" t="e">
        <f t="shared" ref="C25:AD25" si="0">SUM(C22:C24)</f>
        <v>#REF!</v>
      </c>
      <c r="D25" s="111">
        <f t="shared" si="0"/>
        <v>0</v>
      </c>
      <c r="E25" s="111" t="e">
        <f t="shared" si="0"/>
        <v>#REF!</v>
      </c>
      <c r="F25" s="111">
        <f t="shared" si="0"/>
        <v>0</v>
      </c>
      <c r="G25" s="111" t="e">
        <f t="shared" si="0"/>
        <v>#REF!</v>
      </c>
      <c r="H25" s="111">
        <f t="shared" si="0"/>
        <v>0</v>
      </c>
      <c r="I25" s="111" t="e">
        <f t="shared" si="0"/>
        <v>#REF!</v>
      </c>
      <c r="J25" s="111" t="e">
        <f t="shared" si="0"/>
        <v>#REF!</v>
      </c>
      <c r="K25" s="111">
        <f t="shared" si="0"/>
        <v>0</v>
      </c>
      <c r="L25" s="111">
        <f t="shared" si="0"/>
        <v>0</v>
      </c>
      <c r="M25" s="111" t="e">
        <f t="shared" si="0"/>
        <v>#REF!</v>
      </c>
      <c r="N25" s="111">
        <f t="shared" si="0"/>
        <v>0</v>
      </c>
      <c r="O25" s="111">
        <f t="shared" si="0"/>
        <v>0</v>
      </c>
      <c r="P25" s="111">
        <f t="shared" si="0"/>
        <v>0</v>
      </c>
      <c r="Q25" s="111" t="e">
        <f t="shared" si="0"/>
        <v>#REF!</v>
      </c>
      <c r="R25" s="111" t="e">
        <f t="shared" si="0"/>
        <v>#REF!</v>
      </c>
      <c r="S25" s="111" t="e">
        <f t="shared" si="0"/>
        <v>#REF!</v>
      </c>
      <c r="T25" s="111">
        <f t="shared" si="0"/>
        <v>0</v>
      </c>
      <c r="U25" s="111" t="e">
        <f t="shared" si="0"/>
        <v>#REF!</v>
      </c>
      <c r="V25" s="111" t="e">
        <f t="shared" si="0"/>
        <v>#REF!</v>
      </c>
      <c r="W25" s="111" t="e">
        <f t="shared" si="0"/>
        <v>#REF!</v>
      </c>
      <c r="X25" s="111">
        <f t="shared" si="0"/>
        <v>0</v>
      </c>
      <c r="Y25" s="111">
        <f t="shared" si="0"/>
        <v>0</v>
      </c>
      <c r="Z25" s="111">
        <f t="shared" si="0"/>
        <v>0</v>
      </c>
      <c r="AA25" s="111">
        <f t="shared" si="0"/>
        <v>0</v>
      </c>
      <c r="AB25" s="111">
        <f t="shared" si="0"/>
        <v>0</v>
      </c>
      <c r="AC25" s="111">
        <f t="shared" si="0"/>
        <v>0</v>
      </c>
      <c r="AD25" s="111" t="e">
        <f t="shared" si="0"/>
        <v>#REF!</v>
      </c>
    </row>
    <row r="26" spans="1:32" s="38" customFormat="1" ht="38.25" customHeight="1" thickTop="1" thickBot="1" x14ac:dyDescent="0.25">
      <c r="A26" s="42"/>
      <c r="B26" s="208" t="s">
        <v>101</v>
      </c>
      <c r="C26" s="209" t="e">
        <f t="shared" ref="C26:AD26" si="1">C25+C36</f>
        <v>#REF!</v>
      </c>
      <c r="D26" s="209">
        <f t="shared" si="1"/>
        <v>0</v>
      </c>
      <c r="E26" s="210" t="e">
        <f t="shared" si="1"/>
        <v>#REF!</v>
      </c>
      <c r="F26" s="210" t="e">
        <f t="shared" si="1"/>
        <v>#REF!</v>
      </c>
      <c r="G26" s="210" t="e">
        <f t="shared" si="1"/>
        <v>#REF!</v>
      </c>
      <c r="H26" s="210" t="e">
        <f t="shared" si="1"/>
        <v>#REF!</v>
      </c>
      <c r="I26" s="210" t="e">
        <f t="shared" si="1"/>
        <v>#REF!</v>
      </c>
      <c r="J26" s="210" t="e">
        <f t="shared" si="1"/>
        <v>#REF!</v>
      </c>
      <c r="K26" s="210" t="e">
        <f t="shared" si="1"/>
        <v>#REF!</v>
      </c>
      <c r="L26" s="210" t="e">
        <f t="shared" si="1"/>
        <v>#REF!</v>
      </c>
      <c r="M26" s="210" t="e">
        <f t="shared" si="1"/>
        <v>#REF!</v>
      </c>
      <c r="N26" s="210" t="e">
        <f t="shared" si="1"/>
        <v>#REF!</v>
      </c>
      <c r="O26" s="210">
        <f t="shared" si="1"/>
        <v>0</v>
      </c>
      <c r="P26" s="210">
        <f t="shared" si="1"/>
        <v>1186</v>
      </c>
      <c r="Q26" s="210" t="e">
        <f t="shared" si="1"/>
        <v>#REF!</v>
      </c>
      <c r="R26" s="210" t="e">
        <f t="shared" si="1"/>
        <v>#REF!</v>
      </c>
      <c r="S26" s="210" t="e">
        <f t="shared" si="1"/>
        <v>#REF!</v>
      </c>
      <c r="T26" s="210" t="e">
        <f t="shared" si="1"/>
        <v>#REF!</v>
      </c>
      <c r="U26" s="210" t="e">
        <f t="shared" si="1"/>
        <v>#REF!</v>
      </c>
      <c r="V26" s="210" t="e">
        <f t="shared" si="1"/>
        <v>#REF!</v>
      </c>
      <c r="W26" s="210" t="e">
        <f t="shared" si="1"/>
        <v>#REF!</v>
      </c>
      <c r="X26" s="210">
        <f t="shared" si="1"/>
        <v>247</v>
      </c>
      <c r="Y26" s="210">
        <f t="shared" si="1"/>
        <v>346</v>
      </c>
      <c r="Z26" s="210">
        <f t="shared" si="1"/>
        <v>0</v>
      </c>
      <c r="AA26" s="210" t="e">
        <f t="shared" si="1"/>
        <v>#REF!</v>
      </c>
      <c r="AB26" s="210">
        <f t="shared" si="1"/>
        <v>0</v>
      </c>
      <c r="AC26" s="216" t="e">
        <f t="shared" si="1"/>
        <v>#REF!</v>
      </c>
      <c r="AD26" s="211" t="e">
        <f t="shared" si="1"/>
        <v>#REF!</v>
      </c>
    </row>
    <row r="27" spans="1:32" s="38" customFormat="1" ht="13.5" thickTop="1" x14ac:dyDescent="0.2">
      <c r="A27" s="42"/>
      <c r="B27" s="194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</row>
    <row r="28" spans="1:32" s="38" customFormat="1" x14ac:dyDescent="0.2">
      <c r="A28" s="42"/>
      <c r="B28" s="200"/>
      <c r="C28" s="199"/>
      <c r="D28" s="113"/>
      <c r="E28" s="101"/>
      <c r="F28" s="101"/>
      <c r="G28" s="101"/>
      <c r="H28" s="101"/>
      <c r="I28" s="101"/>
      <c r="J28" s="101"/>
      <c r="K28" s="101"/>
      <c r="L28" s="101"/>
      <c r="M28" s="198"/>
      <c r="N28" s="199"/>
      <c r="O28" s="113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</row>
    <row r="29" spans="1:32" s="37" customFormat="1" ht="13.5" thickBot="1" x14ac:dyDescent="0.25">
      <c r="A29" s="41"/>
      <c r="B29" s="137"/>
      <c r="C29" s="113"/>
      <c r="D29" s="101"/>
      <c r="E29" s="101"/>
      <c r="F29" s="101"/>
      <c r="G29" s="101"/>
      <c r="H29" s="101"/>
      <c r="I29" s="101"/>
      <c r="J29" s="101"/>
      <c r="K29" s="101"/>
      <c r="L29" s="101"/>
      <c r="M29" s="113"/>
      <c r="N29" s="113"/>
      <c r="O29" s="113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</row>
    <row r="30" spans="1:32" s="37" customFormat="1" x14ac:dyDescent="0.2">
      <c r="A30" s="41"/>
      <c r="B30" s="138" t="s">
        <v>91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39"/>
      <c r="N30" s="140"/>
      <c r="O30" s="140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</row>
    <row r="31" spans="1:32" ht="12.75" customHeight="1" x14ac:dyDescent="0.2">
      <c r="A31" s="15">
        <v>4</v>
      </c>
      <c r="B31" s="141" t="s">
        <v>70</v>
      </c>
      <c r="C31" s="142" t="e">
        <f>#REF!</f>
        <v>#REF!</v>
      </c>
      <c r="D31" s="143"/>
      <c r="E31" s="144" t="e">
        <f>#REF!</f>
        <v>#REF!</v>
      </c>
      <c r="F31" s="144"/>
      <c r="G31" s="144" t="e">
        <f>#REF!</f>
        <v>#REF!</v>
      </c>
      <c r="H31" s="144"/>
      <c r="I31" s="144" t="e">
        <f>#REF!</f>
        <v>#REF!</v>
      </c>
      <c r="J31" s="144" t="e">
        <f>#REF!</f>
        <v>#REF!</v>
      </c>
      <c r="K31" s="144" t="e">
        <f>#REF!</f>
        <v>#REF!</v>
      </c>
      <c r="L31" s="144" t="e">
        <f>#REF!</f>
        <v>#REF!</v>
      </c>
      <c r="M31" s="144" t="e">
        <f>#REF!</f>
        <v>#REF!</v>
      </c>
      <c r="N31" s="145"/>
      <c r="O31" s="145"/>
      <c r="P31" s="146"/>
      <c r="Q31" s="146"/>
      <c r="R31" s="146"/>
      <c r="S31" s="146" t="e">
        <f>#REF!</f>
        <v>#REF!</v>
      </c>
      <c r="T31" s="146"/>
      <c r="U31" s="144"/>
      <c r="V31" s="146"/>
      <c r="W31" s="146"/>
      <c r="X31" s="146"/>
      <c r="Y31" s="146"/>
      <c r="Z31" s="146"/>
      <c r="AA31" s="146"/>
      <c r="AB31" s="146"/>
      <c r="AC31" s="146" t="e">
        <f>#REF!</f>
        <v>#REF!</v>
      </c>
      <c r="AD31" s="146"/>
    </row>
    <row r="32" spans="1:32" ht="12.75" customHeight="1" x14ac:dyDescent="0.2">
      <c r="A32" s="15">
        <v>5</v>
      </c>
      <c r="B32" s="147" t="s">
        <v>71</v>
      </c>
      <c r="C32" s="148" t="e">
        <f>#REF!</f>
        <v>#REF!</v>
      </c>
      <c r="D32" s="143"/>
      <c r="E32" s="144" t="e">
        <f>#REF!</f>
        <v>#REF!</v>
      </c>
      <c r="F32" s="144"/>
      <c r="G32" s="144" t="e">
        <f>#REF!</f>
        <v>#REF!</v>
      </c>
      <c r="H32" s="144"/>
      <c r="I32" s="144" t="e">
        <f>#REF!</f>
        <v>#REF!</v>
      </c>
      <c r="J32" s="144" t="e">
        <f>#REF!</f>
        <v>#REF!</v>
      </c>
      <c r="K32" s="144" t="e">
        <f>#REF!</f>
        <v>#REF!</v>
      </c>
      <c r="L32" s="144" t="e">
        <f>#REF!</f>
        <v>#REF!</v>
      </c>
      <c r="M32" s="144" t="e">
        <f>#REF!</f>
        <v>#REF!</v>
      </c>
      <c r="N32" s="145"/>
      <c r="O32" s="145"/>
      <c r="P32" s="146"/>
      <c r="Q32" s="146"/>
      <c r="R32" s="146"/>
      <c r="S32" s="146" t="e">
        <f>#REF!</f>
        <v>#REF!</v>
      </c>
      <c r="T32" s="146"/>
      <c r="U32" s="144"/>
      <c r="V32" s="146"/>
      <c r="W32" s="146"/>
      <c r="X32" s="146"/>
      <c r="Y32" s="146"/>
      <c r="Z32" s="146"/>
      <c r="AA32" s="146"/>
      <c r="AB32" s="146"/>
      <c r="AC32" s="146" t="e">
        <f>#REF!</f>
        <v>#REF!</v>
      </c>
      <c r="AD32" s="146"/>
      <c r="AF32" s="1" t="s">
        <v>97</v>
      </c>
    </row>
    <row r="33" spans="1:32" ht="12.75" customHeight="1" x14ac:dyDescent="0.2">
      <c r="A33" s="15">
        <v>6</v>
      </c>
      <c r="B33" s="147" t="s">
        <v>96</v>
      </c>
      <c r="C33" s="149"/>
      <c r="D33" s="143"/>
      <c r="E33" s="144" t="e">
        <f>#REF!</f>
        <v>#REF!</v>
      </c>
      <c r="F33" s="144" t="e">
        <f>#REF!</f>
        <v>#REF!</v>
      </c>
      <c r="G33" s="144" t="e">
        <f>#REF!</f>
        <v>#REF!</v>
      </c>
      <c r="H33" s="144" t="e">
        <f>#REF!</f>
        <v>#REF!</v>
      </c>
      <c r="I33" s="144" t="e">
        <f>#REF!</f>
        <v>#REF!</v>
      </c>
      <c r="J33" s="144" t="e">
        <f>#REF!</f>
        <v>#REF!</v>
      </c>
      <c r="K33" s="144" t="e">
        <f>#REF!</f>
        <v>#REF!</v>
      </c>
      <c r="L33" s="144" t="e">
        <f>#REF!</f>
        <v>#REF!</v>
      </c>
      <c r="M33" s="144" t="e">
        <f>#REF!</f>
        <v>#REF!</v>
      </c>
      <c r="N33" s="145"/>
      <c r="O33" s="145"/>
      <c r="P33" s="146"/>
      <c r="Q33" s="146"/>
      <c r="R33" s="146"/>
      <c r="S33" s="146" t="e">
        <f>#REF!</f>
        <v>#REF!</v>
      </c>
      <c r="T33" s="146"/>
      <c r="U33" s="144"/>
      <c r="V33" s="146"/>
      <c r="W33" s="146"/>
      <c r="X33" s="154"/>
      <c r="Y33" s="146"/>
      <c r="Z33" s="146"/>
      <c r="AA33" s="146" t="e">
        <f>#REF!</f>
        <v>#REF!</v>
      </c>
      <c r="AB33" s="146"/>
      <c r="AC33" s="146" t="e">
        <f>#REF!</f>
        <v>#REF!</v>
      </c>
      <c r="AD33" s="146"/>
    </row>
    <row r="34" spans="1:32" x14ac:dyDescent="0.2">
      <c r="A34" s="100" t="s">
        <v>93</v>
      </c>
      <c r="B34" s="141" t="s">
        <v>92</v>
      </c>
      <c r="C34" s="143"/>
      <c r="D34" s="143"/>
      <c r="E34" s="150"/>
      <c r="F34" s="150"/>
      <c r="G34" s="150"/>
      <c r="H34" s="150"/>
      <c r="I34" s="150"/>
      <c r="J34" s="150"/>
      <c r="K34" s="144"/>
      <c r="L34" s="144"/>
      <c r="M34" s="150"/>
      <c r="N34" s="146" t="e">
        <f>#REF!</f>
        <v>#REF!</v>
      </c>
      <c r="O34" s="150"/>
      <c r="P34" s="146"/>
      <c r="Q34" s="146"/>
      <c r="R34" s="146"/>
      <c r="S34" s="146"/>
      <c r="T34" s="146" t="e">
        <f>#REF!</f>
        <v>#REF!</v>
      </c>
      <c r="U34" s="146" t="e">
        <f>#REF!</f>
        <v>#REF!</v>
      </c>
      <c r="V34" s="146" t="e">
        <f>#REF!</f>
        <v>#REF!</v>
      </c>
      <c r="W34" s="146" t="e">
        <f>#REF!</f>
        <v>#REF!</v>
      </c>
      <c r="X34" s="146"/>
      <c r="Y34" s="146"/>
      <c r="Z34" s="146"/>
      <c r="AA34" s="146"/>
      <c r="AB34" s="146"/>
      <c r="AC34" s="146"/>
      <c r="AD34" s="146" t="e">
        <f>#REF!</f>
        <v>#REF!</v>
      </c>
    </row>
    <row r="35" spans="1:32" ht="13.5" thickBot="1" x14ac:dyDescent="0.25">
      <c r="A35" s="100"/>
      <c r="B35" s="201" t="s">
        <v>103</v>
      </c>
      <c r="C35" s="202"/>
      <c r="D35" s="202"/>
      <c r="E35" s="203"/>
      <c r="F35" s="203"/>
      <c r="G35" s="203"/>
      <c r="H35" s="203"/>
      <c r="I35" s="203"/>
      <c r="J35" s="203"/>
      <c r="K35" s="204"/>
      <c r="L35" s="204"/>
      <c r="M35" s="203">
        <v>63</v>
      </c>
      <c r="N35" s="205"/>
      <c r="O35" s="203"/>
      <c r="P35" s="205">
        <v>1186</v>
      </c>
      <c r="Q35" s="205"/>
      <c r="R35" s="205"/>
      <c r="S35" s="205">
        <v>1338</v>
      </c>
      <c r="T35" s="205">
        <v>285</v>
      </c>
      <c r="U35" s="205"/>
      <c r="V35" s="205"/>
      <c r="W35" s="205"/>
      <c r="X35" s="205">
        <v>247</v>
      </c>
      <c r="Y35" s="205">
        <v>346</v>
      </c>
      <c r="Z35" s="205"/>
      <c r="AA35" s="205"/>
      <c r="AB35" s="205"/>
      <c r="AC35" s="205"/>
      <c r="AD35" s="217"/>
    </row>
    <row r="36" spans="1:32" s="39" customFormat="1" ht="25.5" customHeight="1" thickBot="1" x14ac:dyDescent="0.25">
      <c r="A36" s="42"/>
      <c r="B36" s="151" t="s">
        <v>53</v>
      </c>
      <c r="C36" s="206" t="e">
        <f t="shared" ref="C36:O36" si="2">SUM(C31:C35)</f>
        <v>#REF!</v>
      </c>
      <c r="D36" s="206">
        <f t="shared" si="2"/>
        <v>0</v>
      </c>
      <c r="E36" s="206" t="e">
        <f t="shared" si="2"/>
        <v>#REF!</v>
      </c>
      <c r="F36" s="206" t="e">
        <f t="shared" si="2"/>
        <v>#REF!</v>
      </c>
      <c r="G36" s="206" t="e">
        <f t="shared" si="2"/>
        <v>#REF!</v>
      </c>
      <c r="H36" s="206" t="e">
        <f t="shared" si="2"/>
        <v>#REF!</v>
      </c>
      <c r="I36" s="206" t="e">
        <f t="shared" si="2"/>
        <v>#REF!</v>
      </c>
      <c r="J36" s="206" t="e">
        <f t="shared" si="2"/>
        <v>#REF!</v>
      </c>
      <c r="K36" s="206" t="e">
        <f t="shared" si="2"/>
        <v>#REF!</v>
      </c>
      <c r="L36" s="206" t="e">
        <f t="shared" si="2"/>
        <v>#REF!</v>
      </c>
      <c r="M36" s="206" t="e">
        <f t="shared" si="2"/>
        <v>#REF!</v>
      </c>
      <c r="N36" s="206" t="e">
        <f t="shared" si="2"/>
        <v>#REF!</v>
      </c>
      <c r="O36" s="206">
        <f t="shared" si="2"/>
        <v>0</v>
      </c>
      <c r="P36" s="206">
        <f>SUM(P31:P35)</f>
        <v>1186</v>
      </c>
      <c r="Q36" s="206">
        <f t="shared" ref="Q36:AC36" si="3">SUM(Q31:Q35)</f>
        <v>0</v>
      </c>
      <c r="R36" s="206">
        <f t="shared" si="3"/>
        <v>0</v>
      </c>
      <c r="S36" s="206" t="e">
        <f t="shared" si="3"/>
        <v>#REF!</v>
      </c>
      <c r="T36" s="206" t="e">
        <f t="shared" si="3"/>
        <v>#REF!</v>
      </c>
      <c r="U36" s="206" t="e">
        <f t="shared" si="3"/>
        <v>#REF!</v>
      </c>
      <c r="V36" s="206" t="e">
        <f t="shared" si="3"/>
        <v>#REF!</v>
      </c>
      <c r="W36" s="206" t="e">
        <f t="shared" si="3"/>
        <v>#REF!</v>
      </c>
      <c r="X36" s="206">
        <f t="shared" si="3"/>
        <v>247</v>
      </c>
      <c r="Y36" s="206">
        <f t="shared" si="3"/>
        <v>346</v>
      </c>
      <c r="Z36" s="206">
        <f t="shared" si="3"/>
        <v>0</v>
      </c>
      <c r="AA36" s="206" t="e">
        <f t="shared" si="3"/>
        <v>#REF!</v>
      </c>
      <c r="AB36" s="206">
        <f t="shared" si="3"/>
        <v>0</v>
      </c>
      <c r="AC36" s="206" t="e">
        <f t="shared" si="3"/>
        <v>#REF!</v>
      </c>
      <c r="AD36" s="152" t="e">
        <f t="shared" ref="AD36" si="4">SUM(AD31:AD34)</f>
        <v>#REF!</v>
      </c>
    </row>
    <row r="37" spans="1:32" s="20" customFormat="1" ht="12.75" customHeight="1" x14ac:dyDescent="0.2">
      <c r="A37" s="43"/>
      <c r="B37" s="75"/>
      <c r="C37" s="44"/>
      <c r="D37" s="44"/>
      <c r="E37" s="45"/>
      <c r="F37" s="45"/>
      <c r="G37" s="45"/>
      <c r="H37" s="45"/>
      <c r="I37" s="45"/>
      <c r="J37" s="45"/>
      <c r="K37" s="45"/>
      <c r="L37" s="45"/>
      <c r="M37" s="46"/>
      <c r="N37" s="46"/>
      <c r="O37" s="62"/>
      <c r="P37" s="62"/>
      <c r="Q37" s="62"/>
      <c r="R37" s="197"/>
      <c r="S37" s="196"/>
      <c r="T37" s="44"/>
      <c r="U37" s="45"/>
      <c r="V37" s="44"/>
      <c r="W37" s="44"/>
      <c r="X37" s="44"/>
      <c r="Y37" s="44"/>
      <c r="Z37" s="44"/>
      <c r="AA37" s="44"/>
      <c r="AB37" s="44"/>
      <c r="AC37" s="44"/>
      <c r="AD37" s="76"/>
    </row>
    <row r="38" spans="1:32" s="20" customFormat="1" ht="12.75" customHeight="1" thickBot="1" x14ac:dyDescent="0.25">
      <c r="A38" s="43"/>
      <c r="B38" s="75"/>
      <c r="C38" s="44"/>
      <c r="D38" s="44"/>
      <c r="E38" s="45"/>
      <c r="F38" s="45"/>
      <c r="G38" s="45"/>
      <c r="H38" s="45"/>
      <c r="I38" s="45"/>
      <c r="J38" s="45"/>
      <c r="K38" s="45"/>
      <c r="L38" s="45"/>
      <c r="M38" s="46"/>
      <c r="N38" s="46"/>
      <c r="O38" s="62"/>
      <c r="P38" s="62"/>
      <c r="Q38" s="62"/>
      <c r="R38" s="195"/>
      <c r="S38" s="196"/>
      <c r="T38" s="44"/>
      <c r="U38" s="45"/>
      <c r="V38" s="44"/>
      <c r="W38" s="44"/>
      <c r="X38" s="44"/>
      <c r="Y38" s="44"/>
      <c r="Z38" s="44"/>
      <c r="AA38" s="44"/>
      <c r="AB38" s="44"/>
      <c r="AC38" s="44"/>
      <c r="AD38" s="76"/>
    </row>
    <row r="39" spans="1:32" s="20" customFormat="1" ht="12.75" customHeight="1" x14ac:dyDescent="0.2">
      <c r="A39" s="43"/>
      <c r="B39" s="75"/>
      <c r="C39" s="44"/>
      <c r="D39" s="44"/>
      <c r="E39" s="45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4"/>
      <c r="R39" s="44"/>
      <c r="S39" s="44"/>
      <c r="T39" s="44"/>
      <c r="U39" s="45"/>
      <c r="V39" s="44"/>
      <c r="W39" s="44"/>
      <c r="X39" s="44"/>
      <c r="Y39" s="44"/>
      <c r="Z39" s="44"/>
      <c r="AA39" s="44"/>
      <c r="AB39" s="44"/>
      <c r="AC39" s="44"/>
      <c r="AD39" s="76"/>
    </row>
    <row r="40" spans="1:32" s="20" customFormat="1" ht="12.75" customHeight="1" thickBot="1" x14ac:dyDescent="0.25">
      <c r="A40" s="43"/>
      <c r="B40" s="75"/>
      <c r="C40" s="44"/>
      <c r="D40" s="44"/>
      <c r="E40" s="45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4"/>
      <c r="R40" s="44"/>
      <c r="S40" s="44"/>
      <c r="T40" s="44"/>
      <c r="U40" s="45"/>
      <c r="V40" s="44"/>
      <c r="W40" s="44"/>
      <c r="X40" s="44"/>
      <c r="Y40" s="44"/>
      <c r="Z40" s="44"/>
      <c r="AA40" s="44"/>
      <c r="AB40" s="44"/>
      <c r="AC40" s="44"/>
      <c r="AD40" s="76"/>
    </row>
    <row r="41" spans="1:32" ht="12.75" customHeight="1" x14ac:dyDescent="0.2">
      <c r="B41" s="325" t="s">
        <v>60</v>
      </c>
      <c r="C41" s="326"/>
      <c r="D41" s="326"/>
      <c r="E41" s="326"/>
      <c r="F41" s="326"/>
      <c r="G41" s="326"/>
      <c r="H41" s="326"/>
      <c r="I41" s="327"/>
      <c r="J41" s="45"/>
      <c r="K41" s="45"/>
      <c r="L41" s="45"/>
      <c r="M41" s="46"/>
      <c r="N41" s="46"/>
      <c r="O41" s="46"/>
      <c r="P41" s="46"/>
      <c r="Q41" s="44"/>
      <c r="R41" s="44"/>
      <c r="S41" s="44"/>
      <c r="T41" s="44"/>
      <c r="U41" s="45"/>
      <c r="V41" s="44"/>
      <c r="W41" s="44"/>
      <c r="X41" s="44"/>
      <c r="Y41" s="44"/>
      <c r="Z41" s="44"/>
      <c r="AA41" s="44"/>
      <c r="AB41" s="44"/>
      <c r="AC41" s="44"/>
      <c r="AD41" s="76"/>
    </row>
    <row r="42" spans="1:32" ht="12.75" customHeight="1" thickBot="1" x14ac:dyDescent="0.25">
      <c r="B42" s="328"/>
      <c r="C42" s="329"/>
      <c r="D42" s="329"/>
      <c r="E42" s="329"/>
      <c r="F42" s="329"/>
      <c r="G42" s="329"/>
      <c r="H42" s="329"/>
      <c r="I42" s="330"/>
      <c r="J42" s="45"/>
      <c r="K42" s="45"/>
      <c r="L42" s="45"/>
      <c r="M42" s="46"/>
      <c r="N42" s="46"/>
      <c r="O42" s="46"/>
      <c r="P42" s="46"/>
      <c r="Q42" s="44"/>
      <c r="R42" s="44"/>
      <c r="S42" s="44"/>
      <c r="T42" s="44"/>
      <c r="U42" s="45"/>
      <c r="V42" s="44"/>
      <c r="W42" s="44"/>
      <c r="X42" s="44"/>
      <c r="Y42" s="44"/>
      <c r="Z42" s="44"/>
      <c r="AA42" s="44"/>
      <c r="AB42" s="44"/>
      <c r="AC42" s="44"/>
      <c r="AD42" s="76"/>
    </row>
    <row r="43" spans="1:32" s="16" customFormat="1" ht="12.75" customHeight="1" x14ac:dyDescent="0.2">
      <c r="A43" s="40"/>
      <c r="B43" s="339" t="s">
        <v>54</v>
      </c>
      <c r="C43" s="155">
        <v>202</v>
      </c>
      <c r="D43" s="336">
        <v>204</v>
      </c>
      <c r="E43" s="337"/>
      <c r="F43" s="338"/>
      <c r="G43" s="336">
        <v>206</v>
      </c>
      <c r="H43" s="337"/>
      <c r="I43" s="337"/>
      <c r="J43" s="337"/>
      <c r="K43" s="337"/>
      <c r="L43" s="338"/>
      <c r="M43" s="156">
        <v>252</v>
      </c>
      <c r="N43" s="155">
        <v>254</v>
      </c>
      <c r="O43" s="337">
        <v>301</v>
      </c>
      <c r="P43" s="342"/>
      <c r="Q43" s="157">
        <v>302</v>
      </c>
      <c r="R43" s="336">
        <v>304</v>
      </c>
      <c r="S43" s="342"/>
      <c r="T43" s="336">
        <v>407</v>
      </c>
      <c r="U43" s="343"/>
      <c r="V43" s="336">
        <v>442</v>
      </c>
      <c r="W43" s="338"/>
      <c r="X43" s="336">
        <v>448</v>
      </c>
      <c r="Y43" s="338"/>
      <c r="Z43" s="336">
        <v>452</v>
      </c>
      <c r="AA43" s="344"/>
      <c r="AB43" s="344"/>
      <c r="AC43" s="342"/>
      <c r="AD43" s="158">
        <v>618</v>
      </c>
      <c r="AE43" s="308" t="s">
        <v>24</v>
      </c>
      <c r="AF43" s="17"/>
    </row>
    <row r="44" spans="1:32" ht="12.75" customHeight="1" x14ac:dyDescent="0.2">
      <c r="B44" s="340"/>
      <c r="C44" s="331" t="s">
        <v>61</v>
      </c>
      <c r="D44" s="324" t="s">
        <v>8</v>
      </c>
      <c r="E44" s="315" t="s">
        <v>7</v>
      </c>
      <c r="F44" s="331" t="s">
        <v>62</v>
      </c>
      <c r="G44" s="315" t="s">
        <v>18</v>
      </c>
      <c r="H44" s="320" t="s">
        <v>19</v>
      </c>
      <c r="I44" s="320" t="s">
        <v>32</v>
      </c>
      <c r="J44" s="320" t="s">
        <v>26</v>
      </c>
      <c r="K44" s="320" t="s">
        <v>21</v>
      </c>
      <c r="L44" s="320" t="s">
        <v>27</v>
      </c>
      <c r="M44" s="320" t="s">
        <v>30</v>
      </c>
      <c r="N44" s="315" t="s">
        <v>29</v>
      </c>
      <c r="O44" s="324" t="s">
        <v>47</v>
      </c>
      <c r="P44" s="331" t="s">
        <v>102</v>
      </c>
      <c r="Q44" s="331" t="s">
        <v>82</v>
      </c>
      <c r="R44" s="315" t="s">
        <v>48</v>
      </c>
      <c r="S44" s="315" t="s">
        <v>9</v>
      </c>
      <c r="T44" s="315" t="s">
        <v>42</v>
      </c>
      <c r="U44" s="315" t="s">
        <v>20</v>
      </c>
      <c r="V44" s="316" t="s">
        <v>63</v>
      </c>
      <c r="W44" s="319" t="s">
        <v>59</v>
      </c>
      <c r="X44" s="316" t="s">
        <v>106</v>
      </c>
      <c r="Y44" s="316" t="s">
        <v>107</v>
      </c>
      <c r="Z44" s="319" t="s">
        <v>43</v>
      </c>
      <c r="AA44" s="319" t="s">
        <v>41</v>
      </c>
      <c r="AB44" s="319" t="s">
        <v>44</v>
      </c>
      <c r="AC44" s="319" t="s">
        <v>37</v>
      </c>
      <c r="AD44" s="316" t="s">
        <v>64</v>
      </c>
      <c r="AE44" s="309"/>
      <c r="AF44" s="18"/>
    </row>
    <row r="45" spans="1:32" ht="12.75" customHeight="1" x14ac:dyDescent="0.2">
      <c r="B45" s="340"/>
      <c r="C45" s="323"/>
      <c r="D45" s="324"/>
      <c r="E45" s="315"/>
      <c r="F45" s="315"/>
      <c r="G45" s="315"/>
      <c r="H45" s="321"/>
      <c r="I45" s="321"/>
      <c r="J45" s="321"/>
      <c r="K45" s="321"/>
      <c r="L45" s="321"/>
      <c r="M45" s="321"/>
      <c r="N45" s="323"/>
      <c r="O45" s="324"/>
      <c r="P45" s="315"/>
      <c r="Q45" s="315"/>
      <c r="R45" s="315"/>
      <c r="S45" s="315"/>
      <c r="T45" s="315"/>
      <c r="U45" s="315"/>
      <c r="V45" s="317"/>
      <c r="W45" s="317"/>
      <c r="X45" s="317"/>
      <c r="Y45" s="317"/>
      <c r="Z45" s="317"/>
      <c r="AA45" s="317"/>
      <c r="AB45" s="317"/>
      <c r="AC45" s="317"/>
      <c r="AD45" s="317"/>
      <c r="AE45" s="309"/>
      <c r="AF45" s="18"/>
    </row>
    <row r="46" spans="1:32" ht="12.75" customHeight="1" x14ac:dyDescent="0.2">
      <c r="B46" s="340"/>
      <c r="C46" s="323"/>
      <c r="D46" s="324"/>
      <c r="E46" s="315"/>
      <c r="F46" s="315"/>
      <c r="G46" s="315"/>
      <c r="H46" s="321"/>
      <c r="I46" s="321"/>
      <c r="J46" s="321"/>
      <c r="K46" s="321"/>
      <c r="L46" s="321"/>
      <c r="M46" s="321"/>
      <c r="N46" s="323"/>
      <c r="O46" s="324"/>
      <c r="P46" s="315"/>
      <c r="Q46" s="315"/>
      <c r="R46" s="315"/>
      <c r="S46" s="315"/>
      <c r="T46" s="315"/>
      <c r="U46" s="315"/>
      <c r="V46" s="317"/>
      <c r="W46" s="317"/>
      <c r="X46" s="317"/>
      <c r="Y46" s="317"/>
      <c r="Z46" s="317"/>
      <c r="AA46" s="317"/>
      <c r="AB46" s="317"/>
      <c r="AC46" s="317"/>
      <c r="AD46" s="317"/>
      <c r="AE46" s="309"/>
      <c r="AF46" s="18"/>
    </row>
    <row r="47" spans="1:32" ht="12.75" customHeight="1" x14ac:dyDescent="0.2">
      <c r="B47" s="340"/>
      <c r="C47" s="323"/>
      <c r="D47" s="324"/>
      <c r="E47" s="315"/>
      <c r="F47" s="315"/>
      <c r="G47" s="315"/>
      <c r="H47" s="321"/>
      <c r="I47" s="321"/>
      <c r="J47" s="321"/>
      <c r="K47" s="321"/>
      <c r="L47" s="321"/>
      <c r="M47" s="321"/>
      <c r="N47" s="323"/>
      <c r="O47" s="324"/>
      <c r="P47" s="315"/>
      <c r="Q47" s="315"/>
      <c r="R47" s="315"/>
      <c r="S47" s="315"/>
      <c r="T47" s="315"/>
      <c r="U47" s="315"/>
      <c r="V47" s="317"/>
      <c r="W47" s="317"/>
      <c r="X47" s="317"/>
      <c r="Y47" s="317"/>
      <c r="Z47" s="317"/>
      <c r="AA47" s="317"/>
      <c r="AB47" s="317"/>
      <c r="AC47" s="317"/>
      <c r="AD47" s="317"/>
      <c r="AE47" s="309"/>
      <c r="AF47" s="18"/>
    </row>
    <row r="48" spans="1:32" ht="12.75" customHeight="1" x14ac:dyDescent="0.2">
      <c r="B48" s="340"/>
      <c r="C48" s="323"/>
      <c r="D48" s="324"/>
      <c r="E48" s="315"/>
      <c r="F48" s="315"/>
      <c r="G48" s="315"/>
      <c r="H48" s="321"/>
      <c r="I48" s="321"/>
      <c r="J48" s="321"/>
      <c r="K48" s="321"/>
      <c r="L48" s="321"/>
      <c r="M48" s="321"/>
      <c r="N48" s="323"/>
      <c r="O48" s="324"/>
      <c r="P48" s="315"/>
      <c r="Q48" s="315"/>
      <c r="R48" s="315"/>
      <c r="S48" s="315"/>
      <c r="T48" s="315"/>
      <c r="U48" s="315"/>
      <c r="V48" s="317"/>
      <c r="W48" s="317"/>
      <c r="X48" s="317"/>
      <c r="Y48" s="317"/>
      <c r="Z48" s="317"/>
      <c r="AA48" s="317"/>
      <c r="AB48" s="317"/>
      <c r="AC48" s="317"/>
      <c r="AD48" s="317"/>
      <c r="AE48" s="309"/>
      <c r="AF48" s="18"/>
    </row>
    <row r="49" spans="1:32" ht="12.75" customHeight="1" x14ac:dyDescent="0.2">
      <c r="B49" s="340"/>
      <c r="C49" s="323"/>
      <c r="D49" s="324"/>
      <c r="E49" s="315"/>
      <c r="F49" s="315"/>
      <c r="G49" s="315"/>
      <c r="H49" s="321"/>
      <c r="I49" s="321"/>
      <c r="J49" s="321"/>
      <c r="K49" s="321"/>
      <c r="L49" s="321"/>
      <c r="M49" s="321"/>
      <c r="N49" s="323"/>
      <c r="O49" s="324"/>
      <c r="P49" s="315"/>
      <c r="Q49" s="315"/>
      <c r="R49" s="315"/>
      <c r="S49" s="315"/>
      <c r="T49" s="315"/>
      <c r="U49" s="315"/>
      <c r="V49" s="317"/>
      <c r="W49" s="317"/>
      <c r="X49" s="317"/>
      <c r="Y49" s="317"/>
      <c r="Z49" s="317"/>
      <c r="AA49" s="317"/>
      <c r="AB49" s="317"/>
      <c r="AC49" s="317"/>
      <c r="AD49" s="317"/>
      <c r="AE49" s="309"/>
      <c r="AF49" s="18"/>
    </row>
    <row r="50" spans="1:32" ht="12.75" customHeight="1" x14ac:dyDescent="0.2">
      <c r="B50" s="340"/>
      <c r="C50" s="323"/>
      <c r="D50" s="324"/>
      <c r="E50" s="315"/>
      <c r="F50" s="315"/>
      <c r="G50" s="315"/>
      <c r="H50" s="321"/>
      <c r="I50" s="321"/>
      <c r="J50" s="321"/>
      <c r="K50" s="321"/>
      <c r="L50" s="321"/>
      <c r="M50" s="321"/>
      <c r="N50" s="323"/>
      <c r="O50" s="324"/>
      <c r="P50" s="315"/>
      <c r="Q50" s="315"/>
      <c r="R50" s="315"/>
      <c r="S50" s="315"/>
      <c r="T50" s="315"/>
      <c r="U50" s="315"/>
      <c r="V50" s="317"/>
      <c r="W50" s="317"/>
      <c r="X50" s="317"/>
      <c r="Y50" s="317"/>
      <c r="Z50" s="317"/>
      <c r="AA50" s="317"/>
      <c r="AB50" s="317"/>
      <c r="AC50" s="317"/>
      <c r="AD50" s="317"/>
      <c r="AE50" s="309"/>
      <c r="AF50" s="18"/>
    </row>
    <row r="51" spans="1:32" ht="12.75" customHeight="1" x14ac:dyDescent="0.2">
      <c r="B51" s="340"/>
      <c r="C51" s="323"/>
      <c r="D51" s="324"/>
      <c r="E51" s="315"/>
      <c r="F51" s="315"/>
      <c r="G51" s="315"/>
      <c r="H51" s="321"/>
      <c r="I51" s="321"/>
      <c r="J51" s="321"/>
      <c r="K51" s="321"/>
      <c r="L51" s="321"/>
      <c r="M51" s="321"/>
      <c r="N51" s="323"/>
      <c r="O51" s="324"/>
      <c r="P51" s="315"/>
      <c r="Q51" s="315"/>
      <c r="R51" s="315"/>
      <c r="S51" s="315"/>
      <c r="T51" s="315"/>
      <c r="U51" s="315"/>
      <c r="V51" s="317"/>
      <c r="W51" s="317"/>
      <c r="X51" s="317"/>
      <c r="Y51" s="317"/>
      <c r="Z51" s="317"/>
      <c r="AA51" s="317"/>
      <c r="AB51" s="317"/>
      <c r="AC51" s="317"/>
      <c r="AD51" s="317"/>
      <c r="AE51" s="309"/>
      <c r="AF51" s="18"/>
    </row>
    <row r="52" spans="1:32" ht="12.75" customHeight="1" x14ac:dyDescent="0.2">
      <c r="B52" s="340"/>
      <c r="C52" s="323"/>
      <c r="D52" s="324"/>
      <c r="E52" s="315"/>
      <c r="F52" s="315"/>
      <c r="G52" s="315"/>
      <c r="H52" s="321"/>
      <c r="I52" s="321"/>
      <c r="J52" s="321"/>
      <c r="K52" s="321"/>
      <c r="L52" s="321"/>
      <c r="M52" s="321"/>
      <c r="N52" s="323"/>
      <c r="O52" s="324"/>
      <c r="P52" s="315"/>
      <c r="Q52" s="315"/>
      <c r="R52" s="315"/>
      <c r="S52" s="315"/>
      <c r="T52" s="315"/>
      <c r="U52" s="315"/>
      <c r="V52" s="317"/>
      <c r="W52" s="317"/>
      <c r="X52" s="317"/>
      <c r="Y52" s="317"/>
      <c r="Z52" s="317"/>
      <c r="AA52" s="317"/>
      <c r="AB52" s="317"/>
      <c r="AC52" s="317"/>
      <c r="AD52" s="317"/>
      <c r="AE52" s="309"/>
      <c r="AF52" s="18"/>
    </row>
    <row r="53" spans="1:32" ht="12.75" customHeight="1" x14ac:dyDescent="0.2">
      <c r="B53" s="340"/>
      <c r="C53" s="323"/>
      <c r="D53" s="324"/>
      <c r="E53" s="315"/>
      <c r="F53" s="315"/>
      <c r="G53" s="315"/>
      <c r="H53" s="321"/>
      <c r="I53" s="321"/>
      <c r="J53" s="321"/>
      <c r="K53" s="321"/>
      <c r="L53" s="321"/>
      <c r="M53" s="321"/>
      <c r="N53" s="323"/>
      <c r="O53" s="324"/>
      <c r="P53" s="315"/>
      <c r="Q53" s="315"/>
      <c r="R53" s="315"/>
      <c r="S53" s="315"/>
      <c r="T53" s="315"/>
      <c r="U53" s="315"/>
      <c r="V53" s="317"/>
      <c r="W53" s="317"/>
      <c r="X53" s="317"/>
      <c r="Y53" s="317"/>
      <c r="Z53" s="317"/>
      <c r="AA53" s="317"/>
      <c r="AB53" s="317"/>
      <c r="AC53" s="317"/>
      <c r="AD53" s="317"/>
      <c r="AE53" s="309"/>
      <c r="AF53" s="18"/>
    </row>
    <row r="54" spans="1:32" ht="12.75" customHeight="1" x14ac:dyDescent="0.2">
      <c r="B54" s="340"/>
      <c r="C54" s="323"/>
      <c r="D54" s="324"/>
      <c r="E54" s="315"/>
      <c r="F54" s="315"/>
      <c r="G54" s="315"/>
      <c r="H54" s="321"/>
      <c r="I54" s="321"/>
      <c r="J54" s="321"/>
      <c r="K54" s="321"/>
      <c r="L54" s="321"/>
      <c r="M54" s="321"/>
      <c r="N54" s="323"/>
      <c r="O54" s="324"/>
      <c r="P54" s="315"/>
      <c r="Q54" s="315"/>
      <c r="R54" s="315"/>
      <c r="S54" s="315"/>
      <c r="T54" s="315"/>
      <c r="U54" s="315"/>
      <c r="V54" s="317"/>
      <c r="W54" s="317"/>
      <c r="X54" s="317"/>
      <c r="Y54" s="317"/>
      <c r="Z54" s="317"/>
      <c r="AA54" s="317"/>
      <c r="AB54" s="317"/>
      <c r="AC54" s="317"/>
      <c r="AD54" s="317"/>
      <c r="AE54" s="309"/>
      <c r="AF54" s="18"/>
    </row>
    <row r="55" spans="1:32" ht="12.75" customHeight="1" x14ac:dyDescent="0.2">
      <c r="B55" s="340"/>
      <c r="C55" s="323"/>
      <c r="D55" s="324"/>
      <c r="E55" s="315"/>
      <c r="F55" s="315"/>
      <c r="G55" s="315"/>
      <c r="H55" s="322"/>
      <c r="I55" s="322"/>
      <c r="J55" s="322"/>
      <c r="K55" s="322"/>
      <c r="L55" s="322"/>
      <c r="M55" s="322"/>
      <c r="N55" s="323"/>
      <c r="O55" s="324"/>
      <c r="P55" s="315"/>
      <c r="Q55" s="315"/>
      <c r="R55" s="315"/>
      <c r="S55" s="315"/>
      <c r="T55" s="315"/>
      <c r="U55" s="315"/>
      <c r="V55" s="318"/>
      <c r="W55" s="318"/>
      <c r="X55" s="318"/>
      <c r="Y55" s="318"/>
      <c r="Z55" s="318"/>
      <c r="AA55" s="318"/>
      <c r="AB55" s="318"/>
      <c r="AC55" s="318"/>
      <c r="AD55" s="318"/>
      <c r="AE55" s="309"/>
      <c r="AF55" s="18"/>
    </row>
    <row r="56" spans="1:32" ht="12.75" customHeight="1" thickBot="1" x14ac:dyDescent="0.25">
      <c r="B56" s="341"/>
      <c r="C56" s="159" t="s">
        <v>10</v>
      </c>
      <c r="D56" s="160" t="s">
        <v>10</v>
      </c>
      <c r="E56" s="159" t="s">
        <v>11</v>
      </c>
      <c r="F56" s="161" t="s">
        <v>12</v>
      </c>
      <c r="G56" s="159" t="s">
        <v>10</v>
      </c>
      <c r="H56" s="159" t="s">
        <v>10</v>
      </c>
      <c r="I56" s="159" t="s">
        <v>10</v>
      </c>
      <c r="J56" s="159" t="s">
        <v>25</v>
      </c>
      <c r="K56" s="159" t="s">
        <v>10</v>
      </c>
      <c r="L56" s="159" t="s">
        <v>25</v>
      </c>
      <c r="M56" s="162" t="s">
        <v>5</v>
      </c>
      <c r="N56" s="159" t="s">
        <v>10</v>
      </c>
      <c r="O56" s="160" t="s">
        <v>12</v>
      </c>
      <c r="P56" s="159" t="s">
        <v>12</v>
      </c>
      <c r="Q56" s="159" t="s">
        <v>12</v>
      </c>
      <c r="R56" s="159" t="s">
        <v>12</v>
      </c>
      <c r="S56" s="159" t="s">
        <v>12</v>
      </c>
      <c r="T56" s="159" t="s">
        <v>13</v>
      </c>
      <c r="U56" s="159" t="s">
        <v>13</v>
      </c>
      <c r="V56" s="159" t="s">
        <v>12</v>
      </c>
      <c r="W56" s="159" t="s">
        <v>12</v>
      </c>
      <c r="X56" s="159" t="s">
        <v>12</v>
      </c>
      <c r="Y56" s="159" t="s">
        <v>12</v>
      </c>
      <c r="Z56" s="159" t="s">
        <v>12</v>
      </c>
      <c r="AA56" s="159" t="s">
        <v>12</v>
      </c>
      <c r="AB56" s="159" t="s">
        <v>12</v>
      </c>
      <c r="AC56" s="159" t="s">
        <v>12</v>
      </c>
      <c r="AD56" s="161" t="s">
        <v>5</v>
      </c>
      <c r="AE56" s="309"/>
      <c r="AF56" s="18"/>
    </row>
    <row r="57" spans="1:32" ht="12.75" customHeight="1" thickBot="1" x14ac:dyDescent="0.25">
      <c r="B57" s="163"/>
      <c r="C57" s="164"/>
      <c r="D57" s="165"/>
      <c r="E57" s="166"/>
      <c r="F57" s="166"/>
      <c r="G57" s="166"/>
      <c r="H57" s="166"/>
      <c r="I57" s="166"/>
      <c r="J57" s="166"/>
      <c r="K57" s="166"/>
      <c r="L57" s="166"/>
      <c r="M57" s="167"/>
      <c r="N57" s="167"/>
      <c r="O57" s="167"/>
      <c r="P57" s="167"/>
      <c r="Q57" s="168"/>
      <c r="R57" s="168"/>
      <c r="S57" s="168"/>
      <c r="T57" s="168"/>
      <c r="U57" s="166"/>
      <c r="V57" s="168"/>
      <c r="W57" s="168"/>
      <c r="X57" s="168"/>
      <c r="Y57" s="168"/>
      <c r="Z57" s="168"/>
      <c r="AA57" s="168"/>
      <c r="AB57" s="168"/>
      <c r="AC57" s="168"/>
      <c r="AD57" s="168"/>
    </row>
    <row r="58" spans="1:32" x14ac:dyDescent="0.2">
      <c r="B58" s="169" t="s">
        <v>79</v>
      </c>
      <c r="C58" s="170"/>
      <c r="D58" s="171"/>
      <c r="E58" s="172"/>
      <c r="F58" s="172"/>
      <c r="G58" s="172"/>
      <c r="H58" s="172"/>
      <c r="I58" s="172"/>
      <c r="J58" s="172"/>
      <c r="K58" s="172"/>
      <c r="L58" s="172"/>
      <c r="M58" s="173"/>
      <c r="N58" s="173"/>
      <c r="O58" s="173"/>
      <c r="P58" s="174"/>
      <c r="Q58" s="174"/>
      <c r="R58" s="174"/>
      <c r="S58" s="174"/>
      <c r="T58" s="174"/>
      <c r="U58" s="172"/>
      <c r="V58" s="174"/>
      <c r="W58" s="174"/>
      <c r="X58" s="174"/>
      <c r="Y58" s="174"/>
      <c r="Z58" s="174"/>
      <c r="AA58" s="174"/>
      <c r="AB58" s="174"/>
      <c r="AC58" s="174"/>
      <c r="AD58" s="174"/>
    </row>
    <row r="59" spans="1:32" ht="12.75" customHeight="1" x14ac:dyDescent="0.2">
      <c r="A59" s="100" t="s">
        <v>88</v>
      </c>
      <c r="B59" s="163" t="s">
        <v>72</v>
      </c>
      <c r="C59" s="175"/>
      <c r="D59" s="175"/>
      <c r="E59" s="176">
        <f>'1-IR75'!AD128</f>
        <v>192</v>
      </c>
      <c r="F59" s="166"/>
      <c r="G59" s="176">
        <f>'1-IR75'!R128</f>
        <v>384949</v>
      </c>
      <c r="H59" s="176"/>
      <c r="I59" s="176">
        <f>'1-IR75'!S128</f>
        <v>384949</v>
      </c>
      <c r="J59" s="167">
        <f>'1-IR75'!T128</f>
        <v>11433</v>
      </c>
      <c r="K59" s="167"/>
      <c r="L59" s="167"/>
      <c r="M59" s="167">
        <f>'1-IR75'!U128</f>
        <v>169</v>
      </c>
      <c r="N59" s="167"/>
      <c r="O59" s="167"/>
      <c r="P59" s="168"/>
      <c r="Q59" s="168"/>
      <c r="R59" s="168"/>
      <c r="S59" s="176">
        <f>'1-IR75'!AH128</f>
        <v>63931</v>
      </c>
      <c r="T59" s="168"/>
      <c r="U59" s="166"/>
      <c r="V59" s="168"/>
      <c r="W59" s="168"/>
      <c r="X59" s="168"/>
      <c r="Y59" s="168"/>
      <c r="Z59" s="168"/>
      <c r="AA59" s="168"/>
      <c r="AB59" s="168"/>
      <c r="AC59" s="176">
        <f>'1-IR75'!AI128</f>
        <v>375096</v>
      </c>
      <c r="AD59" s="176">
        <f>'1-IR75'!AA128</f>
        <v>105096</v>
      </c>
    </row>
    <row r="60" spans="1:32" ht="12.75" customHeight="1" x14ac:dyDescent="0.2">
      <c r="A60" s="100" t="s">
        <v>89</v>
      </c>
      <c r="B60" s="163" t="s">
        <v>76</v>
      </c>
      <c r="C60" s="175"/>
      <c r="D60" s="175"/>
      <c r="E60" s="166" t="e">
        <f>#REF!</f>
        <v>#REF!</v>
      </c>
      <c r="F60" s="166"/>
      <c r="G60" s="166" t="e">
        <f>#REF!</f>
        <v>#REF!</v>
      </c>
      <c r="H60" s="166"/>
      <c r="I60" s="166" t="e">
        <f>#REF!</f>
        <v>#REF!</v>
      </c>
      <c r="J60" s="166" t="e">
        <f>#REF!</f>
        <v>#REF!</v>
      </c>
      <c r="K60" s="166"/>
      <c r="L60" s="166"/>
      <c r="M60" s="177" t="e">
        <f>#REF!</f>
        <v>#REF!</v>
      </c>
      <c r="N60" s="167"/>
      <c r="O60" s="167"/>
      <c r="P60" s="168"/>
      <c r="Q60" s="168"/>
      <c r="R60" s="168"/>
      <c r="S60" s="166" t="e">
        <f>#REF!</f>
        <v>#REF!</v>
      </c>
      <c r="T60" s="168"/>
      <c r="U60" s="166"/>
      <c r="V60" s="166"/>
      <c r="W60" s="166"/>
      <c r="X60" s="168"/>
      <c r="Y60" s="168"/>
      <c r="Z60" s="168"/>
      <c r="AA60" s="168"/>
      <c r="AB60" s="168"/>
      <c r="AC60" s="166" t="e">
        <f>#REF!</f>
        <v>#REF!</v>
      </c>
      <c r="AD60" s="168" t="e">
        <f>#REF!</f>
        <v>#REF!</v>
      </c>
    </row>
    <row r="61" spans="1:32" ht="12.75" customHeight="1" x14ac:dyDescent="0.2">
      <c r="A61" s="100" t="s">
        <v>90</v>
      </c>
      <c r="B61" s="178" t="s">
        <v>77</v>
      </c>
      <c r="C61" s="179"/>
      <c r="D61" s="179"/>
      <c r="E61" s="180" t="e">
        <f>#REF!</f>
        <v>#REF!</v>
      </c>
      <c r="F61" s="181"/>
      <c r="G61" s="180" t="e">
        <f>#REF!</f>
        <v>#REF!</v>
      </c>
      <c r="H61" s="180"/>
      <c r="I61" s="180" t="e">
        <f>#REF!</f>
        <v>#REF!</v>
      </c>
      <c r="J61" s="180" t="e">
        <f>#REF!</f>
        <v>#REF!</v>
      </c>
      <c r="K61" s="180"/>
      <c r="L61" s="180"/>
      <c r="M61" s="167"/>
      <c r="N61" s="177"/>
      <c r="O61" s="177"/>
      <c r="P61" s="182"/>
      <c r="Q61" s="182"/>
      <c r="R61" s="182"/>
      <c r="S61" s="180" t="e">
        <f>#REF!</f>
        <v>#REF!</v>
      </c>
      <c r="T61" s="182"/>
      <c r="U61" s="181"/>
      <c r="V61" s="182"/>
      <c r="W61" s="182"/>
      <c r="X61" s="182"/>
      <c r="Y61" s="182"/>
      <c r="Z61" s="182"/>
      <c r="AA61" s="182"/>
      <c r="AB61" s="182"/>
      <c r="AC61" s="180" t="e">
        <f>#REF!</f>
        <v>#REF!</v>
      </c>
      <c r="AD61" s="182"/>
    </row>
    <row r="62" spans="1:32" ht="12.75" customHeight="1" x14ac:dyDescent="0.2">
      <c r="B62" s="183"/>
      <c r="C62" s="179"/>
      <c r="D62" s="179"/>
      <c r="E62" s="181"/>
      <c r="F62" s="181"/>
      <c r="G62" s="181"/>
      <c r="H62" s="181"/>
      <c r="I62" s="181"/>
      <c r="J62" s="181"/>
      <c r="K62" s="181"/>
      <c r="L62" s="184"/>
      <c r="M62" s="177"/>
      <c r="N62" s="177"/>
      <c r="O62" s="177"/>
      <c r="P62" s="182"/>
      <c r="Q62" s="182"/>
      <c r="R62" s="182"/>
      <c r="S62" s="182"/>
      <c r="T62" s="182"/>
      <c r="U62" s="181"/>
      <c r="V62" s="182"/>
      <c r="W62" s="182"/>
      <c r="X62" s="182"/>
      <c r="Y62" s="182"/>
      <c r="Z62" s="182"/>
      <c r="AA62" s="182"/>
      <c r="AB62" s="182"/>
      <c r="AC62" s="182"/>
      <c r="AD62" s="182"/>
    </row>
    <row r="63" spans="1:32" s="37" customFormat="1" ht="23.25" customHeight="1" thickBot="1" x14ac:dyDescent="0.25">
      <c r="A63" s="41"/>
      <c r="B63" s="185" t="s">
        <v>104</v>
      </c>
      <c r="C63" s="186"/>
      <c r="D63" s="187">
        <f>SUM(D59:D60)</f>
        <v>0</v>
      </c>
      <c r="E63" s="188" t="e">
        <f>SUM(E59:E61)</f>
        <v>#REF!</v>
      </c>
      <c r="F63" s="188">
        <f t="shared" ref="F63:AD63" si="5">SUM(F59:F61)</f>
        <v>0</v>
      </c>
      <c r="G63" s="188" t="e">
        <f t="shared" si="5"/>
        <v>#REF!</v>
      </c>
      <c r="H63" s="188">
        <f t="shared" si="5"/>
        <v>0</v>
      </c>
      <c r="I63" s="188" t="e">
        <f t="shared" si="5"/>
        <v>#REF!</v>
      </c>
      <c r="J63" s="188" t="e">
        <f t="shared" si="5"/>
        <v>#REF!</v>
      </c>
      <c r="K63" s="188">
        <f t="shared" si="5"/>
        <v>0</v>
      </c>
      <c r="L63" s="188">
        <f t="shared" si="5"/>
        <v>0</v>
      </c>
      <c r="M63" s="188" t="e">
        <f t="shared" si="5"/>
        <v>#REF!</v>
      </c>
      <c r="N63" s="188">
        <f t="shared" si="5"/>
        <v>0</v>
      </c>
      <c r="O63" s="188">
        <f t="shared" si="5"/>
        <v>0</v>
      </c>
      <c r="P63" s="188">
        <f t="shared" si="5"/>
        <v>0</v>
      </c>
      <c r="Q63" s="188">
        <f t="shared" si="5"/>
        <v>0</v>
      </c>
      <c r="R63" s="188">
        <f t="shared" si="5"/>
        <v>0</v>
      </c>
      <c r="S63" s="188" t="e">
        <f t="shared" si="5"/>
        <v>#REF!</v>
      </c>
      <c r="T63" s="188">
        <f t="shared" si="5"/>
        <v>0</v>
      </c>
      <c r="U63" s="188">
        <f t="shared" si="5"/>
        <v>0</v>
      </c>
      <c r="V63" s="188">
        <f t="shared" si="5"/>
        <v>0</v>
      </c>
      <c r="W63" s="188">
        <f t="shared" si="5"/>
        <v>0</v>
      </c>
      <c r="X63" s="188">
        <f t="shared" si="5"/>
        <v>0</v>
      </c>
      <c r="Y63" s="188">
        <f t="shared" si="5"/>
        <v>0</v>
      </c>
      <c r="Z63" s="188">
        <f t="shared" si="5"/>
        <v>0</v>
      </c>
      <c r="AA63" s="188">
        <f t="shared" si="5"/>
        <v>0</v>
      </c>
      <c r="AB63" s="188">
        <f t="shared" si="5"/>
        <v>0</v>
      </c>
      <c r="AC63" s="188" t="e">
        <f t="shared" si="5"/>
        <v>#REF!</v>
      </c>
      <c r="AD63" s="188" t="e">
        <f t="shared" si="5"/>
        <v>#REF!</v>
      </c>
    </row>
    <row r="64" spans="1:32" s="37" customFormat="1" ht="12.75" customHeight="1" thickBot="1" x14ac:dyDescent="0.25">
      <c r="A64" s="41"/>
      <c r="B64" s="189"/>
      <c r="C64" s="190"/>
      <c r="D64" s="191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3"/>
      <c r="Q64" s="192"/>
      <c r="R64" s="192"/>
      <c r="S64" s="193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3"/>
    </row>
    <row r="65" spans="1:30" s="38" customFormat="1" ht="36" customHeight="1" thickTop="1" thickBot="1" x14ac:dyDescent="0.25">
      <c r="A65" s="42"/>
      <c r="B65" s="212" t="s">
        <v>100</v>
      </c>
      <c r="C65" s="213">
        <f t="shared" ref="C65:D65" si="6">C57+C63</f>
        <v>0</v>
      </c>
      <c r="D65" s="213">
        <f t="shared" si="6"/>
        <v>0</v>
      </c>
      <c r="E65" s="214" t="e">
        <f t="shared" ref="E65:AD65" si="7">E36+E63</f>
        <v>#REF!</v>
      </c>
      <c r="F65" s="214" t="e">
        <f t="shared" si="7"/>
        <v>#REF!</v>
      </c>
      <c r="G65" s="214" t="e">
        <f t="shared" si="7"/>
        <v>#REF!</v>
      </c>
      <c r="H65" s="214" t="e">
        <f t="shared" si="7"/>
        <v>#REF!</v>
      </c>
      <c r="I65" s="214" t="e">
        <f t="shared" si="7"/>
        <v>#REF!</v>
      </c>
      <c r="J65" s="214" t="e">
        <f t="shared" si="7"/>
        <v>#REF!</v>
      </c>
      <c r="K65" s="214" t="e">
        <f t="shared" si="7"/>
        <v>#REF!</v>
      </c>
      <c r="L65" s="214" t="e">
        <f t="shared" si="7"/>
        <v>#REF!</v>
      </c>
      <c r="M65" s="214" t="e">
        <f t="shared" si="7"/>
        <v>#REF!</v>
      </c>
      <c r="N65" s="214" t="e">
        <f t="shared" si="7"/>
        <v>#REF!</v>
      </c>
      <c r="O65" s="214">
        <f t="shared" si="7"/>
        <v>0</v>
      </c>
      <c r="P65" s="214">
        <f t="shared" si="7"/>
        <v>1186</v>
      </c>
      <c r="Q65" s="214">
        <f t="shared" si="7"/>
        <v>0</v>
      </c>
      <c r="R65" s="214">
        <f t="shared" si="7"/>
        <v>0</v>
      </c>
      <c r="S65" s="214" t="e">
        <f t="shared" si="7"/>
        <v>#REF!</v>
      </c>
      <c r="T65" s="214" t="e">
        <f t="shared" si="7"/>
        <v>#REF!</v>
      </c>
      <c r="U65" s="214" t="e">
        <f t="shared" si="7"/>
        <v>#REF!</v>
      </c>
      <c r="V65" s="214" t="e">
        <f t="shared" si="7"/>
        <v>#REF!</v>
      </c>
      <c r="W65" s="214" t="e">
        <f t="shared" si="7"/>
        <v>#REF!</v>
      </c>
      <c r="X65" s="214">
        <f t="shared" si="7"/>
        <v>247</v>
      </c>
      <c r="Y65" s="214">
        <f t="shared" si="7"/>
        <v>346</v>
      </c>
      <c r="Z65" s="214">
        <f t="shared" si="7"/>
        <v>0</v>
      </c>
      <c r="AA65" s="214" t="e">
        <f t="shared" si="7"/>
        <v>#REF!</v>
      </c>
      <c r="AB65" s="214">
        <f t="shared" si="7"/>
        <v>0</v>
      </c>
      <c r="AC65" s="218" t="e">
        <f t="shared" si="7"/>
        <v>#REF!</v>
      </c>
      <c r="AD65" s="215" t="e">
        <f t="shared" si="7"/>
        <v>#REF!</v>
      </c>
    </row>
    <row r="66" spans="1:30" ht="12.75" customHeight="1" thickTop="1" x14ac:dyDescent="0.2">
      <c r="B66" s="77"/>
      <c r="C66" s="47"/>
      <c r="D66" s="48"/>
      <c r="E66" s="45"/>
      <c r="F66" s="45"/>
      <c r="G66" s="45"/>
      <c r="H66" s="45"/>
      <c r="I66" s="45"/>
      <c r="J66" s="45"/>
      <c r="K66" s="45"/>
      <c r="L66" s="45"/>
      <c r="M66" s="46"/>
      <c r="N66" s="46"/>
      <c r="O66" s="62"/>
      <c r="P66" s="62"/>
      <c r="Q66" s="44"/>
      <c r="R66" s="196"/>
      <c r="S66" s="196"/>
      <c r="T66" s="44"/>
      <c r="U66" s="45"/>
      <c r="V66" s="44"/>
      <c r="W66" s="44"/>
      <c r="X66" s="44"/>
      <c r="Y66" s="44"/>
      <c r="Z66" s="44"/>
      <c r="AA66" s="44"/>
      <c r="AB66" s="44"/>
      <c r="AC66" s="44"/>
      <c r="AD66" s="76"/>
    </row>
    <row r="67" spans="1:30" ht="12.75" customHeight="1" x14ac:dyDescent="0.2">
      <c r="B67" s="77"/>
      <c r="C67" s="47"/>
      <c r="D67" s="48"/>
      <c r="E67" s="45"/>
      <c r="F67" s="45"/>
      <c r="G67" s="45"/>
      <c r="H67" s="45"/>
      <c r="I67" s="45"/>
      <c r="J67" s="45"/>
      <c r="K67" s="45"/>
      <c r="L67" s="45"/>
      <c r="M67" s="46"/>
      <c r="N67" s="46"/>
      <c r="O67" s="62"/>
      <c r="P67" s="62"/>
      <c r="Q67" s="44"/>
      <c r="R67" s="196"/>
      <c r="S67" s="196"/>
      <c r="T67" s="44"/>
      <c r="U67" s="45"/>
      <c r="V67" s="44"/>
      <c r="W67" s="44"/>
      <c r="X67" s="44"/>
      <c r="Y67" s="44"/>
      <c r="Z67" s="44"/>
      <c r="AA67" s="44"/>
      <c r="AB67" s="44"/>
      <c r="AC67" s="44"/>
      <c r="AD67" s="76"/>
    </row>
    <row r="68" spans="1:30" ht="12.75" customHeight="1" x14ac:dyDescent="0.2">
      <c r="B68" s="77"/>
      <c r="C68" s="47"/>
      <c r="D68" s="48"/>
      <c r="E68" s="45"/>
      <c r="F68" s="45"/>
      <c r="G68" s="45"/>
      <c r="H68" s="45"/>
      <c r="I68" s="45"/>
      <c r="J68" s="45"/>
      <c r="K68" s="45"/>
      <c r="L68" s="45"/>
      <c r="M68" s="46"/>
      <c r="N68" s="46"/>
      <c r="O68" s="46"/>
      <c r="P68" s="46"/>
      <c r="Q68" s="44"/>
      <c r="R68" s="44"/>
      <c r="S68" s="44"/>
      <c r="T68" s="44"/>
      <c r="U68" s="45"/>
      <c r="V68" s="44"/>
      <c r="W68" s="44"/>
      <c r="X68" s="44"/>
      <c r="Y68" s="45"/>
      <c r="Z68" s="45"/>
      <c r="AA68" s="45"/>
      <c r="AB68" s="44"/>
      <c r="AC68" s="44"/>
      <c r="AD68" s="76"/>
    </row>
    <row r="69" spans="1:30" ht="12.75" customHeight="1" x14ac:dyDescent="0.2">
      <c r="B69" s="77"/>
      <c r="C69" s="47"/>
      <c r="D69" s="48"/>
      <c r="E69" s="45"/>
      <c r="F69" s="45"/>
      <c r="G69" s="45"/>
      <c r="H69" s="45"/>
      <c r="I69" s="45"/>
      <c r="J69" s="45"/>
      <c r="K69" s="45"/>
      <c r="L69" s="45"/>
      <c r="M69" s="46"/>
      <c r="N69" s="46"/>
      <c r="O69" s="46"/>
      <c r="P69" s="46"/>
      <c r="Q69" s="44"/>
      <c r="R69" s="44"/>
      <c r="S69" s="44"/>
      <c r="T69" s="44"/>
      <c r="U69" s="45"/>
      <c r="V69" s="44"/>
      <c r="W69" s="44"/>
      <c r="X69" s="44"/>
      <c r="Y69" s="45"/>
      <c r="Z69" s="45"/>
      <c r="AA69" s="45"/>
      <c r="AB69" s="44"/>
      <c r="AC69" s="44"/>
      <c r="AD69" s="76"/>
    </row>
    <row r="70" spans="1:30" ht="12.75" customHeight="1" x14ac:dyDescent="0.2">
      <c r="B70" s="77"/>
      <c r="C70" s="47"/>
      <c r="D70" s="48"/>
      <c r="E70" s="45"/>
      <c r="F70" s="45"/>
      <c r="G70" s="45"/>
      <c r="H70" s="45"/>
      <c r="I70" s="45"/>
      <c r="J70" s="45"/>
      <c r="K70" s="45"/>
      <c r="L70" s="45"/>
      <c r="M70" s="46"/>
      <c r="N70" s="46"/>
      <c r="O70" s="46"/>
      <c r="P70" s="46"/>
      <c r="Q70" s="44"/>
      <c r="R70" s="44"/>
      <c r="S70" s="44"/>
      <c r="T70" s="44"/>
      <c r="U70" s="45"/>
      <c r="V70" s="44"/>
      <c r="W70" s="44"/>
      <c r="X70" s="44"/>
      <c r="Y70" s="44"/>
      <c r="Z70" s="44"/>
      <c r="AA70" s="44"/>
      <c r="AB70" s="44"/>
      <c r="AC70" s="44"/>
      <c r="AD70" s="76"/>
    </row>
    <row r="71" spans="1:30" ht="12.75" customHeight="1" x14ac:dyDescent="0.2">
      <c r="B71" s="77"/>
      <c r="C71" s="47"/>
      <c r="D71" s="48"/>
      <c r="E71" s="45"/>
      <c r="F71" s="45"/>
      <c r="G71" s="45"/>
      <c r="H71" s="45"/>
      <c r="I71" s="45"/>
      <c r="J71" s="45"/>
      <c r="K71" s="45"/>
      <c r="L71" s="45"/>
      <c r="M71" s="46"/>
      <c r="N71" s="46"/>
      <c r="O71" s="46"/>
      <c r="P71" s="46"/>
      <c r="Q71" s="44"/>
      <c r="R71" s="44"/>
      <c r="S71" s="44"/>
      <c r="T71" s="44"/>
      <c r="U71" s="45"/>
      <c r="V71" s="44"/>
      <c r="W71" s="44"/>
      <c r="X71" s="44"/>
      <c r="Y71" s="44"/>
      <c r="Z71" s="44"/>
      <c r="AA71" s="44"/>
      <c r="AB71" s="44"/>
      <c r="AC71" s="44"/>
      <c r="AD71" s="76"/>
    </row>
    <row r="72" spans="1:30" ht="12.75" customHeight="1" thickBot="1" x14ac:dyDescent="0.25">
      <c r="B72" s="78"/>
      <c r="C72" s="79"/>
      <c r="D72" s="80"/>
      <c r="E72" s="81"/>
      <c r="F72" s="81"/>
      <c r="G72" s="81"/>
      <c r="H72" s="81"/>
      <c r="I72" s="81"/>
      <c r="J72" s="81"/>
      <c r="K72" s="81"/>
      <c r="L72" s="81"/>
      <c r="M72" s="82"/>
      <c r="N72" s="82"/>
      <c r="O72" s="82"/>
      <c r="P72" s="82"/>
      <c r="Q72" s="83"/>
      <c r="R72" s="83"/>
      <c r="S72" s="83"/>
      <c r="T72" s="83"/>
      <c r="U72" s="81"/>
      <c r="V72" s="83"/>
      <c r="W72" s="83"/>
      <c r="X72" s="83"/>
      <c r="Y72" s="83"/>
      <c r="Z72" s="83"/>
      <c r="AA72" s="83"/>
      <c r="AB72" s="83"/>
      <c r="AC72" s="83"/>
      <c r="AD72" s="66"/>
    </row>
  </sheetData>
  <mergeCells count="77">
    <mergeCell ref="AD7:AD18"/>
    <mergeCell ref="AD44:AD55"/>
    <mergeCell ref="S44:S55"/>
    <mergeCell ref="R43:S43"/>
    <mergeCell ref="T44:T55"/>
    <mergeCell ref="T43:U43"/>
    <mergeCell ref="V43:W43"/>
    <mergeCell ref="X43:Y43"/>
    <mergeCell ref="Z43:AC43"/>
    <mergeCell ref="AB7:AB18"/>
    <mergeCell ref="AC7:AC18"/>
    <mergeCell ref="AA7:AA18"/>
    <mergeCell ref="C7:C18"/>
    <mergeCell ref="B41:I42"/>
    <mergeCell ref="P44:P55"/>
    <mergeCell ref="Q44:Q55"/>
    <mergeCell ref="R44:R55"/>
    <mergeCell ref="O44:O55"/>
    <mergeCell ref="B6:B19"/>
    <mergeCell ref="I7:I18"/>
    <mergeCell ref="F7:F18"/>
    <mergeCell ref="C44:C55"/>
    <mergeCell ref="F44:F55"/>
    <mergeCell ref="D6:F6"/>
    <mergeCell ref="D43:F43"/>
    <mergeCell ref="B43:B56"/>
    <mergeCell ref="G43:L43"/>
    <mergeCell ref="O43:P43"/>
    <mergeCell ref="D44:D55"/>
    <mergeCell ref="E44:E55"/>
    <mergeCell ref="G44:G55"/>
    <mergeCell ref="H44:H55"/>
    <mergeCell ref="I44:I55"/>
    <mergeCell ref="J44:J55"/>
    <mergeCell ref="K44:K55"/>
    <mergeCell ref="L44:L55"/>
    <mergeCell ref="M44:M55"/>
    <mergeCell ref="N44:N55"/>
    <mergeCell ref="AE43:AE56"/>
    <mergeCell ref="U44:U55"/>
    <mergeCell ref="V44:V55"/>
    <mergeCell ref="W44:W55"/>
    <mergeCell ref="X44:X55"/>
    <mergeCell ref="Y44:Y55"/>
    <mergeCell ref="Z44:Z55"/>
    <mergeCell ref="AA44:AA55"/>
    <mergeCell ref="AB44:AB55"/>
    <mergeCell ref="AC44:AC55"/>
    <mergeCell ref="AE6:AE19"/>
    <mergeCell ref="D7:D18"/>
    <mergeCell ref="E7:E18"/>
    <mergeCell ref="G7:G18"/>
    <mergeCell ref="H7:H18"/>
    <mergeCell ref="J7:J18"/>
    <mergeCell ref="Z7:Z18"/>
    <mergeCell ref="Z6:AC6"/>
    <mergeCell ref="Q7:Q18"/>
    <mergeCell ref="S7:S18"/>
    <mergeCell ref="U7:U18"/>
    <mergeCell ref="V7:V18"/>
    <mergeCell ref="R7:R18"/>
    <mergeCell ref="T6:U6"/>
    <mergeCell ref="X7:X18"/>
    <mergeCell ref="K7:K18"/>
    <mergeCell ref="L7:L18"/>
    <mergeCell ref="M7:M18"/>
    <mergeCell ref="N7:N18"/>
    <mergeCell ref="P7:P18"/>
    <mergeCell ref="G6:L6"/>
    <mergeCell ref="V6:W6"/>
    <mergeCell ref="X6:Y6"/>
    <mergeCell ref="O6:P6"/>
    <mergeCell ref="O7:O18"/>
    <mergeCell ref="R6:S6"/>
    <mergeCell ref="W7:W18"/>
    <mergeCell ref="Y7:Y18"/>
    <mergeCell ref="T7:T18"/>
  </mergeCells>
  <pageMargins left="0.39" right="0.25" top="0.89" bottom="0.73" header="0.5" footer="0.5"/>
  <pageSetup paperSize="17" scale="78" orientation="landscape" r:id="rId1"/>
  <headerFooter alignWithMargins="0">
    <oddFooter>&amp;L&amp;D&amp;R&amp;F,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139"/>
  <sheetViews>
    <sheetView zoomScaleNormal="100" zoomScaleSheetLayoutView="100" workbookViewId="0">
      <pane ySplit="13" topLeftCell="A17" activePane="bottomLeft" state="frozen"/>
      <selection activeCell="B34" sqref="B34"/>
      <selection pane="bottomLeft" activeCell="E34" sqref="E34:O35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9.140625" style="15"/>
    <col min="28" max="28" width="10.7109375" style="1" customWidth="1"/>
    <col min="29" max="29" width="9.28515625" style="1" customWidth="1"/>
    <col min="30" max="30" width="9.28515625" style="1" bestFit="1" customWidth="1"/>
    <col min="31" max="33" width="9.28515625" style="11" customWidth="1"/>
    <col min="34" max="35" width="10.28515625" style="1" bestFit="1" customWidth="1"/>
    <col min="36" max="42" width="9.140625" style="1"/>
    <col min="43" max="43" width="9.140625" style="1" customWidth="1"/>
    <col min="44" max="16384" width="9.140625" style="1"/>
  </cols>
  <sheetData>
    <row r="1" spans="2:49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E1" s="11"/>
      <c r="AF1" s="11"/>
      <c r="AG1" s="11"/>
      <c r="AL1" s="359" t="s">
        <v>111</v>
      </c>
      <c r="AM1" s="359"/>
      <c r="AN1" s="359"/>
      <c r="AO1" s="359"/>
      <c r="AP1" s="359"/>
      <c r="AQ1" s="359"/>
      <c r="AR1" s="359"/>
      <c r="AS1" s="359"/>
      <c r="AT1" s="359"/>
    </row>
    <row r="2" spans="2:49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98" t="s">
        <v>40</v>
      </c>
      <c r="J2" s="376" t="s">
        <v>116</v>
      </c>
      <c r="K2" s="376" t="s">
        <v>117</v>
      </c>
      <c r="L2" s="397" t="s">
        <v>4</v>
      </c>
      <c r="M2" s="397" t="s">
        <v>23</v>
      </c>
      <c r="N2" s="363" t="s">
        <v>17</v>
      </c>
      <c r="O2" s="363" t="s">
        <v>22</v>
      </c>
      <c r="P2" s="363" t="s">
        <v>14</v>
      </c>
      <c r="Q2" s="65">
        <v>204</v>
      </c>
      <c r="R2" s="371">
        <v>206</v>
      </c>
      <c r="S2" s="372"/>
      <c r="T2" s="372"/>
      <c r="U2" s="2">
        <v>252</v>
      </c>
      <c r="V2" s="2">
        <v>302</v>
      </c>
      <c r="W2" s="230">
        <v>304</v>
      </c>
      <c r="X2" s="2">
        <v>407</v>
      </c>
      <c r="Y2" s="371">
        <v>442</v>
      </c>
      <c r="Z2" s="379"/>
      <c r="AA2" s="63">
        <v>618</v>
      </c>
      <c r="AB2" s="308" t="s">
        <v>80</v>
      </c>
      <c r="AC2" s="376" t="s">
        <v>116</v>
      </c>
      <c r="AD2" s="65">
        <v>204</v>
      </c>
      <c r="AE2" s="371">
        <v>206</v>
      </c>
      <c r="AF2" s="372"/>
      <c r="AG2" s="372"/>
      <c r="AH2" s="2">
        <v>304</v>
      </c>
      <c r="AI2" s="2">
        <v>452</v>
      </c>
      <c r="AK2" s="264"/>
      <c r="AL2" s="345" t="s">
        <v>110</v>
      </c>
      <c r="AM2" s="346"/>
      <c r="AN2" s="347"/>
      <c r="AO2" s="345" t="s">
        <v>108</v>
      </c>
      <c r="AP2" s="346"/>
      <c r="AQ2" s="347"/>
      <c r="AR2" s="345" t="s">
        <v>109</v>
      </c>
      <c r="AS2" s="346"/>
      <c r="AT2" s="347"/>
    </row>
    <row r="3" spans="2:49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77"/>
      <c r="K3" s="377"/>
      <c r="L3" s="364"/>
      <c r="M3" s="364"/>
      <c r="N3" s="364"/>
      <c r="O3" s="364"/>
      <c r="P3" s="364"/>
      <c r="Q3" s="367" t="s">
        <v>7</v>
      </c>
      <c r="R3" s="367" t="s">
        <v>18</v>
      </c>
      <c r="S3" s="366" t="s">
        <v>19</v>
      </c>
      <c r="T3" s="360" t="s">
        <v>26</v>
      </c>
      <c r="U3" s="360" t="s">
        <v>30</v>
      </c>
      <c r="V3" s="368" t="s">
        <v>82</v>
      </c>
      <c r="W3" s="367" t="s">
        <v>9</v>
      </c>
      <c r="X3" s="368" t="s">
        <v>83</v>
      </c>
      <c r="Y3" s="378" t="s">
        <v>33</v>
      </c>
      <c r="Z3" s="378" t="s">
        <v>34</v>
      </c>
      <c r="AA3" s="368" t="s">
        <v>64</v>
      </c>
      <c r="AB3" s="309"/>
      <c r="AC3" s="377"/>
      <c r="AD3" s="367" t="s">
        <v>7</v>
      </c>
      <c r="AE3" s="367" t="s">
        <v>18</v>
      </c>
      <c r="AF3" s="366" t="s">
        <v>19</v>
      </c>
      <c r="AG3" s="360" t="s">
        <v>26</v>
      </c>
      <c r="AH3" s="373" t="s">
        <v>9</v>
      </c>
      <c r="AI3" s="373" t="s">
        <v>37</v>
      </c>
      <c r="AK3" s="264"/>
      <c r="AL3" s="348" t="s">
        <v>113</v>
      </c>
      <c r="AM3" s="349"/>
      <c r="AN3" s="350"/>
      <c r="AO3" s="348" t="s">
        <v>112</v>
      </c>
      <c r="AP3" s="349"/>
      <c r="AQ3" s="350"/>
      <c r="AR3" s="348" t="s">
        <v>112</v>
      </c>
      <c r="AS3" s="349"/>
      <c r="AT3" s="350"/>
    </row>
    <row r="4" spans="2:49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77"/>
      <c r="K4" s="377"/>
      <c r="L4" s="364"/>
      <c r="M4" s="364"/>
      <c r="N4" s="364"/>
      <c r="O4" s="364"/>
      <c r="P4" s="364"/>
      <c r="Q4" s="367"/>
      <c r="R4" s="367"/>
      <c r="S4" s="361"/>
      <c r="T4" s="361"/>
      <c r="U4" s="361"/>
      <c r="V4" s="367"/>
      <c r="W4" s="367"/>
      <c r="X4" s="367"/>
      <c r="Y4" s="374"/>
      <c r="Z4" s="374"/>
      <c r="AA4" s="367"/>
      <c r="AB4" s="309"/>
      <c r="AC4" s="377"/>
      <c r="AD4" s="367"/>
      <c r="AE4" s="367"/>
      <c r="AF4" s="361"/>
      <c r="AG4" s="361"/>
      <c r="AH4" s="374"/>
      <c r="AI4" s="374"/>
      <c r="AK4" s="264"/>
      <c r="AL4" s="353">
        <v>1.5</v>
      </c>
      <c r="AM4" s="354"/>
      <c r="AN4" s="355"/>
      <c r="AO4" s="353">
        <v>0.56999999999999995</v>
      </c>
      <c r="AP4" s="354"/>
      <c r="AQ4" s="355"/>
      <c r="AR4" s="353">
        <v>0.67</v>
      </c>
      <c r="AS4" s="354"/>
      <c r="AT4" s="355"/>
    </row>
    <row r="5" spans="2:49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77"/>
      <c r="K5" s="377"/>
      <c r="L5" s="364"/>
      <c r="M5" s="364"/>
      <c r="N5" s="364"/>
      <c r="O5" s="364"/>
      <c r="P5" s="364"/>
      <c r="Q5" s="367"/>
      <c r="R5" s="367"/>
      <c r="S5" s="361"/>
      <c r="T5" s="361"/>
      <c r="U5" s="361"/>
      <c r="V5" s="367"/>
      <c r="W5" s="367"/>
      <c r="X5" s="367"/>
      <c r="Y5" s="374"/>
      <c r="Z5" s="374"/>
      <c r="AA5" s="367"/>
      <c r="AB5" s="309"/>
      <c r="AC5" s="377"/>
      <c r="AD5" s="367"/>
      <c r="AE5" s="367"/>
      <c r="AF5" s="361"/>
      <c r="AG5" s="361"/>
      <c r="AH5" s="374"/>
      <c r="AI5" s="374"/>
      <c r="AK5" s="264"/>
    </row>
    <row r="6" spans="2:49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77"/>
      <c r="K6" s="377"/>
      <c r="L6" s="364"/>
      <c r="M6" s="364"/>
      <c r="N6" s="364"/>
      <c r="O6" s="364"/>
      <c r="P6" s="364"/>
      <c r="Q6" s="367"/>
      <c r="R6" s="367"/>
      <c r="S6" s="361"/>
      <c r="T6" s="361"/>
      <c r="U6" s="361"/>
      <c r="V6" s="367"/>
      <c r="W6" s="367"/>
      <c r="X6" s="367"/>
      <c r="Y6" s="374"/>
      <c r="Z6" s="374"/>
      <c r="AA6" s="367"/>
      <c r="AB6" s="309"/>
      <c r="AC6" s="377"/>
      <c r="AD6" s="367"/>
      <c r="AE6" s="367"/>
      <c r="AF6" s="361"/>
      <c r="AG6" s="361"/>
      <c r="AH6" s="374"/>
      <c r="AI6" s="374"/>
      <c r="AK6" s="264"/>
    </row>
    <row r="7" spans="2:49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77"/>
      <c r="K7" s="377"/>
      <c r="L7" s="364"/>
      <c r="M7" s="364"/>
      <c r="N7" s="364"/>
      <c r="O7" s="364"/>
      <c r="P7" s="364"/>
      <c r="Q7" s="367"/>
      <c r="R7" s="367"/>
      <c r="S7" s="361"/>
      <c r="T7" s="361"/>
      <c r="U7" s="361"/>
      <c r="V7" s="367"/>
      <c r="W7" s="367"/>
      <c r="X7" s="367"/>
      <c r="Y7" s="374"/>
      <c r="Z7" s="374"/>
      <c r="AA7" s="367"/>
      <c r="AB7" s="309"/>
      <c r="AC7" s="377"/>
      <c r="AD7" s="367"/>
      <c r="AE7" s="367"/>
      <c r="AF7" s="361"/>
      <c r="AG7" s="361"/>
      <c r="AH7" s="374"/>
      <c r="AI7" s="374"/>
      <c r="AK7" s="264"/>
      <c r="AO7" s="359" t="s">
        <v>114</v>
      </c>
      <c r="AP7" s="359"/>
      <c r="AQ7" s="359"/>
      <c r="AR7" s="359"/>
      <c r="AS7" s="359"/>
      <c r="AT7" s="359"/>
    </row>
    <row r="8" spans="2:49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77"/>
      <c r="K8" s="377"/>
      <c r="L8" s="364"/>
      <c r="M8" s="364"/>
      <c r="N8" s="364"/>
      <c r="O8" s="364"/>
      <c r="P8" s="364"/>
      <c r="Q8" s="367"/>
      <c r="R8" s="367"/>
      <c r="S8" s="361"/>
      <c r="T8" s="361"/>
      <c r="U8" s="361"/>
      <c r="V8" s="367"/>
      <c r="W8" s="367"/>
      <c r="X8" s="367"/>
      <c r="Y8" s="374"/>
      <c r="Z8" s="374"/>
      <c r="AA8" s="367"/>
      <c r="AB8" s="309"/>
      <c r="AC8" s="377"/>
      <c r="AD8" s="367"/>
      <c r="AE8" s="367"/>
      <c r="AF8" s="361"/>
      <c r="AG8" s="361"/>
      <c r="AH8" s="374"/>
      <c r="AI8" s="374"/>
      <c r="AK8" s="264"/>
      <c r="AO8" s="345" t="s">
        <v>110</v>
      </c>
      <c r="AP8" s="346"/>
      <c r="AQ8" s="347"/>
      <c r="AR8" s="345" t="s">
        <v>109</v>
      </c>
      <c r="AS8" s="346"/>
      <c r="AT8" s="347"/>
    </row>
    <row r="9" spans="2:49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77"/>
      <c r="K9" s="377"/>
      <c r="L9" s="364"/>
      <c r="M9" s="364"/>
      <c r="N9" s="364"/>
      <c r="O9" s="364"/>
      <c r="P9" s="364"/>
      <c r="Q9" s="367"/>
      <c r="R9" s="367"/>
      <c r="S9" s="361"/>
      <c r="T9" s="361"/>
      <c r="U9" s="361"/>
      <c r="V9" s="367"/>
      <c r="W9" s="367"/>
      <c r="X9" s="367"/>
      <c r="Y9" s="374"/>
      <c r="Z9" s="374"/>
      <c r="AA9" s="367"/>
      <c r="AB9" s="309"/>
      <c r="AC9" s="377"/>
      <c r="AD9" s="367"/>
      <c r="AE9" s="367"/>
      <c r="AF9" s="361"/>
      <c r="AG9" s="361"/>
      <c r="AH9" s="374"/>
      <c r="AI9" s="374"/>
      <c r="AK9" s="264"/>
      <c r="AO9" s="348" t="s">
        <v>113</v>
      </c>
      <c r="AP9" s="349"/>
      <c r="AQ9" s="350"/>
      <c r="AR9" s="348" t="s">
        <v>112</v>
      </c>
      <c r="AS9" s="349"/>
      <c r="AT9" s="350"/>
    </row>
    <row r="10" spans="2:49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77"/>
      <c r="K10" s="377"/>
      <c r="L10" s="364"/>
      <c r="M10" s="364"/>
      <c r="N10" s="364"/>
      <c r="O10" s="364"/>
      <c r="P10" s="364"/>
      <c r="Q10" s="367"/>
      <c r="R10" s="367"/>
      <c r="S10" s="361"/>
      <c r="T10" s="361"/>
      <c r="U10" s="361"/>
      <c r="V10" s="367"/>
      <c r="W10" s="367"/>
      <c r="X10" s="367"/>
      <c r="Y10" s="374"/>
      <c r="Z10" s="374"/>
      <c r="AA10" s="367"/>
      <c r="AB10" s="309"/>
      <c r="AC10" s="377"/>
      <c r="AD10" s="367"/>
      <c r="AE10" s="367"/>
      <c r="AF10" s="361"/>
      <c r="AG10" s="361"/>
      <c r="AH10" s="374"/>
      <c r="AI10" s="374"/>
      <c r="AK10" s="264"/>
      <c r="AO10" s="353">
        <v>2</v>
      </c>
      <c r="AP10" s="354"/>
      <c r="AQ10" s="355"/>
      <c r="AR10" s="353">
        <v>0.5</v>
      </c>
      <c r="AS10" s="354"/>
      <c r="AT10" s="355"/>
    </row>
    <row r="11" spans="2:49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77"/>
      <c r="K11" s="377"/>
      <c r="L11" s="364"/>
      <c r="M11" s="364"/>
      <c r="N11" s="364"/>
      <c r="O11" s="364"/>
      <c r="P11" s="364"/>
      <c r="Q11" s="367"/>
      <c r="R11" s="367"/>
      <c r="S11" s="361"/>
      <c r="T11" s="361"/>
      <c r="U11" s="361"/>
      <c r="V11" s="367"/>
      <c r="W11" s="367"/>
      <c r="X11" s="367"/>
      <c r="Y11" s="374"/>
      <c r="Z11" s="374"/>
      <c r="AA11" s="367"/>
      <c r="AB11" s="309"/>
      <c r="AC11" s="377"/>
      <c r="AD11" s="367"/>
      <c r="AE11" s="367"/>
      <c r="AF11" s="361"/>
      <c r="AG11" s="361"/>
      <c r="AH11" s="374"/>
      <c r="AI11" s="374"/>
      <c r="AK11" s="264"/>
    </row>
    <row r="12" spans="2:49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77"/>
      <c r="K12" s="377"/>
      <c r="L12" s="365"/>
      <c r="M12" s="365"/>
      <c r="N12" s="365"/>
      <c r="O12" s="365"/>
      <c r="P12" s="365"/>
      <c r="Q12" s="367"/>
      <c r="R12" s="367"/>
      <c r="S12" s="362"/>
      <c r="T12" s="362"/>
      <c r="U12" s="362"/>
      <c r="V12" s="367"/>
      <c r="W12" s="367"/>
      <c r="X12" s="367"/>
      <c r="Y12" s="375"/>
      <c r="Z12" s="375"/>
      <c r="AA12" s="367"/>
      <c r="AB12" s="309"/>
      <c r="AC12" s="377"/>
      <c r="AD12" s="367"/>
      <c r="AE12" s="367"/>
      <c r="AF12" s="362"/>
      <c r="AG12" s="362"/>
      <c r="AH12" s="375"/>
      <c r="AI12" s="375"/>
      <c r="AK12" s="264"/>
    </row>
    <row r="13" spans="2:49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5" t="s">
        <v>5</v>
      </c>
      <c r="AB13" s="309"/>
      <c r="AC13" s="5" t="s">
        <v>12</v>
      </c>
      <c r="AD13" s="86" t="s">
        <v>11</v>
      </c>
      <c r="AE13" s="5" t="s">
        <v>10</v>
      </c>
      <c r="AF13" s="5" t="s">
        <v>10</v>
      </c>
      <c r="AG13" s="5" t="s">
        <v>25</v>
      </c>
      <c r="AH13" s="87" t="s">
        <v>12</v>
      </c>
      <c r="AI13" s="86" t="s">
        <v>10</v>
      </c>
      <c r="AK13" s="264"/>
      <c r="AL13" s="359" t="s">
        <v>118</v>
      </c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  <c r="AW13" s="359"/>
    </row>
    <row r="14" spans="2:49" ht="12.75" customHeight="1" x14ac:dyDescent="0.2">
      <c r="B14" s="357" t="s">
        <v>56</v>
      </c>
      <c r="C14" s="358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A14" s="64"/>
      <c r="AC14" s="97"/>
      <c r="AD14" s="88"/>
      <c r="AE14" s="29"/>
      <c r="AF14" s="29"/>
      <c r="AG14" s="30"/>
      <c r="AH14" s="91"/>
      <c r="AI14" s="89"/>
      <c r="AK14" s="264"/>
      <c r="AL14" s="345" t="s">
        <v>110</v>
      </c>
      <c r="AM14" s="346"/>
      <c r="AN14" s="347"/>
      <c r="AO14" s="345" t="s">
        <v>108</v>
      </c>
      <c r="AP14" s="346"/>
      <c r="AQ14" s="347"/>
      <c r="AR14" s="345" t="s">
        <v>109</v>
      </c>
      <c r="AS14" s="346"/>
      <c r="AT14" s="347"/>
      <c r="AU14" s="345" t="s">
        <v>119</v>
      </c>
      <c r="AV14" s="346"/>
      <c r="AW14" s="347"/>
    </row>
    <row r="15" spans="2:49" ht="12.75" customHeight="1" x14ac:dyDescent="0.2">
      <c r="B15" s="351">
        <v>74426.75</v>
      </c>
      <c r="C15" s="352"/>
      <c r="D15" s="222" t="s">
        <v>16</v>
      </c>
      <c r="E15" s="222"/>
      <c r="F15" s="223"/>
      <c r="G15" s="223"/>
      <c r="H15" s="26"/>
      <c r="I15" s="27"/>
      <c r="J15" s="27"/>
      <c r="K15" s="27"/>
      <c r="L15" s="4"/>
      <c r="M15" s="224"/>
      <c r="N15" s="14"/>
      <c r="O15" s="224"/>
      <c r="P15" s="4"/>
      <c r="Q15" s="6"/>
      <c r="R15" s="6"/>
      <c r="S15" s="6"/>
      <c r="T15" s="6"/>
      <c r="U15" s="225">
        <v>40</v>
      </c>
      <c r="V15" s="34"/>
      <c r="W15" s="4"/>
      <c r="X15" s="6"/>
      <c r="Y15" s="4"/>
      <c r="Z15" s="4"/>
      <c r="AA15" s="6"/>
      <c r="AC15" s="98"/>
      <c r="AD15" s="93"/>
      <c r="AE15" s="6"/>
      <c r="AF15" s="6"/>
      <c r="AG15" s="6"/>
      <c r="AH15" s="92"/>
      <c r="AI15" s="90"/>
      <c r="AK15" s="264"/>
      <c r="AL15" s="348" t="s">
        <v>113</v>
      </c>
      <c r="AM15" s="349"/>
      <c r="AN15" s="350"/>
      <c r="AO15" s="348" t="s">
        <v>112</v>
      </c>
      <c r="AP15" s="349"/>
      <c r="AQ15" s="350"/>
      <c r="AR15" s="348" t="s">
        <v>112</v>
      </c>
      <c r="AS15" s="349"/>
      <c r="AT15" s="350"/>
      <c r="AU15" s="348" t="s">
        <v>112</v>
      </c>
      <c r="AV15" s="349"/>
      <c r="AW15" s="350"/>
    </row>
    <row r="16" spans="2:49" ht="12.75" customHeight="1" x14ac:dyDescent="0.2">
      <c r="B16" s="232">
        <v>74426.75</v>
      </c>
      <c r="C16" s="233">
        <v>76200</v>
      </c>
      <c r="D16" s="222" t="s">
        <v>16</v>
      </c>
      <c r="E16" s="222">
        <v>2</v>
      </c>
      <c r="F16" s="223">
        <v>0</v>
      </c>
      <c r="G16" s="223">
        <v>0</v>
      </c>
      <c r="H16" s="26">
        <f t="shared" ref="H16:H47" si="0">IF(E16=2,$AL$4*2,IF(F16=2,$AO$10*2,IF(G16=2,$AL$16*2,IF(AND(E16=1,F16=1),$AL$4+$AO$10,IF(AND(E16=1,F16=0,G16=0),$AL$4,IF(AND(E16=1,G16=1),$AL$4+$AL$16,IF(AND(E16=0,F16=1,G16=0),$AO$10,IF(AND(F16=1,G16=1),$AO$10+$AL$16,IF(AND(E16=0,F16=0,G16=1),$AL$16,0)))))))))</f>
        <v>3</v>
      </c>
      <c r="I16" s="27">
        <f t="shared" ref="I16:I47" si="1">IF(E16=2,AO$4*L16*2/27,IF(G16=2,$AO$16*L16*2/27,IF(AND(E16=1,G16=0),$AO$4*L16/27,IF(AND(E16=1,G16=1),($AO$4*L16+$AO$16*L16)/27,IF(AND(F16=1,G16=1),$AO$16*L16/27,IF(AND(E16=0,F16=0,G16=1),$AO$16*L16/27,0))))))</f>
        <v>74.870555555555555</v>
      </c>
      <c r="J16" s="27">
        <f t="shared" ref="J16:J47" si="2">IF(E16=2,$AR$4*2*L16/27,IF(F16=2,$AR$10*2*L16/27,IF(G16=2,$AR$16*2*L16/27,IF(AND(E16=1,F16=1),($AR$4*L16+$AR$10*L16)/27,IF(AND(E16=1,F16=0,G16=0),$AR$4*L16/27,IF(AND(E16=1,G16=1),($AR$4*L16+$AR$16*L16)/27,IF(AND(E16=0,F16=1,G16=0),$AR$10*L16/27,IF(AND(F16=1,G16=1),($AR$10*L16+$AR$16*L16)/27,IF(AND(E16=0,F16=0,G16=1),$AR$16*L16/27,0)))))))))</f>
        <v>88.005740740740748</v>
      </c>
      <c r="K16" s="27">
        <f t="shared" ref="K16:K47" si="3">IF(G16=1,$AU$16*L16/27,IF(G16=2,$AU$16*L16*2/27,0))</f>
        <v>0</v>
      </c>
      <c r="L16" s="4">
        <f>C16-B16</f>
        <v>1773.25</v>
      </c>
      <c r="M16" s="224">
        <v>40</v>
      </c>
      <c r="N16" s="14">
        <f>IF(M16="","",L16*M16)</f>
        <v>70930</v>
      </c>
      <c r="O16" s="224"/>
      <c r="P16" s="4">
        <f t="shared" ref="P16:P30" si="4">SUM(N16:O16)</f>
        <v>70930</v>
      </c>
      <c r="Q16" s="6">
        <f>(S16)/2000</f>
        <v>4.2360972222222228</v>
      </c>
      <c r="R16" s="6">
        <f t="shared" ref="R16" si="5">S16</f>
        <v>8472.1944444444453</v>
      </c>
      <c r="S16" s="6">
        <f t="shared" ref="S16:S27" si="6">($P16+H16*$L16)/9</f>
        <v>8472.1944444444453</v>
      </c>
      <c r="T16" s="6">
        <f t="shared" ref="T16:T30" si="7">$S$1*S16*110*0.06*0.75/2000</f>
        <v>251.62417500000001</v>
      </c>
      <c r="U16" s="225"/>
      <c r="V16" s="34">
        <f t="shared" ref="V16:V27" si="8">(P16*$V$1/12)/27+I16</f>
        <v>2592.4477160493825</v>
      </c>
      <c r="W16" s="4">
        <f t="shared" ref="W16:W47" si="9">(P16*$W$1/12)/27+J16</f>
        <v>1401.5242592592592</v>
      </c>
      <c r="X16" s="6">
        <f t="shared" ref="X16:X27" si="10">($P16/9)*$X$1</f>
        <v>315.24444444444447</v>
      </c>
      <c r="Y16" s="4">
        <f t="shared" ref="Y16:Y27" si="11">($P16*($Y$1/12))/27</f>
        <v>328.37962962962962</v>
      </c>
      <c r="Z16" s="4">
        <f t="shared" ref="Z16:Z27" si="12">(P16*$Z$1/12)/27+K16</f>
        <v>383.10956790123458</v>
      </c>
      <c r="AA16" s="6">
        <f t="shared" ref="AA16:AA27" si="13">L16</f>
        <v>1773.25</v>
      </c>
      <c r="AC16" s="98">
        <f t="shared" ref="AC16:AC27" si="14">IF(E16=2,$AO$26*2*L16/27,IF(F16=2,$AO$32*2*L16/27,IF(G16=2,$AO$38*2*L16/27,IF(AND(E16=1,F16=1),($AO$26*L16+$AO$32*L16)/27,IF(AND(E16=1,F16=0,G16=0),$AO$26*L16/27,IF(AND(E16=1,G16=1),($AO$26*L16+$AO$38*L16)/27,IF(AND(E16=0,F16=1,G16=0),$AO$32*L16/27,IF(AND(F16=1,G16=1),($AO$32*L16+$AO$38*L16)/27,IF(AND(E16=0,F16=0,G16=1),$AO$38*L16/27,0)))))))))</f>
        <v>65.675925925925924</v>
      </c>
      <c r="AD16" s="94">
        <f t="shared" ref="AD16:AD27" si="15">(S16)/2000</f>
        <v>4.2360972222222228</v>
      </c>
      <c r="AE16" s="6">
        <f t="shared" ref="AE16:AE27" si="16">AF16</f>
        <v>8472.1944444444453</v>
      </c>
      <c r="AF16" s="6">
        <f>($P16+H16*$L16)/9</f>
        <v>8472.1944444444453</v>
      </c>
      <c r="AG16" s="6">
        <f>$S$1*AF16*110*0.06*0.75/2000</f>
        <v>251.62417500000001</v>
      </c>
      <c r="AH16" s="6">
        <f t="shared" ref="AH16:AH47" si="17">(P16*$W$1/12)/27+AC16</f>
        <v>1379.1944444444443</v>
      </c>
      <c r="AI16" s="95">
        <f t="shared" ref="AI16:AI27" si="18">P16/9</f>
        <v>7881.1111111111113</v>
      </c>
      <c r="AK16" s="264"/>
      <c r="AL16" s="353">
        <v>2</v>
      </c>
      <c r="AM16" s="354"/>
      <c r="AN16" s="355"/>
      <c r="AO16" s="353">
        <v>1.05</v>
      </c>
      <c r="AP16" s="354"/>
      <c r="AQ16" s="355"/>
      <c r="AR16" s="353">
        <v>0.92</v>
      </c>
      <c r="AS16" s="354"/>
      <c r="AT16" s="355"/>
      <c r="AU16" s="353">
        <v>7.0000000000000007E-2</v>
      </c>
      <c r="AV16" s="354"/>
      <c r="AW16" s="355"/>
    </row>
    <row r="17" spans="1:43" ht="12.75" customHeight="1" x14ac:dyDescent="0.2">
      <c r="B17" s="232">
        <v>76200</v>
      </c>
      <c r="C17" s="233">
        <v>76300</v>
      </c>
      <c r="D17" s="222" t="s">
        <v>16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4.2222222222222214</v>
      </c>
      <c r="J17" s="27">
        <f t="shared" si="2"/>
        <v>4.9629629629629628</v>
      </c>
      <c r="K17" s="27">
        <f t="shared" si="3"/>
        <v>0</v>
      </c>
      <c r="L17" s="4">
        <f t="shared" ref="L17" si="19">C17-B17</f>
        <v>100</v>
      </c>
      <c r="M17" s="224">
        <v>46</v>
      </c>
      <c r="N17" s="14">
        <f t="shared" ref="N17:N65" si="20">IF(M17="","",L17*M17)</f>
        <v>4600</v>
      </c>
      <c r="O17" s="224"/>
      <c r="P17" s="4">
        <f t="shared" si="4"/>
        <v>4600</v>
      </c>
      <c r="Q17" s="6">
        <f t="shared" ref="Q17" si="21">(S17)/2000</f>
        <v>0.27222222222222225</v>
      </c>
      <c r="R17" s="6">
        <f t="shared" ref="R17" si="22">S17</f>
        <v>544.44444444444446</v>
      </c>
      <c r="S17" s="6">
        <f t="shared" si="6"/>
        <v>544.44444444444446</v>
      </c>
      <c r="T17" s="6">
        <f t="shared" si="7"/>
        <v>16.170000000000002</v>
      </c>
      <c r="U17" s="225"/>
      <c r="V17" s="34">
        <f t="shared" si="8"/>
        <v>167.49382716049382</v>
      </c>
      <c r="W17" s="4">
        <f t="shared" si="9"/>
        <v>90.148148148148152</v>
      </c>
      <c r="X17" s="6">
        <f t="shared" si="10"/>
        <v>20.444444444444443</v>
      </c>
      <c r="Y17" s="4">
        <f t="shared" si="11"/>
        <v>21.296296296296298</v>
      </c>
      <c r="Z17" s="4">
        <f t="shared" si="12"/>
        <v>24.845679012345681</v>
      </c>
      <c r="AA17" s="6">
        <f t="shared" si="13"/>
        <v>100</v>
      </c>
      <c r="AC17" s="98">
        <f t="shared" si="14"/>
        <v>3.7037037037037037</v>
      </c>
      <c r="AD17" s="94">
        <f t="shared" si="15"/>
        <v>0.27222222222222225</v>
      </c>
      <c r="AE17" s="6">
        <f t="shared" si="16"/>
        <v>544.44444444444446</v>
      </c>
      <c r="AF17" s="6">
        <f t="shared" ref="AF17:AF27" si="23">($P17+H17*$L17)/9</f>
        <v>544.44444444444446</v>
      </c>
      <c r="AG17" s="6">
        <f t="shared" ref="AG17:AG27" si="24">$S$1*AF17*110*0.06*0.75/2000</f>
        <v>16.170000000000002</v>
      </c>
      <c r="AH17" s="6">
        <f t="shared" si="17"/>
        <v>88.8888888888889</v>
      </c>
      <c r="AI17" s="95">
        <f t="shared" si="18"/>
        <v>511.11111111111109</v>
      </c>
    </row>
    <row r="18" spans="1:43" ht="12.75" customHeight="1" x14ac:dyDescent="0.2">
      <c r="A18" s="58" t="s">
        <v>123</v>
      </c>
      <c r="B18" s="232">
        <v>76300</v>
      </c>
      <c r="C18" s="233">
        <v>76983.05</v>
      </c>
      <c r="D18" s="222" t="s">
        <v>16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14.419944444444504</v>
      </c>
      <c r="J18" s="27">
        <f t="shared" si="2"/>
        <v>16.949759259259331</v>
      </c>
      <c r="K18" s="27">
        <f t="shared" si="3"/>
        <v>0</v>
      </c>
      <c r="L18" s="4">
        <f t="shared" ref="L18" si="25">C18-B18</f>
        <v>683.05000000000291</v>
      </c>
      <c r="M18" s="224"/>
      <c r="N18" s="14" t="str">
        <f t="shared" si="20"/>
        <v/>
      </c>
      <c r="O18" s="224">
        <v>42744.62</v>
      </c>
      <c r="P18" s="4">
        <f t="shared" si="4"/>
        <v>42744.62</v>
      </c>
      <c r="Q18" s="6">
        <f t="shared" ref="Q18" si="26">(S18)/2000</f>
        <v>2.4316219444444451</v>
      </c>
      <c r="R18" s="6">
        <f t="shared" ref="R18" si="27">S18</f>
        <v>4863.2438888888901</v>
      </c>
      <c r="S18" s="6">
        <f t="shared" si="6"/>
        <v>4863.2438888888901</v>
      </c>
      <c r="T18" s="6">
        <f t="shared" si="7"/>
        <v>144.43834350000003</v>
      </c>
      <c r="U18" s="225"/>
      <c r="V18" s="34">
        <f t="shared" si="8"/>
        <v>1531.5900987654322</v>
      </c>
      <c r="W18" s="4">
        <f t="shared" si="9"/>
        <v>808.51679629629632</v>
      </c>
      <c r="X18" s="6">
        <f t="shared" si="10"/>
        <v>189.97608888888891</v>
      </c>
      <c r="Y18" s="4">
        <f t="shared" si="11"/>
        <v>197.89175925925926</v>
      </c>
      <c r="Z18" s="4">
        <f t="shared" si="12"/>
        <v>230.87371913580247</v>
      </c>
      <c r="AA18" s="6">
        <f t="shared" si="13"/>
        <v>683.05000000000291</v>
      </c>
      <c r="AC18" s="98">
        <f t="shared" si="14"/>
        <v>12.649074074074129</v>
      </c>
      <c r="AD18" s="94">
        <f t="shared" si="15"/>
        <v>2.4316219444444451</v>
      </c>
      <c r="AE18" s="6">
        <f t="shared" si="16"/>
        <v>4863.2438888888901</v>
      </c>
      <c r="AF18" s="6">
        <f t="shared" si="23"/>
        <v>4863.2438888888901</v>
      </c>
      <c r="AG18" s="6">
        <f t="shared" si="24"/>
        <v>144.43834350000003</v>
      </c>
      <c r="AH18" s="6">
        <f t="shared" si="17"/>
        <v>804.21611111111122</v>
      </c>
      <c r="AI18" s="95">
        <f t="shared" si="18"/>
        <v>4749.4022222222229</v>
      </c>
    </row>
    <row r="19" spans="1:43" ht="12.75" customHeight="1" x14ac:dyDescent="0.2">
      <c r="A19" s="58" t="s">
        <v>124</v>
      </c>
      <c r="B19" s="232">
        <v>77013.039999999994</v>
      </c>
      <c r="C19" s="233">
        <v>77433.960000000006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8.8860888888891587</v>
      </c>
      <c r="J19" s="27">
        <f t="shared" si="2"/>
        <v>10.44505185185217</v>
      </c>
      <c r="K19" s="27">
        <f t="shared" si="3"/>
        <v>0</v>
      </c>
      <c r="L19" s="4">
        <f>C19-B19</f>
        <v>420.92000000001281</v>
      </c>
      <c r="M19" s="224">
        <v>61.42</v>
      </c>
      <c r="N19" s="14">
        <f t="shared" si="20"/>
        <v>25852.906400000786</v>
      </c>
      <c r="O19" s="224"/>
      <c r="P19" s="4">
        <f t="shared" si="4"/>
        <v>25852.906400000786</v>
      </c>
      <c r="Q19" s="6">
        <f t="shared" ref="Q19" si="28">(S19)/2000</f>
        <v>1.4713492444444891</v>
      </c>
      <c r="R19" s="6">
        <f t="shared" ref="R19" si="29">S19</f>
        <v>2942.6984888889783</v>
      </c>
      <c r="S19" s="6">
        <f t="shared" si="6"/>
        <v>2942.6984888889783</v>
      </c>
      <c r="T19" s="6">
        <f t="shared" si="7"/>
        <v>87.398145120002667</v>
      </c>
      <c r="U19" s="225"/>
      <c r="V19" s="34">
        <f t="shared" si="8"/>
        <v>926.5046802469418</v>
      </c>
      <c r="W19" s="4">
        <f t="shared" si="9"/>
        <v>489.20257777779256</v>
      </c>
      <c r="X19" s="6">
        <f t="shared" si="10"/>
        <v>114.90180622222572</v>
      </c>
      <c r="Y19" s="4">
        <f t="shared" si="11"/>
        <v>119.68938148148511</v>
      </c>
      <c r="Z19" s="4">
        <f t="shared" si="12"/>
        <v>139.63761172839929</v>
      </c>
      <c r="AA19" s="6">
        <f t="shared" si="13"/>
        <v>420.92000000001281</v>
      </c>
      <c r="AC19" s="98">
        <f t="shared" si="14"/>
        <v>7.7948148148150516</v>
      </c>
      <c r="AD19" s="94">
        <f t="shared" si="15"/>
        <v>1.4713492444444891</v>
      </c>
      <c r="AE19" s="6">
        <f t="shared" si="16"/>
        <v>2942.6984888889783</v>
      </c>
      <c r="AF19" s="6">
        <f t="shared" si="23"/>
        <v>2942.6984888889783</v>
      </c>
      <c r="AG19" s="6">
        <f t="shared" si="24"/>
        <v>87.398145120002667</v>
      </c>
      <c r="AH19" s="6">
        <f t="shared" si="17"/>
        <v>486.55234074075543</v>
      </c>
      <c r="AI19" s="95">
        <f t="shared" si="18"/>
        <v>2872.5451555556429</v>
      </c>
    </row>
    <row r="20" spans="1:43" ht="12.75" customHeight="1" x14ac:dyDescent="0.2">
      <c r="B20" s="232">
        <v>77433.960000000006</v>
      </c>
      <c r="C20" s="233">
        <v>77533.960000000006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si="0"/>
        <v>1.5</v>
      </c>
      <c r="I20" s="27">
        <f t="shared" si="1"/>
        <v>2.1111111111111107</v>
      </c>
      <c r="J20" s="27">
        <f t="shared" si="2"/>
        <v>2.4814814814814814</v>
      </c>
      <c r="K20" s="27">
        <f t="shared" si="3"/>
        <v>0</v>
      </c>
      <c r="L20" s="4">
        <f t="shared" ref="L20:L65" si="30">C20-B20</f>
        <v>100</v>
      </c>
      <c r="M20" s="224">
        <v>65.42</v>
      </c>
      <c r="N20" s="14">
        <f t="shared" si="20"/>
        <v>6542</v>
      </c>
      <c r="O20" s="224"/>
      <c r="P20" s="4">
        <f t="shared" si="4"/>
        <v>6542</v>
      </c>
      <c r="Q20" s="6">
        <f t="shared" ref="Q20:Q22" si="31">(S20)/2000</f>
        <v>0.37177777777777776</v>
      </c>
      <c r="R20" s="6">
        <f t="shared" ref="R20:R22" si="32">S20</f>
        <v>743.55555555555554</v>
      </c>
      <c r="S20" s="6">
        <f t="shared" si="6"/>
        <v>743.55555555555554</v>
      </c>
      <c r="T20" s="6">
        <f t="shared" si="7"/>
        <v>22.083599999999997</v>
      </c>
      <c r="U20" s="225"/>
      <c r="V20" s="34">
        <f t="shared" si="8"/>
        <v>234.31172839506175</v>
      </c>
      <c r="W20" s="4">
        <f t="shared" si="9"/>
        <v>123.62962962962963</v>
      </c>
      <c r="X20" s="6">
        <f t="shared" si="10"/>
        <v>29.075555555555557</v>
      </c>
      <c r="Y20" s="4">
        <f t="shared" si="11"/>
        <v>30.287037037037038</v>
      </c>
      <c r="Z20" s="4">
        <f t="shared" si="12"/>
        <v>35.334876543209873</v>
      </c>
      <c r="AA20" s="6">
        <f t="shared" si="13"/>
        <v>100</v>
      </c>
      <c r="AC20" s="98">
        <f t="shared" si="14"/>
        <v>1.8518518518518519</v>
      </c>
      <c r="AD20" s="94">
        <f t="shared" si="15"/>
        <v>0.37177777777777776</v>
      </c>
      <c r="AE20" s="6">
        <f t="shared" si="16"/>
        <v>743.55555555555554</v>
      </c>
      <c r="AF20" s="6">
        <f t="shared" si="23"/>
        <v>743.55555555555554</v>
      </c>
      <c r="AG20" s="6">
        <f t="shared" si="24"/>
        <v>22.083599999999997</v>
      </c>
      <c r="AH20" s="6">
        <f t="shared" si="17"/>
        <v>123</v>
      </c>
      <c r="AI20" s="95">
        <f t="shared" si="18"/>
        <v>726.88888888888891</v>
      </c>
    </row>
    <row r="21" spans="1:43" ht="12.75" customHeight="1" x14ac:dyDescent="0.2">
      <c r="B21" s="232">
        <v>77533.960000000006</v>
      </c>
      <c r="C21" s="233">
        <v>77983.44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0"/>
        <v>1.5</v>
      </c>
      <c r="I21" s="27">
        <f t="shared" si="1"/>
        <v>9.4890222222221361</v>
      </c>
      <c r="J21" s="27">
        <f t="shared" si="2"/>
        <v>11.153762962962864</v>
      </c>
      <c r="K21" s="27">
        <f t="shared" si="3"/>
        <v>0</v>
      </c>
      <c r="L21" s="4">
        <f t="shared" si="30"/>
        <v>449.47999999999593</v>
      </c>
      <c r="M21" s="224">
        <v>61.42</v>
      </c>
      <c r="N21" s="14">
        <f t="shared" si="20"/>
        <v>27607.06159999975</v>
      </c>
      <c r="O21" s="224"/>
      <c r="P21" s="4">
        <f t="shared" si="4"/>
        <v>27607.06159999975</v>
      </c>
      <c r="Q21" s="6">
        <f t="shared" si="31"/>
        <v>1.5711823111110967</v>
      </c>
      <c r="R21" s="6">
        <f t="shared" si="32"/>
        <v>3142.3646222221937</v>
      </c>
      <c r="S21" s="6">
        <f t="shared" si="6"/>
        <v>3142.3646222221937</v>
      </c>
      <c r="T21" s="6">
        <f t="shared" si="7"/>
        <v>93.328229279999135</v>
      </c>
      <c r="U21" s="225"/>
      <c r="V21" s="34">
        <f t="shared" si="8"/>
        <v>989.36929506171964</v>
      </c>
      <c r="W21" s="4">
        <f t="shared" si="9"/>
        <v>522.39564444443977</v>
      </c>
      <c r="X21" s="6">
        <f t="shared" si="10"/>
        <v>122.69805155555446</v>
      </c>
      <c r="Y21" s="4">
        <f t="shared" si="11"/>
        <v>127.81047037036922</v>
      </c>
      <c r="Z21" s="4">
        <f t="shared" si="12"/>
        <v>149.11221543209743</v>
      </c>
      <c r="AA21" s="6">
        <f t="shared" si="13"/>
        <v>449.47999999999593</v>
      </c>
      <c r="AC21" s="98">
        <f t="shared" si="14"/>
        <v>8.3237037037036288</v>
      </c>
      <c r="AD21" s="94">
        <f t="shared" si="15"/>
        <v>1.5711823111110967</v>
      </c>
      <c r="AE21" s="6">
        <f t="shared" si="16"/>
        <v>3142.3646222221937</v>
      </c>
      <c r="AF21" s="6">
        <f t="shared" si="23"/>
        <v>3142.3646222221937</v>
      </c>
      <c r="AG21" s="6">
        <f t="shared" si="24"/>
        <v>93.328229279999135</v>
      </c>
      <c r="AH21" s="6">
        <f t="shared" si="17"/>
        <v>519.56558518518045</v>
      </c>
      <c r="AI21" s="95">
        <f t="shared" si="18"/>
        <v>3067.4512888888612</v>
      </c>
    </row>
    <row r="22" spans="1:43" ht="12.75" customHeight="1" x14ac:dyDescent="0.2">
      <c r="B22" s="232">
        <v>77983.44</v>
      </c>
      <c r="C22" s="233">
        <v>78837.94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0"/>
        <v>1.5</v>
      </c>
      <c r="I22" s="27">
        <f t="shared" si="1"/>
        <v>18.039444444444442</v>
      </c>
      <c r="J22" s="27">
        <f t="shared" si="2"/>
        <v>21.20425925925926</v>
      </c>
      <c r="K22" s="27">
        <f t="shared" si="3"/>
        <v>0</v>
      </c>
      <c r="L22" s="4">
        <f t="shared" si="30"/>
        <v>854.5</v>
      </c>
      <c r="M22" s="224"/>
      <c r="N22" s="14" t="str">
        <f t="shared" si="20"/>
        <v/>
      </c>
      <c r="O22" s="224">
        <v>71830.42</v>
      </c>
      <c r="P22" s="4">
        <f t="shared" si="4"/>
        <v>71830.42</v>
      </c>
      <c r="Q22" s="6">
        <f t="shared" si="31"/>
        <v>4.0617872222222227</v>
      </c>
      <c r="R22" s="6">
        <f t="shared" si="32"/>
        <v>8123.5744444444445</v>
      </c>
      <c r="S22" s="6">
        <f t="shared" si="6"/>
        <v>8123.5744444444445</v>
      </c>
      <c r="T22" s="6">
        <f t="shared" si="7"/>
        <v>241.27016100000003</v>
      </c>
      <c r="U22" s="225"/>
      <c r="V22" s="34">
        <f t="shared" si="8"/>
        <v>2567.5759567901232</v>
      </c>
      <c r="W22" s="4">
        <f t="shared" si="9"/>
        <v>1351.3972222222221</v>
      </c>
      <c r="X22" s="6">
        <f t="shared" si="10"/>
        <v>319.24631111111108</v>
      </c>
      <c r="Y22" s="4">
        <f t="shared" si="11"/>
        <v>332.54824074074071</v>
      </c>
      <c r="Z22" s="4">
        <f t="shared" si="12"/>
        <v>387.97294753086419</v>
      </c>
      <c r="AA22" s="6">
        <f t="shared" si="13"/>
        <v>854.5</v>
      </c>
      <c r="AC22" s="98">
        <f t="shared" si="14"/>
        <v>15.824074074074074</v>
      </c>
      <c r="AD22" s="94">
        <f t="shared" si="15"/>
        <v>4.0617872222222227</v>
      </c>
      <c r="AE22" s="6">
        <f t="shared" si="16"/>
        <v>8123.5744444444445</v>
      </c>
      <c r="AF22" s="6">
        <f t="shared" si="23"/>
        <v>8123.5744444444445</v>
      </c>
      <c r="AG22" s="6">
        <f t="shared" si="24"/>
        <v>241.27016100000003</v>
      </c>
      <c r="AH22" s="6">
        <f t="shared" si="17"/>
        <v>1346.017037037037</v>
      </c>
      <c r="AI22" s="95">
        <f t="shared" si="18"/>
        <v>7981.1577777777775</v>
      </c>
    </row>
    <row r="23" spans="1:43" ht="12.75" customHeight="1" x14ac:dyDescent="0.2">
      <c r="B23" s="232">
        <v>78837.94</v>
      </c>
      <c r="C23" s="233">
        <v>80022.179999999993</v>
      </c>
      <c r="D23" s="222" t="s">
        <v>16</v>
      </c>
      <c r="E23" s="222">
        <v>0</v>
      </c>
      <c r="F23" s="223">
        <v>0</v>
      </c>
      <c r="G23" s="223">
        <v>0</v>
      </c>
      <c r="H23" s="26">
        <f t="shared" si="0"/>
        <v>0</v>
      </c>
      <c r="I23" s="27">
        <f t="shared" si="1"/>
        <v>0</v>
      </c>
      <c r="J23" s="27">
        <f t="shared" si="2"/>
        <v>0</v>
      </c>
      <c r="K23" s="27">
        <f t="shared" si="3"/>
        <v>0</v>
      </c>
      <c r="L23" s="4">
        <f t="shared" si="30"/>
        <v>1184.2399999999907</v>
      </c>
      <c r="M23" s="224">
        <v>63.75</v>
      </c>
      <c r="N23" s="14">
        <f t="shared" si="20"/>
        <v>75495.299999999406</v>
      </c>
      <c r="O23" s="224"/>
      <c r="P23" s="4">
        <f t="shared" si="4"/>
        <v>75495.299999999406</v>
      </c>
      <c r="Q23" s="6">
        <f t="shared" ref="Q23" si="33">(S23)/2000</f>
        <v>4.1941833333333003</v>
      </c>
      <c r="R23" s="6">
        <f t="shared" ref="R23" si="34">S23</f>
        <v>8388.3666666666013</v>
      </c>
      <c r="S23" s="6">
        <f t="shared" si="6"/>
        <v>8388.3666666666013</v>
      </c>
      <c r="T23" s="6">
        <f t="shared" si="7"/>
        <v>249.13448999999804</v>
      </c>
      <c r="U23" s="225"/>
      <c r="V23" s="34">
        <f t="shared" si="8"/>
        <v>2679.6171296296088</v>
      </c>
      <c r="W23" s="4">
        <f t="shared" si="9"/>
        <v>1398.0611111111002</v>
      </c>
      <c r="X23" s="6">
        <f t="shared" si="10"/>
        <v>335.53466666666407</v>
      </c>
      <c r="Y23" s="4">
        <f t="shared" si="11"/>
        <v>349.51527777777505</v>
      </c>
      <c r="Z23" s="4">
        <f t="shared" si="12"/>
        <v>407.76782407407092</v>
      </c>
      <c r="AA23" s="6">
        <f t="shared" si="13"/>
        <v>1184.2399999999907</v>
      </c>
      <c r="AC23" s="98">
        <f t="shared" si="14"/>
        <v>0</v>
      </c>
      <c r="AD23" s="94">
        <f t="shared" si="15"/>
        <v>4.1941833333333003</v>
      </c>
      <c r="AE23" s="6">
        <f t="shared" si="16"/>
        <v>8388.3666666666013</v>
      </c>
      <c r="AF23" s="6">
        <f t="shared" si="23"/>
        <v>8388.3666666666013</v>
      </c>
      <c r="AG23" s="6">
        <f t="shared" si="24"/>
        <v>249.13448999999804</v>
      </c>
      <c r="AH23" s="6">
        <f t="shared" si="17"/>
        <v>1398.0611111111002</v>
      </c>
      <c r="AI23" s="95">
        <f t="shared" si="18"/>
        <v>8388.3666666666013</v>
      </c>
      <c r="AO23" s="359" t="s">
        <v>121</v>
      </c>
      <c r="AP23" s="359"/>
      <c r="AQ23" s="359"/>
    </row>
    <row r="24" spans="1:43" ht="12.75" customHeight="1" x14ac:dyDescent="0.2">
      <c r="B24" s="232">
        <v>80022.179999999993</v>
      </c>
      <c r="C24" s="233">
        <v>80220.25</v>
      </c>
      <c r="D24" s="222" t="s">
        <v>16</v>
      </c>
      <c r="E24" s="222">
        <v>0</v>
      </c>
      <c r="F24" s="223">
        <v>0</v>
      </c>
      <c r="G24" s="223">
        <v>1</v>
      </c>
      <c r="H24" s="26">
        <f t="shared" si="0"/>
        <v>2</v>
      </c>
      <c r="I24" s="27">
        <f t="shared" si="1"/>
        <v>7.7027222222224943</v>
      </c>
      <c r="J24" s="27">
        <f t="shared" si="2"/>
        <v>6.7490518518520899</v>
      </c>
      <c r="K24" s="27">
        <f t="shared" si="3"/>
        <v>0.51351481481483296</v>
      </c>
      <c r="L24" s="4">
        <f t="shared" si="30"/>
        <v>198.07000000000698</v>
      </c>
      <c r="M24" s="224">
        <v>63.75</v>
      </c>
      <c r="N24" s="14">
        <f t="shared" si="20"/>
        <v>12626.962500000445</v>
      </c>
      <c r="O24" s="224"/>
      <c r="P24" s="4">
        <f t="shared" si="4"/>
        <v>12626.962500000445</v>
      </c>
      <c r="Q24" s="6">
        <f t="shared" ref="Q24:Q26" si="35">(S24)/2000</f>
        <v>0.72350569444446999</v>
      </c>
      <c r="R24" s="6">
        <f t="shared" ref="R24:R26" si="36">S24</f>
        <v>1447.01138888894</v>
      </c>
      <c r="S24" s="6">
        <f t="shared" si="6"/>
        <v>1447.01138888894</v>
      </c>
      <c r="T24" s="6">
        <f t="shared" si="7"/>
        <v>42.976238250001515</v>
      </c>
      <c r="U24" s="225"/>
      <c r="V24" s="34">
        <f t="shared" si="8"/>
        <v>455.88194675927537</v>
      </c>
      <c r="W24" s="4">
        <f t="shared" si="9"/>
        <v>240.58169074074922</v>
      </c>
      <c r="X24" s="6">
        <f t="shared" si="10"/>
        <v>56.119833333335308</v>
      </c>
      <c r="Y24" s="4">
        <f t="shared" si="11"/>
        <v>58.458159722224281</v>
      </c>
      <c r="Z24" s="4">
        <f t="shared" si="12"/>
        <v>68.71470115740982</v>
      </c>
      <c r="AA24" s="6">
        <f t="shared" si="13"/>
        <v>198.07000000000698</v>
      </c>
      <c r="AC24" s="98">
        <f t="shared" si="14"/>
        <v>3.6679629629630921</v>
      </c>
      <c r="AD24" s="94">
        <f t="shared" si="15"/>
        <v>0.72350569444446999</v>
      </c>
      <c r="AE24" s="6">
        <f t="shared" si="16"/>
        <v>1447.01138888894</v>
      </c>
      <c r="AF24" s="6">
        <f t="shared" si="23"/>
        <v>1447.01138888894</v>
      </c>
      <c r="AG24" s="6">
        <f t="shared" si="24"/>
        <v>42.976238250001515</v>
      </c>
      <c r="AH24" s="6">
        <f t="shared" si="17"/>
        <v>237.50060185186021</v>
      </c>
      <c r="AI24" s="95">
        <f t="shared" si="18"/>
        <v>1402.9958333333827</v>
      </c>
      <c r="AN24" s="356" t="s">
        <v>145</v>
      </c>
      <c r="AO24" s="345" t="s">
        <v>109</v>
      </c>
      <c r="AP24" s="346"/>
      <c r="AQ24" s="347"/>
    </row>
    <row r="25" spans="1:43" ht="12.75" customHeight="1" x14ac:dyDescent="0.2">
      <c r="B25" s="232">
        <v>80220.25</v>
      </c>
      <c r="C25" s="233">
        <v>80268.77</v>
      </c>
      <c r="D25" s="222" t="s">
        <v>16</v>
      </c>
      <c r="E25" s="222">
        <v>0</v>
      </c>
      <c r="F25" s="223">
        <v>1</v>
      </c>
      <c r="G25" s="223">
        <v>0</v>
      </c>
      <c r="H25" s="26">
        <f t="shared" si="0"/>
        <v>2</v>
      </c>
      <c r="I25" s="27">
        <f t="shared" si="1"/>
        <v>0</v>
      </c>
      <c r="J25" s="27">
        <f t="shared" si="2"/>
        <v>0.89851851851859399</v>
      </c>
      <c r="K25" s="27">
        <f t="shared" si="3"/>
        <v>0</v>
      </c>
      <c r="L25" s="4">
        <f t="shared" si="30"/>
        <v>48.520000000004075</v>
      </c>
      <c r="M25" s="224">
        <v>62.42</v>
      </c>
      <c r="N25" s="14">
        <f t="shared" si="20"/>
        <v>3028.6184000002545</v>
      </c>
      <c r="O25" s="224"/>
      <c r="P25" s="4">
        <f t="shared" si="4"/>
        <v>3028.6184000002545</v>
      </c>
      <c r="Q25" s="6">
        <f t="shared" si="35"/>
        <v>0.17364768888890347</v>
      </c>
      <c r="R25" s="6">
        <f t="shared" si="36"/>
        <v>347.29537777780695</v>
      </c>
      <c r="S25" s="6">
        <f t="shared" si="6"/>
        <v>347.29537777780695</v>
      </c>
      <c r="T25" s="6">
        <f t="shared" si="7"/>
        <v>10.314672720000864</v>
      </c>
      <c r="U25" s="225"/>
      <c r="V25" s="34">
        <f t="shared" si="8"/>
        <v>107.4972580247004</v>
      </c>
      <c r="W25" s="4">
        <f t="shared" si="9"/>
        <v>56.984044444449232</v>
      </c>
      <c r="X25" s="6">
        <f t="shared" si="10"/>
        <v>13.460526222223352</v>
      </c>
      <c r="Y25" s="4">
        <f t="shared" si="11"/>
        <v>14.02138148148266</v>
      </c>
      <c r="Z25" s="4">
        <f t="shared" si="12"/>
        <v>16.358278395063103</v>
      </c>
      <c r="AA25" s="6">
        <f t="shared" si="13"/>
        <v>48.520000000004075</v>
      </c>
      <c r="AC25" s="98">
        <f t="shared" si="14"/>
        <v>0.89851851851859399</v>
      </c>
      <c r="AD25" s="94">
        <f t="shared" si="15"/>
        <v>0.17364768888890347</v>
      </c>
      <c r="AE25" s="6">
        <f t="shared" si="16"/>
        <v>347.29537777780695</v>
      </c>
      <c r="AF25" s="6">
        <f t="shared" si="23"/>
        <v>347.29537777780695</v>
      </c>
      <c r="AG25" s="6">
        <f t="shared" si="24"/>
        <v>10.314672720000864</v>
      </c>
      <c r="AH25" s="6">
        <f t="shared" si="17"/>
        <v>56.984044444449232</v>
      </c>
      <c r="AI25" s="95">
        <f t="shared" si="18"/>
        <v>336.51315555558381</v>
      </c>
      <c r="AN25" s="356"/>
      <c r="AO25" s="348" t="s">
        <v>112</v>
      </c>
      <c r="AP25" s="349"/>
      <c r="AQ25" s="350"/>
    </row>
    <row r="26" spans="1:43" ht="12.75" customHeight="1" x14ac:dyDescent="0.2">
      <c r="B26" s="232">
        <v>80268.77</v>
      </c>
      <c r="C26" s="233">
        <v>80591.100000000006</v>
      </c>
      <c r="D26" s="222" t="s">
        <v>16</v>
      </c>
      <c r="E26" s="222">
        <v>0</v>
      </c>
      <c r="F26" s="223">
        <v>1</v>
      </c>
      <c r="G26" s="223">
        <v>0</v>
      </c>
      <c r="H26" s="26">
        <f t="shared" si="0"/>
        <v>2</v>
      </c>
      <c r="I26" s="27">
        <f t="shared" si="1"/>
        <v>0</v>
      </c>
      <c r="J26" s="27">
        <f t="shared" si="2"/>
        <v>5.9690740740741068</v>
      </c>
      <c r="K26" s="27">
        <f t="shared" si="3"/>
        <v>0</v>
      </c>
      <c r="L26" s="4">
        <f t="shared" si="30"/>
        <v>322.33000000000175</v>
      </c>
      <c r="M26" s="224">
        <v>63.42</v>
      </c>
      <c r="N26" s="14">
        <f t="shared" si="20"/>
        <v>20442.16860000011</v>
      </c>
      <c r="O26" s="224"/>
      <c r="P26" s="4">
        <f t="shared" si="4"/>
        <v>20442.16860000011</v>
      </c>
      <c r="Q26" s="6">
        <f t="shared" si="35"/>
        <v>1.1714904777777839</v>
      </c>
      <c r="R26" s="6">
        <f t="shared" si="36"/>
        <v>2342.980955555568</v>
      </c>
      <c r="S26" s="6">
        <f t="shared" si="6"/>
        <v>2342.980955555568</v>
      </c>
      <c r="T26" s="6">
        <f t="shared" si="7"/>
        <v>69.586534380000373</v>
      </c>
      <c r="U26" s="225"/>
      <c r="V26" s="34">
        <f t="shared" si="8"/>
        <v>725.57079907407797</v>
      </c>
      <c r="W26" s="4">
        <f t="shared" si="9"/>
        <v>384.52775185185391</v>
      </c>
      <c r="X26" s="6">
        <f t="shared" si="10"/>
        <v>90.854082666667168</v>
      </c>
      <c r="Y26" s="4">
        <f t="shared" si="11"/>
        <v>94.639669444444948</v>
      </c>
      <c r="Z26" s="4">
        <f t="shared" si="12"/>
        <v>110.41294768518577</v>
      </c>
      <c r="AA26" s="6">
        <f t="shared" si="13"/>
        <v>322.33000000000175</v>
      </c>
      <c r="AC26" s="98">
        <f t="shared" si="14"/>
        <v>5.9690740740741068</v>
      </c>
      <c r="AD26" s="94">
        <f t="shared" si="15"/>
        <v>1.1714904777777839</v>
      </c>
      <c r="AE26" s="6">
        <f t="shared" si="16"/>
        <v>2342.980955555568</v>
      </c>
      <c r="AF26" s="6">
        <f t="shared" si="23"/>
        <v>2342.980955555568</v>
      </c>
      <c r="AG26" s="6">
        <f t="shared" si="24"/>
        <v>69.586534380000373</v>
      </c>
      <c r="AH26" s="6">
        <f t="shared" si="17"/>
        <v>384.52775185185391</v>
      </c>
      <c r="AI26" s="95">
        <f t="shared" si="18"/>
        <v>2271.3520666666791</v>
      </c>
      <c r="AN26" s="356"/>
      <c r="AO26" s="353">
        <v>0.5</v>
      </c>
      <c r="AP26" s="354"/>
      <c r="AQ26" s="355"/>
    </row>
    <row r="27" spans="1:43" ht="12.75" customHeight="1" x14ac:dyDescent="0.2">
      <c r="B27" s="232">
        <v>80591.100000000006</v>
      </c>
      <c r="C27" s="233">
        <v>80616.89</v>
      </c>
      <c r="D27" s="222" t="s">
        <v>16</v>
      </c>
      <c r="E27" s="222">
        <v>0</v>
      </c>
      <c r="F27" s="223">
        <v>1</v>
      </c>
      <c r="G27" s="223">
        <v>0</v>
      </c>
      <c r="H27" s="26">
        <f t="shared" si="0"/>
        <v>2</v>
      </c>
      <c r="I27" s="27">
        <f t="shared" si="1"/>
        <v>0</v>
      </c>
      <c r="J27" s="27">
        <f t="shared" si="2"/>
        <v>0.477592592592474</v>
      </c>
      <c r="K27" s="27">
        <f t="shared" si="3"/>
        <v>0</v>
      </c>
      <c r="L27" s="4">
        <f t="shared" si="30"/>
        <v>25.789999999993597</v>
      </c>
      <c r="M27" s="224"/>
      <c r="N27" s="14" t="str">
        <f t="shared" si="20"/>
        <v/>
      </c>
      <c r="O27" s="224">
        <v>843.6</v>
      </c>
      <c r="P27" s="4">
        <f t="shared" si="4"/>
        <v>843.6</v>
      </c>
      <c r="Q27" s="6">
        <f t="shared" ref="Q27" si="37">(S27)/2000</f>
        <v>4.9732222222221512E-2</v>
      </c>
      <c r="R27" s="6">
        <f t="shared" ref="R27" si="38">S27</f>
        <v>99.464444444443018</v>
      </c>
      <c r="S27" s="6">
        <f t="shared" si="6"/>
        <v>99.464444444443018</v>
      </c>
      <c r="T27" s="6">
        <f t="shared" si="7"/>
        <v>2.9540939999999578</v>
      </c>
      <c r="U27" s="225"/>
      <c r="V27" s="34">
        <f t="shared" si="8"/>
        <v>29.94259259259259</v>
      </c>
      <c r="W27" s="4">
        <f t="shared" si="9"/>
        <v>16.099814814814696</v>
      </c>
      <c r="X27" s="6">
        <f t="shared" si="10"/>
        <v>3.7493333333333334</v>
      </c>
      <c r="Y27" s="4">
        <f t="shared" si="11"/>
        <v>3.9055555555555554</v>
      </c>
      <c r="Z27" s="4">
        <f t="shared" si="12"/>
        <v>4.5564814814814811</v>
      </c>
      <c r="AA27" s="6">
        <f t="shared" si="13"/>
        <v>25.789999999993597</v>
      </c>
      <c r="AC27" s="98">
        <f t="shared" si="14"/>
        <v>0.477592592592474</v>
      </c>
      <c r="AD27" s="94">
        <f t="shared" si="15"/>
        <v>4.9732222222221512E-2</v>
      </c>
      <c r="AE27" s="6">
        <f t="shared" si="16"/>
        <v>99.464444444443018</v>
      </c>
      <c r="AF27" s="6">
        <f t="shared" si="23"/>
        <v>99.464444444443018</v>
      </c>
      <c r="AG27" s="6">
        <f t="shared" si="24"/>
        <v>2.9540939999999578</v>
      </c>
      <c r="AH27" s="6">
        <f t="shared" si="17"/>
        <v>16.099814814814696</v>
      </c>
      <c r="AI27" s="95">
        <f t="shared" si="18"/>
        <v>93.733333333333334</v>
      </c>
      <c r="AN27" s="356"/>
    </row>
    <row r="28" spans="1:43" ht="12.75" customHeight="1" x14ac:dyDescent="0.2">
      <c r="A28" s="1" t="s">
        <v>36</v>
      </c>
      <c r="B28" s="232">
        <v>80591.100000000006</v>
      </c>
      <c r="C28" s="233">
        <v>80621.100000000006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0"/>
        <v>0</v>
      </c>
      <c r="I28" s="27">
        <f t="shared" si="1"/>
        <v>0</v>
      </c>
      <c r="J28" s="27">
        <f t="shared" si="2"/>
        <v>0</v>
      </c>
      <c r="K28" s="27">
        <f t="shared" si="3"/>
        <v>0</v>
      </c>
      <c r="L28" s="4">
        <f t="shared" si="30"/>
        <v>30</v>
      </c>
      <c r="M28" s="224"/>
      <c r="N28" s="14" t="str">
        <f t="shared" si="20"/>
        <v/>
      </c>
      <c r="O28" s="224">
        <v>1977.08</v>
      </c>
      <c r="P28" s="4">
        <f t="shared" si="4"/>
        <v>1977.08</v>
      </c>
      <c r="Q28" s="6"/>
      <c r="R28" s="6"/>
      <c r="S28" s="6"/>
      <c r="T28" s="6"/>
      <c r="U28" s="225"/>
      <c r="V28" s="231"/>
      <c r="W28" s="4">
        <f t="shared" si="9"/>
        <v>36.612592592592591</v>
      </c>
      <c r="X28" s="6"/>
      <c r="Y28" s="4"/>
      <c r="Z28" s="4"/>
      <c r="AA28" s="6"/>
      <c r="AC28" s="98"/>
      <c r="AD28" s="94"/>
      <c r="AE28" s="6"/>
      <c r="AF28" s="6"/>
      <c r="AG28" s="6"/>
      <c r="AH28" s="6">
        <f t="shared" si="17"/>
        <v>36.612592592592591</v>
      </c>
      <c r="AI28" s="95"/>
      <c r="AN28" s="356"/>
    </row>
    <row r="29" spans="1:43" ht="12.75" customHeight="1" x14ac:dyDescent="0.2">
      <c r="A29" s="1" t="s">
        <v>36</v>
      </c>
      <c r="B29" s="232">
        <v>80726.02</v>
      </c>
      <c r="C29" s="233">
        <v>80756.02</v>
      </c>
      <c r="D29" s="222" t="s">
        <v>16</v>
      </c>
      <c r="E29" s="222">
        <v>0</v>
      </c>
      <c r="F29" s="223">
        <v>0</v>
      </c>
      <c r="G29" s="223">
        <v>0</v>
      </c>
      <c r="H29" s="26">
        <f t="shared" si="0"/>
        <v>0</v>
      </c>
      <c r="I29" s="27">
        <f t="shared" si="1"/>
        <v>0</v>
      </c>
      <c r="J29" s="27">
        <f t="shared" si="2"/>
        <v>0</v>
      </c>
      <c r="K29" s="27">
        <f t="shared" si="3"/>
        <v>0</v>
      </c>
      <c r="L29" s="4">
        <f t="shared" si="30"/>
        <v>30</v>
      </c>
      <c r="M29" s="224"/>
      <c r="N29" s="14" t="str">
        <f t="shared" si="20"/>
        <v/>
      </c>
      <c r="O29" s="224">
        <v>1983.74</v>
      </c>
      <c r="P29" s="4">
        <f t="shared" si="4"/>
        <v>1983.74</v>
      </c>
      <c r="Q29" s="6"/>
      <c r="R29" s="6"/>
      <c r="S29" s="6"/>
      <c r="T29" s="6"/>
      <c r="U29" s="225"/>
      <c r="V29" s="231"/>
      <c r="W29" s="4">
        <f t="shared" si="9"/>
        <v>36.735925925925926</v>
      </c>
      <c r="X29" s="6"/>
      <c r="Y29" s="4"/>
      <c r="Z29" s="4"/>
      <c r="AA29" s="6"/>
      <c r="AC29" s="98"/>
      <c r="AD29" s="94"/>
      <c r="AE29" s="6"/>
      <c r="AF29" s="6"/>
      <c r="AG29" s="6"/>
      <c r="AH29" s="6">
        <f t="shared" si="17"/>
        <v>36.735925925925926</v>
      </c>
      <c r="AI29" s="95"/>
      <c r="AN29" s="356"/>
      <c r="AO29" s="359" t="s">
        <v>114</v>
      </c>
      <c r="AP29" s="359"/>
      <c r="AQ29" s="359"/>
    </row>
    <row r="30" spans="1:43" ht="12.75" customHeight="1" x14ac:dyDescent="0.2">
      <c r="B30" s="232">
        <v>80756.02</v>
      </c>
      <c r="C30" s="233">
        <v>80776.289999999994</v>
      </c>
      <c r="D30" s="222" t="s">
        <v>16</v>
      </c>
      <c r="E30" s="222">
        <v>0</v>
      </c>
      <c r="F30" s="223">
        <v>0</v>
      </c>
      <c r="G30" s="223">
        <v>0</v>
      </c>
      <c r="H30" s="26">
        <f t="shared" si="0"/>
        <v>0</v>
      </c>
      <c r="I30" s="27">
        <f t="shared" si="1"/>
        <v>0</v>
      </c>
      <c r="J30" s="27">
        <f t="shared" si="2"/>
        <v>0</v>
      </c>
      <c r="K30" s="27">
        <f t="shared" si="3"/>
        <v>0</v>
      </c>
      <c r="L30" s="4">
        <f t="shared" si="30"/>
        <v>20.269999999989523</v>
      </c>
      <c r="M30" s="224"/>
      <c r="N30" s="14" t="str">
        <f t="shared" si="20"/>
        <v/>
      </c>
      <c r="O30" s="224">
        <v>642.48</v>
      </c>
      <c r="P30" s="4">
        <f t="shared" si="4"/>
        <v>642.48</v>
      </c>
      <c r="Q30" s="6">
        <f t="shared" ref="Q30" si="39">(S30)/2000</f>
        <v>3.5693333333333334E-2</v>
      </c>
      <c r="R30" s="6">
        <f t="shared" ref="R30" si="40">S30</f>
        <v>71.38666666666667</v>
      </c>
      <c r="S30" s="6">
        <f>($P30+H30*$L30)/9</f>
        <v>71.38666666666667</v>
      </c>
      <c r="T30" s="6">
        <f t="shared" si="7"/>
        <v>2.1201840000000001</v>
      </c>
      <c r="U30" s="225"/>
      <c r="V30" s="34">
        <f>(P30*$V$1/12)/27+I30</f>
        <v>22.804074074074077</v>
      </c>
      <c r="W30" s="4">
        <f t="shared" si="9"/>
        <v>11.897777777777778</v>
      </c>
      <c r="X30" s="6">
        <f>($P30/9)*$X$1</f>
        <v>2.855466666666667</v>
      </c>
      <c r="Y30" s="4">
        <f>($P30*($Y$1/12))/27</f>
        <v>2.9744444444444444</v>
      </c>
      <c r="Z30" s="4">
        <f>(P30*$Z$1/12)/27+K30</f>
        <v>3.4701851851851853</v>
      </c>
      <c r="AA30" s="6">
        <f>L30</f>
        <v>20.269999999989523</v>
      </c>
      <c r="AC30" s="98">
        <f>IF(E30=2,$AO$26*2*L30/27,IF(F30=2,$AO$32*2*L30/27,IF(G30=2,$AO$38*2*L30/27,IF(AND(E30=1,F30=1),($AO$26*L30+$AO$32*L30)/27,IF(AND(E30=1,F30=0,G30=0),$AO$26*L30/27,IF(AND(E30=1,G30=1),($AO$26*L30+$AO$38*L30)/27,IF(AND(E30=0,F30=1,G30=0),$AO$32*L30/27,IF(AND(F30=1,G30=1),($AO$32*L30+$AO$38*L30)/27,IF(AND(E30=0,F30=0,G30=1),$AO$38*L30/27,0)))))))))</f>
        <v>0</v>
      </c>
      <c r="AD30" s="94">
        <f>(S30)/2000</f>
        <v>3.5693333333333334E-2</v>
      </c>
      <c r="AE30" s="6">
        <f t="shared" ref="AE30:AE33" si="41">AF30</f>
        <v>71.38666666666667</v>
      </c>
      <c r="AF30" s="6">
        <f t="shared" ref="AF30:AF33" si="42">($P30+H30*$L30)/9</f>
        <v>71.38666666666667</v>
      </c>
      <c r="AG30" s="6">
        <f t="shared" ref="AG30:AG33" si="43">$S$1*AF30*110*0.06*0.75/2000</f>
        <v>2.1201840000000001</v>
      </c>
      <c r="AH30" s="6">
        <f t="shared" si="17"/>
        <v>11.897777777777778</v>
      </c>
      <c r="AI30" s="95">
        <f>P30/9</f>
        <v>71.38666666666667</v>
      </c>
      <c r="AN30" s="356"/>
      <c r="AO30" s="345" t="s">
        <v>109</v>
      </c>
      <c r="AP30" s="346"/>
      <c r="AQ30" s="347"/>
    </row>
    <row r="31" spans="1:43" ht="12.75" customHeight="1" x14ac:dyDescent="0.2">
      <c r="B31" s="232">
        <v>80776.289999999994</v>
      </c>
      <c r="C31" s="233">
        <v>80969.399999999994</v>
      </c>
      <c r="D31" s="222" t="s">
        <v>16</v>
      </c>
      <c r="E31" s="222">
        <v>0</v>
      </c>
      <c r="F31" s="223">
        <v>1</v>
      </c>
      <c r="G31" s="223">
        <v>0</v>
      </c>
      <c r="H31" s="26">
        <f t="shared" si="0"/>
        <v>2</v>
      </c>
      <c r="I31" s="27">
        <f t="shared" si="1"/>
        <v>0</v>
      </c>
      <c r="J31" s="27">
        <f t="shared" si="2"/>
        <v>3.5761111111111217</v>
      </c>
      <c r="K31" s="27">
        <f t="shared" si="3"/>
        <v>0</v>
      </c>
      <c r="L31" s="4">
        <f t="shared" si="30"/>
        <v>193.11000000000058</v>
      </c>
      <c r="M31" s="224">
        <v>63.42</v>
      </c>
      <c r="N31" s="14">
        <f t="shared" si="20"/>
        <v>12247.036200000037</v>
      </c>
      <c r="O31" s="224"/>
      <c r="P31" s="4">
        <f t="shared" ref="P31" si="44">SUM(N31:O31)</f>
        <v>12247.036200000037</v>
      </c>
      <c r="Q31" s="6">
        <f t="shared" ref="Q31" si="45">(S31)/2000</f>
        <v>0.7018475666666687</v>
      </c>
      <c r="R31" s="6">
        <f t="shared" ref="R31" si="46">S31</f>
        <v>1403.6951333333375</v>
      </c>
      <c r="S31" s="6">
        <f>($P31+H31*$L31)/9</f>
        <v>1403.6951333333375</v>
      </c>
      <c r="T31" s="6">
        <f t="shared" ref="T31:T45" si="47">$S$1*S31*110*0.06*0.75/2000</f>
        <v>41.689745460000125</v>
      </c>
      <c r="U31" s="225"/>
      <c r="V31" s="34">
        <f>(P31*$V$1/12)/27+I31</f>
        <v>434.6941861111124</v>
      </c>
      <c r="W31" s="4">
        <f t="shared" si="9"/>
        <v>230.37307777777846</v>
      </c>
      <c r="X31" s="6">
        <f>($P31/9)*$X$1</f>
        <v>54.431272000000163</v>
      </c>
      <c r="Y31" s="4">
        <f>($P31*($Y$1/12))/27</f>
        <v>56.699241666666836</v>
      </c>
      <c r="Z31" s="4">
        <f>(P31*$Z$1/12)/27+K31</f>
        <v>66.14911527777798</v>
      </c>
      <c r="AA31" s="6">
        <f>L31</f>
        <v>193.11000000000058</v>
      </c>
      <c r="AC31" s="98">
        <f>IF(E31=2,$AO$26*2*L31/27,IF(F31=2,$AO$32*2*L31/27,IF(G31=2,$AO$38*2*L31/27,IF(AND(E31=1,F31=1),($AO$26*L31+$AO$32*L31)/27,IF(AND(E31=1,F31=0,G31=0),$AO$26*L31/27,IF(AND(E31=1,G31=1),($AO$26*L31+$AO$38*L31)/27,IF(AND(E31=0,F31=1,G31=0),$AO$32*L31/27,IF(AND(F31=1,G31=1),($AO$32*L31+$AO$38*L31)/27,IF(AND(E31=0,F31=0,G31=1),$AO$38*L31/27,0)))))))))</f>
        <v>3.5761111111111217</v>
      </c>
      <c r="AD31" s="94">
        <f>(S31)/2000</f>
        <v>0.7018475666666687</v>
      </c>
      <c r="AE31" s="6">
        <f t="shared" si="41"/>
        <v>1403.6951333333375</v>
      </c>
      <c r="AF31" s="6">
        <f t="shared" si="42"/>
        <v>1403.6951333333375</v>
      </c>
      <c r="AG31" s="6">
        <f t="shared" si="43"/>
        <v>41.689745460000125</v>
      </c>
      <c r="AH31" s="6">
        <f t="shared" si="17"/>
        <v>230.37307777777846</v>
      </c>
      <c r="AI31" s="95">
        <f>P31/9</f>
        <v>1360.7818000000041</v>
      </c>
      <c r="AN31" s="356"/>
      <c r="AO31" s="348" t="s">
        <v>112</v>
      </c>
      <c r="AP31" s="349"/>
      <c r="AQ31" s="350"/>
    </row>
    <row r="32" spans="1:43" ht="12.75" customHeight="1" x14ac:dyDescent="0.2">
      <c r="B32" s="232">
        <v>80969.399999999994</v>
      </c>
      <c r="C32" s="233">
        <v>81322.06</v>
      </c>
      <c r="D32" s="222" t="s">
        <v>16</v>
      </c>
      <c r="E32" s="222">
        <v>1</v>
      </c>
      <c r="F32" s="223">
        <v>0</v>
      </c>
      <c r="G32" s="223">
        <v>0</v>
      </c>
      <c r="H32" s="26">
        <f t="shared" si="0"/>
        <v>1.5</v>
      </c>
      <c r="I32" s="27">
        <f t="shared" si="1"/>
        <v>7.4450444444445179</v>
      </c>
      <c r="J32" s="27">
        <f t="shared" si="2"/>
        <v>8.7511925925926803</v>
      </c>
      <c r="K32" s="27">
        <f t="shared" si="3"/>
        <v>0</v>
      </c>
      <c r="L32" s="4">
        <f t="shared" si="30"/>
        <v>352.66000000000349</v>
      </c>
      <c r="M32" s="224">
        <v>61.42</v>
      </c>
      <c r="N32" s="14">
        <f t="shared" si="20"/>
        <v>21660.377200000214</v>
      </c>
      <c r="O32" s="224"/>
      <c r="P32" s="4">
        <f t="shared" ref="P32" si="48">SUM(N32:O32)</f>
        <v>21660.377200000214</v>
      </c>
      <c r="Q32" s="6">
        <f t="shared" ref="Q32" si="49">(S32)/2000</f>
        <v>1.2327426222222344</v>
      </c>
      <c r="R32" s="6">
        <f t="shared" ref="R32" si="50">S32</f>
        <v>2465.4852444444687</v>
      </c>
      <c r="S32" s="6">
        <f>($P32+H32*$L32)/9</f>
        <v>2465.4852444444687</v>
      </c>
      <c r="T32" s="6">
        <f t="shared" si="47"/>
        <v>73.224911760000722</v>
      </c>
      <c r="U32" s="225"/>
      <c r="V32" s="34">
        <f>(P32*$V$1/12)/27+I32</f>
        <v>776.25472901235332</v>
      </c>
      <c r="W32" s="4">
        <f t="shared" si="9"/>
        <v>409.86928888889298</v>
      </c>
      <c r="X32" s="6">
        <f>($P32/9)*$X$1</f>
        <v>96.26834311111206</v>
      </c>
      <c r="Y32" s="4">
        <f>($P32*($Y$1/12))/27</f>
        <v>100.27952407407507</v>
      </c>
      <c r="Z32" s="4">
        <f>(P32*$Z$1/12)/27+K32</f>
        <v>116.9927780864209</v>
      </c>
      <c r="AA32" s="6">
        <f>L32</f>
        <v>352.66000000000349</v>
      </c>
      <c r="AC32" s="98">
        <f>IF(E32=2,$AO$26*2*L32/27,IF(F32=2,$AO$32*2*L32/27,IF(G32=2,$AO$38*2*L32/27,IF(AND(E32=1,F32=1),($AO$26*L32+$AO$32*L32)/27,IF(AND(E32=1,F32=0,G32=0),$AO$26*L32/27,IF(AND(E32=1,G32=1),($AO$26*L32+$AO$38*L32)/27,IF(AND(E32=0,F32=1,G32=0),$AO$32*L32/27,IF(AND(F32=1,G32=1),($AO$32*L32+$AO$38*L32)/27,IF(AND(E32=0,F32=0,G32=1),$AO$38*L32/27,0)))))))))</f>
        <v>6.5307407407408054</v>
      </c>
      <c r="AD32" s="94">
        <f>(S32)/2000</f>
        <v>1.2327426222222344</v>
      </c>
      <c r="AE32" s="6">
        <f t="shared" si="41"/>
        <v>2465.4852444444687</v>
      </c>
      <c r="AF32" s="6">
        <f t="shared" si="42"/>
        <v>2465.4852444444687</v>
      </c>
      <c r="AG32" s="6">
        <f t="shared" si="43"/>
        <v>73.224911760000722</v>
      </c>
      <c r="AH32" s="6">
        <f t="shared" si="17"/>
        <v>407.64883703704106</v>
      </c>
      <c r="AI32" s="95">
        <f>P32/9</f>
        <v>2406.7085777778016</v>
      </c>
      <c r="AN32" s="356"/>
      <c r="AO32" s="353">
        <v>0.5</v>
      </c>
      <c r="AP32" s="354"/>
      <c r="AQ32" s="355"/>
    </row>
    <row r="33" spans="1:43" ht="12.75" customHeight="1" x14ac:dyDescent="0.2">
      <c r="B33" s="232">
        <v>81322.06</v>
      </c>
      <c r="C33" s="233">
        <v>81343.72</v>
      </c>
      <c r="D33" s="222" t="s">
        <v>16</v>
      </c>
      <c r="E33" s="222">
        <v>1</v>
      </c>
      <c r="F33" s="223">
        <v>0</v>
      </c>
      <c r="G33" s="223">
        <v>0</v>
      </c>
      <c r="H33" s="26">
        <f t="shared" si="0"/>
        <v>1.5</v>
      </c>
      <c r="I33" s="27">
        <f t="shared" si="1"/>
        <v>0.45726666666674032</v>
      </c>
      <c r="J33" s="27">
        <f t="shared" si="2"/>
        <v>0.53748888888897561</v>
      </c>
      <c r="K33" s="27">
        <f t="shared" si="3"/>
        <v>0</v>
      </c>
      <c r="L33" s="4">
        <f t="shared" si="30"/>
        <v>21.660000000003492</v>
      </c>
      <c r="M33" s="224"/>
      <c r="N33" s="14" t="str">
        <f t="shared" si="20"/>
        <v/>
      </c>
      <c r="O33" s="224">
        <v>2226.85</v>
      </c>
      <c r="P33" s="4">
        <f t="shared" ref="P33:P37" si="51">SUM(N33:O33)</f>
        <v>2226.85</v>
      </c>
      <c r="Q33" s="6">
        <f t="shared" ref="Q33:Q37" si="52">(S33)/2000</f>
        <v>0.12551888888888918</v>
      </c>
      <c r="R33" s="6">
        <f t="shared" ref="R33:R37" si="53">S33</f>
        <v>251.03777777777836</v>
      </c>
      <c r="S33" s="6">
        <f>($P33+H33*$L33)/9</f>
        <v>251.03777777777836</v>
      </c>
      <c r="T33" s="6">
        <f t="shared" si="47"/>
        <v>7.4558220000000164</v>
      </c>
      <c r="U33" s="225"/>
      <c r="V33" s="34">
        <f>(P33*$V$1/12)/27+I33</f>
        <v>79.496695679012419</v>
      </c>
      <c r="W33" s="4">
        <f t="shared" si="9"/>
        <v>41.775451851851933</v>
      </c>
      <c r="X33" s="6">
        <f>($P33/9)*$X$1</f>
        <v>9.8971111111111121</v>
      </c>
      <c r="Y33" s="4">
        <f>($P33*($Y$1/12))/27</f>
        <v>10.30949074074074</v>
      </c>
      <c r="Z33" s="4">
        <f>(P33*$Z$1/12)/27+K33</f>
        <v>12.027739197530863</v>
      </c>
      <c r="AA33" s="6">
        <f>L33</f>
        <v>21.660000000003492</v>
      </c>
      <c r="AC33" s="98">
        <f>IF(E33=2,$AO$26*2*L33/27,IF(F33=2,$AO$32*2*L33/27,IF(G33=2,$AO$38*2*L33/27,IF(AND(E33=1,F33=1),($AO$26*L33+$AO$32*L33)/27,IF(AND(E33=1,F33=0,G33=0),$AO$26*L33/27,IF(AND(E33=1,G33=1),($AO$26*L33+$AO$38*L33)/27,IF(AND(E33=0,F33=1,G33=0),$AO$32*L33/27,IF(AND(F33=1,G33=1),($AO$32*L33+$AO$38*L33)/27,IF(AND(E33=0,F33=0,G33=1),$AO$38*L33/27,0)))))))))</f>
        <v>0.40111111111117581</v>
      </c>
      <c r="AD33" s="94">
        <f>(S33)/2000</f>
        <v>0.12551888888888918</v>
      </c>
      <c r="AE33" s="6">
        <f t="shared" si="41"/>
        <v>251.03777777777836</v>
      </c>
      <c r="AF33" s="6">
        <f t="shared" si="42"/>
        <v>251.03777777777836</v>
      </c>
      <c r="AG33" s="6">
        <f t="shared" si="43"/>
        <v>7.4558220000000164</v>
      </c>
      <c r="AH33" s="6">
        <f t="shared" si="17"/>
        <v>41.639074074074138</v>
      </c>
      <c r="AI33" s="95">
        <f>P33/9</f>
        <v>247.42777777777778</v>
      </c>
      <c r="AN33" s="356"/>
    </row>
    <row r="34" spans="1:43" ht="12.75" customHeight="1" x14ac:dyDescent="0.2">
      <c r="A34" s="1" t="s">
        <v>36</v>
      </c>
      <c r="B34" s="232">
        <v>81322.06</v>
      </c>
      <c r="C34" s="233">
        <v>81347.06</v>
      </c>
      <c r="D34" s="222" t="s">
        <v>16</v>
      </c>
      <c r="E34" s="222">
        <v>0</v>
      </c>
      <c r="F34" s="223">
        <v>0</v>
      </c>
      <c r="G34" s="223">
        <v>0</v>
      </c>
      <c r="H34" s="26">
        <f t="shared" si="0"/>
        <v>0</v>
      </c>
      <c r="I34" s="27">
        <f t="shared" si="1"/>
        <v>0</v>
      </c>
      <c r="J34" s="27">
        <f t="shared" si="2"/>
        <v>0</v>
      </c>
      <c r="K34" s="27">
        <f t="shared" si="3"/>
        <v>0</v>
      </c>
      <c r="L34" s="4">
        <f t="shared" si="30"/>
        <v>25</v>
      </c>
      <c r="M34" s="224"/>
      <c r="N34" s="14" t="str">
        <f t="shared" si="20"/>
        <v/>
      </c>
      <c r="O34" s="224">
        <v>1505.86</v>
      </c>
      <c r="P34" s="4">
        <f t="shared" si="51"/>
        <v>1505.86</v>
      </c>
      <c r="Q34" s="6"/>
      <c r="R34" s="6"/>
      <c r="S34" s="6"/>
      <c r="T34" s="6"/>
      <c r="U34" s="225"/>
      <c r="V34" s="34"/>
      <c r="W34" s="4">
        <f t="shared" si="9"/>
        <v>27.886296296296294</v>
      </c>
      <c r="X34" s="6"/>
      <c r="Y34" s="4"/>
      <c r="Z34" s="4"/>
      <c r="AA34" s="6"/>
      <c r="AC34" s="98"/>
      <c r="AD34" s="94"/>
      <c r="AE34" s="6"/>
      <c r="AF34" s="6"/>
      <c r="AG34" s="6"/>
      <c r="AH34" s="6">
        <f t="shared" si="17"/>
        <v>27.886296296296294</v>
      </c>
      <c r="AI34" s="95"/>
      <c r="AN34" s="356"/>
    </row>
    <row r="35" spans="1:43" ht="12.75" customHeight="1" x14ac:dyDescent="0.2">
      <c r="A35" s="1" t="s">
        <v>36</v>
      </c>
      <c r="B35" s="232">
        <v>81611.520000000004</v>
      </c>
      <c r="C35" s="233">
        <v>81636.52</v>
      </c>
      <c r="D35" s="222" t="s">
        <v>16</v>
      </c>
      <c r="E35" s="222">
        <v>0</v>
      </c>
      <c r="F35" s="223">
        <v>0</v>
      </c>
      <c r="G35" s="223">
        <v>0</v>
      </c>
      <c r="H35" s="26">
        <f t="shared" si="0"/>
        <v>0</v>
      </c>
      <c r="I35" s="27">
        <f t="shared" si="1"/>
        <v>0</v>
      </c>
      <c r="J35" s="27">
        <f t="shared" si="2"/>
        <v>0</v>
      </c>
      <c r="K35" s="27">
        <f t="shared" si="3"/>
        <v>0</v>
      </c>
      <c r="L35" s="4">
        <f t="shared" si="30"/>
        <v>25</v>
      </c>
      <c r="M35" s="224"/>
      <c r="N35" s="14" t="str">
        <f t="shared" si="20"/>
        <v/>
      </c>
      <c r="O35" s="224">
        <v>2130.16</v>
      </c>
      <c r="P35" s="4">
        <f t="shared" si="51"/>
        <v>2130.16</v>
      </c>
      <c r="Q35" s="6"/>
      <c r="R35" s="6"/>
      <c r="S35" s="6"/>
      <c r="T35" s="6"/>
      <c r="U35" s="225"/>
      <c r="V35" s="34"/>
      <c r="W35" s="4">
        <f t="shared" si="9"/>
        <v>39.447407407407404</v>
      </c>
      <c r="X35" s="6"/>
      <c r="Y35" s="4"/>
      <c r="Z35" s="4"/>
      <c r="AA35" s="6"/>
      <c r="AC35" s="98"/>
      <c r="AD35" s="94"/>
      <c r="AE35" s="6"/>
      <c r="AF35" s="6"/>
      <c r="AG35" s="6"/>
      <c r="AH35" s="6">
        <f t="shared" si="17"/>
        <v>39.447407407407404</v>
      </c>
      <c r="AI35" s="95"/>
      <c r="AN35" s="356"/>
      <c r="AO35" s="359" t="s">
        <v>122</v>
      </c>
      <c r="AP35" s="359"/>
      <c r="AQ35" s="359"/>
    </row>
    <row r="36" spans="1:43" ht="12.75" customHeight="1" x14ac:dyDescent="0.2">
      <c r="B36" s="232">
        <v>81636.52</v>
      </c>
      <c r="C36" s="233">
        <v>81711.14</v>
      </c>
      <c r="D36" s="222" t="s">
        <v>16</v>
      </c>
      <c r="E36" s="222">
        <v>0</v>
      </c>
      <c r="F36" s="223">
        <v>0</v>
      </c>
      <c r="G36" s="223">
        <v>0</v>
      </c>
      <c r="H36" s="26">
        <f t="shared" si="0"/>
        <v>0</v>
      </c>
      <c r="I36" s="27">
        <f t="shared" si="1"/>
        <v>0</v>
      </c>
      <c r="J36" s="27">
        <f t="shared" si="2"/>
        <v>0</v>
      </c>
      <c r="K36" s="27">
        <f t="shared" si="3"/>
        <v>0</v>
      </c>
      <c r="L36" s="4">
        <f t="shared" si="30"/>
        <v>74.619999999995343</v>
      </c>
      <c r="M36" s="224"/>
      <c r="N36" s="14" t="str">
        <f t="shared" si="20"/>
        <v/>
      </c>
      <c r="O36" s="224">
        <v>3087.44</v>
      </c>
      <c r="P36" s="4">
        <f t="shared" si="51"/>
        <v>3087.44</v>
      </c>
      <c r="Q36" s="6">
        <f t="shared" si="52"/>
        <v>0.17152444444444445</v>
      </c>
      <c r="R36" s="6">
        <f t="shared" si="53"/>
        <v>343.04888888888888</v>
      </c>
      <c r="S36" s="6">
        <f t="shared" ref="S36:S48" si="54">($P36+H36*$L36)/9</f>
        <v>343.04888888888888</v>
      </c>
      <c r="T36" s="6">
        <f t="shared" si="47"/>
        <v>10.188551999999998</v>
      </c>
      <c r="U36" s="225"/>
      <c r="V36" s="34">
        <f t="shared" ref="V36:V48" si="55">(P36*$V$1/12)/27+I36</f>
        <v>109.58506172839506</v>
      </c>
      <c r="W36" s="4">
        <f t="shared" si="9"/>
        <v>57.174814814814816</v>
      </c>
      <c r="X36" s="6">
        <f t="shared" ref="X36:X48" si="56">($P36/9)*$X$1</f>
        <v>13.721955555555555</v>
      </c>
      <c r="Y36" s="4">
        <f t="shared" ref="Y36:Y48" si="57">($P36*($Y$1/12))/27</f>
        <v>14.293703703703704</v>
      </c>
      <c r="Z36" s="4">
        <f t="shared" ref="Z36:Z48" si="58">(P36*$Z$1/12)/27+K36</f>
        <v>16.675987654320991</v>
      </c>
      <c r="AA36" s="6">
        <f t="shared" ref="AA36:AA48" si="59">L36</f>
        <v>74.619999999995343</v>
      </c>
      <c r="AC36" s="98">
        <f t="shared" ref="AC36:AC48" si="60">IF(E36=2,$AO$26*2*L36/27,IF(F36=2,$AO$32*2*L36/27,IF(G36=2,$AO$38*2*L36/27,IF(AND(E36=1,F36=1),($AO$26*L36+$AO$32*L36)/27,IF(AND(E36=1,F36=0,G36=0),$AO$26*L36/27,IF(AND(E36=1,G36=1),($AO$26*L36+$AO$38*L36)/27,IF(AND(E36=0,F36=1,G36=0),$AO$32*L36/27,IF(AND(F36=1,G36=1),($AO$32*L36+$AO$38*L36)/27,IF(AND(E36=0,F36=0,G36=1),$AO$38*L36/27,0)))))))))</f>
        <v>0</v>
      </c>
      <c r="AD36" s="94">
        <f t="shared" ref="AD36:AD48" si="61">(S36)/2000</f>
        <v>0.17152444444444445</v>
      </c>
      <c r="AE36" s="6">
        <f t="shared" ref="AE36:AE48" si="62">AF36</f>
        <v>343.04888888888888</v>
      </c>
      <c r="AF36" s="6">
        <f t="shared" ref="AF36:AF48" si="63">($P36+H36*$L36)/9</f>
        <v>343.04888888888888</v>
      </c>
      <c r="AG36" s="6">
        <f t="shared" ref="AG36:AG48" si="64">$S$1*AF36*110*0.06*0.75/2000</f>
        <v>10.188551999999998</v>
      </c>
      <c r="AH36" s="6">
        <f t="shared" si="17"/>
        <v>57.174814814814816</v>
      </c>
      <c r="AI36" s="95">
        <f t="shared" ref="AI36:AI48" si="65">P36/9</f>
        <v>343.04888888888888</v>
      </c>
      <c r="AN36" s="356"/>
      <c r="AO36" s="345" t="s">
        <v>109</v>
      </c>
      <c r="AP36" s="346"/>
      <c r="AQ36" s="347"/>
    </row>
    <row r="37" spans="1:43" ht="12.75" customHeight="1" x14ac:dyDescent="0.2">
      <c r="B37" s="232">
        <v>81711.14</v>
      </c>
      <c r="C37" s="233">
        <v>82520</v>
      </c>
      <c r="D37" s="222" t="s">
        <v>16</v>
      </c>
      <c r="E37" s="222">
        <v>0</v>
      </c>
      <c r="F37" s="223">
        <v>1</v>
      </c>
      <c r="G37" s="223">
        <v>0</v>
      </c>
      <c r="H37" s="26">
        <f t="shared" si="0"/>
        <v>2</v>
      </c>
      <c r="I37" s="27">
        <f t="shared" si="1"/>
        <v>0</v>
      </c>
      <c r="J37" s="27">
        <f t="shared" si="2"/>
        <v>14.9788888888889</v>
      </c>
      <c r="K37" s="27">
        <f t="shared" si="3"/>
        <v>0</v>
      </c>
      <c r="L37" s="4">
        <f t="shared" si="30"/>
        <v>808.86000000000058</v>
      </c>
      <c r="M37" s="224"/>
      <c r="N37" s="14" t="str">
        <f t="shared" si="20"/>
        <v/>
      </c>
      <c r="O37" s="224">
        <v>62410.64</v>
      </c>
      <c r="P37" s="4">
        <f t="shared" si="51"/>
        <v>62410.64</v>
      </c>
      <c r="Q37" s="6">
        <f t="shared" si="52"/>
        <v>3.5571311111111115</v>
      </c>
      <c r="R37" s="6">
        <f t="shared" si="53"/>
        <v>7114.2622222222226</v>
      </c>
      <c r="S37" s="6">
        <f t="shared" si="54"/>
        <v>7114.2622222222226</v>
      </c>
      <c r="T37" s="6">
        <f t="shared" si="47"/>
        <v>211.293588</v>
      </c>
      <c r="U37" s="225"/>
      <c r="V37" s="34">
        <f t="shared" si="55"/>
        <v>2215.1924691358022</v>
      </c>
      <c r="W37" s="4">
        <f t="shared" si="9"/>
        <v>1170.7314814814813</v>
      </c>
      <c r="X37" s="6">
        <f t="shared" si="56"/>
        <v>277.38062222222226</v>
      </c>
      <c r="Y37" s="4">
        <f t="shared" si="57"/>
        <v>288.93814814814817</v>
      </c>
      <c r="Z37" s="4">
        <f t="shared" si="58"/>
        <v>337.09450617283949</v>
      </c>
      <c r="AA37" s="6">
        <f t="shared" si="59"/>
        <v>808.86000000000058</v>
      </c>
      <c r="AC37" s="98">
        <f t="shared" si="60"/>
        <v>14.9788888888889</v>
      </c>
      <c r="AD37" s="94">
        <f t="shared" si="61"/>
        <v>3.5571311111111115</v>
      </c>
      <c r="AE37" s="6">
        <f t="shared" si="62"/>
        <v>7114.2622222222226</v>
      </c>
      <c r="AF37" s="6">
        <f t="shared" si="63"/>
        <v>7114.2622222222226</v>
      </c>
      <c r="AG37" s="6">
        <f t="shared" si="64"/>
        <v>211.293588</v>
      </c>
      <c r="AH37" s="6">
        <f t="shared" si="17"/>
        <v>1170.7314814814813</v>
      </c>
      <c r="AI37" s="95">
        <f t="shared" si="65"/>
        <v>6934.5155555555557</v>
      </c>
      <c r="AN37" s="356"/>
      <c r="AO37" s="348" t="s">
        <v>112</v>
      </c>
      <c r="AP37" s="349"/>
      <c r="AQ37" s="350"/>
    </row>
    <row r="38" spans="1:43" ht="12.75" customHeight="1" x14ac:dyDescent="0.2">
      <c r="B38" s="232">
        <v>82520</v>
      </c>
      <c r="C38" s="233">
        <v>84518.63</v>
      </c>
      <c r="D38" s="222" t="s">
        <v>16</v>
      </c>
      <c r="E38" s="222">
        <v>1</v>
      </c>
      <c r="F38" s="223">
        <v>0</v>
      </c>
      <c r="G38" s="223">
        <v>0</v>
      </c>
      <c r="H38" s="26">
        <f t="shared" si="0"/>
        <v>1.5</v>
      </c>
      <c r="I38" s="27">
        <f t="shared" si="1"/>
        <v>42.193300000000093</v>
      </c>
      <c r="J38" s="27">
        <f t="shared" si="2"/>
        <v>49.595633333333453</v>
      </c>
      <c r="K38" s="27">
        <f t="shared" si="3"/>
        <v>0</v>
      </c>
      <c r="L38" s="4">
        <f t="shared" si="30"/>
        <v>1998.6300000000047</v>
      </c>
      <c r="M38" s="224">
        <v>61.42</v>
      </c>
      <c r="N38" s="14">
        <f t="shared" si="20"/>
        <v>122755.85460000028</v>
      </c>
      <c r="O38" s="224"/>
      <c r="P38" s="4">
        <f t="shared" ref="P38" si="66">SUM(N38:O38)</f>
        <v>122755.85460000028</v>
      </c>
      <c r="Q38" s="6">
        <f t="shared" ref="Q38" si="67">(S38)/2000</f>
        <v>6.986322200000016</v>
      </c>
      <c r="R38" s="6">
        <f t="shared" ref="R38" si="68">S38</f>
        <v>13972.644400000032</v>
      </c>
      <c r="S38" s="6">
        <f t="shared" si="54"/>
        <v>13972.644400000032</v>
      </c>
      <c r="T38" s="6">
        <f t="shared" si="47"/>
        <v>414.98753868000091</v>
      </c>
      <c r="U38" s="225"/>
      <c r="V38" s="34">
        <f t="shared" si="55"/>
        <v>4399.2683861111209</v>
      </c>
      <c r="W38" s="4">
        <f t="shared" si="9"/>
        <v>2322.8522000000048</v>
      </c>
      <c r="X38" s="6">
        <f t="shared" si="56"/>
        <v>545.58157600000118</v>
      </c>
      <c r="Y38" s="4">
        <f t="shared" si="57"/>
        <v>568.31414166666798</v>
      </c>
      <c r="Z38" s="4">
        <f t="shared" si="58"/>
        <v>663.03316527777929</v>
      </c>
      <c r="AA38" s="6">
        <f t="shared" si="59"/>
        <v>1998.6300000000047</v>
      </c>
      <c r="AC38" s="98">
        <f t="shared" si="60"/>
        <v>37.011666666666756</v>
      </c>
      <c r="AD38" s="94">
        <f t="shared" si="61"/>
        <v>6.986322200000016</v>
      </c>
      <c r="AE38" s="6">
        <f t="shared" si="62"/>
        <v>13972.644400000032</v>
      </c>
      <c r="AF38" s="6">
        <f t="shared" si="63"/>
        <v>13972.644400000032</v>
      </c>
      <c r="AG38" s="6">
        <f t="shared" si="64"/>
        <v>414.98753868000091</v>
      </c>
      <c r="AH38" s="6">
        <f t="shared" si="17"/>
        <v>2310.2682333333382</v>
      </c>
      <c r="AI38" s="95">
        <f t="shared" si="65"/>
        <v>13639.539400000031</v>
      </c>
      <c r="AN38" s="356"/>
      <c r="AO38" s="353">
        <v>0.5</v>
      </c>
      <c r="AP38" s="354"/>
      <c r="AQ38" s="355"/>
    </row>
    <row r="39" spans="1:43" ht="12.75" customHeight="1" x14ac:dyDescent="0.2">
      <c r="B39" s="232">
        <v>84518.63</v>
      </c>
      <c r="C39" s="233">
        <v>84618.63</v>
      </c>
      <c r="D39" s="222" t="s">
        <v>16</v>
      </c>
      <c r="E39" s="222">
        <v>1</v>
      </c>
      <c r="F39" s="223">
        <v>0</v>
      </c>
      <c r="G39" s="223">
        <v>0</v>
      </c>
      <c r="H39" s="26">
        <f t="shared" si="0"/>
        <v>1.5</v>
      </c>
      <c r="I39" s="27">
        <f t="shared" si="1"/>
        <v>2.1111111111111107</v>
      </c>
      <c r="J39" s="27">
        <f t="shared" si="2"/>
        <v>2.4814814814814814</v>
      </c>
      <c r="K39" s="27">
        <f t="shared" si="3"/>
        <v>0</v>
      </c>
      <c r="L39" s="4">
        <f t="shared" si="30"/>
        <v>100</v>
      </c>
      <c r="M39" s="224">
        <v>65.42</v>
      </c>
      <c r="N39" s="14">
        <f t="shared" si="20"/>
        <v>6542</v>
      </c>
      <c r="O39" s="224"/>
      <c r="P39" s="4">
        <f t="shared" ref="P39" si="69">SUM(N39:O39)</f>
        <v>6542</v>
      </c>
      <c r="Q39" s="6">
        <f t="shared" ref="Q39" si="70">(S39)/2000</f>
        <v>0.37177777777777776</v>
      </c>
      <c r="R39" s="6">
        <f t="shared" ref="R39" si="71">S39</f>
        <v>743.55555555555554</v>
      </c>
      <c r="S39" s="6">
        <f t="shared" si="54"/>
        <v>743.55555555555554</v>
      </c>
      <c r="T39" s="6">
        <f t="shared" si="47"/>
        <v>22.083599999999997</v>
      </c>
      <c r="U39" s="225"/>
      <c r="V39" s="34">
        <f t="shared" si="55"/>
        <v>234.31172839506175</v>
      </c>
      <c r="W39" s="4">
        <f t="shared" si="9"/>
        <v>123.62962962962963</v>
      </c>
      <c r="X39" s="6">
        <f t="shared" si="56"/>
        <v>29.075555555555557</v>
      </c>
      <c r="Y39" s="4">
        <f t="shared" si="57"/>
        <v>30.287037037037038</v>
      </c>
      <c r="Z39" s="4">
        <f t="shared" si="58"/>
        <v>35.334876543209873</v>
      </c>
      <c r="AA39" s="6">
        <f t="shared" si="59"/>
        <v>100</v>
      </c>
      <c r="AC39" s="98">
        <f t="shared" si="60"/>
        <v>1.8518518518518519</v>
      </c>
      <c r="AD39" s="94">
        <f t="shared" si="61"/>
        <v>0.37177777777777776</v>
      </c>
      <c r="AE39" s="6">
        <f t="shared" si="62"/>
        <v>743.55555555555554</v>
      </c>
      <c r="AF39" s="6">
        <f t="shared" si="63"/>
        <v>743.55555555555554</v>
      </c>
      <c r="AG39" s="6">
        <f t="shared" si="64"/>
        <v>22.083599999999997</v>
      </c>
      <c r="AH39" s="6">
        <f t="shared" si="17"/>
        <v>123</v>
      </c>
      <c r="AI39" s="95">
        <f t="shared" si="65"/>
        <v>726.88888888888891</v>
      </c>
    </row>
    <row r="40" spans="1:43" ht="12.75" customHeight="1" x14ac:dyDescent="0.2">
      <c r="B40" s="232">
        <v>84618.63</v>
      </c>
      <c r="C40" s="233">
        <v>84964.31</v>
      </c>
      <c r="D40" s="222" t="s">
        <v>16</v>
      </c>
      <c r="E40" s="222">
        <v>1</v>
      </c>
      <c r="F40" s="223">
        <v>0</v>
      </c>
      <c r="G40" s="223">
        <v>0</v>
      </c>
      <c r="H40" s="26">
        <f t="shared" si="0"/>
        <v>1.5</v>
      </c>
      <c r="I40" s="27">
        <f t="shared" si="1"/>
        <v>7.2976888888887403</v>
      </c>
      <c r="J40" s="27">
        <f t="shared" si="2"/>
        <v>8.5779851851850122</v>
      </c>
      <c r="K40" s="27">
        <f t="shared" si="3"/>
        <v>0</v>
      </c>
      <c r="L40" s="4">
        <f t="shared" si="30"/>
        <v>345.67999999999302</v>
      </c>
      <c r="M40" s="224">
        <v>69.42</v>
      </c>
      <c r="N40" s="14">
        <f t="shared" si="20"/>
        <v>23997.105599999515</v>
      </c>
      <c r="O40" s="224"/>
      <c r="P40" s="4">
        <f t="shared" ref="P40" si="72">SUM(N40:O40)</f>
        <v>23997.105599999515</v>
      </c>
      <c r="Q40" s="6">
        <f t="shared" ref="Q40" si="73">(S40)/2000</f>
        <v>1.3619791999999724</v>
      </c>
      <c r="R40" s="6">
        <f t="shared" ref="R40" si="74">S40</f>
        <v>2723.958399999945</v>
      </c>
      <c r="S40" s="6">
        <f t="shared" si="54"/>
        <v>2723.958399999945</v>
      </c>
      <c r="T40" s="6">
        <f t="shared" si="47"/>
        <v>80.90156447999837</v>
      </c>
      <c r="U40" s="225"/>
      <c r="V40" s="34">
        <f t="shared" si="55"/>
        <v>859.04680740739002</v>
      </c>
      <c r="W40" s="4">
        <f t="shared" si="9"/>
        <v>452.96882962962047</v>
      </c>
      <c r="X40" s="6">
        <f t="shared" si="56"/>
        <v>106.6538026666645</v>
      </c>
      <c r="Y40" s="4">
        <f t="shared" si="57"/>
        <v>111.09771111110886</v>
      </c>
      <c r="Z40" s="4">
        <f t="shared" si="58"/>
        <v>129.61399629629366</v>
      </c>
      <c r="AA40" s="6">
        <f t="shared" si="59"/>
        <v>345.67999999999302</v>
      </c>
      <c r="AC40" s="98">
        <f t="shared" si="60"/>
        <v>6.4014814814813521</v>
      </c>
      <c r="AD40" s="94">
        <f t="shared" si="61"/>
        <v>1.3619791999999724</v>
      </c>
      <c r="AE40" s="6">
        <f t="shared" si="62"/>
        <v>2723.958399999945</v>
      </c>
      <c r="AF40" s="6">
        <f t="shared" si="63"/>
        <v>2723.958399999945</v>
      </c>
      <c r="AG40" s="6">
        <f t="shared" si="64"/>
        <v>80.90156447999837</v>
      </c>
      <c r="AH40" s="6">
        <f t="shared" si="17"/>
        <v>450.79232592591683</v>
      </c>
      <c r="AI40" s="95">
        <f t="shared" si="65"/>
        <v>2666.3450666666126</v>
      </c>
    </row>
    <row r="41" spans="1:43" ht="12.75" customHeight="1" x14ac:dyDescent="0.2">
      <c r="B41" s="232">
        <v>84964.31</v>
      </c>
      <c r="C41" s="233">
        <v>85418.63</v>
      </c>
      <c r="D41" s="222" t="s">
        <v>16</v>
      </c>
      <c r="E41" s="222">
        <v>1</v>
      </c>
      <c r="F41" s="223">
        <v>0</v>
      </c>
      <c r="G41" s="223">
        <v>0</v>
      </c>
      <c r="H41" s="26">
        <f t="shared" si="0"/>
        <v>1.5</v>
      </c>
      <c r="I41" s="27">
        <f t="shared" si="1"/>
        <v>9.5912000000001481</v>
      </c>
      <c r="J41" s="27">
        <f t="shared" si="2"/>
        <v>11.273866666666841</v>
      </c>
      <c r="K41" s="27">
        <f t="shared" si="3"/>
        <v>0</v>
      </c>
      <c r="L41" s="4">
        <f t="shared" si="30"/>
        <v>454.32000000000698</v>
      </c>
      <c r="M41" s="224"/>
      <c r="N41" s="14" t="str">
        <f t="shared" si="20"/>
        <v/>
      </c>
      <c r="O41" s="224">
        <v>35611.360000000001</v>
      </c>
      <c r="P41" s="4">
        <f t="shared" ref="P41" si="75">SUM(N41:O41)</f>
        <v>35611.360000000001</v>
      </c>
      <c r="Q41" s="6">
        <f t="shared" ref="Q41" si="76">(S41)/2000</f>
        <v>2.0162688888888893</v>
      </c>
      <c r="R41" s="6">
        <f t="shared" ref="R41" si="77">S41</f>
        <v>4032.537777777779</v>
      </c>
      <c r="S41" s="6">
        <f t="shared" si="54"/>
        <v>4032.537777777779</v>
      </c>
      <c r="T41" s="6">
        <f t="shared" si="47"/>
        <v>119.76637200000003</v>
      </c>
      <c r="U41" s="225"/>
      <c r="V41" s="34">
        <f t="shared" si="55"/>
        <v>1273.5746567901238</v>
      </c>
      <c r="W41" s="4">
        <f t="shared" si="9"/>
        <v>670.74349629629648</v>
      </c>
      <c r="X41" s="6">
        <f t="shared" si="56"/>
        <v>158.27271111111111</v>
      </c>
      <c r="Y41" s="4">
        <f t="shared" si="57"/>
        <v>164.8674074074074</v>
      </c>
      <c r="Z41" s="4">
        <f t="shared" si="58"/>
        <v>192.34530864197532</v>
      </c>
      <c r="AA41" s="6">
        <f t="shared" si="59"/>
        <v>454.32000000000698</v>
      </c>
      <c r="AC41" s="98">
        <f t="shared" si="60"/>
        <v>8.4133333333334619</v>
      </c>
      <c r="AD41" s="94">
        <f t="shared" si="61"/>
        <v>2.0162688888888893</v>
      </c>
      <c r="AE41" s="6">
        <f t="shared" si="62"/>
        <v>4032.537777777779</v>
      </c>
      <c r="AF41" s="6">
        <f t="shared" si="63"/>
        <v>4032.537777777779</v>
      </c>
      <c r="AG41" s="6">
        <f t="shared" si="64"/>
        <v>119.76637200000003</v>
      </c>
      <c r="AH41" s="6">
        <f t="shared" si="17"/>
        <v>667.88296296296301</v>
      </c>
      <c r="AI41" s="95">
        <f t="shared" si="65"/>
        <v>3956.8177777777778</v>
      </c>
    </row>
    <row r="42" spans="1:43" ht="12.75" customHeight="1" x14ac:dyDescent="0.2">
      <c r="B42" s="232">
        <v>85418.63</v>
      </c>
      <c r="C42" s="233">
        <v>86936.18</v>
      </c>
      <c r="D42" s="222" t="s">
        <v>16</v>
      </c>
      <c r="E42" s="222">
        <v>1</v>
      </c>
      <c r="F42" s="223">
        <v>0</v>
      </c>
      <c r="G42" s="223">
        <v>0</v>
      </c>
      <c r="H42" s="26">
        <f t="shared" si="0"/>
        <v>1.5</v>
      </c>
      <c r="I42" s="27">
        <f t="shared" si="1"/>
        <v>32.037166666666423</v>
      </c>
      <c r="J42" s="27">
        <f t="shared" si="2"/>
        <v>37.657722222221935</v>
      </c>
      <c r="K42" s="27">
        <f t="shared" si="3"/>
        <v>0</v>
      </c>
      <c r="L42" s="4">
        <f t="shared" si="30"/>
        <v>1517.5499999999884</v>
      </c>
      <c r="M42" s="224">
        <v>61.42</v>
      </c>
      <c r="N42" s="14">
        <f t="shared" si="20"/>
        <v>93207.920999999289</v>
      </c>
      <c r="O42" s="224"/>
      <c r="P42" s="4">
        <f t="shared" ref="P42" si="78">SUM(N42:O42)</f>
        <v>93207.920999999289</v>
      </c>
      <c r="Q42" s="6">
        <f t="shared" ref="Q42" si="79">(S42)/2000</f>
        <v>5.3046803333332928</v>
      </c>
      <c r="R42" s="6">
        <f t="shared" ref="R42" si="80">S42</f>
        <v>10609.360666666586</v>
      </c>
      <c r="S42" s="6">
        <f t="shared" si="54"/>
        <v>10609.360666666586</v>
      </c>
      <c r="T42" s="6">
        <f t="shared" si="47"/>
        <v>315.09801179999755</v>
      </c>
      <c r="U42" s="225"/>
      <c r="V42" s="34">
        <f t="shared" si="55"/>
        <v>3340.3430046296039</v>
      </c>
      <c r="W42" s="4">
        <f t="shared" si="9"/>
        <v>1763.73033333332</v>
      </c>
      <c r="X42" s="6">
        <f t="shared" si="56"/>
        <v>414.25742666666355</v>
      </c>
      <c r="Y42" s="4">
        <f t="shared" si="57"/>
        <v>431.5181527777745</v>
      </c>
      <c r="Z42" s="4">
        <f t="shared" si="58"/>
        <v>503.43784490740359</v>
      </c>
      <c r="AA42" s="6">
        <f t="shared" si="59"/>
        <v>1517.5499999999884</v>
      </c>
      <c r="AC42" s="98">
        <f t="shared" si="60"/>
        <v>28.102777777777561</v>
      </c>
      <c r="AD42" s="94">
        <f t="shared" si="61"/>
        <v>5.3046803333332928</v>
      </c>
      <c r="AE42" s="6">
        <f t="shared" si="62"/>
        <v>10609.360666666586</v>
      </c>
      <c r="AF42" s="6">
        <f t="shared" si="63"/>
        <v>10609.360666666586</v>
      </c>
      <c r="AG42" s="6">
        <f t="shared" si="64"/>
        <v>315.09801179999755</v>
      </c>
      <c r="AH42" s="6">
        <f t="shared" si="17"/>
        <v>1754.1753888888757</v>
      </c>
      <c r="AI42" s="95">
        <f t="shared" si="65"/>
        <v>10356.435666666588</v>
      </c>
    </row>
    <row r="43" spans="1:43" ht="12.75" customHeight="1" x14ac:dyDescent="0.2">
      <c r="B43" s="232">
        <v>86936.18</v>
      </c>
      <c r="C43" s="233">
        <v>87289.96</v>
      </c>
      <c r="D43" s="222" t="s">
        <v>16</v>
      </c>
      <c r="E43" s="222">
        <v>1</v>
      </c>
      <c r="F43" s="223">
        <v>0</v>
      </c>
      <c r="G43" s="223">
        <v>0</v>
      </c>
      <c r="H43" s="26">
        <f t="shared" si="0"/>
        <v>1.5</v>
      </c>
      <c r="I43" s="27">
        <f t="shared" si="1"/>
        <v>7.4686888888891705</v>
      </c>
      <c r="J43" s="27">
        <f t="shared" si="2"/>
        <v>8.7789851851855172</v>
      </c>
      <c r="K43" s="27">
        <f t="shared" si="3"/>
        <v>0</v>
      </c>
      <c r="L43" s="4">
        <f t="shared" si="30"/>
        <v>353.78000000001339</v>
      </c>
      <c r="M43" s="224"/>
      <c r="N43" s="14" t="str">
        <f t="shared" si="20"/>
        <v/>
      </c>
      <c r="O43" s="224">
        <v>29908.37</v>
      </c>
      <c r="P43" s="4">
        <f t="shared" ref="P43" si="81">SUM(N43:O43)</f>
        <v>29908.37</v>
      </c>
      <c r="Q43" s="6">
        <f t="shared" ref="Q43" si="82">(S43)/2000</f>
        <v>1.6910577777777789</v>
      </c>
      <c r="R43" s="6">
        <f t="shared" ref="R43" si="83">S43</f>
        <v>3382.1155555555579</v>
      </c>
      <c r="S43" s="6">
        <f t="shared" si="54"/>
        <v>3382.1155555555579</v>
      </c>
      <c r="T43" s="6">
        <f t="shared" si="47"/>
        <v>100.44883200000005</v>
      </c>
      <c r="U43" s="225"/>
      <c r="V43" s="34">
        <f t="shared" si="55"/>
        <v>1069.0312043209879</v>
      </c>
      <c r="W43" s="4">
        <f t="shared" si="9"/>
        <v>562.63768888888922</v>
      </c>
      <c r="X43" s="6">
        <f t="shared" si="56"/>
        <v>132.92608888888887</v>
      </c>
      <c r="Y43" s="4">
        <f t="shared" si="57"/>
        <v>138.46467592592592</v>
      </c>
      <c r="Z43" s="4">
        <f t="shared" si="58"/>
        <v>161.54212191358025</v>
      </c>
      <c r="AA43" s="6">
        <f t="shared" si="59"/>
        <v>353.78000000001339</v>
      </c>
      <c r="AC43" s="98">
        <f t="shared" si="60"/>
        <v>6.551481481481729</v>
      </c>
      <c r="AD43" s="94">
        <f t="shared" si="61"/>
        <v>1.6910577777777789</v>
      </c>
      <c r="AE43" s="6">
        <f t="shared" si="62"/>
        <v>3382.1155555555579</v>
      </c>
      <c r="AF43" s="6">
        <f t="shared" si="63"/>
        <v>3382.1155555555579</v>
      </c>
      <c r="AG43" s="6">
        <f t="shared" si="64"/>
        <v>100.44883200000005</v>
      </c>
      <c r="AH43" s="6">
        <f t="shared" si="17"/>
        <v>560.41018518518536</v>
      </c>
      <c r="AI43" s="95">
        <f t="shared" si="65"/>
        <v>3323.152222222222</v>
      </c>
    </row>
    <row r="44" spans="1:43" ht="12.75" customHeight="1" x14ac:dyDescent="0.2">
      <c r="B44" s="232">
        <v>87289.96</v>
      </c>
      <c r="C44" s="233">
        <v>87819.96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0"/>
        <v>2</v>
      </c>
      <c r="I44" s="27">
        <f t="shared" si="1"/>
        <v>0</v>
      </c>
      <c r="J44" s="27">
        <f t="shared" si="2"/>
        <v>9.8148148148148149</v>
      </c>
      <c r="K44" s="27">
        <f t="shared" si="3"/>
        <v>0</v>
      </c>
      <c r="L44" s="4">
        <f t="shared" si="30"/>
        <v>530</v>
      </c>
      <c r="M44" s="224"/>
      <c r="N44" s="14" t="str">
        <f t="shared" si="20"/>
        <v/>
      </c>
      <c r="O44" s="224">
        <v>41064.06</v>
      </c>
      <c r="P44" s="4">
        <f t="shared" ref="P44:P45" si="84">SUM(N44:O44)</f>
        <v>41064.06</v>
      </c>
      <c r="Q44" s="6">
        <f t="shared" ref="Q44:Q45" si="85">(S44)/2000</f>
        <v>2.3402255555555551</v>
      </c>
      <c r="R44" s="6">
        <f t="shared" ref="R44:R45" si="86">S44</f>
        <v>4680.4511111111105</v>
      </c>
      <c r="S44" s="6">
        <f t="shared" si="54"/>
        <v>4680.4511111111105</v>
      </c>
      <c r="T44" s="6">
        <f t="shared" si="47"/>
        <v>139.00939799999998</v>
      </c>
      <c r="U44" s="225"/>
      <c r="V44" s="34">
        <f t="shared" si="55"/>
        <v>1457.520648148148</v>
      </c>
      <c r="W44" s="4">
        <f t="shared" si="9"/>
        <v>770.26037037037031</v>
      </c>
      <c r="X44" s="6">
        <f t="shared" si="56"/>
        <v>182.50693333333334</v>
      </c>
      <c r="Y44" s="4">
        <f t="shared" si="57"/>
        <v>190.11138888888888</v>
      </c>
      <c r="Z44" s="4">
        <f t="shared" si="58"/>
        <v>221.79662037037036</v>
      </c>
      <c r="AA44" s="6">
        <f t="shared" si="59"/>
        <v>530</v>
      </c>
      <c r="AC44" s="98">
        <f t="shared" si="60"/>
        <v>9.8148148148148149</v>
      </c>
      <c r="AD44" s="94">
        <f t="shared" si="61"/>
        <v>2.3402255555555551</v>
      </c>
      <c r="AE44" s="6">
        <f t="shared" si="62"/>
        <v>4680.4511111111105</v>
      </c>
      <c r="AF44" s="6">
        <f t="shared" si="63"/>
        <v>4680.4511111111105</v>
      </c>
      <c r="AG44" s="6">
        <f t="shared" si="64"/>
        <v>139.00939799999998</v>
      </c>
      <c r="AH44" s="6">
        <f t="shared" si="17"/>
        <v>770.26037037037031</v>
      </c>
      <c r="AI44" s="95">
        <f t="shared" si="65"/>
        <v>4562.6733333333332</v>
      </c>
    </row>
    <row r="45" spans="1:43" ht="12.75" customHeight="1" x14ac:dyDescent="0.2">
      <c r="B45" s="232">
        <v>87819.96</v>
      </c>
      <c r="C45" s="233">
        <v>88258.19</v>
      </c>
      <c r="D45" s="222" t="s">
        <v>16</v>
      </c>
      <c r="E45" s="222">
        <v>1</v>
      </c>
      <c r="F45" s="223">
        <v>0</v>
      </c>
      <c r="G45" s="223">
        <v>0</v>
      </c>
      <c r="H45" s="26">
        <f t="shared" si="0"/>
        <v>1.5</v>
      </c>
      <c r="I45" s="27">
        <f t="shared" si="1"/>
        <v>9.2515222222221354</v>
      </c>
      <c r="J45" s="27">
        <f t="shared" si="2"/>
        <v>10.874596296296195</v>
      </c>
      <c r="K45" s="27">
        <f t="shared" si="3"/>
        <v>0</v>
      </c>
      <c r="L45" s="4">
        <f t="shared" si="30"/>
        <v>438.22999999999593</v>
      </c>
      <c r="M45" s="224"/>
      <c r="N45" s="14" t="str">
        <f t="shared" si="20"/>
        <v/>
      </c>
      <c r="O45" s="224">
        <v>28835.96</v>
      </c>
      <c r="P45" s="4">
        <f t="shared" si="84"/>
        <v>28835.96</v>
      </c>
      <c r="Q45" s="6">
        <f t="shared" si="85"/>
        <v>1.6385169444444441</v>
      </c>
      <c r="R45" s="6">
        <f t="shared" si="86"/>
        <v>3277.0338888888882</v>
      </c>
      <c r="S45" s="6">
        <f t="shared" si="54"/>
        <v>3277.0338888888882</v>
      </c>
      <c r="T45" s="6">
        <f t="shared" si="47"/>
        <v>97.327906499999983</v>
      </c>
      <c r="U45" s="225"/>
      <c r="V45" s="34">
        <f t="shared" si="55"/>
        <v>1032.7501024691358</v>
      </c>
      <c r="W45" s="4">
        <f t="shared" si="9"/>
        <v>544.87385555555556</v>
      </c>
      <c r="X45" s="6">
        <f t="shared" si="56"/>
        <v>128.1598222222222</v>
      </c>
      <c r="Y45" s="4">
        <f t="shared" si="57"/>
        <v>133.49981481481481</v>
      </c>
      <c r="Z45" s="4">
        <f t="shared" si="58"/>
        <v>155.74978395061729</v>
      </c>
      <c r="AA45" s="6">
        <f t="shared" si="59"/>
        <v>438.22999999999593</v>
      </c>
      <c r="AC45" s="98">
        <f t="shared" si="60"/>
        <v>8.1153703703702949</v>
      </c>
      <c r="AD45" s="94">
        <f t="shared" si="61"/>
        <v>1.6385169444444441</v>
      </c>
      <c r="AE45" s="6">
        <f t="shared" si="62"/>
        <v>3277.0338888888882</v>
      </c>
      <c r="AF45" s="6">
        <f t="shared" si="63"/>
        <v>3277.0338888888882</v>
      </c>
      <c r="AG45" s="6">
        <f t="shared" si="64"/>
        <v>97.327906499999983</v>
      </c>
      <c r="AH45" s="6">
        <f t="shared" si="17"/>
        <v>542.11462962962969</v>
      </c>
      <c r="AI45" s="95">
        <f t="shared" si="65"/>
        <v>3203.9955555555553</v>
      </c>
    </row>
    <row r="46" spans="1:43" ht="12.75" customHeight="1" x14ac:dyDescent="0.2">
      <c r="B46" s="232">
        <v>88258.19</v>
      </c>
      <c r="C46" s="233">
        <v>89287.96</v>
      </c>
      <c r="D46" s="222" t="s">
        <v>16</v>
      </c>
      <c r="E46" s="222">
        <v>1</v>
      </c>
      <c r="F46" s="223">
        <v>0</v>
      </c>
      <c r="G46" s="223">
        <v>0</v>
      </c>
      <c r="H46" s="26">
        <f t="shared" si="0"/>
        <v>1.5</v>
      </c>
      <c r="I46" s="27">
        <f t="shared" si="1"/>
        <v>21.739588888888971</v>
      </c>
      <c r="J46" s="27">
        <f t="shared" si="2"/>
        <v>25.553551851851953</v>
      </c>
      <c r="K46" s="27">
        <f t="shared" si="3"/>
        <v>0</v>
      </c>
      <c r="L46" s="4">
        <f t="shared" si="30"/>
        <v>1029.7700000000041</v>
      </c>
      <c r="M46" s="224">
        <v>61.42</v>
      </c>
      <c r="N46" s="14">
        <f t="shared" si="20"/>
        <v>63248.47340000025</v>
      </c>
      <c r="O46" s="224"/>
      <c r="P46" s="4">
        <f t="shared" ref="P46" si="87">SUM(N46:O46)</f>
        <v>63248.47340000025</v>
      </c>
      <c r="Q46" s="6">
        <f t="shared" ref="Q46" si="88">(S46)/2000</f>
        <v>3.5996182444444584</v>
      </c>
      <c r="R46" s="6">
        <f t="shared" ref="R46" si="89">S46</f>
        <v>7199.2364888889169</v>
      </c>
      <c r="S46" s="6">
        <f t="shared" si="54"/>
        <v>7199.2364888889169</v>
      </c>
      <c r="T46" s="6">
        <f t="shared" ref="T46" si="90">$S$1*S46*110*0.06*0.75/2000</f>
        <v>213.81732372000084</v>
      </c>
      <c r="U46" s="225"/>
      <c r="V46" s="34">
        <f t="shared" si="55"/>
        <v>2266.6699719135895</v>
      </c>
      <c r="W46" s="4">
        <f t="shared" si="9"/>
        <v>1196.8215777777825</v>
      </c>
      <c r="X46" s="6">
        <f t="shared" si="56"/>
        <v>281.10432622222334</v>
      </c>
      <c r="Y46" s="4">
        <f t="shared" si="57"/>
        <v>292.81700648148262</v>
      </c>
      <c r="Z46" s="4">
        <f t="shared" si="58"/>
        <v>341.61984089506308</v>
      </c>
      <c r="AA46" s="6">
        <f t="shared" si="59"/>
        <v>1029.7700000000041</v>
      </c>
      <c r="AC46" s="98">
        <f t="shared" si="60"/>
        <v>19.06981481481489</v>
      </c>
      <c r="AD46" s="94">
        <f t="shared" si="61"/>
        <v>3.5996182444444584</v>
      </c>
      <c r="AE46" s="6">
        <f t="shared" si="62"/>
        <v>7199.2364888889169</v>
      </c>
      <c r="AF46" s="6">
        <f t="shared" si="63"/>
        <v>7199.2364888889169</v>
      </c>
      <c r="AG46" s="6">
        <f t="shared" si="64"/>
        <v>213.81732372000084</v>
      </c>
      <c r="AH46" s="6">
        <f t="shared" si="17"/>
        <v>1190.3378407407454</v>
      </c>
      <c r="AI46" s="95">
        <f t="shared" si="65"/>
        <v>7027.6081555555829</v>
      </c>
    </row>
    <row r="47" spans="1:43" ht="12.75" customHeight="1" x14ac:dyDescent="0.2">
      <c r="B47" s="232">
        <v>89287.96</v>
      </c>
      <c r="C47" s="233">
        <v>89596.98</v>
      </c>
      <c r="D47" s="222" t="s">
        <v>16</v>
      </c>
      <c r="E47" s="222">
        <v>0</v>
      </c>
      <c r="F47" s="223">
        <v>1</v>
      </c>
      <c r="G47" s="223">
        <v>0</v>
      </c>
      <c r="H47" s="26">
        <f t="shared" si="0"/>
        <v>2</v>
      </c>
      <c r="I47" s="27">
        <f t="shared" si="1"/>
        <v>0</v>
      </c>
      <c r="J47" s="27">
        <f t="shared" si="2"/>
        <v>5.7225925925923988</v>
      </c>
      <c r="K47" s="27">
        <f t="shared" si="3"/>
        <v>0</v>
      </c>
      <c r="L47" s="4">
        <f t="shared" si="30"/>
        <v>309.01999999998952</v>
      </c>
      <c r="M47" s="224">
        <v>63.42</v>
      </c>
      <c r="N47" s="14">
        <f t="shared" si="20"/>
        <v>19598.048399999338</v>
      </c>
      <c r="O47" s="224"/>
      <c r="P47" s="4">
        <f t="shared" ref="P47" si="91">SUM(N47:O47)</f>
        <v>19598.048399999338</v>
      </c>
      <c r="Q47" s="6">
        <f t="shared" ref="Q47" si="92">(S47)/2000</f>
        <v>1.1231160222221843</v>
      </c>
      <c r="R47" s="6">
        <f t="shared" ref="R47" si="93">S47</f>
        <v>2246.2320444443685</v>
      </c>
      <c r="S47" s="6">
        <f t="shared" si="54"/>
        <v>2246.2320444443685</v>
      </c>
      <c r="T47" s="6">
        <f t="shared" ref="T47" si="94">$S$1*S47*110*0.06*0.75/2000</f>
        <v>66.713091719997735</v>
      </c>
      <c r="U47" s="225"/>
      <c r="V47" s="34">
        <f t="shared" si="55"/>
        <v>695.60974259256909</v>
      </c>
      <c r="W47" s="4">
        <f t="shared" si="9"/>
        <v>368.64941481480236</v>
      </c>
      <c r="X47" s="6">
        <f t="shared" si="56"/>
        <v>87.102437333330386</v>
      </c>
      <c r="Y47" s="4">
        <f t="shared" si="57"/>
        <v>90.731705555552495</v>
      </c>
      <c r="Z47" s="4">
        <f t="shared" si="58"/>
        <v>105.85365648147791</v>
      </c>
      <c r="AA47" s="6">
        <f t="shared" si="59"/>
        <v>309.01999999998952</v>
      </c>
      <c r="AC47" s="98">
        <f t="shared" si="60"/>
        <v>5.7225925925923988</v>
      </c>
      <c r="AD47" s="94">
        <f t="shared" si="61"/>
        <v>1.1231160222221843</v>
      </c>
      <c r="AE47" s="6">
        <f t="shared" si="62"/>
        <v>2246.2320444443685</v>
      </c>
      <c r="AF47" s="6">
        <f t="shared" si="63"/>
        <v>2246.2320444443685</v>
      </c>
      <c r="AG47" s="6">
        <f t="shared" si="64"/>
        <v>66.713091719997735</v>
      </c>
      <c r="AH47" s="6">
        <f t="shared" si="17"/>
        <v>368.64941481480236</v>
      </c>
      <c r="AI47" s="95">
        <f t="shared" si="65"/>
        <v>2177.5609333332595</v>
      </c>
    </row>
    <row r="48" spans="1:43" ht="12.75" customHeight="1" x14ac:dyDescent="0.2">
      <c r="B48" s="232">
        <v>89596.98</v>
      </c>
      <c r="C48" s="233">
        <v>89617.38</v>
      </c>
      <c r="D48" s="222" t="s">
        <v>16</v>
      </c>
      <c r="E48" s="222">
        <v>0</v>
      </c>
      <c r="F48" s="223">
        <v>0</v>
      </c>
      <c r="G48" s="223">
        <v>0</v>
      </c>
      <c r="H48" s="26">
        <f t="shared" ref="H48:H65" si="95">IF(E48=2,$AL$4*2,IF(F48=2,$AO$10*2,IF(G48=2,$AL$16*2,IF(AND(E48=1,F48=1),$AL$4+$AO$10,IF(AND(E48=1,F48=0,G48=0),$AL$4,IF(AND(E48=1,G48=1),$AL$4+$AL$16,IF(AND(E48=0,F48=1,G48=0),$AO$10,IF(AND(F48=1,G48=1),$AO$10+$AL$16,IF(AND(E48=0,F48=0,G48=1),$AL$16,0)))))))))</f>
        <v>0</v>
      </c>
      <c r="I48" s="27">
        <f t="shared" ref="I48:I65" si="96">IF(E48=2,AO$4*L48*2/27,IF(G48=2,$AO$16*L48*2/27,IF(AND(E48=1,G48=0),$AO$4*L48/27,IF(AND(E48=1,G48=1),($AO$4*L48+$AO$16*L48)/27,IF(AND(F48=1,G48=1),$AO$16*L48/27,IF(AND(E48=0,F48=0,G48=1),$AO$16*L48/27,0))))))</f>
        <v>0</v>
      </c>
      <c r="J48" s="27">
        <f t="shared" ref="J48:J65" si="97">IF(E48=2,$AR$4*2*L48/27,IF(F48=2,$AR$10*2*L48/27,IF(G48=2,$AR$16*2*L48/27,IF(AND(E48=1,F48=1),($AR$4*L48+$AR$10*L48)/27,IF(AND(E48=1,F48=0,G48=0),$AR$4*L48/27,IF(AND(E48=1,G48=1),($AR$4*L48+$AR$16*L48)/27,IF(AND(E48=0,F48=1,G48=0),$AR$10*L48/27,IF(AND(F48=1,G48=1),($AR$10*L48+$AR$16*L48)/27,IF(AND(E48=0,F48=0,G48=1),$AR$16*L48/27,0)))))))))</f>
        <v>0</v>
      </c>
      <c r="K48" s="27">
        <f t="shared" ref="K48:K65" si="98">IF(G48=1,$AU$16*L48/27,IF(G48=2,$AU$16*L48*2/27,0))</f>
        <v>0</v>
      </c>
      <c r="L48" s="4">
        <f t="shared" si="30"/>
        <v>20.400000000008731</v>
      </c>
      <c r="M48" s="224"/>
      <c r="N48" s="14" t="str">
        <f t="shared" si="20"/>
        <v/>
      </c>
      <c r="O48" s="224">
        <v>647</v>
      </c>
      <c r="P48" s="4">
        <f t="shared" ref="P48:P51" si="99">SUM(N48:O48)</f>
        <v>647</v>
      </c>
      <c r="Q48" s="6">
        <f t="shared" ref="Q48:Q51" si="100">(S48)/2000</f>
        <v>3.5944444444444446E-2</v>
      </c>
      <c r="R48" s="6">
        <f t="shared" ref="R48:R51" si="101">S48</f>
        <v>71.888888888888886</v>
      </c>
      <c r="S48" s="6">
        <f t="shared" si="54"/>
        <v>71.888888888888886</v>
      </c>
      <c r="T48" s="6">
        <f t="shared" ref="T48:T51" si="102">$S$1*S48*110*0.06*0.75/2000</f>
        <v>2.1351</v>
      </c>
      <c r="U48" s="225"/>
      <c r="V48" s="34">
        <f t="shared" si="55"/>
        <v>22.964506172839506</v>
      </c>
      <c r="W48" s="4">
        <f t="shared" ref="W48:W65" si="103">(P48*$W$1/12)/27+J48</f>
        <v>11.981481481481481</v>
      </c>
      <c r="X48" s="6">
        <f t="shared" si="56"/>
        <v>2.8755555555555556</v>
      </c>
      <c r="Y48" s="4">
        <f t="shared" si="57"/>
        <v>2.9953703703703702</v>
      </c>
      <c r="Z48" s="4">
        <f t="shared" si="58"/>
        <v>3.4945987654320989</v>
      </c>
      <c r="AA48" s="226">
        <f t="shared" si="59"/>
        <v>20.400000000008731</v>
      </c>
      <c r="AC48" s="98">
        <f t="shared" si="60"/>
        <v>0</v>
      </c>
      <c r="AD48" s="94">
        <f t="shared" si="61"/>
        <v>3.5944444444444446E-2</v>
      </c>
      <c r="AE48" s="6">
        <f t="shared" si="62"/>
        <v>71.888888888888886</v>
      </c>
      <c r="AF48" s="6">
        <f t="shared" si="63"/>
        <v>71.888888888888886</v>
      </c>
      <c r="AG48" s="6">
        <f t="shared" si="64"/>
        <v>2.1351</v>
      </c>
      <c r="AH48" s="6">
        <f t="shared" ref="AH48:AH65" si="104">(P48*$W$1/12)/27+AC48</f>
        <v>11.981481481481481</v>
      </c>
      <c r="AI48" s="95">
        <f t="shared" si="65"/>
        <v>71.888888888888886</v>
      </c>
    </row>
    <row r="49" spans="1:35" ht="12.75" customHeight="1" x14ac:dyDescent="0.2">
      <c r="A49" s="1" t="s">
        <v>36</v>
      </c>
      <c r="B49" s="232">
        <v>89617.38</v>
      </c>
      <c r="C49" s="233">
        <v>89642.38</v>
      </c>
      <c r="D49" s="222" t="s">
        <v>16</v>
      </c>
      <c r="E49" s="222">
        <v>0</v>
      </c>
      <c r="F49" s="223">
        <v>0</v>
      </c>
      <c r="G49" s="223">
        <v>0</v>
      </c>
      <c r="H49" s="26">
        <f t="shared" si="95"/>
        <v>0</v>
      </c>
      <c r="I49" s="27">
        <f t="shared" si="96"/>
        <v>0</v>
      </c>
      <c r="J49" s="27">
        <f t="shared" si="97"/>
        <v>0</v>
      </c>
      <c r="K49" s="27">
        <f t="shared" si="98"/>
        <v>0</v>
      </c>
      <c r="L49" s="4">
        <f t="shared" si="30"/>
        <v>25</v>
      </c>
      <c r="M49" s="224"/>
      <c r="N49" s="14" t="str">
        <f t="shared" si="20"/>
        <v/>
      </c>
      <c r="O49" s="224">
        <v>1623.2</v>
      </c>
      <c r="P49" s="4">
        <f t="shared" si="99"/>
        <v>1623.2</v>
      </c>
      <c r="Q49" s="6"/>
      <c r="R49" s="6"/>
      <c r="S49" s="6"/>
      <c r="T49" s="6"/>
      <c r="U49" s="225"/>
      <c r="V49" s="34"/>
      <c r="W49" s="4">
        <f t="shared" si="103"/>
        <v>30.05925925925926</v>
      </c>
      <c r="X49" s="6"/>
      <c r="Y49" s="4"/>
      <c r="Z49" s="4"/>
      <c r="AA49" s="226"/>
      <c r="AC49" s="98"/>
      <c r="AD49" s="94"/>
      <c r="AE49" s="6"/>
      <c r="AF49" s="6"/>
      <c r="AG49" s="6"/>
      <c r="AH49" s="6">
        <f t="shared" si="104"/>
        <v>30.05925925925926</v>
      </c>
      <c r="AI49" s="95"/>
    </row>
    <row r="50" spans="1:35" ht="12.75" customHeight="1" x14ac:dyDescent="0.2">
      <c r="A50" s="1" t="s">
        <v>36</v>
      </c>
      <c r="B50" s="232">
        <v>89984.24</v>
      </c>
      <c r="C50" s="233">
        <v>90009.24</v>
      </c>
      <c r="D50" s="222" t="s">
        <v>16</v>
      </c>
      <c r="E50" s="222">
        <v>0</v>
      </c>
      <c r="F50" s="223">
        <v>0</v>
      </c>
      <c r="G50" s="223">
        <v>0</v>
      </c>
      <c r="H50" s="26">
        <f t="shared" si="95"/>
        <v>0</v>
      </c>
      <c r="I50" s="27">
        <f t="shared" si="96"/>
        <v>0</v>
      </c>
      <c r="J50" s="27">
        <f t="shared" si="97"/>
        <v>0</v>
      </c>
      <c r="K50" s="27">
        <f t="shared" si="98"/>
        <v>0</v>
      </c>
      <c r="L50" s="4">
        <f t="shared" si="30"/>
        <v>25</v>
      </c>
      <c r="M50" s="224"/>
      <c r="N50" s="14" t="str">
        <f t="shared" si="20"/>
        <v/>
      </c>
      <c r="O50" s="224">
        <v>1623.08</v>
      </c>
      <c r="P50" s="4">
        <f t="shared" si="99"/>
        <v>1623.08</v>
      </c>
      <c r="Q50" s="6"/>
      <c r="R50" s="6"/>
      <c r="S50" s="6"/>
      <c r="T50" s="6"/>
      <c r="U50" s="225"/>
      <c r="V50" s="34"/>
      <c r="W50" s="4">
        <f t="shared" si="103"/>
        <v>30.057037037037034</v>
      </c>
      <c r="X50" s="6"/>
      <c r="Y50" s="4"/>
      <c r="Z50" s="4"/>
      <c r="AA50" s="226"/>
      <c r="AC50" s="98"/>
      <c r="AD50" s="94"/>
      <c r="AE50" s="6"/>
      <c r="AF50" s="6"/>
      <c r="AG50" s="6"/>
      <c r="AH50" s="6">
        <f t="shared" si="104"/>
        <v>30.057037037037034</v>
      </c>
      <c r="AI50" s="95"/>
    </row>
    <row r="51" spans="1:35" ht="12.75" customHeight="1" x14ac:dyDescent="0.2">
      <c r="B51" s="232">
        <v>89989.25</v>
      </c>
      <c r="C51" s="233">
        <v>90009.24</v>
      </c>
      <c r="D51" s="222" t="s">
        <v>16</v>
      </c>
      <c r="E51" s="222">
        <v>0</v>
      </c>
      <c r="F51" s="223">
        <v>1</v>
      </c>
      <c r="G51" s="223">
        <v>0</v>
      </c>
      <c r="H51" s="26">
        <f t="shared" si="95"/>
        <v>2</v>
      </c>
      <c r="I51" s="27">
        <f t="shared" si="96"/>
        <v>0</v>
      </c>
      <c r="J51" s="27">
        <f t="shared" si="97"/>
        <v>0.37018518518528221</v>
      </c>
      <c r="K51" s="27">
        <f t="shared" si="98"/>
        <v>0</v>
      </c>
      <c r="L51" s="4">
        <f t="shared" si="30"/>
        <v>19.990000000005239</v>
      </c>
      <c r="M51" s="224"/>
      <c r="N51" s="14" t="str">
        <f t="shared" si="20"/>
        <v/>
      </c>
      <c r="O51" s="224">
        <v>634.01</v>
      </c>
      <c r="P51" s="4">
        <f t="shared" si="99"/>
        <v>634.01</v>
      </c>
      <c r="Q51" s="6">
        <f t="shared" si="100"/>
        <v>3.7443888888889471E-2</v>
      </c>
      <c r="R51" s="6">
        <f t="shared" si="101"/>
        <v>74.887777777778936</v>
      </c>
      <c r="S51" s="6">
        <f t="shared" ref="S51:S65" si="105">($P51+H51*$L51)/9</f>
        <v>74.887777777778936</v>
      </c>
      <c r="T51" s="6">
        <f t="shared" si="102"/>
        <v>2.2241670000000346</v>
      </c>
      <c r="U51" s="225"/>
      <c r="V51" s="34">
        <f t="shared" ref="V51:V65" si="106">(P51*$V$1/12)/27+I51</f>
        <v>22.503441358024688</v>
      </c>
      <c r="W51" s="4">
        <f t="shared" si="103"/>
        <v>12.111111111111207</v>
      </c>
      <c r="X51" s="6">
        <f t="shared" ref="X51:X65" si="107">($P51/9)*$X$1</f>
        <v>2.8178222222222225</v>
      </c>
      <c r="Y51" s="4">
        <f t="shared" ref="Y51:Y65" si="108">($P51*($Y$1/12))/27</f>
        <v>2.9352314814814813</v>
      </c>
      <c r="Z51" s="4">
        <f t="shared" ref="Z51:Z65" si="109">(P51*$Z$1/12)/27+K51</f>
        <v>3.4244367283950616</v>
      </c>
      <c r="AA51" s="226">
        <f t="shared" ref="AA51:AA65" si="110">L51</f>
        <v>19.990000000005239</v>
      </c>
      <c r="AC51" s="98">
        <f t="shared" ref="AC51:AC65" si="111">IF(E51=2,$AO$26*2*L51/27,IF(F51=2,$AO$32*2*L51/27,IF(G51=2,$AO$38*2*L51/27,IF(AND(E51=1,F51=1),($AO$26*L51+$AO$32*L51)/27,IF(AND(E51=1,F51=0,G51=0),$AO$26*L51/27,IF(AND(E51=1,G51=1),($AO$26*L51+$AO$38*L51)/27,IF(AND(E51=0,F51=1,G51=0),$AO$32*L51/27,IF(AND(F51=1,G51=1),($AO$32*L51+$AO$38*L51)/27,IF(AND(E51=0,F51=0,G51=1),$AO$38*L51/27,0)))))))))</f>
        <v>0.37018518518528221</v>
      </c>
      <c r="AD51" s="94">
        <f t="shared" ref="AD51:AD65" si="112">(S51)/2000</f>
        <v>3.7443888888889471E-2</v>
      </c>
      <c r="AE51" s="6">
        <f t="shared" ref="AE51:AE65" si="113">AF51</f>
        <v>74.887777777778936</v>
      </c>
      <c r="AF51" s="6">
        <f t="shared" ref="AF51:AF65" si="114">($P51+H51*$L51)/9</f>
        <v>74.887777777778936</v>
      </c>
      <c r="AG51" s="6">
        <f t="shared" ref="AG51:AG65" si="115">$S$1*AF51*110*0.06*0.75/2000</f>
        <v>2.2241670000000346</v>
      </c>
      <c r="AH51" s="6">
        <f t="shared" si="104"/>
        <v>12.111111111111207</v>
      </c>
      <c r="AI51" s="95">
        <f t="shared" ref="AI51:AI65" si="116">P51/9</f>
        <v>70.445555555555558</v>
      </c>
    </row>
    <row r="52" spans="1:35" ht="12.75" customHeight="1" x14ac:dyDescent="0.2">
      <c r="B52" s="232">
        <v>90009.24</v>
      </c>
      <c r="C52" s="233">
        <v>90876.86</v>
      </c>
      <c r="D52" s="222" t="s">
        <v>16</v>
      </c>
      <c r="E52" s="222">
        <v>0</v>
      </c>
      <c r="F52" s="223">
        <v>1</v>
      </c>
      <c r="G52" s="223">
        <v>0</v>
      </c>
      <c r="H52" s="26">
        <f t="shared" si="95"/>
        <v>2</v>
      </c>
      <c r="I52" s="27">
        <f t="shared" si="96"/>
        <v>0</v>
      </c>
      <c r="J52" s="27">
        <f t="shared" si="97"/>
        <v>16.06703703703695</v>
      </c>
      <c r="K52" s="27">
        <f t="shared" si="98"/>
        <v>0</v>
      </c>
      <c r="L52" s="4">
        <f t="shared" si="30"/>
        <v>867.61999999999534</v>
      </c>
      <c r="M52" s="224">
        <v>63.42</v>
      </c>
      <c r="N52" s="14">
        <f t="shared" si="20"/>
        <v>55024.460399999705</v>
      </c>
      <c r="O52" s="224"/>
      <c r="P52" s="4">
        <f t="shared" ref="P52:P54" si="117">SUM(N52:O52)</f>
        <v>55024.460399999705</v>
      </c>
      <c r="Q52" s="6">
        <f t="shared" ref="Q52:Q54" si="118">(S52)/2000</f>
        <v>3.153316688888872</v>
      </c>
      <c r="R52" s="6">
        <f t="shared" ref="R52:R54" si="119">S52</f>
        <v>6306.6333777777436</v>
      </c>
      <c r="S52" s="6">
        <f t="shared" si="105"/>
        <v>6306.6333777777436</v>
      </c>
      <c r="T52" s="6">
        <f t="shared" ref="T52:T54" si="120">$S$1*S52*110*0.06*0.75/2000</f>
        <v>187.30701131999896</v>
      </c>
      <c r="U52" s="225"/>
      <c r="V52" s="34">
        <f t="shared" si="106"/>
        <v>1953.0286870370267</v>
      </c>
      <c r="W52" s="4">
        <f t="shared" si="103"/>
        <v>1035.0385259259206</v>
      </c>
      <c r="X52" s="6">
        <f t="shared" si="107"/>
        <v>244.55315733333202</v>
      </c>
      <c r="Y52" s="4">
        <f t="shared" si="108"/>
        <v>254.74287222222085</v>
      </c>
      <c r="Z52" s="4">
        <f t="shared" si="109"/>
        <v>297.200017592591</v>
      </c>
      <c r="AA52" s="226">
        <f t="shared" si="110"/>
        <v>867.61999999999534</v>
      </c>
      <c r="AC52" s="98">
        <f t="shared" si="111"/>
        <v>16.06703703703695</v>
      </c>
      <c r="AD52" s="94">
        <f t="shared" si="112"/>
        <v>3.153316688888872</v>
      </c>
      <c r="AE52" s="6">
        <f t="shared" si="113"/>
        <v>6306.6333777777436</v>
      </c>
      <c r="AF52" s="6">
        <f t="shared" si="114"/>
        <v>6306.6333777777436</v>
      </c>
      <c r="AG52" s="6">
        <f t="shared" si="115"/>
        <v>187.30701131999896</v>
      </c>
      <c r="AH52" s="6">
        <f t="shared" si="104"/>
        <v>1035.0385259259206</v>
      </c>
      <c r="AI52" s="95">
        <f t="shared" si="116"/>
        <v>6113.8289333333005</v>
      </c>
    </row>
    <row r="53" spans="1:35" ht="12.75" customHeight="1" x14ac:dyDescent="0.2">
      <c r="B53" s="232">
        <v>90876.86</v>
      </c>
      <c r="C53" s="233">
        <v>90976.86</v>
      </c>
      <c r="D53" s="222" t="s">
        <v>16</v>
      </c>
      <c r="E53" s="222">
        <v>0</v>
      </c>
      <c r="F53" s="223">
        <v>1</v>
      </c>
      <c r="G53" s="223">
        <v>0</v>
      </c>
      <c r="H53" s="26">
        <f t="shared" si="95"/>
        <v>2</v>
      </c>
      <c r="I53" s="27">
        <f t="shared" si="96"/>
        <v>0</v>
      </c>
      <c r="J53" s="27">
        <f t="shared" si="97"/>
        <v>1.8518518518518519</v>
      </c>
      <c r="K53" s="27">
        <f t="shared" si="98"/>
        <v>0</v>
      </c>
      <c r="L53" s="4">
        <f t="shared" si="30"/>
        <v>100</v>
      </c>
      <c r="M53" s="224">
        <v>67.42</v>
      </c>
      <c r="N53" s="14">
        <f t="shared" si="20"/>
        <v>6742</v>
      </c>
      <c r="O53" s="224"/>
      <c r="P53" s="4">
        <f t="shared" si="117"/>
        <v>6742</v>
      </c>
      <c r="Q53" s="6">
        <f t="shared" si="118"/>
        <v>0.38566666666666671</v>
      </c>
      <c r="R53" s="6">
        <f t="shared" si="119"/>
        <v>771.33333333333337</v>
      </c>
      <c r="S53" s="6">
        <f t="shared" si="105"/>
        <v>771.33333333333337</v>
      </c>
      <c r="T53" s="6">
        <f t="shared" si="120"/>
        <v>22.9086</v>
      </c>
      <c r="U53" s="225"/>
      <c r="V53" s="34">
        <f t="shared" si="106"/>
        <v>239.29938271604937</v>
      </c>
      <c r="W53" s="4">
        <f t="shared" si="103"/>
        <v>126.7037037037037</v>
      </c>
      <c r="X53" s="6">
        <f t="shared" si="107"/>
        <v>29.964444444444442</v>
      </c>
      <c r="Y53" s="4">
        <f t="shared" si="108"/>
        <v>31.212962962962962</v>
      </c>
      <c r="Z53" s="4">
        <f t="shared" si="109"/>
        <v>36.415123456790127</v>
      </c>
      <c r="AA53" s="226">
        <f t="shared" si="110"/>
        <v>100</v>
      </c>
      <c r="AC53" s="98">
        <f t="shared" si="111"/>
        <v>1.8518518518518519</v>
      </c>
      <c r="AD53" s="94">
        <f t="shared" si="112"/>
        <v>0.38566666666666671</v>
      </c>
      <c r="AE53" s="6">
        <f t="shared" si="113"/>
        <v>771.33333333333337</v>
      </c>
      <c r="AF53" s="6">
        <f t="shared" si="114"/>
        <v>771.33333333333337</v>
      </c>
      <c r="AG53" s="6">
        <f t="shared" si="115"/>
        <v>22.9086</v>
      </c>
      <c r="AH53" s="6">
        <f t="shared" si="104"/>
        <v>126.7037037037037</v>
      </c>
      <c r="AI53" s="95">
        <f t="shared" si="116"/>
        <v>749.11111111111109</v>
      </c>
    </row>
    <row r="54" spans="1:35" ht="12.75" customHeight="1" x14ac:dyDescent="0.2">
      <c r="B54" s="232">
        <v>90976.86</v>
      </c>
      <c r="C54" s="233">
        <v>91222.55</v>
      </c>
      <c r="D54" s="222" t="s">
        <v>16</v>
      </c>
      <c r="E54" s="222">
        <v>0</v>
      </c>
      <c r="F54" s="223">
        <v>1</v>
      </c>
      <c r="G54" s="223">
        <v>0</v>
      </c>
      <c r="H54" s="26">
        <f t="shared" si="95"/>
        <v>2</v>
      </c>
      <c r="I54" s="27">
        <f t="shared" si="96"/>
        <v>0</v>
      </c>
      <c r="J54" s="27">
        <f t="shared" si="97"/>
        <v>4.5498148148148578</v>
      </c>
      <c r="K54" s="27">
        <f t="shared" si="98"/>
        <v>0</v>
      </c>
      <c r="L54" s="4">
        <f t="shared" si="30"/>
        <v>245.69000000000233</v>
      </c>
      <c r="M54" s="224">
        <v>71.42</v>
      </c>
      <c r="N54" s="14">
        <f t="shared" si="20"/>
        <v>17547.179800000165</v>
      </c>
      <c r="O54" s="224"/>
      <c r="P54" s="4">
        <f t="shared" si="117"/>
        <v>17547.179800000165</v>
      </c>
      <c r="Q54" s="6">
        <f t="shared" si="118"/>
        <v>1.0021422111111205</v>
      </c>
      <c r="R54" s="6">
        <f t="shared" si="119"/>
        <v>2004.2844222222411</v>
      </c>
      <c r="S54" s="6">
        <f t="shared" si="105"/>
        <v>2004.2844222222411</v>
      </c>
      <c r="T54" s="6">
        <f t="shared" si="120"/>
        <v>59.527247340000571</v>
      </c>
      <c r="U54" s="225"/>
      <c r="V54" s="34">
        <f t="shared" si="106"/>
        <v>622.81656697531446</v>
      </c>
      <c r="W54" s="4">
        <f t="shared" si="103"/>
        <v>329.49758888889198</v>
      </c>
      <c r="X54" s="6">
        <f t="shared" si="107"/>
        <v>77.987465777778525</v>
      </c>
      <c r="Y54" s="4">
        <f t="shared" si="108"/>
        <v>81.236943518519283</v>
      </c>
      <c r="Z54" s="4">
        <f t="shared" si="109"/>
        <v>94.77643410493917</v>
      </c>
      <c r="AA54" s="226">
        <f t="shared" si="110"/>
        <v>245.69000000000233</v>
      </c>
      <c r="AC54" s="98">
        <f t="shared" si="111"/>
        <v>4.5498148148148578</v>
      </c>
      <c r="AD54" s="94">
        <f t="shared" si="112"/>
        <v>1.0021422111111205</v>
      </c>
      <c r="AE54" s="6">
        <f t="shared" si="113"/>
        <v>2004.2844222222411</v>
      </c>
      <c r="AF54" s="6">
        <f t="shared" si="114"/>
        <v>2004.2844222222411</v>
      </c>
      <c r="AG54" s="6">
        <f t="shared" si="115"/>
        <v>59.527247340000571</v>
      </c>
      <c r="AH54" s="6">
        <f t="shared" si="104"/>
        <v>329.49758888889198</v>
      </c>
      <c r="AI54" s="95">
        <f t="shared" si="116"/>
        <v>1949.6866444444629</v>
      </c>
    </row>
    <row r="55" spans="1:35" ht="12.75" customHeight="1" x14ac:dyDescent="0.2">
      <c r="B55" s="232">
        <v>91222.55</v>
      </c>
      <c r="C55" s="233">
        <v>91676.86</v>
      </c>
      <c r="D55" s="222" t="s">
        <v>16</v>
      </c>
      <c r="E55" s="222">
        <v>0</v>
      </c>
      <c r="F55" s="223">
        <v>1</v>
      </c>
      <c r="G55" s="223">
        <v>0</v>
      </c>
      <c r="H55" s="26">
        <f t="shared" si="95"/>
        <v>2</v>
      </c>
      <c r="I55" s="27">
        <f t="shared" si="96"/>
        <v>0</v>
      </c>
      <c r="J55" s="27">
        <f t="shared" si="97"/>
        <v>8.413148148148105</v>
      </c>
      <c r="K55" s="27">
        <f t="shared" si="98"/>
        <v>0</v>
      </c>
      <c r="L55" s="4">
        <f t="shared" si="30"/>
        <v>454.30999999999767</v>
      </c>
      <c r="M55" s="224"/>
      <c r="N55" s="14" t="str">
        <f t="shared" si="20"/>
        <v/>
      </c>
      <c r="O55" s="224">
        <v>36516.17</v>
      </c>
      <c r="P55" s="4">
        <f t="shared" ref="P55" si="121">SUM(N55:O55)</f>
        <v>36516.17</v>
      </c>
      <c r="Q55" s="6">
        <f t="shared" ref="Q55" si="122">(S55)/2000</f>
        <v>2.0791549999999996</v>
      </c>
      <c r="R55" s="6">
        <f t="shared" ref="R55" si="123">S55</f>
        <v>4158.3099999999995</v>
      </c>
      <c r="S55" s="6">
        <f t="shared" si="105"/>
        <v>4158.3099999999995</v>
      </c>
      <c r="T55" s="6">
        <f t="shared" ref="T55" si="124">$S$1*S55*110*0.06*0.75/2000</f>
        <v>123.50180699999997</v>
      </c>
      <c r="U55" s="225"/>
      <c r="V55" s="34">
        <f t="shared" si="106"/>
        <v>1296.0986265432095</v>
      </c>
      <c r="W55" s="4">
        <f t="shared" si="103"/>
        <v>684.63851851851848</v>
      </c>
      <c r="X55" s="6">
        <f t="shared" si="107"/>
        <v>162.29408888888887</v>
      </c>
      <c r="Y55" s="4">
        <f t="shared" si="108"/>
        <v>169.05634259259259</v>
      </c>
      <c r="Z55" s="4">
        <f t="shared" si="109"/>
        <v>197.23239969135804</v>
      </c>
      <c r="AA55" s="226">
        <f t="shared" si="110"/>
        <v>454.30999999999767</v>
      </c>
      <c r="AC55" s="98">
        <f t="shared" si="111"/>
        <v>8.413148148148105</v>
      </c>
      <c r="AD55" s="94">
        <f t="shared" si="112"/>
        <v>2.0791549999999996</v>
      </c>
      <c r="AE55" s="6">
        <f t="shared" si="113"/>
        <v>4158.3099999999995</v>
      </c>
      <c r="AF55" s="6">
        <f t="shared" si="114"/>
        <v>4158.3099999999995</v>
      </c>
      <c r="AG55" s="6">
        <f t="shared" si="115"/>
        <v>123.50180699999997</v>
      </c>
      <c r="AH55" s="6">
        <f t="shared" si="104"/>
        <v>684.63851851851848</v>
      </c>
      <c r="AI55" s="95">
        <f t="shared" si="116"/>
        <v>4057.3522222222218</v>
      </c>
    </row>
    <row r="56" spans="1:35" ht="12.75" customHeight="1" x14ac:dyDescent="0.2">
      <c r="B56" s="232">
        <v>91676.86</v>
      </c>
      <c r="C56" s="233">
        <v>93266.82</v>
      </c>
      <c r="D56" s="222" t="s">
        <v>16</v>
      </c>
      <c r="E56" s="222">
        <v>1</v>
      </c>
      <c r="F56" s="223">
        <v>0</v>
      </c>
      <c r="G56" s="223">
        <v>0</v>
      </c>
      <c r="H56" s="26">
        <f t="shared" si="95"/>
        <v>1.5</v>
      </c>
      <c r="I56" s="27">
        <f t="shared" si="96"/>
        <v>33.565822222222351</v>
      </c>
      <c r="J56" s="27">
        <f t="shared" si="97"/>
        <v>39.454562962963124</v>
      </c>
      <c r="K56" s="27">
        <f t="shared" si="98"/>
        <v>0</v>
      </c>
      <c r="L56" s="4">
        <f t="shared" si="30"/>
        <v>1589.9600000000064</v>
      </c>
      <c r="M56" s="224">
        <v>61.42</v>
      </c>
      <c r="N56" s="14">
        <f t="shared" si="20"/>
        <v>97655.343200000396</v>
      </c>
      <c r="O56" s="224"/>
      <c r="P56" s="4">
        <f t="shared" ref="P56" si="125">SUM(N56:O56)</f>
        <v>97655.343200000396</v>
      </c>
      <c r="Q56" s="6">
        <f t="shared" ref="Q56" si="126">(S56)/2000</f>
        <v>5.5577935111111341</v>
      </c>
      <c r="R56" s="6">
        <f t="shared" ref="R56" si="127">S56</f>
        <v>11115.587022222267</v>
      </c>
      <c r="S56" s="6">
        <f t="shared" si="105"/>
        <v>11115.587022222267</v>
      </c>
      <c r="T56" s="6">
        <f t="shared" ref="T56" si="128">$S$1*S56*110*0.06*0.75/2000</f>
        <v>330.13293456000139</v>
      </c>
      <c r="U56" s="225"/>
      <c r="V56" s="34">
        <f t="shared" si="106"/>
        <v>3499.7276950617425</v>
      </c>
      <c r="W56" s="4">
        <f t="shared" si="103"/>
        <v>1847.886844444452</v>
      </c>
      <c r="X56" s="6">
        <f t="shared" si="107"/>
        <v>434.02374755555735</v>
      </c>
      <c r="Y56" s="4">
        <f t="shared" si="108"/>
        <v>452.10807037037222</v>
      </c>
      <c r="Z56" s="4">
        <f t="shared" si="109"/>
        <v>527.45941543210097</v>
      </c>
      <c r="AA56" s="226">
        <f t="shared" si="110"/>
        <v>1589.9600000000064</v>
      </c>
      <c r="AC56" s="98">
        <f t="shared" si="111"/>
        <v>29.443703703703822</v>
      </c>
      <c r="AD56" s="94">
        <f t="shared" si="112"/>
        <v>5.5577935111111341</v>
      </c>
      <c r="AE56" s="6">
        <f t="shared" si="113"/>
        <v>11115.587022222267</v>
      </c>
      <c r="AF56" s="6">
        <f t="shared" si="114"/>
        <v>11115.587022222267</v>
      </c>
      <c r="AG56" s="6">
        <f t="shared" si="115"/>
        <v>330.13293456000139</v>
      </c>
      <c r="AH56" s="6">
        <f t="shared" si="104"/>
        <v>1837.8759851851928</v>
      </c>
      <c r="AI56" s="95">
        <f t="shared" si="116"/>
        <v>10850.593688888934</v>
      </c>
    </row>
    <row r="57" spans="1:35" ht="12.75" customHeight="1" x14ac:dyDescent="0.2">
      <c r="B57" s="232">
        <v>93266.82</v>
      </c>
      <c r="C57" s="233">
        <v>93571.59</v>
      </c>
      <c r="D57" s="222" t="s">
        <v>16</v>
      </c>
      <c r="E57" s="222">
        <v>1</v>
      </c>
      <c r="F57" s="223">
        <v>0</v>
      </c>
      <c r="G57" s="223">
        <v>0</v>
      </c>
      <c r="H57" s="26">
        <f t="shared" si="95"/>
        <v>1.5</v>
      </c>
      <c r="I57" s="27">
        <f t="shared" si="96"/>
        <v>6.4340333333331117</v>
      </c>
      <c r="J57" s="27">
        <f t="shared" si="97"/>
        <v>7.562811111110852</v>
      </c>
      <c r="K57" s="27">
        <f t="shared" si="98"/>
        <v>0</v>
      </c>
      <c r="L57" s="4">
        <f t="shared" si="30"/>
        <v>304.76999999998952</v>
      </c>
      <c r="M57" s="224"/>
      <c r="N57" s="14" t="str">
        <f t="shared" si="20"/>
        <v/>
      </c>
      <c r="O57" s="224">
        <v>26279.9</v>
      </c>
      <c r="P57" s="4">
        <f t="shared" ref="P57" si="129">SUM(N57:O57)</f>
        <v>26279.9</v>
      </c>
      <c r="Q57" s="6">
        <f t="shared" ref="Q57" si="130">(S57)/2000</f>
        <v>1.4853919444444437</v>
      </c>
      <c r="R57" s="6">
        <f t="shared" ref="R57" si="131">S57</f>
        <v>2970.7838888888873</v>
      </c>
      <c r="S57" s="6">
        <f t="shared" si="105"/>
        <v>2970.7838888888873</v>
      </c>
      <c r="T57" s="6">
        <f t="shared" ref="T57" si="132">$S$1*S57*110*0.06*0.75/2000</f>
        <v>88.232281499999957</v>
      </c>
      <c r="U57" s="225"/>
      <c r="V57" s="34">
        <f t="shared" si="106"/>
        <v>939.20826172839497</v>
      </c>
      <c r="W57" s="4">
        <f t="shared" si="103"/>
        <v>494.22762592592579</v>
      </c>
      <c r="X57" s="6">
        <f t="shared" si="107"/>
        <v>116.79955555555557</v>
      </c>
      <c r="Y57" s="4">
        <f t="shared" si="108"/>
        <v>121.66620370370372</v>
      </c>
      <c r="Z57" s="4">
        <f t="shared" si="109"/>
        <v>141.94390432098766</v>
      </c>
      <c r="AA57" s="226">
        <f t="shared" si="110"/>
        <v>304.76999999998952</v>
      </c>
      <c r="AC57" s="98">
        <f t="shared" si="111"/>
        <v>5.6438888888886947</v>
      </c>
      <c r="AD57" s="94">
        <f t="shared" si="112"/>
        <v>1.4853919444444437</v>
      </c>
      <c r="AE57" s="6">
        <f t="shared" si="113"/>
        <v>2970.7838888888873</v>
      </c>
      <c r="AF57" s="6">
        <f t="shared" si="114"/>
        <v>2970.7838888888873</v>
      </c>
      <c r="AG57" s="6">
        <f t="shared" si="115"/>
        <v>88.232281499999957</v>
      </c>
      <c r="AH57" s="6">
        <f t="shared" si="104"/>
        <v>492.3087037037036</v>
      </c>
      <c r="AI57" s="95">
        <f t="shared" si="116"/>
        <v>2919.9888888888891</v>
      </c>
    </row>
    <row r="58" spans="1:35" ht="12.75" customHeight="1" x14ac:dyDescent="0.2">
      <c r="B58" s="232">
        <v>93571.59</v>
      </c>
      <c r="C58" s="233">
        <v>94621.43</v>
      </c>
      <c r="D58" s="222" t="s">
        <v>16</v>
      </c>
      <c r="E58" s="222">
        <v>1</v>
      </c>
      <c r="F58" s="223">
        <v>0</v>
      </c>
      <c r="G58" s="223">
        <v>0</v>
      </c>
      <c r="H58" s="26">
        <f t="shared" si="95"/>
        <v>1.5</v>
      </c>
      <c r="I58" s="27">
        <f t="shared" si="96"/>
        <v>22.163288888888815</v>
      </c>
      <c r="J58" s="27">
        <f t="shared" si="97"/>
        <v>26.0515851851851</v>
      </c>
      <c r="K58" s="27">
        <f t="shared" si="98"/>
        <v>0</v>
      </c>
      <c r="L58" s="4">
        <f t="shared" si="30"/>
        <v>1049.8399999999965</v>
      </c>
      <c r="M58" s="224">
        <v>71.92</v>
      </c>
      <c r="N58" s="14">
        <f t="shared" si="20"/>
        <v>75504.492799999745</v>
      </c>
      <c r="O58" s="224"/>
      <c r="P58" s="4">
        <f t="shared" ref="P58:P65" si="133">SUM(N58:O58)</f>
        <v>75504.492799999745</v>
      </c>
      <c r="Q58" s="6">
        <f t="shared" ref="Q58:Q65" si="134">(S58)/2000</f>
        <v>4.2821807111110965</v>
      </c>
      <c r="R58" s="6">
        <f t="shared" ref="R58:R65" si="135">S58</f>
        <v>8564.3614222221931</v>
      </c>
      <c r="S58" s="6">
        <f t="shared" si="105"/>
        <v>8564.3614222221931</v>
      </c>
      <c r="T58" s="6">
        <f t="shared" ref="T58:T65" si="136">$S$1*S58*110*0.06*0.75/2000</f>
        <v>254.36153423999914</v>
      </c>
      <c r="U58" s="225"/>
      <c r="V58" s="34">
        <f t="shared" si="106"/>
        <v>2702.1067061728309</v>
      </c>
      <c r="W58" s="4">
        <f t="shared" si="103"/>
        <v>1424.2829333333286</v>
      </c>
      <c r="X58" s="6">
        <f t="shared" si="107"/>
        <v>335.57552355555441</v>
      </c>
      <c r="Y58" s="4">
        <f t="shared" si="108"/>
        <v>349.55783703703588</v>
      </c>
      <c r="Z58" s="4">
        <f t="shared" si="109"/>
        <v>407.8174765432085</v>
      </c>
      <c r="AA58" s="226">
        <f t="shared" si="110"/>
        <v>1049.8399999999965</v>
      </c>
      <c r="AC58" s="98">
        <f t="shared" si="111"/>
        <v>19.441481481481418</v>
      </c>
      <c r="AD58" s="94">
        <f t="shared" si="112"/>
        <v>4.2821807111110965</v>
      </c>
      <c r="AE58" s="6">
        <f t="shared" si="113"/>
        <v>8564.3614222221931</v>
      </c>
      <c r="AF58" s="6">
        <f t="shared" si="114"/>
        <v>8564.3614222221931</v>
      </c>
      <c r="AG58" s="6">
        <f t="shared" si="115"/>
        <v>254.36153423999914</v>
      </c>
      <c r="AH58" s="6">
        <f t="shared" si="104"/>
        <v>1417.6728296296249</v>
      </c>
      <c r="AI58" s="95">
        <f t="shared" si="116"/>
        <v>8389.3880888888598</v>
      </c>
    </row>
    <row r="59" spans="1:35" ht="12.75" customHeight="1" x14ac:dyDescent="0.2">
      <c r="B59" s="232">
        <v>94621.43</v>
      </c>
      <c r="C59" s="233">
        <v>95390</v>
      </c>
      <c r="D59" s="222" t="s">
        <v>16</v>
      </c>
      <c r="E59" s="222">
        <v>1</v>
      </c>
      <c r="F59" s="223">
        <v>0</v>
      </c>
      <c r="G59" s="223">
        <v>0</v>
      </c>
      <c r="H59" s="26">
        <f t="shared" si="95"/>
        <v>1.5</v>
      </c>
      <c r="I59" s="27">
        <f t="shared" si="96"/>
        <v>16.225366666666812</v>
      </c>
      <c r="J59" s="27">
        <f t="shared" si="97"/>
        <v>19.071922222222398</v>
      </c>
      <c r="K59" s="27">
        <f t="shared" si="98"/>
        <v>0</v>
      </c>
      <c r="L59" s="4">
        <f t="shared" si="30"/>
        <v>768.57000000000698</v>
      </c>
      <c r="M59" s="224">
        <v>61.42</v>
      </c>
      <c r="N59" s="14">
        <f t="shared" si="20"/>
        <v>47205.56940000043</v>
      </c>
      <c r="O59" s="224"/>
      <c r="P59" s="4">
        <f t="shared" si="133"/>
        <v>47205.56940000043</v>
      </c>
      <c r="Q59" s="6">
        <f t="shared" si="134"/>
        <v>2.6865791333333577</v>
      </c>
      <c r="R59" s="6">
        <f t="shared" si="135"/>
        <v>5373.1582666667155</v>
      </c>
      <c r="S59" s="6">
        <f t="shared" si="105"/>
        <v>5373.1582666667155</v>
      </c>
      <c r="T59" s="6">
        <f t="shared" si="136"/>
        <v>159.58280052000146</v>
      </c>
      <c r="U59" s="225"/>
      <c r="V59" s="34">
        <f t="shared" si="106"/>
        <v>1691.7316879629782</v>
      </c>
      <c r="W59" s="4">
        <f t="shared" si="103"/>
        <v>893.24913333334132</v>
      </c>
      <c r="X59" s="6">
        <f t="shared" si="107"/>
        <v>209.80253066666859</v>
      </c>
      <c r="Y59" s="4">
        <f t="shared" si="108"/>
        <v>218.54430277777976</v>
      </c>
      <c r="Z59" s="4">
        <f t="shared" si="109"/>
        <v>254.96835324074306</v>
      </c>
      <c r="AA59" s="226">
        <f t="shared" si="110"/>
        <v>768.57000000000698</v>
      </c>
      <c r="AC59" s="98">
        <f t="shared" si="111"/>
        <v>14.232777777777907</v>
      </c>
      <c r="AD59" s="94">
        <f t="shared" si="112"/>
        <v>2.6865791333333577</v>
      </c>
      <c r="AE59" s="6">
        <f t="shared" si="113"/>
        <v>5373.1582666667155</v>
      </c>
      <c r="AF59" s="6">
        <f t="shared" si="114"/>
        <v>5373.1582666667155</v>
      </c>
      <c r="AG59" s="6">
        <f t="shared" si="115"/>
        <v>159.58280052000146</v>
      </c>
      <c r="AH59" s="6">
        <f t="shared" si="104"/>
        <v>888.40998888889681</v>
      </c>
      <c r="AI59" s="95">
        <f t="shared" si="116"/>
        <v>5245.0632666667143</v>
      </c>
    </row>
    <row r="60" spans="1:35" ht="12.75" customHeight="1" x14ac:dyDescent="0.2">
      <c r="B60" s="232">
        <v>95390</v>
      </c>
      <c r="C60" s="233">
        <v>95424.94</v>
      </c>
      <c r="D60" s="222" t="s">
        <v>16</v>
      </c>
      <c r="E60" s="222">
        <v>0</v>
      </c>
      <c r="F60" s="223">
        <v>1</v>
      </c>
      <c r="G60" s="223">
        <v>0</v>
      </c>
      <c r="H60" s="26">
        <f t="shared" si="95"/>
        <v>2</v>
      </c>
      <c r="I60" s="27">
        <f t="shared" si="96"/>
        <v>0</v>
      </c>
      <c r="J60" s="27">
        <f t="shared" si="97"/>
        <v>0.64703703703708015</v>
      </c>
      <c r="K60" s="27">
        <f t="shared" si="98"/>
        <v>0</v>
      </c>
      <c r="L60" s="4">
        <f t="shared" si="30"/>
        <v>34.940000000002328</v>
      </c>
      <c r="M60" s="224">
        <v>63.42</v>
      </c>
      <c r="N60" s="14">
        <f t="shared" si="20"/>
        <v>2215.8948000001478</v>
      </c>
      <c r="O60" s="224"/>
      <c r="P60" s="4">
        <f t="shared" si="133"/>
        <v>2215.8948000001478</v>
      </c>
      <c r="Q60" s="6">
        <f t="shared" si="134"/>
        <v>0.12698748888889735</v>
      </c>
      <c r="R60" s="6">
        <f t="shared" si="135"/>
        <v>253.97497777779472</v>
      </c>
      <c r="S60" s="6">
        <f t="shared" si="105"/>
        <v>253.97497777779472</v>
      </c>
      <c r="T60" s="6">
        <f t="shared" si="136"/>
        <v>7.5430568400005029</v>
      </c>
      <c r="U60" s="225"/>
      <c r="V60" s="34">
        <f t="shared" si="106"/>
        <v>78.650587037042271</v>
      </c>
      <c r="W60" s="4">
        <f t="shared" si="103"/>
        <v>41.682125925928709</v>
      </c>
      <c r="X60" s="6">
        <f t="shared" si="107"/>
        <v>9.8484213333339898</v>
      </c>
      <c r="Y60" s="4">
        <f t="shared" si="108"/>
        <v>10.258772222222907</v>
      </c>
      <c r="Z60" s="4">
        <f t="shared" si="109"/>
        <v>11.968567592593391</v>
      </c>
      <c r="AA60" s="226">
        <f t="shared" si="110"/>
        <v>34.940000000002328</v>
      </c>
      <c r="AC60" s="98">
        <f t="shared" si="111"/>
        <v>0.64703703703708015</v>
      </c>
      <c r="AD60" s="94">
        <f t="shared" si="112"/>
        <v>0.12698748888889735</v>
      </c>
      <c r="AE60" s="6">
        <f t="shared" si="113"/>
        <v>253.97497777779472</v>
      </c>
      <c r="AF60" s="6">
        <f t="shared" si="114"/>
        <v>253.97497777779472</v>
      </c>
      <c r="AG60" s="6">
        <f t="shared" si="115"/>
        <v>7.5430568400005029</v>
      </c>
      <c r="AH60" s="6">
        <f t="shared" si="104"/>
        <v>41.682125925928709</v>
      </c>
      <c r="AI60" s="95">
        <f t="shared" si="116"/>
        <v>246.21053333334976</v>
      </c>
    </row>
    <row r="61" spans="1:35" ht="12.75" customHeight="1" x14ac:dyDescent="0.2">
      <c r="B61" s="232">
        <v>95424.94</v>
      </c>
      <c r="C61" s="233">
        <v>96504.94</v>
      </c>
      <c r="D61" s="222" t="s">
        <v>16</v>
      </c>
      <c r="E61" s="222">
        <v>0</v>
      </c>
      <c r="F61" s="223">
        <v>0</v>
      </c>
      <c r="G61" s="223">
        <v>1</v>
      </c>
      <c r="H61" s="26">
        <f t="shared" si="95"/>
        <v>2</v>
      </c>
      <c r="I61" s="27">
        <f t="shared" si="96"/>
        <v>42</v>
      </c>
      <c r="J61" s="27">
        <f t="shared" si="97"/>
        <v>36.800000000000004</v>
      </c>
      <c r="K61" s="27">
        <f t="shared" si="98"/>
        <v>2.8000000000000003</v>
      </c>
      <c r="L61" s="4">
        <f t="shared" si="30"/>
        <v>1080</v>
      </c>
      <c r="M61" s="224">
        <v>65.08</v>
      </c>
      <c r="N61" s="14">
        <f t="shared" si="20"/>
        <v>70286.399999999994</v>
      </c>
      <c r="O61" s="224"/>
      <c r="P61" s="4">
        <f t="shared" si="133"/>
        <v>70286.399999999994</v>
      </c>
      <c r="Q61" s="6">
        <f t="shared" si="134"/>
        <v>4.0247999999999999</v>
      </c>
      <c r="R61" s="6">
        <f t="shared" si="135"/>
        <v>8049.5999999999995</v>
      </c>
      <c r="S61" s="6">
        <f t="shared" si="105"/>
        <v>8049.5999999999995</v>
      </c>
      <c r="T61" s="6">
        <f t="shared" si="136"/>
        <v>239.07311999999999</v>
      </c>
      <c r="U61" s="225"/>
      <c r="V61" s="34">
        <f t="shared" si="106"/>
        <v>2536.7333333333336</v>
      </c>
      <c r="W61" s="4">
        <f t="shared" si="103"/>
        <v>1338.3999999999999</v>
      </c>
      <c r="X61" s="6">
        <f t="shared" si="107"/>
        <v>312.38399999999996</v>
      </c>
      <c r="Y61" s="4">
        <f t="shared" si="108"/>
        <v>325.39999999999998</v>
      </c>
      <c r="Z61" s="4">
        <f t="shared" si="109"/>
        <v>382.43333333333328</v>
      </c>
      <c r="AA61" s="226">
        <f t="shared" si="110"/>
        <v>1080</v>
      </c>
      <c r="AC61" s="98">
        <f t="shared" si="111"/>
        <v>20</v>
      </c>
      <c r="AD61" s="94">
        <f t="shared" si="112"/>
        <v>4.0247999999999999</v>
      </c>
      <c r="AE61" s="6">
        <f t="shared" si="113"/>
        <v>8049.5999999999995</v>
      </c>
      <c r="AF61" s="6">
        <f t="shared" si="114"/>
        <v>8049.5999999999995</v>
      </c>
      <c r="AG61" s="6">
        <f t="shared" si="115"/>
        <v>239.07311999999999</v>
      </c>
      <c r="AH61" s="6">
        <f t="shared" si="104"/>
        <v>1321.6</v>
      </c>
      <c r="AI61" s="95">
        <f t="shared" si="116"/>
        <v>7809.5999999999995</v>
      </c>
    </row>
    <row r="62" spans="1:35" ht="12.75" customHeight="1" x14ac:dyDescent="0.2">
      <c r="B62" s="232">
        <v>96504.94</v>
      </c>
      <c r="C62" s="233">
        <v>98092.73</v>
      </c>
      <c r="D62" s="222" t="s">
        <v>16</v>
      </c>
      <c r="E62" s="222">
        <v>1</v>
      </c>
      <c r="F62" s="223">
        <v>0</v>
      </c>
      <c r="G62" s="223">
        <v>0</v>
      </c>
      <c r="H62" s="26">
        <f t="shared" si="95"/>
        <v>1.5</v>
      </c>
      <c r="I62" s="27">
        <f t="shared" si="96"/>
        <v>33.520011111110975</v>
      </c>
      <c r="J62" s="27">
        <f t="shared" si="97"/>
        <v>39.400714814814656</v>
      </c>
      <c r="K62" s="27">
        <f t="shared" si="98"/>
        <v>0</v>
      </c>
      <c r="L62" s="4">
        <f t="shared" si="30"/>
        <v>1587.7899999999936</v>
      </c>
      <c r="M62" s="224">
        <v>61.42</v>
      </c>
      <c r="N62" s="14">
        <f t="shared" si="20"/>
        <v>97522.061799999603</v>
      </c>
      <c r="O62" s="224"/>
      <c r="P62" s="4">
        <f t="shared" si="133"/>
        <v>97522.061799999603</v>
      </c>
      <c r="Q62" s="6">
        <f t="shared" si="134"/>
        <v>5.5502081555555325</v>
      </c>
      <c r="R62" s="6">
        <f t="shared" si="135"/>
        <v>11100.416311111065</v>
      </c>
      <c r="S62" s="6">
        <f t="shared" si="105"/>
        <v>11100.416311111065</v>
      </c>
      <c r="T62" s="6">
        <f t="shared" si="136"/>
        <v>329.68236443999865</v>
      </c>
      <c r="U62" s="225"/>
      <c r="V62" s="34">
        <f t="shared" si="106"/>
        <v>3494.9512169752943</v>
      </c>
      <c r="W62" s="4">
        <f t="shared" si="103"/>
        <v>1845.3648222222146</v>
      </c>
      <c r="X62" s="6">
        <f t="shared" si="107"/>
        <v>433.43138577777603</v>
      </c>
      <c r="Y62" s="4">
        <f t="shared" si="108"/>
        <v>451.49102685184999</v>
      </c>
      <c r="Z62" s="4">
        <f t="shared" si="109"/>
        <v>526.73953132715837</v>
      </c>
      <c r="AA62" s="226">
        <f t="shared" si="110"/>
        <v>1587.7899999999936</v>
      </c>
      <c r="AC62" s="98">
        <f t="shared" si="111"/>
        <v>29.4035185185184</v>
      </c>
      <c r="AD62" s="94">
        <f t="shared" si="112"/>
        <v>5.5502081555555325</v>
      </c>
      <c r="AE62" s="6">
        <f t="shared" si="113"/>
        <v>11100.416311111065</v>
      </c>
      <c r="AF62" s="6">
        <f t="shared" si="114"/>
        <v>11100.416311111065</v>
      </c>
      <c r="AG62" s="6">
        <f t="shared" si="115"/>
        <v>329.68236443999865</v>
      </c>
      <c r="AH62" s="6">
        <f t="shared" si="104"/>
        <v>1835.3676259259184</v>
      </c>
      <c r="AI62" s="95">
        <f t="shared" si="116"/>
        <v>10835.7846444444</v>
      </c>
    </row>
    <row r="63" spans="1:35" ht="12.75" customHeight="1" x14ac:dyDescent="0.2">
      <c r="B63" s="232">
        <v>98092.73</v>
      </c>
      <c r="C63" s="233">
        <v>98152.14</v>
      </c>
      <c r="D63" s="222" t="s">
        <v>16</v>
      </c>
      <c r="E63" s="222">
        <v>0</v>
      </c>
      <c r="F63" s="223">
        <v>0</v>
      </c>
      <c r="G63" s="223">
        <v>1</v>
      </c>
      <c r="H63" s="26">
        <f t="shared" si="95"/>
        <v>2</v>
      </c>
      <c r="I63" s="27">
        <f t="shared" si="96"/>
        <v>2.3103888888890247</v>
      </c>
      <c r="J63" s="27">
        <f t="shared" si="97"/>
        <v>2.0243407407408598</v>
      </c>
      <c r="K63" s="27">
        <f t="shared" si="98"/>
        <v>0.154025925925935</v>
      </c>
      <c r="L63" s="4">
        <f t="shared" si="30"/>
        <v>59.410000000003492</v>
      </c>
      <c r="M63" s="224">
        <v>63.08</v>
      </c>
      <c r="N63" s="14">
        <f t="shared" si="20"/>
        <v>3747.5828000002202</v>
      </c>
      <c r="O63" s="224"/>
      <c r="P63" s="4">
        <f t="shared" si="133"/>
        <v>3747.5828000002202</v>
      </c>
      <c r="Q63" s="6">
        <f t="shared" si="134"/>
        <v>0.2148001555555682</v>
      </c>
      <c r="R63" s="6">
        <f t="shared" si="135"/>
        <v>429.60031111113636</v>
      </c>
      <c r="S63" s="6">
        <f t="shared" si="105"/>
        <v>429.60031111113636</v>
      </c>
      <c r="T63" s="6">
        <f t="shared" si="136"/>
        <v>12.759129240000748</v>
      </c>
      <c r="U63" s="225"/>
      <c r="V63" s="34">
        <f t="shared" si="106"/>
        <v>135.32644506173637</v>
      </c>
      <c r="W63" s="4">
        <f t="shared" si="103"/>
        <v>71.424022222226412</v>
      </c>
      <c r="X63" s="6">
        <f t="shared" si="107"/>
        <v>16.655923555556534</v>
      </c>
      <c r="Y63" s="4">
        <f t="shared" si="108"/>
        <v>17.34992037037139</v>
      </c>
      <c r="Z63" s="4">
        <f t="shared" si="109"/>
        <v>20.395599691359223</v>
      </c>
      <c r="AA63" s="226">
        <f t="shared" si="110"/>
        <v>59.410000000003492</v>
      </c>
      <c r="AC63" s="98">
        <f t="shared" si="111"/>
        <v>1.1001851851852498</v>
      </c>
      <c r="AD63" s="94">
        <f t="shared" si="112"/>
        <v>0.2148001555555682</v>
      </c>
      <c r="AE63" s="6">
        <f t="shared" si="113"/>
        <v>429.60031111113636</v>
      </c>
      <c r="AF63" s="6">
        <f t="shared" si="114"/>
        <v>429.60031111113636</v>
      </c>
      <c r="AG63" s="6">
        <f t="shared" si="115"/>
        <v>12.759129240000748</v>
      </c>
      <c r="AH63" s="6">
        <f t="shared" si="104"/>
        <v>70.499866666670812</v>
      </c>
      <c r="AI63" s="95">
        <f t="shared" si="116"/>
        <v>416.39808888891338</v>
      </c>
    </row>
    <row r="64" spans="1:35" ht="12.75" customHeight="1" x14ac:dyDescent="0.2">
      <c r="B64" s="232">
        <v>98152.14</v>
      </c>
      <c r="C64" s="233">
        <v>101454.56</v>
      </c>
      <c r="D64" s="222" t="s">
        <v>16</v>
      </c>
      <c r="E64" s="222">
        <v>1</v>
      </c>
      <c r="F64" s="223">
        <v>0</v>
      </c>
      <c r="G64" s="223">
        <v>0</v>
      </c>
      <c r="H64" s="26">
        <f t="shared" si="95"/>
        <v>1.5</v>
      </c>
      <c r="I64" s="27">
        <f t="shared" si="96"/>
        <v>69.717755555555513</v>
      </c>
      <c r="J64" s="27">
        <f t="shared" si="97"/>
        <v>81.94894074074071</v>
      </c>
      <c r="K64" s="27">
        <f t="shared" si="98"/>
        <v>0</v>
      </c>
      <c r="L64" s="4">
        <f t="shared" si="30"/>
        <v>3302.4199999999983</v>
      </c>
      <c r="M64" s="224">
        <v>61.42</v>
      </c>
      <c r="N64" s="14">
        <f t="shared" si="20"/>
        <v>202834.6363999999</v>
      </c>
      <c r="O64" s="224"/>
      <c r="P64" s="4">
        <f t="shared" si="133"/>
        <v>202834.6363999999</v>
      </c>
      <c r="Q64" s="6">
        <f t="shared" si="134"/>
        <v>11.543792577777772</v>
      </c>
      <c r="R64" s="6">
        <f t="shared" si="135"/>
        <v>23087.585155555545</v>
      </c>
      <c r="S64" s="6">
        <f t="shared" si="105"/>
        <v>23087.585155555545</v>
      </c>
      <c r="T64" s="6">
        <f t="shared" si="136"/>
        <v>685.70127911999964</v>
      </c>
      <c r="U64" s="225"/>
      <c r="V64" s="34">
        <f t="shared" si="106"/>
        <v>7269.0952820987623</v>
      </c>
      <c r="W64" s="4">
        <f t="shared" si="103"/>
        <v>3838.1459111111089</v>
      </c>
      <c r="X64" s="6">
        <f t="shared" si="107"/>
        <v>901.48727288888847</v>
      </c>
      <c r="Y64" s="4">
        <f t="shared" si="108"/>
        <v>939.04924259259212</v>
      </c>
      <c r="Z64" s="4">
        <f t="shared" si="109"/>
        <v>1095.5574496913575</v>
      </c>
      <c r="AA64" s="226">
        <f t="shared" si="110"/>
        <v>3302.4199999999983</v>
      </c>
      <c r="AC64" s="98">
        <f t="shared" si="111"/>
        <v>61.155925925925892</v>
      </c>
      <c r="AD64" s="94">
        <f t="shared" si="112"/>
        <v>11.543792577777772</v>
      </c>
      <c r="AE64" s="6">
        <f t="shared" si="113"/>
        <v>23087.585155555545</v>
      </c>
      <c r="AF64" s="6">
        <f t="shared" si="114"/>
        <v>23087.585155555545</v>
      </c>
      <c r="AG64" s="6">
        <f t="shared" si="115"/>
        <v>685.70127911999964</v>
      </c>
      <c r="AH64" s="6">
        <f t="shared" si="104"/>
        <v>3817.3528962962941</v>
      </c>
      <c r="AI64" s="95">
        <f t="shared" si="116"/>
        <v>22537.18182222221</v>
      </c>
    </row>
    <row r="65" spans="1:35" ht="12.75" customHeight="1" x14ac:dyDescent="0.2">
      <c r="B65" s="232">
        <v>101454.56</v>
      </c>
      <c r="C65" s="233">
        <v>101500</v>
      </c>
      <c r="D65" s="222" t="s">
        <v>16</v>
      </c>
      <c r="E65" s="222">
        <v>2</v>
      </c>
      <c r="F65" s="223">
        <v>0</v>
      </c>
      <c r="G65" s="223">
        <v>0</v>
      </c>
      <c r="H65" s="26">
        <f t="shared" si="95"/>
        <v>3</v>
      </c>
      <c r="I65" s="27">
        <f t="shared" si="96"/>
        <v>1.9185777777778759</v>
      </c>
      <c r="J65" s="27">
        <f t="shared" si="97"/>
        <v>2.255170370370486</v>
      </c>
      <c r="K65" s="27">
        <f t="shared" si="98"/>
        <v>0</v>
      </c>
      <c r="L65" s="4">
        <f t="shared" si="30"/>
        <v>45.440000000002328</v>
      </c>
      <c r="M65" s="224">
        <v>40.5</v>
      </c>
      <c r="N65" s="14">
        <f t="shared" si="20"/>
        <v>1840.3200000000943</v>
      </c>
      <c r="O65" s="224"/>
      <c r="P65" s="4">
        <f t="shared" si="133"/>
        <v>1840.3200000000943</v>
      </c>
      <c r="Q65" s="6">
        <f t="shared" si="134"/>
        <v>0.10981333333333897</v>
      </c>
      <c r="R65" s="6">
        <f t="shared" si="135"/>
        <v>219.62666666667792</v>
      </c>
      <c r="S65" s="6">
        <f t="shared" si="105"/>
        <v>219.62666666667792</v>
      </c>
      <c r="T65" s="6">
        <f t="shared" si="136"/>
        <v>6.5229120000003347</v>
      </c>
      <c r="U65" s="225"/>
      <c r="V65" s="34">
        <f t="shared" si="106"/>
        <v>67.238577777781217</v>
      </c>
      <c r="W65" s="4">
        <f t="shared" si="103"/>
        <v>36.335170370372232</v>
      </c>
      <c r="X65" s="6">
        <f t="shared" si="107"/>
        <v>8.179200000000419</v>
      </c>
      <c r="Y65" s="4">
        <f t="shared" si="108"/>
        <v>8.5200000000004366</v>
      </c>
      <c r="Z65" s="4">
        <f t="shared" si="109"/>
        <v>9.9400000000005093</v>
      </c>
      <c r="AA65" s="226">
        <f t="shared" si="110"/>
        <v>45.440000000002328</v>
      </c>
      <c r="AC65" s="98">
        <f t="shared" si="111"/>
        <v>1.6829629629630491</v>
      </c>
      <c r="AD65" s="94">
        <f t="shared" si="112"/>
        <v>0.10981333333333897</v>
      </c>
      <c r="AE65" s="6">
        <f t="shared" si="113"/>
        <v>219.62666666667792</v>
      </c>
      <c r="AF65" s="6">
        <f t="shared" si="114"/>
        <v>219.62666666667792</v>
      </c>
      <c r="AG65" s="6">
        <f t="shared" si="115"/>
        <v>6.5229120000003347</v>
      </c>
      <c r="AH65" s="6">
        <f t="shared" si="104"/>
        <v>35.762962962964792</v>
      </c>
      <c r="AI65" s="95">
        <f t="shared" si="116"/>
        <v>204.48000000001048</v>
      </c>
    </row>
    <row r="66" spans="1:35" ht="12.75" customHeight="1" x14ac:dyDescent="0.2">
      <c r="B66" s="351" t="s">
        <v>120</v>
      </c>
      <c r="C66" s="352"/>
      <c r="D66" s="222" t="s">
        <v>16</v>
      </c>
      <c r="E66" s="222"/>
      <c r="F66" s="223"/>
      <c r="G66" s="223"/>
      <c r="H66" s="26"/>
      <c r="I66" s="27"/>
      <c r="J66" s="27"/>
      <c r="K66" s="27"/>
      <c r="L66" s="4"/>
      <c r="M66" s="224"/>
      <c r="N66" s="14"/>
      <c r="O66" s="224"/>
      <c r="P66" s="4"/>
      <c r="Q66" s="6"/>
      <c r="R66" s="6"/>
      <c r="S66" s="6"/>
      <c r="T66" s="6"/>
      <c r="U66" s="225">
        <v>40.5</v>
      </c>
      <c r="V66" s="34"/>
      <c r="W66" s="4"/>
      <c r="X66" s="6"/>
      <c r="Y66" s="4"/>
      <c r="Z66" s="4"/>
      <c r="AA66" s="226"/>
      <c r="AC66" s="98"/>
      <c r="AD66" s="94"/>
      <c r="AE66" s="6"/>
      <c r="AF66" s="6"/>
      <c r="AG66" s="6"/>
      <c r="AH66" s="6"/>
      <c r="AI66" s="95"/>
    </row>
    <row r="67" spans="1:35" ht="12.75" customHeight="1" thickBot="1" x14ac:dyDescent="0.25">
      <c r="B67" s="84"/>
      <c r="C67" s="3"/>
      <c r="D67" s="32"/>
      <c r="E67" s="32"/>
      <c r="F67" s="32"/>
      <c r="G67" s="32"/>
      <c r="H67" s="26"/>
      <c r="I67" s="27"/>
      <c r="J67" s="27"/>
      <c r="K67" s="27"/>
      <c r="L67" s="4"/>
      <c r="M67" s="4"/>
      <c r="N67" s="14"/>
      <c r="O67" s="4"/>
      <c r="P67" s="4"/>
      <c r="Q67" s="6"/>
      <c r="R67" s="6"/>
      <c r="S67" s="6"/>
      <c r="T67" s="6"/>
      <c r="U67" s="7"/>
      <c r="V67" s="34"/>
      <c r="W67" s="4"/>
      <c r="X67" s="6"/>
      <c r="Y67" s="4"/>
      <c r="Z67" s="4"/>
      <c r="AA67" s="19"/>
      <c r="AC67" s="19"/>
      <c r="AD67" s="19"/>
      <c r="AE67" s="6"/>
      <c r="AF67" s="6"/>
      <c r="AG67" s="6"/>
      <c r="AH67" s="19"/>
      <c r="AI67" s="19"/>
    </row>
    <row r="68" spans="1:35" ht="12.75" customHeight="1" x14ac:dyDescent="0.2">
      <c r="B68" s="357" t="s">
        <v>57</v>
      </c>
      <c r="C68" s="358"/>
      <c r="D68" s="28"/>
      <c r="E68" s="28"/>
      <c r="F68" s="28"/>
      <c r="G68" s="28"/>
      <c r="H68" s="28"/>
      <c r="I68" s="28"/>
      <c r="J68" s="28"/>
      <c r="K68" s="28"/>
      <c r="L68" s="29"/>
      <c r="M68" s="29"/>
      <c r="N68" s="29"/>
      <c r="O68" s="29"/>
      <c r="P68" s="29"/>
      <c r="Q68" s="29"/>
      <c r="R68" s="29"/>
      <c r="S68" s="29"/>
      <c r="T68" s="30"/>
      <c r="U68" s="30"/>
      <c r="V68" s="29"/>
      <c r="W68" s="29"/>
      <c r="X68" s="29"/>
      <c r="Y68" s="29"/>
      <c r="Z68" s="29"/>
      <c r="AA68" s="85"/>
      <c r="AC68" s="228"/>
      <c r="AD68" s="228"/>
      <c r="AE68" s="29"/>
      <c r="AF68" s="29"/>
      <c r="AG68" s="30"/>
      <c r="AH68" s="228"/>
      <c r="AI68" s="228"/>
    </row>
    <row r="69" spans="1:35" ht="12.75" customHeight="1" x14ac:dyDescent="0.2">
      <c r="B69" s="351">
        <v>74452.94</v>
      </c>
      <c r="C69" s="352"/>
      <c r="D69" s="222" t="s">
        <v>15</v>
      </c>
      <c r="E69" s="222"/>
      <c r="F69" s="223"/>
      <c r="G69" s="223"/>
      <c r="H69" s="26"/>
      <c r="I69" s="27"/>
      <c r="J69" s="27"/>
      <c r="K69" s="27"/>
      <c r="L69" s="4"/>
      <c r="M69" s="224"/>
      <c r="N69" s="14"/>
      <c r="O69" s="224"/>
      <c r="P69" s="4"/>
      <c r="Q69" s="6"/>
      <c r="R69" s="6"/>
      <c r="S69" s="6"/>
      <c r="T69" s="6"/>
      <c r="U69" s="225">
        <v>48</v>
      </c>
      <c r="V69" s="34"/>
      <c r="W69" s="4"/>
      <c r="X69" s="6"/>
      <c r="Y69" s="4"/>
      <c r="Z69" s="4"/>
      <c r="AA69" s="226"/>
      <c r="AC69" s="98"/>
      <c r="AD69" s="94"/>
      <c r="AE69" s="6"/>
      <c r="AF69" s="6"/>
      <c r="AG69" s="6"/>
      <c r="AH69" s="6"/>
      <c r="AI69" s="95"/>
    </row>
    <row r="70" spans="1:35" ht="12.75" customHeight="1" x14ac:dyDescent="0.2">
      <c r="B70" s="232">
        <v>74452.94</v>
      </c>
      <c r="C70" s="233">
        <v>74542.44</v>
      </c>
      <c r="D70" s="222" t="s">
        <v>15</v>
      </c>
      <c r="E70" s="222">
        <v>2</v>
      </c>
      <c r="F70" s="223">
        <v>0</v>
      </c>
      <c r="G70" s="223">
        <v>0</v>
      </c>
      <c r="H70" s="26">
        <f t="shared" ref="H70:H101" si="137">IF(E70=2,$AL$4*2,IF(F70=2,$AO$10*2,IF(G70=2,$AL$16*2,IF(AND(E70=1,F70=1),$AL$4+$AO$10,IF(AND(E70=1,F70=0,G70=0),$AL$4,IF(AND(E70=1,G70=1),$AL$4+$AL$16,IF(AND(E70=0,F70=1,G70=0),$AO$10,IF(AND(F70=1,G70=1),$AO$10+$AL$16,IF(AND(E70=0,F70=0,G70=1),$AL$16,0)))))))))</f>
        <v>3</v>
      </c>
      <c r="I70" s="27">
        <f t="shared" ref="I70:I101" si="138">IF(E70=2,AO$4*L70*2/27,IF(G70=2,$AO$16*L70*2/27,IF(AND(E70=1,G70=0),$AO$4*L70/27,IF(AND(E70=1,G70=1),($AO$4*L70+$AO$16*L70)/27,IF(AND(F70=1,G70=1),$AO$16*L70/27,IF(AND(E70=0,F70=0,G70=1),$AO$16*L70/27,0))))))</f>
        <v>3.7788888888888885</v>
      </c>
      <c r="J70" s="27">
        <f t="shared" ref="J70:J101" si="139">IF(E70=2,$AR$4*2*L70/27,IF(F70=2,$AR$10*2*L70/27,IF(G70=2,$AR$16*2*L70/27,IF(AND(E70=1,F70=1),($AR$4*L70+$AR$10*L70)/27,IF(AND(E70=1,F70=0,G70=0),$AR$4*L70/27,IF(AND(E70=1,G70=1),($AR$4*L70+$AR$16*L70)/27,IF(AND(E70=0,F70=1,G70=0),$AR$10*L70/27,IF(AND(F70=1,G70=1),($AR$10*L70+$AR$16*L70)/27,IF(AND(E70=0,F70=0,G70=1),$AR$16*L70/27,0)))))))))</f>
        <v>4.4418518518518519</v>
      </c>
      <c r="K70" s="27">
        <f t="shared" ref="K70:K101" si="140">IF(G70=1,$AU$16*L70/27,IF(G70=2,$AU$16*L70*2/27,0))</f>
        <v>0</v>
      </c>
      <c r="L70" s="4">
        <f t="shared" ref="L70" si="141">C70-B70</f>
        <v>89.5</v>
      </c>
      <c r="M70" s="224">
        <v>48</v>
      </c>
      <c r="N70" s="14">
        <f t="shared" ref="N70:N125" si="142">IF(M70="","",L70*M70)</f>
        <v>4296</v>
      </c>
      <c r="O70" s="224"/>
      <c r="P70" s="4">
        <f t="shared" ref="P70" si="143">SUM(N70:O70)</f>
        <v>4296</v>
      </c>
      <c r="Q70" s="6">
        <f t="shared" ref="Q70" si="144">(S70)/2000</f>
        <v>0.25358333333333333</v>
      </c>
      <c r="R70" s="6">
        <f t="shared" ref="R70" si="145">S70</f>
        <v>507.16666666666669</v>
      </c>
      <c r="S70" s="6">
        <f t="shared" ref="S70:S83" si="146">($P70+H70*$L70)/9</f>
        <v>507.16666666666669</v>
      </c>
      <c r="T70" s="6">
        <f t="shared" ref="T70" si="147">$S$1*S70*110*0.06*0.75/2000</f>
        <v>15.062849999999999</v>
      </c>
      <c r="U70" s="225"/>
      <c r="V70" s="34">
        <f t="shared" ref="V70:V83" si="148">(P70*$V$1/12)/27+I70</f>
        <v>156.2603703703704</v>
      </c>
      <c r="W70" s="4">
        <f t="shared" ref="W70:W101" si="149">(P70*$W$1/12)/27+J70</f>
        <v>83.997407407407408</v>
      </c>
      <c r="X70" s="6">
        <f t="shared" ref="X70:X83" si="150">($P70/9)*$X$1</f>
        <v>19.093333333333334</v>
      </c>
      <c r="Y70" s="4">
        <f t="shared" ref="Y70:Y83" si="151">($P70*($Y$1/12))/27</f>
        <v>19.888888888888889</v>
      </c>
      <c r="Z70" s="4">
        <f t="shared" ref="Z70:Z83" si="152">(P70*$Z$1/12)/27+K70</f>
        <v>23.203703703703702</v>
      </c>
      <c r="AA70" s="226">
        <f t="shared" ref="AA70:AA83" si="153">L70</f>
        <v>89.5</v>
      </c>
      <c r="AC70" s="98">
        <f t="shared" ref="AC70:AC83" si="154">IF(E70=2,$AO$26*2*L70/27,IF(F70=2,$AO$32*2*L70/27,IF(G70=2,$AO$38*2*L70/27,IF(AND(E70=1,F70=1),($AO$26*L70+$AO$32*L70)/27,IF(AND(E70=1,F70=0,G70=0),$AO$26*L70/27,IF(AND(E70=1,G70=1),($AO$26*L70+$AO$38*L70)/27,IF(AND(E70=0,F70=1,G70=0),$AO$32*L70/27,IF(AND(F70=1,G70=1),($AO$32*L70+$AO$38*L70)/27,IF(AND(E70=0,F70=0,G70=1),$AO$38*L70/27,0)))))))))</f>
        <v>3.3148148148148149</v>
      </c>
      <c r="AD70" s="94">
        <f t="shared" ref="AD70:AD83" si="155">(S70)/2000</f>
        <v>0.25358333333333333</v>
      </c>
      <c r="AE70" s="6">
        <f t="shared" ref="AE70:AE83" si="156">AF70</f>
        <v>507.16666666666669</v>
      </c>
      <c r="AF70" s="6">
        <f t="shared" ref="AF70:AF83" si="157">($P70+H70*$L70)/9</f>
        <v>507.16666666666669</v>
      </c>
      <c r="AG70" s="6">
        <f t="shared" ref="AG70:AG83" si="158">$S$1*AF70*110*0.06*0.75/2000</f>
        <v>15.062849999999999</v>
      </c>
      <c r="AH70" s="6">
        <f t="shared" ref="AH70:AH101" si="159">(P70*$W$1/12)/27+AC70</f>
        <v>82.870370370370367</v>
      </c>
      <c r="AI70" s="95">
        <f t="shared" ref="AI70:AI83" si="160">P70/9</f>
        <v>477.33333333333331</v>
      </c>
    </row>
    <row r="71" spans="1:35" ht="12.75" customHeight="1" x14ac:dyDescent="0.2">
      <c r="B71" s="232">
        <v>74542.44</v>
      </c>
      <c r="C71" s="233">
        <v>75390.8</v>
      </c>
      <c r="D71" s="222" t="s">
        <v>15</v>
      </c>
      <c r="E71" s="222">
        <v>2</v>
      </c>
      <c r="F71" s="223">
        <v>0</v>
      </c>
      <c r="G71" s="223">
        <v>0</v>
      </c>
      <c r="H71" s="26">
        <f t="shared" si="137"/>
        <v>3</v>
      </c>
      <c r="I71" s="27">
        <f t="shared" si="138"/>
        <v>35.819644444444464</v>
      </c>
      <c r="J71" s="27">
        <f t="shared" si="139"/>
        <v>42.103792592592626</v>
      </c>
      <c r="K71" s="27">
        <f t="shared" si="140"/>
        <v>0</v>
      </c>
      <c r="L71" s="4">
        <f t="shared" ref="L71" si="161">C71-B71</f>
        <v>848.36000000000058</v>
      </c>
      <c r="M71" s="224">
        <v>54</v>
      </c>
      <c r="N71" s="14">
        <f t="shared" si="142"/>
        <v>45811.440000000031</v>
      </c>
      <c r="O71" s="224"/>
      <c r="P71" s="4">
        <f t="shared" ref="P71" si="162">SUM(N71:O71)</f>
        <v>45811.440000000031</v>
      </c>
      <c r="Q71" s="6">
        <f t="shared" ref="Q71" si="163">(S71)/2000</f>
        <v>2.686473333333335</v>
      </c>
      <c r="R71" s="6">
        <f t="shared" ref="R71" si="164">S71</f>
        <v>5372.9466666666704</v>
      </c>
      <c r="S71" s="6">
        <f t="shared" si="146"/>
        <v>5372.9466666666704</v>
      </c>
      <c r="T71" s="6">
        <f t="shared" ref="T71" si="165">$S$1*S71*110*0.06*0.75/2000</f>
        <v>159.57651600000011</v>
      </c>
      <c r="U71" s="225"/>
      <c r="V71" s="34">
        <f t="shared" si="148"/>
        <v>1661.8429777777792</v>
      </c>
      <c r="W71" s="4">
        <f t="shared" si="149"/>
        <v>890.46379259259322</v>
      </c>
      <c r="X71" s="6">
        <f t="shared" si="150"/>
        <v>203.60640000000015</v>
      </c>
      <c r="Y71" s="4">
        <f t="shared" si="151"/>
        <v>212.09000000000015</v>
      </c>
      <c r="Z71" s="4">
        <f t="shared" si="152"/>
        <v>247.43833333333347</v>
      </c>
      <c r="AA71" s="226">
        <f t="shared" si="153"/>
        <v>848.36000000000058</v>
      </c>
      <c r="AC71" s="98">
        <f t="shared" si="154"/>
        <v>31.420740740740762</v>
      </c>
      <c r="AD71" s="94">
        <f t="shared" si="155"/>
        <v>2.686473333333335</v>
      </c>
      <c r="AE71" s="6">
        <f t="shared" si="156"/>
        <v>5372.9466666666704</v>
      </c>
      <c r="AF71" s="6">
        <f t="shared" si="157"/>
        <v>5372.9466666666704</v>
      </c>
      <c r="AG71" s="6">
        <f t="shared" si="158"/>
        <v>159.57651600000011</v>
      </c>
      <c r="AH71" s="6">
        <f t="shared" si="159"/>
        <v>879.78074074074129</v>
      </c>
      <c r="AI71" s="95">
        <f t="shared" si="160"/>
        <v>5090.1600000000035</v>
      </c>
    </row>
    <row r="72" spans="1:35" ht="12.75" customHeight="1" x14ac:dyDescent="0.2">
      <c r="B72" s="232">
        <v>75390.8</v>
      </c>
      <c r="C72" s="233">
        <v>76200</v>
      </c>
      <c r="D72" s="222" t="s">
        <v>15</v>
      </c>
      <c r="E72" s="222">
        <v>2</v>
      </c>
      <c r="F72" s="223">
        <v>0</v>
      </c>
      <c r="G72" s="223">
        <v>0</v>
      </c>
      <c r="H72" s="26">
        <f t="shared" si="137"/>
        <v>3</v>
      </c>
      <c r="I72" s="27">
        <f t="shared" si="138"/>
        <v>34.166222222222096</v>
      </c>
      <c r="J72" s="27">
        <f t="shared" si="139"/>
        <v>40.160296296296153</v>
      </c>
      <c r="K72" s="27">
        <f t="shared" si="140"/>
        <v>0</v>
      </c>
      <c r="L72" s="4">
        <f t="shared" ref="L72" si="166">C72-B72</f>
        <v>809.19999999999709</v>
      </c>
      <c r="M72" s="224">
        <v>60</v>
      </c>
      <c r="N72" s="14">
        <f t="shared" si="142"/>
        <v>48551.999999999825</v>
      </c>
      <c r="O72" s="224"/>
      <c r="P72" s="4">
        <f t="shared" ref="P72" si="167">SUM(N72:O72)</f>
        <v>48551.999999999825</v>
      </c>
      <c r="Q72" s="6">
        <f t="shared" ref="Q72" si="168">(S72)/2000</f>
        <v>2.8321999999999896</v>
      </c>
      <c r="R72" s="6">
        <f t="shared" ref="R72" si="169">S72</f>
        <v>5664.3999999999796</v>
      </c>
      <c r="S72" s="6">
        <f t="shared" si="146"/>
        <v>5664.3999999999796</v>
      </c>
      <c r="T72" s="6">
        <f t="shared" ref="T72" si="170">$S$1*S72*110*0.06*0.75/2000</f>
        <v>168.23267999999939</v>
      </c>
      <c r="U72" s="225"/>
      <c r="V72" s="34">
        <f t="shared" si="148"/>
        <v>1757.4625185185123</v>
      </c>
      <c r="W72" s="4">
        <f t="shared" si="149"/>
        <v>939.27140740740401</v>
      </c>
      <c r="X72" s="6">
        <f t="shared" si="150"/>
        <v>215.78666666666589</v>
      </c>
      <c r="Y72" s="4">
        <f t="shared" si="151"/>
        <v>224.77777777777698</v>
      </c>
      <c r="Z72" s="4">
        <f t="shared" si="152"/>
        <v>262.2407407407398</v>
      </c>
      <c r="AA72" s="226">
        <f t="shared" si="153"/>
        <v>809.19999999999709</v>
      </c>
      <c r="AC72" s="98">
        <f t="shared" si="154"/>
        <v>29.970370370370262</v>
      </c>
      <c r="AD72" s="94">
        <f t="shared" si="155"/>
        <v>2.8321999999999896</v>
      </c>
      <c r="AE72" s="6">
        <f t="shared" si="156"/>
        <v>5664.3999999999796</v>
      </c>
      <c r="AF72" s="6">
        <f t="shared" si="157"/>
        <v>5664.3999999999796</v>
      </c>
      <c r="AG72" s="6">
        <f t="shared" si="158"/>
        <v>168.23267999999939</v>
      </c>
      <c r="AH72" s="6">
        <f t="shared" si="159"/>
        <v>929.08148148147814</v>
      </c>
      <c r="AI72" s="95">
        <f t="shared" si="160"/>
        <v>5394.666666666647</v>
      </c>
    </row>
    <row r="73" spans="1:35" ht="12.75" customHeight="1" x14ac:dyDescent="0.2">
      <c r="B73" s="232">
        <v>76200</v>
      </c>
      <c r="C73" s="233">
        <v>76347.87</v>
      </c>
      <c r="D73" s="222" t="s">
        <v>15</v>
      </c>
      <c r="E73" s="222">
        <v>1</v>
      </c>
      <c r="F73" s="223">
        <v>0</v>
      </c>
      <c r="G73" s="223">
        <v>1</v>
      </c>
      <c r="H73" s="26">
        <f t="shared" si="137"/>
        <v>3.5</v>
      </c>
      <c r="I73" s="27">
        <f t="shared" si="138"/>
        <v>8.8721999999997205</v>
      </c>
      <c r="J73" s="27">
        <f t="shared" si="139"/>
        <v>8.7078999999997251</v>
      </c>
      <c r="K73" s="27">
        <f t="shared" si="140"/>
        <v>0.38336666666665459</v>
      </c>
      <c r="L73" s="4">
        <f t="shared" ref="L73:L84" si="171">C73-B73</f>
        <v>147.86999999999534</v>
      </c>
      <c r="M73" s="224">
        <v>60</v>
      </c>
      <c r="N73" s="14">
        <f t="shared" si="142"/>
        <v>8872.1999999997206</v>
      </c>
      <c r="O73" s="224"/>
      <c r="P73" s="4">
        <f t="shared" ref="P73:P79" si="172">SUM(N73:O73)</f>
        <v>8872.1999999997206</v>
      </c>
      <c r="Q73" s="6">
        <f t="shared" ref="Q73:Q79" si="173">(S73)/2000</f>
        <v>0.52165249999998353</v>
      </c>
      <c r="R73" s="6">
        <f t="shared" ref="R73:R79" si="174">S73</f>
        <v>1043.3049999999671</v>
      </c>
      <c r="S73" s="6">
        <f t="shared" si="146"/>
        <v>1043.3049999999671</v>
      </c>
      <c r="T73" s="6">
        <f t="shared" ref="T73:T79" si="175">$S$1*S73*110*0.06*0.75/2000</f>
        <v>30.986158499999021</v>
      </c>
      <c r="U73" s="225"/>
      <c r="V73" s="34">
        <f t="shared" si="148"/>
        <v>323.78053333332315</v>
      </c>
      <c r="W73" s="4">
        <f t="shared" si="149"/>
        <v>173.00789999999455</v>
      </c>
      <c r="X73" s="6">
        <f t="shared" si="150"/>
        <v>39.431999999998759</v>
      </c>
      <c r="Y73" s="4">
        <f t="shared" si="151"/>
        <v>41.07499999999871</v>
      </c>
      <c r="Z73" s="4">
        <f t="shared" si="152"/>
        <v>48.304199999998474</v>
      </c>
      <c r="AA73" s="226">
        <f t="shared" si="153"/>
        <v>147.86999999999534</v>
      </c>
      <c r="AC73" s="98">
        <f t="shared" si="154"/>
        <v>5.4766666666664943</v>
      </c>
      <c r="AD73" s="94">
        <f t="shared" si="155"/>
        <v>0.52165249999998353</v>
      </c>
      <c r="AE73" s="6">
        <f t="shared" si="156"/>
        <v>1043.3049999999671</v>
      </c>
      <c r="AF73" s="6">
        <f t="shared" si="157"/>
        <v>1043.3049999999671</v>
      </c>
      <c r="AG73" s="6">
        <f t="shared" si="158"/>
        <v>30.986158499999021</v>
      </c>
      <c r="AH73" s="6">
        <f t="shared" si="159"/>
        <v>169.77666666666133</v>
      </c>
      <c r="AI73" s="95">
        <f t="shared" si="160"/>
        <v>985.79999999996892</v>
      </c>
    </row>
    <row r="74" spans="1:35" ht="12.75" customHeight="1" x14ac:dyDescent="0.2">
      <c r="A74" s="58" t="s">
        <v>123</v>
      </c>
      <c r="B74" s="232">
        <v>76347.87</v>
      </c>
      <c r="C74" s="233">
        <v>77009.05</v>
      </c>
      <c r="D74" s="222" t="s">
        <v>15</v>
      </c>
      <c r="E74" s="222">
        <v>1</v>
      </c>
      <c r="F74" s="223">
        <v>0</v>
      </c>
      <c r="G74" s="223">
        <v>0</v>
      </c>
      <c r="H74" s="26">
        <f t="shared" si="137"/>
        <v>1.5</v>
      </c>
      <c r="I74" s="27">
        <f t="shared" si="138"/>
        <v>13.958244444444604</v>
      </c>
      <c r="J74" s="27">
        <f t="shared" si="139"/>
        <v>16.407059259259448</v>
      </c>
      <c r="K74" s="27">
        <f t="shared" si="140"/>
        <v>0</v>
      </c>
      <c r="L74" s="4">
        <f t="shared" si="171"/>
        <v>661.18000000000757</v>
      </c>
      <c r="M74" s="224">
        <v>62.86</v>
      </c>
      <c r="N74" s="14">
        <f t="shared" si="142"/>
        <v>41561.774800000472</v>
      </c>
      <c r="O74" s="224"/>
      <c r="P74" s="4">
        <f t="shared" si="172"/>
        <v>41561.774800000472</v>
      </c>
      <c r="Q74" s="6">
        <f t="shared" si="173"/>
        <v>2.3640858222222492</v>
      </c>
      <c r="R74" s="6">
        <f t="shared" si="174"/>
        <v>4728.1716444444983</v>
      </c>
      <c r="S74" s="6">
        <f t="shared" si="146"/>
        <v>4728.1716444444983</v>
      </c>
      <c r="T74" s="6">
        <f t="shared" si="175"/>
        <v>140.42669784000157</v>
      </c>
      <c r="U74" s="225"/>
      <c r="V74" s="34">
        <f t="shared" si="148"/>
        <v>1489.1446956790292</v>
      </c>
      <c r="W74" s="4">
        <f t="shared" si="149"/>
        <v>786.06955555556442</v>
      </c>
      <c r="X74" s="6">
        <f t="shared" si="150"/>
        <v>184.71899911111322</v>
      </c>
      <c r="Y74" s="4">
        <f t="shared" si="151"/>
        <v>192.41562407407625</v>
      </c>
      <c r="Z74" s="4">
        <f t="shared" si="152"/>
        <v>224.48489475308895</v>
      </c>
      <c r="AA74" s="226">
        <f t="shared" si="153"/>
        <v>661.18000000000757</v>
      </c>
      <c r="AC74" s="98">
        <f t="shared" si="154"/>
        <v>12.244074074074215</v>
      </c>
      <c r="AD74" s="94">
        <f t="shared" si="155"/>
        <v>2.3640858222222492</v>
      </c>
      <c r="AE74" s="6">
        <f t="shared" si="156"/>
        <v>4728.1716444444983</v>
      </c>
      <c r="AF74" s="6">
        <f t="shared" si="157"/>
        <v>4728.1716444444983</v>
      </c>
      <c r="AG74" s="6">
        <f t="shared" si="158"/>
        <v>140.42669784000157</v>
      </c>
      <c r="AH74" s="6">
        <f t="shared" si="159"/>
        <v>781.9065703703792</v>
      </c>
      <c r="AI74" s="95">
        <f t="shared" si="160"/>
        <v>4617.9749777778306</v>
      </c>
    </row>
    <row r="75" spans="1:35" ht="12.75" customHeight="1" x14ac:dyDescent="0.2">
      <c r="A75" s="58" t="s">
        <v>124</v>
      </c>
      <c r="B75" s="232">
        <v>76978.7</v>
      </c>
      <c r="C75" s="233">
        <v>76990.14</v>
      </c>
      <c r="D75" s="222" t="s">
        <v>15</v>
      </c>
      <c r="E75" s="222">
        <v>1</v>
      </c>
      <c r="F75" s="223">
        <v>0</v>
      </c>
      <c r="G75" s="223">
        <v>0</v>
      </c>
      <c r="H75" s="26">
        <f t="shared" si="137"/>
        <v>1.5</v>
      </c>
      <c r="I75" s="27">
        <f t="shared" si="138"/>
        <v>0.24151111111116025</v>
      </c>
      <c r="J75" s="27">
        <f t="shared" si="139"/>
        <v>0.28388148148153924</v>
      </c>
      <c r="K75" s="27">
        <f t="shared" si="140"/>
        <v>0</v>
      </c>
      <c r="L75" s="4">
        <f t="shared" si="171"/>
        <v>11.440000000002328</v>
      </c>
      <c r="M75" s="224">
        <v>61.42</v>
      </c>
      <c r="N75" s="14">
        <f t="shared" si="142"/>
        <v>702.64480000014305</v>
      </c>
      <c r="O75" s="224"/>
      <c r="P75" s="4">
        <f t="shared" si="172"/>
        <v>702.64480000014305</v>
      </c>
      <c r="Q75" s="6">
        <f t="shared" si="173"/>
        <v>3.9989155555563698E-2</v>
      </c>
      <c r="R75" s="6">
        <f t="shared" si="174"/>
        <v>79.978311111127397</v>
      </c>
      <c r="S75" s="6">
        <f t="shared" si="146"/>
        <v>79.978311111127397</v>
      </c>
      <c r="T75" s="6">
        <f t="shared" si="175"/>
        <v>2.3753558400004837</v>
      </c>
      <c r="U75" s="225"/>
      <c r="V75" s="34">
        <f t="shared" si="148"/>
        <v>25.181064197535989</v>
      </c>
      <c r="W75" s="4">
        <f t="shared" si="149"/>
        <v>13.295822222224931</v>
      </c>
      <c r="X75" s="6">
        <f t="shared" si="150"/>
        <v>3.1228657777784132</v>
      </c>
      <c r="Y75" s="4">
        <f t="shared" si="151"/>
        <v>3.2529851851858473</v>
      </c>
      <c r="Z75" s="4">
        <f t="shared" si="152"/>
        <v>3.7951493827168226</v>
      </c>
      <c r="AA75" s="226">
        <f t="shared" si="153"/>
        <v>11.440000000002328</v>
      </c>
      <c r="AC75" s="98">
        <f t="shared" si="154"/>
        <v>0.21185185185189498</v>
      </c>
      <c r="AD75" s="94">
        <f t="shared" si="155"/>
        <v>3.9989155555563698E-2</v>
      </c>
      <c r="AE75" s="6">
        <f t="shared" si="156"/>
        <v>79.978311111127397</v>
      </c>
      <c r="AF75" s="6">
        <f t="shared" si="157"/>
        <v>79.978311111127397</v>
      </c>
      <c r="AG75" s="6">
        <f t="shared" si="158"/>
        <v>2.3753558400004837</v>
      </c>
      <c r="AH75" s="6">
        <f t="shared" si="159"/>
        <v>13.223792592595286</v>
      </c>
      <c r="AI75" s="95">
        <f t="shared" si="160"/>
        <v>78.071644444460333</v>
      </c>
    </row>
    <row r="76" spans="1:35" ht="12.75" customHeight="1" x14ac:dyDescent="0.2">
      <c r="B76" s="232">
        <v>76990.14</v>
      </c>
      <c r="C76" s="233">
        <v>77587.88</v>
      </c>
      <c r="D76" s="222" t="s">
        <v>15</v>
      </c>
      <c r="E76" s="222">
        <v>0</v>
      </c>
      <c r="F76" s="223">
        <v>1</v>
      </c>
      <c r="G76" s="223">
        <v>0</v>
      </c>
      <c r="H76" s="26">
        <f t="shared" si="137"/>
        <v>2</v>
      </c>
      <c r="I76" s="27">
        <f t="shared" si="138"/>
        <v>0</v>
      </c>
      <c r="J76" s="27">
        <f t="shared" si="139"/>
        <v>11.069259259259356</v>
      </c>
      <c r="K76" s="27">
        <f t="shared" si="140"/>
        <v>0</v>
      </c>
      <c r="L76" s="4">
        <f t="shared" si="171"/>
        <v>597.74000000000524</v>
      </c>
      <c r="M76" s="224">
        <v>63.42</v>
      </c>
      <c r="N76" s="14">
        <f t="shared" si="142"/>
        <v>37908.670800000335</v>
      </c>
      <c r="O76" s="224"/>
      <c r="P76" s="4">
        <f t="shared" si="172"/>
        <v>37908.670800000335</v>
      </c>
      <c r="Q76" s="6">
        <f t="shared" si="173"/>
        <v>2.1724528222222417</v>
      </c>
      <c r="R76" s="6">
        <f t="shared" si="174"/>
        <v>4344.9056444444832</v>
      </c>
      <c r="S76" s="6">
        <f t="shared" si="146"/>
        <v>4344.9056444444832</v>
      </c>
      <c r="T76" s="6">
        <f t="shared" si="175"/>
        <v>129.04369764000117</v>
      </c>
      <c r="U76" s="225"/>
      <c r="V76" s="34">
        <f t="shared" si="148"/>
        <v>1345.523809259271</v>
      </c>
      <c r="W76" s="4">
        <f t="shared" si="149"/>
        <v>713.08168148148786</v>
      </c>
      <c r="X76" s="6">
        <f t="shared" si="150"/>
        <v>168.48298133333483</v>
      </c>
      <c r="Y76" s="4">
        <f t="shared" si="151"/>
        <v>175.50310555555711</v>
      </c>
      <c r="Z76" s="4">
        <f t="shared" si="152"/>
        <v>204.75362314814996</v>
      </c>
      <c r="AA76" s="226">
        <f t="shared" si="153"/>
        <v>597.74000000000524</v>
      </c>
      <c r="AC76" s="98">
        <f t="shared" si="154"/>
        <v>11.069259259259356</v>
      </c>
      <c r="AD76" s="94">
        <f t="shared" si="155"/>
        <v>2.1724528222222417</v>
      </c>
      <c r="AE76" s="6">
        <f t="shared" si="156"/>
        <v>4344.9056444444832</v>
      </c>
      <c r="AF76" s="6">
        <f t="shared" si="157"/>
        <v>4344.9056444444832</v>
      </c>
      <c r="AG76" s="6">
        <f t="shared" si="158"/>
        <v>129.04369764000117</v>
      </c>
      <c r="AH76" s="6">
        <f t="shared" si="159"/>
        <v>713.08168148148786</v>
      </c>
      <c r="AI76" s="95">
        <f t="shared" si="160"/>
        <v>4212.0745333333707</v>
      </c>
    </row>
    <row r="77" spans="1:35" ht="12.75" customHeight="1" x14ac:dyDescent="0.2">
      <c r="B77" s="232">
        <v>77587.88</v>
      </c>
      <c r="C77" s="233">
        <v>77900</v>
      </c>
      <c r="D77" s="222" t="s">
        <v>15</v>
      </c>
      <c r="E77" s="222">
        <v>0</v>
      </c>
      <c r="F77" s="223">
        <v>1</v>
      </c>
      <c r="G77" s="223">
        <v>0</v>
      </c>
      <c r="H77" s="26">
        <f t="shared" si="137"/>
        <v>2</v>
      </c>
      <c r="I77" s="27">
        <f t="shared" si="138"/>
        <v>0</v>
      </c>
      <c r="J77" s="27">
        <f t="shared" si="139"/>
        <v>5.7799999999999141</v>
      </c>
      <c r="K77" s="27">
        <f t="shared" si="140"/>
        <v>0</v>
      </c>
      <c r="L77" s="4">
        <f t="shared" si="171"/>
        <v>312.11999999999534</v>
      </c>
      <c r="M77" s="224">
        <v>66.55</v>
      </c>
      <c r="N77" s="14">
        <f t="shared" si="142"/>
        <v>20771.58599999969</v>
      </c>
      <c r="O77" s="224"/>
      <c r="P77" s="4">
        <f t="shared" si="172"/>
        <v>20771.58599999969</v>
      </c>
      <c r="Q77" s="6">
        <f t="shared" si="173"/>
        <v>1.1886569999999821</v>
      </c>
      <c r="R77" s="6">
        <f t="shared" si="174"/>
        <v>2377.3139999999644</v>
      </c>
      <c r="S77" s="6">
        <f t="shared" si="146"/>
        <v>2377.3139999999644</v>
      </c>
      <c r="T77" s="6">
        <f t="shared" si="175"/>
        <v>70.606225799998938</v>
      </c>
      <c r="U77" s="225"/>
      <c r="V77" s="34">
        <f t="shared" si="148"/>
        <v>737.26308333332247</v>
      </c>
      <c r="W77" s="4">
        <f t="shared" si="149"/>
        <v>390.43899999999417</v>
      </c>
      <c r="X77" s="6">
        <f t="shared" si="150"/>
        <v>92.318159999998628</v>
      </c>
      <c r="Y77" s="4">
        <f t="shared" si="151"/>
        <v>96.164749999998563</v>
      </c>
      <c r="Z77" s="4">
        <f t="shared" si="152"/>
        <v>112.19220833333166</v>
      </c>
      <c r="AA77" s="226">
        <f t="shared" si="153"/>
        <v>312.11999999999534</v>
      </c>
      <c r="AC77" s="98">
        <f t="shared" si="154"/>
        <v>5.7799999999999141</v>
      </c>
      <c r="AD77" s="94">
        <f t="shared" si="155"/>
        <v>1.1886569999999821</v>
      </c>
      <c r="AE77" s="6">
        <f t="shared" si="156"/>
        <v>2377.3139999999644</v>
      </c>
      <c r="AF77" s="6">
        <f t="shared" si="157"/>
        <v>2377.3139999999644</v>
      </c>
      <c r="AG77" s="6">
        <f t="shared" si="158"/>
        <v>70.606225799998938</v>
      </c>
      <c r="AH77" s="6">
        <f t="shared" si="159"/>
        <v>390.43899999999417</v>
      </c>
      <c r="AI77" s="95">
        <f t="shared" si="160"/>
        <v>2307.9539999999656</v>
      </c>
    </row>
    <row r="78" spans="1:35" ht="12.75" customHeight="1" x14ac:dyDescent="0.2">
      <c r="B78" s="232">
        <v>77900</v>
      </c>
      <c r="C78" s="233">
        <v>78637.72</v>
      </c>
      <c r="D78" s="222" t="s">
        <v>15</v>
      </c>
      <c r="E78" s="222">
        <v>1</v>
      </c>
      <c r="F78" s="223">
        <v>0</v>
      </c>
      <c r="G78" s="223">
        <v>0</v>
      </c>
      <c r="H78" s="26">
        <f t="shared" si="137"/>
        <v>1.5</v>
      </c>
      <c r="I78" s="27">
        <f t="shared" si="138"/>
        <v>15.574088888888912</v>
      </c>
      <c r="J78" s="27">
        <f t="shared" si="139"/>
        <v>18.306385185185214</v>
      </c>
      <c r="K78" s="27">
        <f t="shared" si="140"/>
        <v>0</v>
      </c>
      <c r="L78" s="4">
        <f t="shared" si="171"/>
        <v>737.72000000000116</v>
      </c>
      <c r="M78" s="224">
        <v>75.05</v>
      </c>
      <c r="N78" s="14">
        <f t="shared" si="142"/>
        <v>55365.886000000086</v>
      </c>
      <c r="O78" s="224"/>
      <c r="P78" s="4">
        <f t="shared" si="172"/>
        <v>55365.886000000086</v>
      </c>
      <c r="Q78" s="6">
        <f t="shared" si="173"/>
        <v>3.1373592222222269</v>
      </c>
      <c r="R78" s="6">
        <f t="shared" si="174"/>
        <v>6274.7184444444538</v>
      </c>
      <c r="S78" s="6">
        <f t="shared" si="146"/>
        <v>6274.7184444444538</v>
      </c>
      <c r="T78" s="6">
        <f t="shared" si="175"/>
        <v>186.35913780000027</v>
      </c>
      <c r="U78" s="225"/>
      <c r="V78" s="34">
        <f t="shared" si="148"/>
        <v>1980.7212771604968</v>
      </c>
      <c r="W78" s="4">
        <f t="shared" si="149"/>
        <v>1043.600570370372</v>
      </c>
      <c r="X78" s="6">
        <f t="shared" si="150"/>
        <v>246.07060444444483</v>
      </c>
      <c r="Y78" s="4">
        <f t="shared" si="151"/>
        <v>256.32354629629668</v>
      </c>
      <c r="Z78" s="4">
        <f t="shared" si="152"/>
        <v>299.04413734567947</v>
      </c>
      <c r="AA78" s="226">
        <f t="shared" si="153"/>
        <v>737.72000000000116</v>
      </c>
      <c r="AC78" s="98">
        <f t="shared" si="154"/>
        <v>13.661481481481504</v>
      </c>
      <c r="AD78" s="94">
        <f t="shared" si="155"/>
        <v>3.1373592222222269</v>
      </c>
      <c r="AE78" s="6">
        <f t="shared" si="156"/>
        <v>6274.7184444444538</v>
      </c>
      <c r="AF78" s="6">
        <f t="shared" si="157"/>
        <v>6274.7184444444538</v>
      </c>
      <c r="AG78" s="6">
        <f t="shared" si="158"/>
        <v>186.35913780000027</v>
      </c>
      <c r="AH78" s="6">
        <f t="shared" si="159"/>
        <v>1038.9556666666683</v>
      </c>
      <c r="AI78" s="95">
        <f t="shared" si="160"/>
        <v>6151.7651111111209</v>
      </c>
    </row>
    <row r="79" spans="1:35" ht="12.75" customHeight="1" x14ac:dyDescent="0.2">
      <c r="B79" s="232">
        <v>78637.72</v>
      </c>
      <c r="C79" s="233">
        <v>78687.41</v>
      </c>
      <c r="D79" s="222" t="s">
        <v>15</v>
      </c>
      <c r="E79" s="222">
        <v>1</v>
      </c>
      <c r="F79" s="223">
        <v>0</v>
      </c>
      <c r="G79" s="223">
        <v>0</v>
      </c>
      <c r="H79" s="26">
        <f t="shared" si="137"/>
        <v>1.5</v>
      </c>
      <c r="I79" s="27">
        <f t="shared" si="138"/>
        <v>1.0490111111111602</v>
      </c>
      <c r="J79" s="27">
        <f t="shared" si="139"/>
        <v>1.2330481481482058</v>
      </c>
      <c r="K79" s="27">
        <f t="shared" si="140"/>
        <v>0</v>
      </c>
      <c r="L79" s="4">
        <f t="shared" si="171"/>
        <v>49.690000000002328</v>
      </c>
      <c r="M79" s="224">
        <v>81.55</v>
      </c>
      <c r="N79" s="14">
        <f t="shared" si="142"/>
        <v>4052.2195000001898</v>
      </c>
      <c r="O79" s="224"/>
      <c r="P79" s="4">
        <f t="shared" si="172"/>
        <v>4052.2195000001898</v>
      </c>
      <c r="Q79" s="6">
        <f t="shared" si="173"/>
        <v>0.22926413888889965</v>
      </c>
      <c r="R79" s="6">
        <f t="shared" si="174"/>
        <v>458.5282777777993</v>
      </c>
      <c r="S79" s="6">
        <f t="shared" si="146"/>
        <v>458.5282777777993</v>
      </c>
      <c r="T79" s="6">
        <f t="shared" si="175"/>
        <v>13.618289850000638</v>
      </c>
      <c r="U79" s="225"/>
      <c r="V79" s="34">
        <f t="shared" si="148"/>
        <v>144.87778966050061</v>
      </c>
      <c r="W79" s="4">
        <f t="shared" si="149"/>
        <v>76.274150000003573</v>
      </c>
      <c r="X79" s="6">
        <f t="shared" si="150"/>
        <v>18.009864444445288</v>
      </c>
      <c r="Y79" s="4">
        <f t="shared" si="151"/>
        <v>18.760275462963843</v>
      </c>
      <c r="Z79" s="4">
        <f t="shared" si="152"/>
        <v>21.886988040124486</v>
      </c>
      <c r="AA79" s="226">
        <f t="shared" si="153"/>
        <v>49.690000000002328</v>
      </c>
      <c r="AC79" s="98">
        <f t="shared" si="154"/>
        <v>0.92018518518522829</v>
      </c>
      <c r="AD79" s="94">
        <f t="shared" si="155"/>
        <v>0.22926413888889965</v>
      </c>
      <c r="AE79" s="6">
        <f t="shared" si="156"/>
        <v>458.5282777777993</v>
      </c>
      <c r="AF79" s="6">
        <f t="shared" si="157"/>
        <v>458.5282777777993</v>
      </c>
      <c r="AG79" s="6">
        <f t="shared" si="158"/>
        <v>13.618289850000638</v>
      </c>
      <c r="AH79" s="6">
        <f t="shared" si="159"/>
        <v>75.961287037040606</v>
      </c>
      <c r="AI79" s="95">
        <f t="shared" si="160"/>
        <v>450.24661111113221</v>
      </c>
    </row>
    <row r="80" spans="1:35" ht="12.75" customHeight="1" x14ac:dyDescent="0.2">
      <c r="B80" s="232">
        <v>78687.41</v>
      </c>
      <c r="C80" s="233">
        <v>78882.06</v>
      </c>
      <c r="D80" s="222" t="s">
        <v>15</v>
      </c>
      <c r="E80" s="222">
        <v>1</v>
      </c>
      <c r="F80" s="223">
        <v>0</v>
      </c>
      <c r="G80" s="223">
        <v>0</v>
      </c>
      <c r="H80" s="26">
        <f t="shared" si="137"/>
        <v>1.5</v>
      </c>
      <c r="I80" s="27">
        <f t="shared" si="138"/>
        <v>4.1092777777776544</v>
      </c>
      <c r="J80" s="27">
        <f t="shared" si="139"/>
        <v>4.8302037037035594</v>
      </c>
      <c r="K80" s="27">
        <f t="shared" si="140"/>
        <v>0</v>
      </c>
      <c r="L80" s="4">
        <f t="shared" si="171"/>
        <v>194.64999999999418</v>
      </c>
      <c r="M80" s="224"/>
      <c r="N80" s="14" t="str">
        <f t="shared" si="142"/>
        <v/>
      </c>
      <c r="O80" s="224">
        <v>16593.7</v>
      </c>
      <c r="P80" s="4">
        <f t="shared" ref="P80" si="176">SUM(N80:O80)</f>
        <v>16593.7</v>
      </c>
      <c r="Q80" s="6">
        <f t="shared" ref="Q80" si="177">(S80)/2000</f>
        <v>0.93809305555555511</v>
      </c>
      <c r="R80" s="6">
        <f t="shared" ref="R80" si="178">S80</f>
        <v>1876.1861111111102</v>
      </c>
      <c r="S80" s="6">
        <f t="shared" si="146"/>
        <v>1876.1861111111102</v>
      </c>
      <c r="T80" s="6">
        <f t="shared" ref="T80" si="179">$S$1*S80*110*0.06*0.75/2000</f>
        <v>55.722727499999962</v>
      </c>
      <c r="U80" s="225"/>
      <c r="V80" s="34">
        <f t="shared" si="148"/>
        <v>593.08319753086414</v>
      </c>
      <c r="W80" s="4">
        <f t="shared" si="149"/>
        <v>312.12094444444432</v>
      </c>
      <c r="X80" s="6">
        <f t="shared" si="150"/>
        <v>73.74977777777778</v>
      </c>
      <c r="Y80" s="4">
        <f t="shared" si="151"/>
        <v>76.822685185185193</v>
      </c>
      <c r="Z80" s="4">
        <f t="shared" si="152"/>
        <v>89.626466049382728</v>
      </c>
      <c r="AA80" s="226">
        <f t="shared" si="153"/>
        <v>194.64999999999418</v>
      </c>
      <c r="AC80" s="98">
        <f t="shared" si="154"/>
        <v>3.6046296296295219</v>
      </c>
      <c r="AD80" s="94">
        <f t="shared" si="155"/>
        <v>0.93809305555555511</v>
      </c>
      <c r="AE80" s="6">
        <f t="shared" si="156"/>
        <v>1876.1861111111102</v>
      </c>
      <c r="AF80" s="6">
        <f t="shared" si="157"/>
        <v>1876.1861111111102</v>
      </c>
      <c r="AG80" s="6">
        <f t="shared" si="158"/>
        <v>55.722727499999962</v>
      </c>
      <c r="AH80" s="6">
        <f t="shared" si="159"/>
        <v>310.8953703703703</v>
      </c>
      <c r="AI80" s="95">
        <f t="shared" si="160"/>
        <v>1843.7444444444445</v>
      </c>
    </row>
    <row r="81" spans="1:35" ht="12.75" customHeight="1" x14ac:dyDescent="0.2">
      <c r="B81" s="232">
        <v>78882.06</v>
      </c>
      <c r="C81" s="233">
        <v>79939.679999999993</v>
      </c>
      <c r="D81" s="222" t="s">
        <v>15</v>
      </c>
      <c r="E81" s="222">
        <v>1</v>
      </c>
      <c r="F81" s="223">
        <v>0</v>
      </c>
      <c r="G81" s="223">
        <v>0</v>
      </c>
      <c r="H81" s="26">
        <f t="shared" si="137"/>
        <v>1.5</v>
      </c>
      <c r="I81" s="27">
        <f t="shared" si="138"/>
        <v>22.327533333333232</v>
      </c>
      <c r="J81" s="27">
        <f t="shared" si="139"/>
        <v>26.244644444444333</v>
      </c>
      <c r="K81" s="27">
        <f t="shared" si="140"/>
        <v>0</v>
      </c>
      <c r="L81" s="4">
        <f t="shared" si="171"/>
        <v>1057.6199999999953</v>
      </c>
      <c r="M81" s="224">
        <v>61.42</v>
      </c>
      <c r="N81" s="14">
        <f t="shared" si="142"/>
        <v>64959.020399999717</v>
      </c>
      <c r="O81" s="224"/>
      <c r="P81" s="4">
        <f t="shared" ref="P81:P82" si="180">SUM(N81:O81)</f>
        <v>64959.020399999717</v>
      </c>
      <c r="Q81" s="6">
        <f t="shared" ref="Q81:Q82" si="181">(S81)/2000</f>
        <v>3.6969694666666504</v>
      </c>
      <c r="R81" s="6">
        <f t="shared" ref="R81:R82" si="182">S81</f>
        <v>7393.9389333333011</v>
      </c>
      <c r="S81" s="6">
        <f t="shared" si="146"/>
        <v>7393.9389333333011</v>
      </c>
      <c r="T81" s="6">
        <f t="shared" ref="T81:T82" si="183">$S$1*S81*110*0.06*0.75/2000</f>
        <v>219.59998631999898</v>
      </c>
      <c r="U81" s="225"/>
      <c r="V81" s="34">
        <f t="shared" si="148"/>
        <v>2327.9717759259156</v>
      </c>
      <c r="W81" s="4">
        <f t="shared" si="149"/>
        <v>1229.1894666666612</v>
      </c>
      <c r="X81" s="6">
        <f t="shared" si="150"/>
        <v>288.70675733333206</v>
      </c>
      <c r="Y81" s="4">
        <f t="shared" si="151"/>
        <v>300.73620555555425</v>
      </c>
      <c r="Z81" s="4">
        <f t="shared" si="152"/>
        <v>350.85890648148001</v>
      </c>
      <c r="AA81" s="226">
        <f t="shared" si="153"/>
        <v>1057.6199999999953</v>
      </c>
      <c r="AC81" s="98">
        <f t="shared" si="154"/>
        <v>19.585555555555469</v>
      </c>
      <c r="AD81" s="94">
        <f t="shared" si="155"/>
        <v>3.6969694666666504</v>
      </c>
      <c r="AE81" s="6">
        <f t="shared" si="156"/>
        <v>7393.9389333333011</v>
      </c>
      <c r="AF81" s="6">
        <f t="shared" si="157"/>
        <v>7393.9389333333011</v>
      </c>
      <c r="AG81" s="6">
        <f t="shared" si="158"/>
        <v>219.59998631999898</v>
      </c>
      <c r="AH81" s="6">
        <f t="shared" si="159"/>
        <v>1222.5303777777724</v>
      </c>
      <c r="AI81" s="95">
        <f t="shared" si="160"/>
        <v>7217.6689333333015</v>
      </c>
    </row>
    <row r="82" spans="1:35" ht="12.75" customHeight="1" x14ac:dyDescent="0.2">
      <c r="B82" s="232">
        <v>79939.679999999993</v>
      </c>
      <c r="C82" s="233">
        <v>80563.53</v>
      </c>
      <c r="D82" s="222" t="s">
        <v>15</v>
      </c>
      <c r="E82" s="222">
        <v>0</v>
      </c>
      <c r="F82" s="223">
        <v>1</v>
      </c>
      <c r="G82" s="223">
        <v>0</v>
      </c>
      <c r="H82" s="26">
        <f t="shared" si="137"/>
        <v>2</v>
      </c>
      <c r="I82" s="27">
        <f t="shared" si="138"/>
        <v>0</v>
      </c>
      <c r="J82" s="27">
        <f t="shared" si="139"/>
        <v>11.552777777777886</v>
      </c>
      <c r="K82" s="27">
        <f t="shared" si="140"/>
        <v>0</v>
      </c>
      <c r="L82" s="4">
        <f t="shared" si="171"/>
        <v>623.85000000000582</v>
      </c>
      <c r="M82" s="224">
        <v>63.42</v>
      </c>
      <c r="N82" s="14">
        <f t="shared" si="142"/>
        <v>39564.567000000374</v>
      </c>
      <c r="O82" s="224"/>
      <c r="P82" s="4">
        <f t="shared" si="180"/>
        <v>39564.567000000374</v>
      </c>
      <c r="Q82" s="6">
        <f t="shared" si="181"/>
        <v>2.2673481666666881</v>
      </c>
      <c r="R82" s="6">
        <f t="shared" si="182"/>
        <v>4534.6963333333761</v>
      </c>
      <c r="S82" s="6">
        <f t="shared" si="146"/>
        <v>4534.6963333333761</v>
      </c>
      <c r="T82" s="6">
        <f t="shared" si="183"/>
        <v>134.68048110000126</v>
      </c>
      <c r="U82" s="225"/>
      <c r="V82" s="34">
        <f t="shared" si="148"/>
        <v>1404.297902777791</v>
      </c>
      <c r="W82" s="4">
        <f t="shared" si="149"/>
        <v>744.22994444445146</v>
      </c>
      <c r="X82" s="6">
        <f t="shared" si="150"/>
        <v>175.84252000000168</v>
      </c>
      <c r="Y82" s="4">
        <f t="shared" si="151"/>
        <v>183.16929166666839</v>
      </c>
      <c r="Z82" s="4">
        <f t="shared" si="152"/>
        <v>213.69750694444645</v>
      </c>
      <c r="AA82" s="226">
        <f t="shared" si="153"/>
        <v>623.85000000000582</v>
      </c>
      <c r="AC82" s="98">
        <f t="shared" si="154"/>
        <v>11.552777777777886</v>
      </c>
      <c r="AD82" s="94">
        <f t="shared" si="155"/>
        <v>2.2673481666666881</v>
      </c>
      <c r="AE82" s="6">
        <f t="shared" si="156"/>
        <v>4534.6963333333761</v>
      </c>
      <c r="AF82" s="6">
        <f t="shared" si="157"/>
        <v>4534.6963333333761</v>
      </c>
      <c r="AG82" s="6">
        <f t="shared" si="158"/>
        <v>134.68048110000126</v>
      </c>
      <c r="AH82" s="6">
        <f t="shared" si="159"/>
        <v>744.22994444445146</v>
      </c>
      <c r="AI82" s="95">
        <f t="shared" si="160"/>
        <v>4396.0630000000419</v>
      </c>
    </row>
    <row r="83" spans="1:35" ht="12.75" customHeight="1" x14ac:dyDescent="0.2">
      <c r="B83" s="232">
        <v>80563.53</v>
      </c>
      <c r="C83" s="233">
        <v>80591.100000000006</v>
      </c>
      <c r="D83" s="222" t="s">
        <v>15</v>
      </c>
      <c r="E83" s="222">
        <v>0</v>
      </c>
      <c r="F83" s="223">
        <v>0</v>
      </c>
      <c r="G83" s="223">
        <v>0</v>
      </c>
      <c r="H83" s="26">
        <f t="shared" si="137"/>
        <v>0</v>
      </c>
      <c r="I83" s="27">
        <f t="shared" si="138"/>
        <v>0</v>
      </c>
      <c r="J83" s="27">
        <f t="shared" si="139"/>
        <v>0</v>
      </c>
      <c r="K83" s="27">
        <f t="shared" si="140"/>
        <v>0</v>
      </c>
      <c r="L83" s="4">
        <f t="shared" si="171"/>
        <v>27.570000000006985</v>
      </c>
      <c r="M83" s="224"/>
      <c r="N83" s="14" t="str">
        <f t="shared" si="142"/>
        <v/>
      </c>
      <c r="O83" s="224">
        <v>874.86</v>
      </c>
      <c r="P83" s="4">
        <f t="shared" ref="P83" si="184">SUM(N83:O83)</f>
        <v>874.86</v>
      </c>
      <c r="Q83" s="6">
        <f t="shared" ref="Q83" si="185">(S83)/2000</f>
        <v>4.8603333333333332E-2</v>
      </c>
      <c r="R83" s="6">
        <f t="shared" ref="R83" si="186">S83</f>
        <v>97.206666666666663</v>
      </c>
      <c r="S83" s="6">
        <f t="shared" si="146"/>
        <v>97.206666666666663</v>
      </c>
      <c r="T83" s="6">
        <f t="shared" ref="T83" si="187">$S$1*S83*110*0.06*0.75/2000</f>
        <v>2.887038</v>
      </c>
      <c r="U83" s="225"/>
      <c r="V83" s="34">
        <f t="shared" si="148"/>
        <v>31.052129629629626</v>
      </c>
      <c r="W83" s="4">
        <f t="shared" si="149"/>
        <v>16.201111111111111</v>
      </c>
      <c r="X83" s="6">
        <f t="shared" si="150"/>
        <v>3.8882666666666665</v>
      </c>
      <c r="Y83" s="4">
        <f t="shared" si="151"/>
        <v>4.0502777777777776</v>
      </c>
      <c r="Z83" s="4">
        <f t="shared" si="152"/>
        <v>4.7253240740740745</v>
      </c>
      <c r="AA83" s="226">
        <f t="shared" si="153"/>
        <v>27.570000000006985</v>
      </c>
      <c r="AC83" s="98">
        <f t="shared" si="154"/>
        <v>0</v>
      </c>
      <c r="AD83" s="94">
        <f t="shared" si="155"/>
        <v>4.8603333333333332E-2</v>
      </c>
      <c r="AE83" s="6">
        <f t="shared" si="156"/>
        <v>97.206666666666663</v>
      </c>
      <c r="AF83" s="6">
        <f t="shared" si="157"/>
        <v>97.206666666666663</v>
      </c>
      <c r="AG83" s="6">
        <f t="shared" si="158"/>
        <v>2.887038</v>
      </c>
      <c r="AH83" s="6">
        <f t="shared" si="159"/>
        <v>16.201111111111111</v>
      </c>
      <c r="AI83" s="95">
        <f t="shared" si="160"/>
        <v>97.206666666666663</v>
      </c>
    </row>
    <row r="84" spans="1:35" ht="12.75" customHeight="1" x14ac:dyDescent="0.2">
      <c r="A84" s="58" t="s">
        <v>36</v>
      </c>
      <c r="B84" s="232">
        <v>80591.100000000006</v>
      </c>
      <c r="C84" s="233">
        <v>80621.100000000006</v>
      </c>
      <c r="D84" s="222" t="s">
        <v>15</v>
      </c>
      <c r="E84" s="222">
        <v>0</v>
      </c>
      <c r="F84" s="223">
        <v>0</v>
      </c>
      <c r="G84" s="223">
        <v>0</v>
      </c>
      <c r="H84" s="26">
        <f t="shared" si="137"/>
        <v>0</v>
      </c>
      <c r="I84" s="27">
        <f t="shared" si="138"/>
        <v>0</v>
      </c>
      <c r="J84" s="27">
        <f t="shared" si="139"/>
        <v>0</v>
      </c>
      <c r="K84" s="27">
        <f t="shared" si="140"/>
        <v>0</v>
      </c>
      <c r="L84" s="4">
        <f t="shared" si="171"/>
        <v>30</v>
      </c>
      <c r="M84" s="224"/>
      <c r="N84" s="14" t="str">
        <f t="shared" si="142"/>
        <v/>
      </c>
      <c r="O84" s="224">
        <v>1992.88</v>
      </c>
      <c r="P84" s="4">
        <f t="shared" ref="P84:P87" si="188">SUM(N84:O84)</f>
        <v>1992.88</v>
      </c>
      <c r="Q84" s="6"/>
      <c r="R84" s="6"/>
      <c r="S84" s="6"/>
      <c r="T84" s="6"/>
      <c r="U84" s="225"/>
      <c r="V84" s="34"/>
      <c r="W84" s="4">
        <f t="shared" si="149"/>
        <v>36.905185185185189</v>
      </c>
      <c r="X84" s="6"/>
      <c r="Y84" s="4"/>
      <c r="Z84" s="4"/>
      <c r="AA84" s="226"/>
      <c r="AC84" s="98"/>
      <c r="AD84" s="94"/>
      <c r="AE84" s="6"/>
      <c r="AF84" s="6"/>
      <c r="AG84" s="6"/>
      <c r="AH84" s="6">
        <f t="shared" si="159"/>
        <v>36.905185185185189</v>
      </c>
      <c r="AI84" s="95"/>
    </row>
    <row r="85" spans="1:35" ht="12.75" customHeight="1" x14ac:dyDescent="0.2">
      <c r="A85" s="58" t="s">
        <v>36</v>
      </c>
      <c r="B85" s="232">
        <v>80726.02</v>
      </c>
      <c r="C85" s="233">
        <v>80756.02</v>
      </c>
      <c r="D85" s="222" t="s">
        <v>15</v>
      </c>
      <c r="E85" s="222">
        <v>0</v>
      </c>
      <c r="F85" s="223">
        <v>0</v>
      </c>
      <c r="G85" s="223">
        <v>0</v>
      </c>
      <c r="H85" s="26">
        <f t="shared" si="137"/>
        <v>0</v>
      </c>
      <c r="I85" s="27">
        <f t="shared" si="138"/>
        <v>0</v>
      </c>
      <c r="J85" s="27">
        <f t="shared" si="139"/>
        <v>0</v>
      </c>
      <c r="K85" s="27">
        <f t="shared" si="140"/>
        <v>0</v>
      </c>
      <c r="L85" s="4">
        <f t="shared" ref="L85:L89" si="189">C85-B85</f>
        <v>30</v>
      </c>
      <c r="M85" s="224"/>
      <c r="N85" s="14" t="str">
        <f t="shared" si="142"/>
        <v/>
      </c>
      <c r="O85" s="224">
        <v>1984.7</v>
      </c>
      <c r="P85" s="4">
        <f t="shared" si="188"/>
        <v>1984.7</v>
      </c>
      <c r="Q85" s="6"/>
      <c r="R85" s="6"/>
      <c r="S85" s="6"/>
      <c r="T85" s="6"/>
      <c r="U85" s="225"/>
      <c r="V85" s="34"/>
      <c r="W85" s="4">
        <f t="shared" si="149"/>
        <v>36.753703703703707</v>
      </c>
      <c r="X85" s="6"/>
      <c r="Y85" s="4"/>
      <c r="Z85" s="4"/>
      <c r="AA85" s="226"/>
      <c r="AC85" s="98"/>
      <c r="AD85" s="94"/>
      <c r="AE85" s="6"/>
      <c r="AF85" s="6"/>
      <c r="AG85" s="6"/>
      <c r="AH85" s="6">
        <f t="shared" si="159"/>
        <v>36.753703703703707</v>
      </c>
      <c r="AI85" s="95"/>
    </row>
    <row r="86" spans="1:35" ht="12.75" customHeight="1" x14ac:dyDescent="0.2">
      <c r="B86" s="232">
        <v>80734.399999999994</v>
      </c>
      <c r="C86" s="233">
        <v>80756.02</v>
      </c>
      <c r="D86" s="222" t="s">
        <v>15</v>
      </c>
      <c r="E86" s="222">
        <v>0</v>
      </c>
      <c r="F86" s="223">
        <v>1</v>
      </c>
      <c r="G86" s="223">
        <v>0</v>
      </c>
      <c r="H86" s="26">
        <f t="shared" si="137"/>
        <v>2</v>
      </c>
      <c r="I86" s="27">
        <f t="shared" si="138"/>
        <v>0</v>
      </c>
      <c r="J86" s="27">
        <f t="shared" si="139"/>
        <v>0.40037037037055362</v>
      </c>
      <c r="K86" s="27">
        <f t="shared" si="140"/>
        <v>0</v>
      </c>
      <c r="L86" s="4">
        <f t="shared" si="189"/>
        <v>21.620000000009895</v>
      </c>
      <c r="M86" s="224"/>
      <c r="N86" s="14" t="str">
        <f t="shared" si="142"/>
        <v/>
      </c>
      <c r="O86" s="224">
        <v>664.2</v>
      </c>
      <c r="P86" s="4">
        <f t="shared" si="188"/>
        <v>664.2</v>
      </c>
      <c r="Q86" s="6">
        <f t="shared" ref="Q86" si="190">(S86)/2000</f>
        <v>3.9302222222223321E-2</v>
      </c>
      <c r="R86" s="6">
        <f t="shared" ref="R86" si="191">S86</f>
        <v>78.604444444446642</v>
      </c>
      <c r="S86" s="6">
        <f>($P86+H86*$L86)/9</f>
        <v>78.604444444446642</v>
      </c>
      <c r="T86" s="6">
        <f t="shared" ref="T86" si="192">$S$1*S86*110*0.06*0.75/2000</f>
        <v>2.3345520000000652</v>
      </c>
      <c r="U86" s="225"/>
      <c r="V86" s="34">
        <f>(P86*$V$1/12)/27+I86</f>
        <v>23.574999999999999</v>
      </c>
      <c r="W86" s="4">
        <f t="shared" si="149"/>
        <v>12.700370370370555</v>
      </c>
      <c r="X86" s="6">
        <f>($P86/9)*$X$1</f>
        <v>2.9520000000000004</v>
      </c>
      <c r="Y86" s="4">
        <f>($P86*($Y$1/12))/27</f>
        <v>3.0750000000000002</v>
      </c>
      <c r="Z86" s="4">
        <f>(P86*$Z$1/12)/27+K86</f>
        <v>3.5875000000000004</v>
      </c>
      <c r="AA86" s="226">
        <f>L86</f>
        <v>21.620000000009895</v>
      </c>
      <c r="AC86" s="98">
        <f>IF(E86=2,$AO$26*2*L86/27,IF(F86=2,$AO$32*2*L86/27,IF(G86=2,$AO$38*2*L86/27,IF(AND(E86=1,F86=1),($AO$26*L86+$AO$32*L86)/27,IF(AND(E86=1,F86=0,G86=0),$AO$26*L86/27,IF(AND(E86=1,G86=1),($AO$26*L86+$AO$38*L86)/27,IF(AND(E86=0,F86=1,G86=0),$AO$32*L86/27,IF(AND(F86=1,G86=1),($AO$32*L86+$AO$38*L86)/27,IF(AND(E86=0,F86=0,G86=1),$AO$38*L86/27,0)))))))))</f>
        <v>0.40037037037055362</v>
      </c>
      <c r="AD86" s="94">
        <f>(S86)/2000</f>
        <v>3.9302222222223321E-2</v>
      </c>
      <c r="AE86" s="6">
        <f t="shared" ref="AE86:AE88" si="193">AF86</f>
        <v>78.604444444446642</v>
      </c>
      <c r="AF86" s="6">
        <f t="shared" ref="AF86:AF88" si="194">($P86+H86*$L86)/9</f>
        <v>78.604444444446642</v>
      </c>
      <c r="AG86" s="6">
        <f t="shared" ref="AG86:AG88" si="195">$S$1*AF86*110*0.06*0.75/2000</f>
        <v>2.3345520000000652</v>
      </c>
      <c r="AH86" s="6">
        <f t="shared" si="159"/>
        <v>12.700370370370555</v>
      </c>
      <c r="AI86" s="95">
        <f>P86/9</f>
        <v>73.800000000000011</v>
      </c>
    </row>
    <row r="87" spans="1:35" ht="12.75" customHeight="1" x14ac:dyDescent="0.2">
      <c r="B87" s="232">
        <v>80756.02</v>
      </c>
      <c r="C87" s="233">
        <v>81241.94</v>
      </c>
      <c r="D87" s="222" t="s">
        <v>15</v>
      </c>
      <c r="E87" s="222">
        <v>0</v>
      </c>
      <c r="F87" s="223">
        <v>1</v>
      </c>
      <c r="G87" s="223">
        <v>0</v>
      </c>
      <c r="H87" s="26">
        <f t="shared" si="137"/>
        <v>2</v>
      </c>
      <c r="I87" s="27">
        <f t="shared" si="138"/>
        <v>0</v>
      </c>
      <c r="J87" s="27">
        <f t="shared" si="139"/>
        <v>8.9985185185184857</v>
      </c>
      <c r="K87" s="27">
        <f t="shared" si="140"/>
        <v>0</v>
      </c>
      <c r="L87" s="4">
        <f t="shared" si="189"/>
        <v>485.91999999999825</v>
      </c>
      <c r="M87" s="224">
        <v>63.42</v>
      </c>
      <c r="N87" s="14">
        <f t="shared" si="142"/>
        <v>30817.04639999989</v>
      </c>
      <c r="O87" s="224"/>
      <c r="P87" s="4">
        <f t="shared" si="188"/>
        <v>30817.04639999989</v>
      </c>
      <c r="Q87" s="6">
        <f t="shared" ref="Q87" si="196">(S87)/2000</f>
        <v>1.766049244444438</v>
      </c>
      <c r="R87" s="6">
        <f t="shared" ref="R87" si="197">S87</f>
        <v>3532.0984888888761</v>
      </c>
      <c r="S87" s="6">
        <f>($P87+H87*$L87)/9</f>
        <v>3532.0984888888761</v>
      </c>
      <c r="T87" s="6">
        <f t="shared" ref="T87" si="198">$S$1*S87*110*0.06*0.75/2000</f>
        <v>104.90332511999962</v>
      </c>
      <c r="U87" s="225"/>
      <c r="V87" s="34">
        <f>(P87*$V$1/12)/27+I87</f>
        <v>1093.8149185185148</v>
      </c>
      <c r="W87" s="4">
        <f t="shared" si="149"/>
        <v>579.68456296296085</v>
      </c>
      <c r="X87" s="6">
        <f>($P87/9)*$X$1</f>
        <v>136.96465066666619</v>
      </c>
      <c r="Y87" s="4">
        <f>($P87*($Y$1/12))/27</f>
        <v>142.67151111111059</v>
      </c>
      <c r="Z87" s="4">
        <f>(P87*$Z$1/12)/27+K87</f>
        <v>166.4500962962957</v>
      </c>
      <c r="AA87" s="226">
        <f>L87</f>
        <v>485.91999999999825</v>
      </c>
      <c r="AC87" s="98">
        <f>IF(E87=2,$AO$26*2*L87/27,IF(F87=2,$AO$32*2*L87/27,IF(G87=2,$AO$38*2*L87/27,IF(AND(E87=1,F87=1),($AO$26*L87+$AO$32*L87)/27,IF(AND(E87=1,F87=0,G87=0),$AO$26*L87/27,IF(AND(E87=1,G87=1),($AO$26*L87+$AO$38*L87)/27,IF(AND(E87=0,F87=1,G87=0),$AO$32*L87/27,IF(AND(F87=1,G87=1),($AO$32*L87+$AO$38*L87)/27,IF(AND(E87=0,F87=0,G87=1),$AO$38*L87/27,0)))))))))</f>
        <v>8.9985185185184857</v>
      </c>
      <c r="AD87" s="94">
        <f>(S87)/2000</f>
        <v>1.766049244444438</v>
      </c>
      <c r="AE87" s="6">
        <f t="shared" si="193"/>
        <v>3532.0984888888761</v>
      </c>
      <c r="AF87" s="6">
        <f t="shared" si="194"/>
        <v>3532.0984888888761</v>
      </c>
      <c r="AG87" s="6">
        <f t="shared" si="195"/>
        <v>104.90332511999962</v>
      </c>
      <c r="AH87" s="6">
        <f t="shared" si="159"/>
        <v>579.68456296296085</v>
      </c>
      <c r="AI87" s="95">
        <f>P87/9</f>
        <v>3424.1162666666546</v>
      </c>
    </row>
    <row r="88" spans="1:35" ht="12.75" customHeight="1" x14ac:dyDescent="0.2">
      <c r="B88" s="232">
        <v>81241.94</v>
      </c>
      <c r="C88" s="233">
        <v>81322.06</v>
      </c>
      <c r="D88" s="222" t="s">
        <v>15</v>
      </c>
      <c r="E88" s="222">
        <v>0</v>
      </c>
      <c r="F88" s="223">
        <v>0</v>
      </c>
      <c r="G88" s="223">
        <v>0</v>
      </c>
      <c r="H88" s="26">
        <f t="shared" si="137"/>
        <v>0</v>
      </c>
      <c r="I88" s="27">
        <f t="shared" si="138"/>
        <v>0</v>
      </c>
      <c r="J88" s="27">
        <f t="shared" si="139"/>
        <v>0</v>
      </c>
      <c r="K88" s="27">
        <f t="shared" si="140"/>
        <v>0</v>
      </c>
      <c r="L88" s="4">
        <f t="shared" si="189"/>
        <v>80.119999999995343</v>
      </c>
      <c r="M88" s="224"/>
      <c r="N88" s="14" t="str">
        <f t="shared" si="142"/>
        <v/>
      </c>
      <c r="O88" s="224">
        <v>2560.73</v>
      </c>
      <c r="P88" s="4">
        <f t="shared" ref="P88:P90" si="199">SUM(N88:O88)</f>
        <v>2560.73</v>
      </c>
      <c r="Q88" s="6">
        <f t="shared" ref="Q88" si="200">(S88)/2000</f>
        <v>0.14226277777777779</v>
      </c>
      <c r="R88" s="6">
        <f t="shared" ref="R88" si="201">S88</f>
        <v>284.52555555555557</v>
      </c>
      <c r="S88" s="6">
        <f>($P88+H88*$L88)/9</f>
        <v>284.52555555555557</v>
      </c>
      <c r="T88" s="6">
        <f t="shared" ref="T88" si="202">$S$1*S88*110*0.06*0.75/2000</f>
        <v>8.4504090000000005</v>
      </c>
      <c r="U88" s="225"/>
      <c r="V88" s="34">
        <f>(P88*$V$1/12)/27+I88</f>
        <v>90.890108024691358</v>
      </c>
      <c r="W88" s="4">
        <f t="shared" si="149"/>
        <v>47.420925925925928</v>
      </c>
      <c r="X88" s="6">
        <f>($P88/9)*$X$1</f>
        <v>11.381022222222223</v>
      </c>
      <c r="Y88" s="4">
        <f>($P88*($Y$1/12))/27</f>
        <v>11.855231481481482</v>
      </c>
      <c r="Z88" s="4">
        <f>(P88*$Z$1/12)/27+K88</f>
        <v>13.83110339506173</v>
      </c>
      <c r="AA88" s="226">
        <f>L88</f>
        <v>80.119999999995343</v>
      </c>
      <c r="AC88" s="98">
        <f>IF(E88=2,$AO$26*2*L88/27,IF(F88=2,$AO$32*2*L88/27,IF(G88=2,$AO$38*2*L88/27,IF(AND(E88=1,F88=1),($AO$26*L88+$AO$32*L88)/27,IF(AND(E88=1,F88=0,G88=0),$AO$26*L88/27,IF(AND(E88=1,G88=1),($AO$26*L88+$AO$38*L88)/27,IF(AND(E88=0,F88=1,G88=0),$AO$32*L88/27,IF(AND(F88=1,G88=1),($AO$32*L88+$AO$38*L88)/27,IF(AND(E88=0,F88=0,G88=1),$AO$38*L88/27,0)))))))))</f>
        <v>0</v>
      </c>
      <c r="AD88" s="94">
        <f>(S88)/2000</f>
        <v>0.14226277777777779</v>
      </c>
      <c r="AE88" s="6">
        <f t="shared" si="193"/>
        <v>284.52555555555557</v>
      </c>
      <c r="AF88" s="6">
        <f t="shared" si="194"/>
        <v>284.52555555555557</v>
      </c>
      <c r="AG88" s="6">
        <f t="shared" si="195"/>
        <v>8.4504090000000005</v>
      </c>
      <c r="AH88" s="6">
        <f t="shared" si="159"/>
        <v>47.420925925925928</v>
      </c>
      <c r="AI88" s="95">
        <f>P88/9</f>
        <v>284.52555555555557</v>
      </c>
    </row>
    <row r="89" spans="1:35" ht="12.75" customHeight="1" x14ac:dyDescent="0.2">
      <c r="A89" s="58" t="s">
        <v>36</v>
      </c>
      <c r="B89" s="232">
        <v>81322.06</v>
      </c>
      <c r="C89" s="233">
        <v>81347.06</v>
      </c>
      <c r="D89" s="222" t="s">
        <v>15</v>
      </c>
      <c r="E89" s="222">
        <v>0</v>
      </c>
      <c r="F89" s="223">
        <v>0</v>
      </c>
      <c r="G89" s="223">
        <v>0</v>
      </c>
      <c r="H89" s="26">
        <f t="shared" si="137"/>
        <v>0</v>
      </c>
      <c r="I89" s="27">
        <f t="shared" si="138"/>
        <v>0</v>
      </c>
      <c r="J89" s="27">
        <f t="shared" si="139"/>
        <v>0</v>
      </c>
      <c r="K89" s="27">
        <f t="shared" si="140"/>
        <v>0</v>
      </c>
      <c r="L89" s="4">
        <f t="shared" si="189"/>
        <v>25</v>
      </c>
      <c r="M89" s="224"/>
      <c r="N89" s="14" t="str">
        <f t="shared" si="142"/>
        <v/>
      </c>
      <c r="O89" s="224">
        <v>1691.1</v>
      </c>
      <c r="P89" s="4">
        <f t="shared" si="199"/>
        <v>1691.1</v>
      </c>
      <c r="Q89" s="6"/>
      <c r="R89" s="6"/>
      <c r="S89" s="6"/>
      <c r="T89" s="6"/>
      <c r="U89" s="225"/>
      <c r="V89" s="34"/>
      <c r="W89" s="4">
        <f t="shared" si="149"/>
        <v>31.316666666666659</v>
      </c>
      <c r="X89" s="6"/>
      <c r="Y89" s="4"/>
      <c r="Z89" s="4"/>
      <c r="AA89" s="226"/>
      <c r="AC89" s="98"/>
      <c r="AD89" s="94"/>
      <c r="AE89" s="6"/>
      <c r="AF89" s="6"/>
      <c r="AG89" s="6"/>
      <c r="AH89" s="6">
        <f t="shared" si="159"/>
        <v>31.316666666666659</v>
      </c>
      <c r="AI89" s="95"/>
    </row>
    <row r="90" spans="1:35" ht="12.75" customHeight="1" x14ac:dyDescent="0.2">
      <c r="A90" s="58" t="s">
        <v>36</v>
      </c>
      <c r="B90" s="232">
        <v>81611.520000000004</v>
      </c>
      <c r="C90" s="233">
        <v>81636.52</v>
      </c>
      <c r="D90" s="222" t="s">
        <v>15</v>
      </c>
      <c r="E90" s="222">
        <v>0</v>
      </c>
      <c r="F90" s="223">
        <v>0</v>
      </c>
      <c r="G90" s="223">
        <v>0</v>
      </c>
      <c r="H90" s="26">
        <f t="shared" si="137"/>
        <v>0</v>
      </c>
      <c r="I90" s="27">
        <f t="shared" si="138"/>
        <v>0</v>
      </c>
      <c r="J90" s="27">
        <f t="shared" si="139"/>
        <v>0</v>
      </c>
      <c r="K90" s="27">
        <f t="shared" si="140"/>
        <v>0</v>
      </c>
      <c r="L90" s="4">
        <f t="shared" ref="L90:L106" si="203">C90-B90</f>
        <v>25</v>
      </c>
      <c r="M90" s="224"/>
      <c r="N90" s="14" t="str">
        <f t="shared" si="142"/>
        <v/>
      </c>
      <c r="O90" s="224">
        <v>1667.53</v>
      </c>
      <c r="P90" s="4">
        <f t="shared" si="199"/>
        <v>1667.53</v>
      </c>
      <c r="Q90" s="6"/>
      <c r="R90" s="6"/>
      <c r="S90" s="6"/>
      <c r="T90" s="6"/>
      <c r="U90" s="225"/>
      <c r="V90" s="34"/>
      <c r="W90" s="4">
        <f t="shared" si="149"/>
        <v>30.880185185185184</v>
      </c>
      <c r="X90" s="6"/>
      <c r="Y90" s="4"/>
      <c r="Z90" s="4"/>
      <c r="AA90" s="226"/>
      <c r="AC90" s="98"/>
      <c r="AD90" s="94"/>
      <c r="AE90" s="6"/>
      <c r="AF90" s="6"/>
      <c r="AG90" s="6"/>
      <c r="AH90" s="6">
        <f t="shared" si="159"/>
        <v>30.880185185185184</v>
      </c>
      <c r="AI90" s="95"/>
    </row>
    <row r="91" spans="1:35" ht="12.75" customHeight="1" x14ac:dyDescent="0.2">
      <c r="B91" s="232">
        <v>81576.25</v>
      </c>
      <c r="C91" s="233">
        <v>82187.839999999997</v>
      </c>
      <c r="D91" s="222" t="s">
        <v>15</v>
      </c>
      <c r="E91" s="222">
        <v>0</v>
      </c>
      <c r="F91" s="223">
        <v>1</v>
      </c>
      <c r="G91" s="223">
        <v>0</v>
      </c>
      <c r="H91" s="26">
        <f t="shared" si="137"/>
        <v>2</v>
      </c>
      <c r="I91" s="27">
        <f t="shared" si="138"/>
        <v>0</v>
      </c>
      <c r="J91" s="27">
        <f t="shared" si="139"/>
        <v>11.325740740740676</v>
      </c>
      <c r="K91" s="27">
        <f t="shared" si="140"/>
        <v>0</v>
      </c>
      <c r="L91" s="4">
        <f t="shared" si="203"/>
        <v>611.58999999999651</v>
      </c>
      <c r="M91" s="224">
        <v>63.42</v>
      </c>
      <c r="N91" s="14">
        <f t="shared" si="142"/>
        <v>38787.03779999978</v>
      </c>
      <c r="O91" s="224"/>
      <c r="P91" s="4">
        <f t="shared" ref="P91:P92" si="204">SUM(N91:O91)</f>
        <v>38787.03779999978</v>
      </c>
      <c r="Q91" s="6">
        <f t="shared" ref="Q91" si="205">(S91)/2000</f>
        <v>2.2227898777777648</v>
      </c>
      <c r="R91" s="6">
        <f t="shared" ref="R91" si="206">S91</f>
        <v>4445.57975555553</v>
      </c>
      <c r="S91" s="6">
        <f t="shared" ref="S91:S106" si="207">($P91+H91*$L91)/9</f>
        <v>4445.57975555553</v>
      </c>
      <c r="T91" s="6">
        <f t="shared" ref="T91" si="208">$S$1*S91*110*0.06*0.75/2000</f>
        <v>132.03371873999922</v>
      </c>
      <c r="U91" s="225"/>
      <c r="V91" s="34">
        <f t="shared" ref="V91:V106" si="209">(P91*$V$1/12)/27+I91</f>
        <v>1376.700415740733</v>
      </c>
      <c r="W91" s="4">
        <f t="shared" si="149"/>
        <v>729.60421851851436</v>
      </c>
      <c r="X91" s="6">
        <f t="shared" ref="X91:X106" si="210">($P91/9)*$X$1</f>
        <v>172.38683466666566</v>
      </c>
      <c r="Y91" s="4">
        <f t="shared" ref="Y91:Y106" si="211">($P91*($Y$1/12))/27</f>
        <v>179.56961944444342</v>
      </c>
      <c r="Z91" s="4">
        <f t="shared" ref="Z91:Z106" si="212">(P91*$Z$1/12)/27+K91</f>
        <v>209.49788935185066</v>
      </c>
      <c r="AA91" s="226">
        <f t="shared" ref="AA91:AA106" si="213">L91</f>
        <v>611.58999999999651</v>
      </c>
      <c r="AC91" s="98">
        <f t="shared" ref="AC91:AC106" si="214">IF(E91=2,$AO$26*2*L91/27,IF(F91=2,$AO$32*2*L91/27,IF(G91=2,$AO$38*2*L91/27,IF(AND(E91=1,F91=1),($AO$26*L91+$AO$32*L91)/27,IF(AND(E91=1,F91=0,G91=0),$AO$26*L91/27,IF(AND(E91=1,G91=1),($AO$26*L91+$AO$38*L91)/27,IF(AND(E91=0,F91=1,G91=0),$AO$32*L91/27,IF(AND(F91=1,G91=1),($AO$32*L91+$AO$38*L91)/27,IF(AND(E91=0,F91=0,G91=1),$AO$38*L91/27,0)))))))))</f>
        <v>11.325740740740676</v>
      </c>
      <c r="AD91" s="94">
        <f t="shared" ref="AD91:AD106" si="215">(S91)/2000</f>
        <v>2.2227898777777648</v>
      </c>
      <c r="AE91" s="6">
        <f t="shared" ref="AE91:AE106" si="216">AF91</f>
        <v>4445.57975555553</v>
      </c>
      <c r="AF91" s="6">
        <f t="shared" ref="AF91:AF106" si="217">($P91+H91*$L91)/9</f>
        <v>4445.57975555553</v>
      </c>
      <c r="AG91" s="6">
        <f t="shared" ref="AG91:AG106" si="218">$S$1*AF91*110*0.06*0.75/2000</f>
        <v>132.03371873999922</v>
      </c>
      <c r="AH91" s="6">
        <f t="shared" si="159"/>
        <v>729.60421851851436</v>
      </c>
      <c r="AI91" s="95">
        <f t="shared" ref="AI91:AI106" si="219">P91/9</f>
        <v>4309.6708666666418</v>
      </c>
    </row>
    <row r="92" spans="1:35" ht="12.75" customHeight="1" x14ac:dyDescent="0.2">
      <c r="B92" s="232">
        <v>82187.839999999997</v>
      </c>
      <c r="C92" s="233">
        <v>82642.14</v>
      </c>
      <c r="D92" s="222" t="s">
        <v>15</v>
      </c>
      <c r="E92" s="222">
        <v>1</v>
      </c>
      <c r="F92" s="223">
        <v>0</v>
      </c>
      <c r="G92" s="223">
        <v>0</v>
      </c>
      <c r="H92" s="26">
        <f t="shared" si="137"/>
        <v>1.5</v>
      </c>
      <c r="I92" s="27">
        <f t="shared" si="138"/>
        <v>9.5907777777778378</v>
      </c>
      <c r="J92" s="27">
        <f t="shared" si="139"/>
        <v>11.273370370370444</v>
      </c>
      <c r="K92" s="27">
        <f t="shared" si="140"/>
        <v>0</v>
      </c>
      <c r="L92" s="4">
        <f t="shared" si="203"/>
        <v>454.30000000000291</v>
      </c>
      <c r="M92" s="224"/>
      <c r="N92" s="14" t="str">
        <f t="shared" si="142"/>
        <v/>
      </c>
      <c r="O92" s="224">
        <v>35610.82</v>
      </c>
      <c r="P92" s="4">
        <f t="shared" si="204"/>
        <v>35610.82</v>
      </c>
      <c r="Q92" s="6">
        <f t="shared" ref="Q92" si="220">(S92)/2000</f>
        <v>2.0162372222222227</v>
      </c>
      <c r="R92" s="6">
        <f t="shared" ref="R92" si="221">S92</f>
        <v>4032.474444444445</v>
      </c>
      <c r="S92" s="6">
        <f t="shared" si="207"/>
        <v>4032.474444444445</v>
      </c>
      <c r="T92" s="6">
        <f t="shared" ref="T92" si="222">$S$1*S92*110*0.06*0.75/2000</f>
        <v>119.76449100000001</v>
      </c>
      <c r="U92" s="225"/>
      <c r="V92" s="34">
        <f t="shared" si="209"/>
        <v>1273.5550679012347</v>
      </c>
      <c r="W92" s="4">
        <f t="shared" si="149"/>
        <v>670.73300000000006</v>
      </c>
      <c r="X92" s="6">
        <f t="shared" si="210"/>
        <v>158.27031111111111</v>
      </c>
      <c r="Y92" s="4">
        <f t="shared" si="211"/>
        <v>164.8649074074074</v>
      </c>
      <c r="Z92" s="4">
        <f t="shared" si="212"/>
        <v>192.34239197530863</v>
      </c>
      <c r="AA92" s="226">
        <f t="shared" si="213"/>
        <v>454.30000000000291</v>
      </c>
      <c r="AC92" s="98">
        <f t="shared" si="214"/>
        <v>8.4129629629630163</v>
      </c>
      <c r="AD92" s="94">
        <f t="shared" si="215"/>
        <v>2.0162372222222227</v>
      </c>
      <c r="AE92" s="6">
        <f t="shared" si="216"/>
        <v>4032.474444444445</v>
      </c>
      <c r="AF92" s="6">
        <f t="shared" si="217"/>
        <v>4032.474444444445</v>
      </c>
      <c r="AG92" s="6">
        <f t="shared" si="218"/>
        <v>119.76449100000001</v>
      </c>
      <c r="AH92" s="6">
        <f t="shared" si="159"/>
        <v>667.87259259259258</v>
      </c>
      <c r="AI92" s="95">
        <f t="shared" si="219"/>
        <v>3956.7577777777778</v>
      </c>
    </row>
    <row r="93" spans="1:35" ht="12.75" customHeight="1" x14ac:dyDescent="0.2">
      <c r="B93" s="232">
        <v>82642.14</v>
      </c>
      <c r="C93" s="233">
        <v>82987.839999999997</v>
      </c>
      <c r="D93" s="222" t="s">
        <v>15</v>
      </c>
      <c r="E93" s="222">
        <v>1</v>
      </c>
      <c r="F93" s="223">
        <v>0</v>
      </c>
      <c r="G93" s="223">
        <v>0</v>
      </c>
      <c r="H93" s="26">
        <f t="shared" si="137"/>
        <v>1.5</v>
      </c>
      <c r="I93" s="27">
        <f t="shared" si="138"/>
        <v>7.2981111111110488</v>
      </c>
      <c r="J93" s="27">
        <f t="shared" si="139"/>
        <v>8.5784814814814094</v>
      </c>
      <c r="K93" s="27">
        <f t="shared" si="140"/>
        <v>0</v>
      </c>
      <c r="L93" s="4">
        <f t="shared" si="203"/>
        <v>345.69999999999709</v>
      </c>
      <c r="M93" s="224">
        <v>69.42</v>
      </c>
      <c r="N93" s="14">
        <f t="shared" si="142"/>
        <v>23998.493999999799</v>
      </c>
      <c r="O93" s="224"/>
      <c r="P93" s="4">
        <f t="shared" ref="P93" si="223">SUM(N93:O93)</f>
        <v>23998.493999999799</v>
      </c>
      <c r="Q93" s="6">
        <f t="shared" ref="Q93" si="224">(S93)/2000</f>
        <v>1.3620579999999887</v>
      </c>
      <c r="R93" s="6">
        <f t="shared" ref="R93" si="225">S93</f>
        <v>2724.1159999999772</v>
      </c>
      <c r="S93" s="6">
        <f t="shared" si="207"/>
        <v>2724.1159999999772</v>
      </c>
      <c r="T93" s="6">
        <f t="shared" ref="T93" si="226">$S$1*S93*110*0.06*0.75/2000</f>
        <v>80.906245199999304</v>
      </c>
      <c r="U93" s="225"/>
      <c r="V93" s="34">
        <f t="shared" si="209"/>
        <v>859.09650925925223</v>
      </c>
      <c r="W93" s="4">
        <f t="shared" si="149"/>
        <v>452.99503703703323</v>
      </c>
      <c r="X93" s="6">
        <f t="shared" si="210"/>
        <v>106.65997333333245</v>
      </c>
      <c r="Y93" s="4">
        <f t="shared" si="211"/>
        <v>111.10413888888796</v>
      </c>
      <c r="Z93" s="4">
        <f t="shared" si="212"/>
        <v>129.62149537036927</v>
      </c>
      <c r="AA93" s="226">
        <f t="shared" si="213"/>
        <v>345.69999999999709</v>
      </c>
      <c r="AC93" s="98">
        <f t="shared" si="214"/>
        <v>6.4018518518517977</v>
      </c>
      <c r="AD93" s="94">
        <f t="shared" si="215"/>
        <v>1.3620579999999887</v>
      </c>
      <c r="AE93" s="6">
        <f t="shared" si="216"/>
        <v>2724.1159999999772</v>
      </c>
      <c r="AF93" s="6">
        <f t="shared" si="217"/>
        <v>2724.1159999999772</v>
      </c>
      <c r="AG93" s="6">
        <f t="shared" si="218"/>
        <v>80.906245199999304</v>
      </c>
      <c r="AH93" s="6">
        <f t="shared" si="159"/>
        <v>450.81840740740364</v>
      </c>
      <c r="AI93" s="95">
        <f t="shared" si="219"/>
        <v>2666.4993333333109</v>
      </c>
    </row>
    <row r="94" spans="1:35" ht="12.75" customHeight="1" x14ac:dyDescent="0.2">
      <c r="B94" s="232">
        <v>82987.839999999997</v>
      </c>
      <c r="C94" s="233">
        <v>83087.839999999997</v>
      </c>
      <c r="D94" s="222" t="s">
        <v>15</v>
      </c>
      <c r="E94" s="222">
        <v>1</v>
      </c>
      <c r="F94" s="223">
        <v>0</v>
      </c>
      <c r="G94" s="223">
        <v>0</v>
      </c>
      <c r="H94" s="26">
        <f t="shared" si="137"/>
        <v>1.5</v>
      </c>
      <c r="I94" s="27">
        <f t="shared" si="138"/>
        <v>2.1111111111111107</v>
      </c>
      <c r="J94" s="27">
        <f t="shared" si="139"/>
        <v>2.4814814814814814</v>
      </c>
      <c r="K94" s="27">
        <f t="shared" si="140"/>
        <v>0</v>
      </c>
      <c r="L94" s="4">
        <f t="shared" si="203"/>
        <v>100</v>
      </c>
      <c r="M94" s="224">
        <v>65.42</v>
      </c>
      <c r="N94" s="14">
        <f t="shared" si="142"/>
        <v>6542</v>
      </c>
      <c r="O94" s="224"/>
      <c r="P94" s="4">
        <f t="shared" ref="P94:P96" si="227">SUM(N94:O94)</f>
        <v>6542</v>
      </c>
      <c r="Q94" s="6">
        <f t="shared" ref="Q94:Q96" si="228">(S94)/2000</f>
        <v>0.37177777777777776</v>
      </c>
      <c r="R94" s="6">
        <f t="shared" ref="R94:R96" si="229">S94</f>
        <v>743.55555555555554</v>
      </c>
      <c r="S94" s="6">
        <f t="shared" si="207"/>
        <v>743.55555555555554</v>
      </c>
      <c r="T94" s="6">
        <f t="shared" ref="T94:T96" si="230">$S$1*S94*110*0.06*0.75/2000</f>
        <v>22.083599999999997</v>
      </c>
      <c r="U94" s="225"/>
      <c r="V94" s="34">
        <f t="shared" si="209"/>
        <v>234.31172839506175</v>
      </c>
      <c r="W94" s="4">
        <f t="shared" si="149"/>
        <v>123.62962962962963</v>
      </c>
      <c r="X94" s="6">
        <f t="shared" si="210"/>
        <v>29.075555555555557</v>
      </c>
      <c r="Y94" s="4">
        <f t="shared" si="211"/>
        <v>30.287037037037038</v>
      </c>
      <c r="Z94" s="4">
        <f t="shared" si="212"/>
        <v>35.334876543209873</v>
      </c>
      <c r="AA94" s="226">
        <f t="shared" si="213"/>
        <v>100</v>
      </c>
      <c r="AC94" s="98">
        <f t="shared" si="214"/>
        <v>1.8518518518518519</v>
      </c>
      <c r="AD94" s="94">
        <f t="shared" si="215"/>
        <v>0.37177777777777776</v>
      </c>
      <c r="AE94" s="6">
        <f t="shared" si="216"/>
        <v>743.55555555555554</v>
      </c>
      <c r="AF94" s="6">
        <f t="shared" si="217"/>
        <v>743.55555555555554</v>
      </c>
      <c r="AG94" s="6">
        <f t="shared" si="218"/>
        <v>22.083599999999997</v>
      </c>
      <c r="AH94" s="6">
        <f t="shared" si="159"/>
        <v>123</v>
      </c>
      <c r="AI94" s="95">
        <f t="shared" si="219"/>
        <v>726.88888888888891</v>
      </c>
    </row>
    <row r="95" spans="1:35" ht="12.75" customHeight="1" x14ac:dyDescent="0.2">
      <c r="B95" s="232">
        <v>83087.839999999997</v>
      </c>
      <c r="C95" s="233">
        <v>84207.01</v>
      </c>
      <c r="D95" s="222" t="s">
        <v>15</v>
      </c>
      <c r="E95" s="222">
        <v>1</v>
      </c>
      <c r="F95" s="223">
        <v>0</v>
      </c>
      <c r="G95" s="223">
        <v>0</v>
      </c>
      <c r="H95" s="26">
        <f t="shared" si="137"/>
        <v>1.5</v>
      </c>
      <c r="I95" s="27">
        <f t="shared" si="138"/>
        <v>23.626922222222181</v>
      </c>
      <c r="J95" s="27">
        <f t="shared" si="139"/>
        <v>27.771996296296251</v>
      </c>
      <c r="K95" s="27">
        <f t="shared" si="140"/>
        <v>0</v>
      </c>
      <c r="L95" s="4">
        <f t="shared" si="203"/>
        <v>1119.1699999999983</v>
      </c>
      <c r="M95" s="224">
        <v>61.42</v>
      </c>
      <c r="N95" s="14">
        <f t="shared" si="142"/>
        <v>68739.42139999989</v>
      </c>
      <c r="O95" s="224"/>
      <c r="P95" s="4">
        <f t="shared" si="227"/>
        <v>68739.42139999989</v>
      </c>
      <c r="Q95" s="6">
        <f t="shared" si="228"/>
        <v>3.9121209111111042</v>
      </c>
      <c r="R95" s="6">
        <f t="shared" si="229"/>
        <v>7824.2418222222086</v>
      </c>
      <c r="S95" s="6">
        <f t="shared" si="207"/>
        <v>7824.2418222222086</v>
      </c>
      <c r="T95" s="6">
        <f t="shared" si="230"/>
        <v>232.3799821199996</v>
      </c>
      <c r="U95" s="225"/>
      <c r="V95" s="34">
        <f t="shared" si="209"/>
        <v>2463.4520645061689</v>
      </c>
      <c r="W95" s="4">
        <f t="shared" si="149"/>
        <v>1300.7242444444423</v>
      </c>
      <c r="X95" s="6">
        <f t="shared" si="210"/>
        <v>305.5085395555551</v>
      </c>
      <c r="Y95" s="4">
        <f t="shared" si="211"/>
        <v>318.23806203703651</v>
      </c>
      <c r="Z95" s="4">
        <f t="shared" si="212"/>
        <v>371.27773904320929</v>
      </c>
      <c r="AA95" s="226">
        <f t="shared" si="213"/>
        <v>1119.1699999999983</v>
      </c>
      <c r="AC95" s="98">
        <f t="shared" si="214"/>
        <v>20.725370370370339</v>
      </c>
      <c r="AD95" s="94">
        <f t="shared" si="215"/>
        <v>3.9121209111111042</v>
      </c>
      <c r="AE95" s="6">
        <f t="shared" si="216"/>
        <v>7824.2418222222086</v>
      </c>
      <c r="AF95" s="6">
        <f t="shared" si="217"/>
        <v>7824.2418222222086</v>
      </c>
      <c r="AG95" s="6">
        <f t="shared" si="218"/>
        <v>232.3799821199996</v>
      </c>
      <c r="AH95" s="6">
        <f t="shared" si="159"/>
        <v>1293.6776185185163</v>
      </c>
      <c r="AI95" s="95">
        <f t="shared" si="219"/>
        <v>7637.7134888888768</v>
      </c>
    </row>
    <row r="96" spans="1:35" ht="12.75" customHeight="1" x14ac:dyDescent="0.2">
      <c r="B96" s="232">
        <v>84207.01</v>
      </c>
      <c r="C96" s="233">
        <v>85256.85</v>
      </c>
      <c r="D96" s="222" t="s">
        <v>15</v>
      </c>
      <c r="E96" s="222">
        <v>1</v>
      </c>
      <c r="F96" s="223">
        <v>0</v>
      </c>
      <c r="G96" s="223">
        <v>0</v>
      </c>
      <c r="H96" s="26">
        <f t="shared" si="137"/>
        <v>1.5</v>
      </c>
      <c r="I96" s="27">
        <f t="shared" si="138"/>
        <v>22.163288888889124</v>
      </c>
      <c r="J96" s="27">
        <f t="shared" si="139"/>
        <v>26.051585185185463</v>
      </c>
      <c r="K96" s="27">
        <f t="shared" si="140"/>
        <v>0</v>
      </c>
      <c r="L96" s="4">
        <f t="shared" si="203"/>
        <v>1049.8400000000111</v>
      </c>
      <c r="M96" s="224">
        <v>71.92</v>
      </c>
      <c r="N96" s="14">
        <f t="shared" si="142"/>
        <v>75504.492800000793</v>
      </c>
      <c r="O96" s="224"/>
      <c r="P96" s="4">
        <f t="shared" si="227"/>
        <v>75504.492800000793</v>
      </c>
      <c r="Q96" s="6">
        <f t="shared" si="228"/>
        <v>4.2821807111111561</v>
      </c>
      <c r="R96" s="6">
        <f t="shared" si="229"/>
        <v>8564.3614222223114</v>
      </c>
      <c r="S96" s="6">
        <f t="shared" si="207"/>
        <v>8564.3614222223114</v>
      </c>
      <c r="T96" s="6">
        <f t="shared" si="230"/>
        <v>254.36153424000264</v>
      </c>
      <c r="U96" s="225"/>
      <c r="V96" s="34">
        <f t="shared" si="209"/>
        <v>2702.1067061728677</v>
      </c>
      <c r="W96" s="4">
        <f t="shared" si="149"/>
        <v>1424.2829333333484</v>
      </c>
      <c r="X96" s="6">
        <f t="shared" si="210"/>
        <v>335.57552355555907</v>
      </c>
      <c r="Y96" s="4">
        <f t="shared" si="211"/>
        <v>349.55783703704071</v>
      </c>
      <c r="Z96" s="4">
        <f t="shared" si="212"/>
        <v>407.81747654321413</v>
      </c>
      <c r="AA96" s="226">
        <f t="shared" si="213"/>
        <v>1049.8400000000111</v>
      </c>
      <c r="AC96" s="98">
        <f t="shared" si="214"/>
        <v>19.441481481481688</v>
      </c>
      <c r="AD96" s="94">
        <f t="shared" si="215"/>
        <v>4.2821807111111561</v>
      </c>
      <c r="AE96" s="6">
        <f t="shared" si="216"/>
        <v>8564.3614222223114</v>
      </c>
      <c r="AF96" s="6">
        <f t="shared" si="217"/>
        <v>8564.3614222223114</v>
      </c>
      <c r="AG96" s="6">
        <f t="shared" si="218"/>
        <v>254.36153424000264</v>
      </c>
      <c r="AH96" s="6">
        <f t="shared" si="159"/>
        <v>1417.6728296296446</v>
      </c>
      <c r="AI96" s="95">
        <f t="shared" si="219"/>
        <v>8389.3880888889762</v>
      </c>
    </row>
    <row r="97" spans="1:35" ht="12.75" customHeight="1" x14ac:dyDescent="0.2">
      <c r="B97" s="232">
        <v>85256.85</v>
      </c>
      <c r="C97" s="233">
        <v>85535.87</v>
      </c>
      <c r="D97" s="222" t="s">
        <v>15</v>
      </c>
      <c r="E97" s="222">
        <v>1</v>
      </c>
      <c r="F97" s="223">
        <v>0</v>
      </c>
      <c r="G97" s="223">
        <v>0</v>
      </c>
      <c r="H97" s="26">
        <f t="shared" si="137"/>
        <v>1.5</v>
      </c>
      <c r="I97" s="27">
        <f t="shared" si="138"/>
        <v>5.8904222222220008</v>
      </c>
      <c r="J97" s="27">
        <f t="shared" si="139"/>
        <v>6.9238296296293704</v>
      </c>
      <c r="K97" s="27">
        <f t="shared" si="140"/>
        <v>0</v>
      </c>
      <c r="L97" s="4">
        <f t="shared" si="203"/>
        <v>279.01999999998952</v>
      </c>
      <c r="M97" s="224"/>
      <c r="N97" s="14" t="str">
        <f t="shared" si="142"/>
        <v/>
      </c>
      <c r="O97" s="224">
        <v>23845.31</v>
      </c>
      <c r="P97" s="4">
        <f t="shared" ref="P97" si="231">SUM(N97:O97)</f>
        <v>23845.31</v>
      </c>
      <c r="Q97" s="6">
        <f t="shared" ref="Q97" si="232">(S97)/2000</f>
        <v>1.3479911111111103</v>
      </c>
      <c r="R97" s="6">
        <f t="shared" ref="R97" si="233">S97</f>
        <v>2695.9822222222206</v>
      </c>
      <c r="S97" s="6">
        <f t="shared" si="207"/>
        <v>2695.9822222222206</v>
      </c>
      <c r="T97" s="6">
        <f t="shared" ref="T97" si="234">$S$1*S97*110*0.06*0.75/2000</f>
        <v>80.070671999999931</v>
      </c>
      <c r="U97" s="225"/>
      <c r="V97" s="34">
        <f t="shared" si="209"/>
        <v>852.25173395061711</v>
      </c>
      <c r="W97" s="4">
        <f t="shared" si="149"/>
        <v>448.50364444444421</v>
      </c>
      <c r="X97" s="6">
        <f t="shared" si="210"/>
        <v>105.97915555555555</v>
      </c>
      <c r="Y97" s="4">
        <f t="shared" si="211"/>
        <v>110.39495370370371</v>
      </c>
      <c r="Z97" s="4">
        <f t="shared" si="212"/>
        <v>128.794112654321</v>
      </c>
      <c r="AA97" s="226">
        <f t="shared" si="213"/>
        <v>279.01999999998952</v>
      </c>
      <c r="AC97" s="98">
        <f t="shared" si="214"/>
        <v>5.1670370370368426</v>
      </c>
      <c r="AD97" s="94">
        <f t="shared" si="215"/>
        <v>1.3479911111111103</v>
      </c>
      <c r="AE97" s="6">
        <f t="shared" si="216"/>
        <v>2695.9822222222206</v>
      </c>
      <c r="AF97" s="6">
        <f t="shared" si="217"/>
        <v>2695.9822222222206</v>
      </c>
      <c r="AG97" s="6">
        <f t="shared" si="218"/>
        <v>80.070671999999931</v>
      </c>
      <c r="AH97" s="6">
        <f t="shared" si="159"/>
        <v>446.74685185185166</v>
      </c>
      <c r="AI97" s="95">
        <f t="shared" si="219"/>
        <v>2649.4788888888888</v>
      </c>
    </row>
    <row r="98" spans="1:35" ht="12.75" customHeight="1" x14ac:dyDescent="0.2">
      <c r="B98" s="232">
        <v>85535.87</v>
      </c>
      <c r="C98" s="233">
        <v>86875.27</v>
      </c>
      <c r="D98" s="222" t="s">
        <v>15</v>
      </c>
      <c r="E98" s="222">
        <v>1</v>
      </c>
      <c r="F98" s="223">
        <v>0</v>
      </c>
      <c r="G98" s="223">
        <v>0</v>
      </c>
      <c r="H98" s="26">
        <f t="shared" si="137"/>
        <v>1.5</v>
      </c>
      <c r="I98" s="27">
        <f t="shared" si="138"/>
        <v>28.276222222222401</v>
      </c>
      <c r="J98" s="27">
        <f t="shared" si="139"/>
        <v>33.236962962963183</v>
      </c>
      <c r="K98" s="27">
        <f t="shared" si="140"/>
        <v>0</v>
      </c>
      <c r="L98" s="4">
        <f t="shared" si="203"/>
        <v>1339.4000000000087</v>
      </c>
      <c r="M98" s="224">
        <v>61.42</v>
      </c>
      <c r="N98" s="14">
        <f t="shared" si="142"/>
        <v>82265.948000000542</v>
      </c>
      <c r="O98" s="224"/>
      <c r="P98" s="4">
        <f t="shared" ref="P98" si="235">SUM(N98:O98)</f>
        <v>82265.948000000542</v>
      </c>
      <c r="Q98" s="6">
        <f t="shared" ref="Q98" si="236">(S98)/2000</f>
        <v>4.6819471111111426</v>
      </c>
      <c r="R98" s="6">
        <f t="shared" ref="R98" si="237">S98</f>
        <v>9363.894222222285</v>
      </c>
      <c r="S98" s="6">
        <f t="shared" si="207"/>
        <v>9363.894222222285</v>
      </c>
      <c r="T98" s="6">
        <f t="shared" ref="T98" si="238">$S$1*S98*110*0.06*0.75/2000</f>
        <v>278.10765840000181</v>
      </c>
      <c r="U98" s="225"/>
      <c r="V98" s="34">
        <f t="shared" si="209"/>
        <v>2948.2095617284144</v>
      </c>
      <c r="W98" s="4">
        <f t="shared" si="149"/>
        <v>1556.6804444444547</v>
      </c>
      <c r="X98" s="6">
        <f t="shared" si="210"/>
        <v>365.62643555555798</v>
      </c>
      <c r="Y98" s="4">
        <f t="shared" si="211"/>
        <v>380.86087037037288</v>
      </c>
      <c r="Z98" s="4">
        <f t="shared" si="212"/>
        <v>444.33768209876837</v>
      </c>
      <c r="AA98" s="226">
        <f t="shared" si="213"/>
        <v>1339.4000000000087</v>
      </c>
      <c r="AC98" s="98">
        <f t="shared" si="214"/>
        <v>24.803703703703864</v>
      </c>
      <c r="AD98" s="94">
        <f t="shared" si="215"/>
        <v>4.6819471111111426</v>
      </c>
      <c r="AE98" s="6">
        <f t="shared" si="216"/>
        <v>9363.894222222285</v>
      </c>
      <c r="AF98" s="6">
        <f t="shared" si="217"/>
        <v>9363.894222222285</v>
      </c>
      <c r="AG98" s="6">
        <f t="shared" si="218"/>
        <v>278.10765840000181</v>
      </c>
      <c r="AH98" s="6">
        <f t="shared" si="159"/>
        <v>1548.2471851851953</v>
      </c>
      <c r="AI98" s="95">
        <f t="shared" si="219"/>
        <v>9140.6608888889496</v>
      </c>
    </row>
    <row r="99" spans="1:35" ht="12.75" customHeight="1" x14ac:dyDescent="0.2">
      <c r="B99" s="232">
        <v>86875.27</v>
      </c>
      <c r="C99" s="233">
        <v>87200.34</v>
      </c>
      <c r="D99" s="222" t="s">
        <v>15</v>
      </c>
      <c r="E99" s="222">
        <v>1</v>
      </c>
      <c r="F99" s="223">
        <v>0</v>
      </c>
      <c r="G99" s="223">
        <v>0</v>
      </c>
      <c r="H99" s="26">
        <f t="shared" si="137"/>
        <v>1.5</v>
      </c>
      <c r="I99" s="27">
        <f t="shared" si="138"/>
        <v>6.8625888888887285</v>
      </c>
      <c r="J99" s="27">
        <f t="shared" si="139"/>
        <v>8.0665518518516635</v>
      </c>
      <c r="K99" s="27">
        <f t="shared" si="140"/>
        <v>0</v>
      </c>
      <c r="L99" s="4">
        <f t="shared" si="203"/>
        <v>325.06999999999243</v>
      </c>
      <c r="M99" s="224"/>
      <c r="N99" s="14" t="str">
        <f t="shared" si="142"/>
        <v/>
      </c>
      <c r="O99" s="224">
        <v>26744.1</v>
      </c>
      <c r="P99" s="4">
        <f t="shared" ref="P99" si="239">SUM(N99:O99)</f>
        <v>26744.1</v>
      </c>
      <c r="Q99" s="6">
        <f t="shared" ref="Q99" si="240">(S99)/2000</f>
        <v>1.5128724999999992</v>
      </c>
      <c r="R99" s="6">
        <f t="shared" ref="R99" si="241">S99</f>
        <v>3025.7449999999985</v>
      </c>
      <c r="S99" s="6">
        <f t="shared" si="207"/>
        <v>3025.7449999999985</v>
      </c>
      <c r="T99" s="6">
        <f t="shared" ref="T99" si="242">$S$1*S99*110*0.06*0.75/2000</f>
        <v>89.864626499999957</v>
      </c>
      <c r="U99" s="225"/>
      <c r="V99" s="34">
        <f t="shared" si="209"/>
        <v>956.11305185185154</v>
      </c>
      <c r="W99" s="4">
        <f t="shared" si="149"/>
        <v>503.32766296296268</v>
      </c>
      <c r="X99" s="6">
        <f t="shared" si="210"/>
        <v>118.86266666666667</v>
      </c>
      <c r="Y99" s="4">
        <f t="shared" si="211"/>
        <v>123.81527777777777</v>
      </c>
      <c r="Z99" s="4">
        <f t="shared" si="212"/>
        <v>144.45115740740741</v>
      </c>
      <c r="AA99" s="226">
        <f t="shared" si="213"/>
        <v>325.06999999999243</v>
      </c>
      <c r="AC99" s="98">
        <f t="shared" si="214"/>
        <v>6.0198148148146746</v>
      </c>
      <c r="AD99" s="94">
        <f t="shared" si="215"/>
        <v>1.5128724999999992</v>
      </c>
      <c r="AE99" s="6">
        <f t="shared" si="216"/>
        <v>3025.7449999999985</v>
      </c>
      <c r="AF99" s="6">
        <f t="shared" si="217"/>
        <v>3025.7449999999985</v>
      </c>
      <c r="AG99" s="6">
        <f t="shared" si="218"/>
        <v>89.864626499999957</v>
      </c>
      <c r="AH99" s="6">
        <f t="shared" si="159"/>
        <v>501.28092592592566</v>
      </c>
      <c r="AI99" s="95">
        <f t="shared" si="219"/>
        <v>2971.5666666666666</v>
      </c>
    </row>
    <row r="100" spans="1:35" ht="12.75" customHeight="1" x14ac:dyDescent="0.2">
      <c r="B100" s="232">
        <v>87200.34</v>
      </c>
      <c r="C100" s="233">
        <v>87372.92</v>
      </c>
      <c r="D100" s="222" t="s">
        <v>15</v>
      </c>
      <c r="E100" s="222">
        <v>0</v>
      </c>
      <c r="F100" s="223">
        <v>1</v>
      </c>
      <c r="G100" s="223">
        <v>0</v>
      </c>
      <c r="H100" s="26">
        <f t="shared" si="137"/>
        <v>2</v>
      </c>
      <c r="I100" s="27">
        <f t="shared" si="138"/>
        <v>0</v>
      </c>
      <c r="J100" s="27">
        <f t="shared" si="139"/>
        <v>3.1959259259259585</v>
      </c>
      <c r="K100" s="27">
        <f t="shared" si="140"/>
        <v>0</v>
      </c>
      <c r="L100" s="4">
        <f t="shared" si="203"/>
        <v>172.58000000000175</v>
      </c>
      <c r="M100" s="224"/>
      <c r="N100" s="14" t="str">
        <f t="shared" si="142"/>
        <v/>
      </c>
      <c r="O100" s="224">
        <v>12611.81</v>
      </c>
      <c r="P100" s="4">
        <f t="shared" ref="P100" si="243">SUM(N100:O100)</f>
        <v>12611.81</v>
      </c>
      <c r="Q100" s="6">
        <f t="shared" ref="Q100" si="244">(S100)/2000</f>
        <v>0.71983166666666687</v>
      </c>
      <c r="R100" s="6">
        <f t="shared" ref="R100" si="245">S100</f>
        <v>1439.6633333333336</v>
      </c>
      <c r="S100" s="6">
        <f t="shared" si="207"/>
        <v>1439.6633333333336</v>
      </c>
      <c r="T100" s="6">
        <f t="shared" ref="T100" si="246">$S$1*S100*110*0.06*0.75/2000</f>
        <v>42.758001000000007</v>
      </c>
      <c r="U100" s="225"/>
      <c r="V100" s="34">
        <f t="shared" si="209"/>
        <v>447.64140432098765</v>
      </c>
      <c r="W100" s="4">
        <f t="shared" si="149"/>
        <v>236.74796296296299</v>
      </c>
      <c r="X100" s="6">
        <f t="shared" si="210"/>
        <v>56.052488888888888</v>
      </c>
      <c r="Y100" s="4">
        <f t="shared" si="211"/>
        <v>58.388009259259256</v>
      </c>
      <c r="Z100" s="4">
        <f t="shared" si="212"/>
        <v>68.119344135802464</v>
      </c>
      <c r="AA100" s="226">
        <f t="shared" si="213"/>
        <v>172.58000000000175</v>
      </c>
      <c r="AC100" s="98">
        <f t="shared" si="214"/>
        <v>3.1959259259259585</v>
      </c>
      <c r="AD100" s="94">
        <f t="shared" si="215"/>
        <v>0.71983166666666687</v>
      </c>
      <c r="AE100" s="6">
        <f t="shared" si="216"/>
        <v>1439.6633333333336</v>
      </c>
      <c r="AF100" s="6">
        <f t="shared" si="217"/>
        <v>1439.6633333333336</v>
      </c>
      <c r="AG100" s="6">
        <f t="shared" si="218"/>
        <v>42.758001000000007</v>
      </c>
      <c r="AH100" s="6">
        <f t="shared" si="159"/>
        <v>236.74796296296299</v>
      </c>
      <c r="AI100" s="95">
        <f t="shared" si="219"/>
        <v>1401.3122222222221</v>
      </c>
    </row>
    <row r="101" spans="1:35" ht="12.75" customHeight="1" x14ac:dyDescent="0.2">
      <c r="B101" s="232">
        <v>87372.92</v>
      </c>
      <c r="C101" s="233">
        <v>87675.37</v>
      </c>
      <c r="D101" s="222" t="s">
        <v>15</v>
      </c>
      <c r="E101" s="222">
        <v>0</v>
      </c>
      <c r="F101" s="223">
        <v>1</v>
      </c>
      <c r="G101" s="223">
        <v>0</v>
      </c>
      <c r="H101" s="26">
        <f t="shared" si="137"/>
        <v>2</v>
      </c>
      <c r="I101" s="27">
        <f t="shared" si="138"/>
        <v>0</v>
      </c>
      <c r="J101" s="27">
        <f t="shared" si="139"/>
        <v>5.6009259259258721</v>
      </c>
      <c r="K101" s="27">
        <f t="shared" si="140"/>
        <v>0</v>
      </c>
      <c r="L101" s="4">
        <f t="shared" si="203"/>
        <v>302.44999999999709</v>
      </c>
      <c r="M101" s="224">
        <v>71.42</v>
      </c>
      <c r="N101" s="14">
        <f t="shared" si="142"/>
        <v>21600.978999999792</v>
      </c>
      <c r="O101" s="224"/>
      <c r="P101" s="4">
        <f t="shared" ref="P101" si="247">SUM(N101:O101)</f>
        <v>21600.978999999792</v>
      </c>
      <c r="Q101" s="6">
        <f t="shared" ref="Q101" si="248">(S101)/2000</f>
        <v>1.2336599444444325</v>
      </c>
      <c r="R101" s="6">
        <f t="shared" ref="R101" si="249">S101</f>
        <v>2467.3198888888651</v>
      </c>
      <c r="S101" s="6">
        <f t="shared" si="207"/>
        <v>2467.3198888888651</v>
      </c>
      <c r="T101" s="6">
        <f t="shared" ref="T101" si="250">$S$1*S101*110*0.06*0.75/2000</f>
        <v>73.279400699999286</v>
      </c>
      <c r="U101" s="225"/>
      <c r="V101" s="34">
        <f t="shared" si="209"/>
        <v>766.70141512344935</v>
      </c>
      <c r="W101" s="4">
        <f t="shared" si="149"/>
        <v>405.61905555555165</v>
      </c>
      <c r="X101" s="6">
        <f t="shared" si="210"/>
        <v>96.004351111110196</v>
      </c>
      <c r="Y101" s="4">
        <f t="shared" si="211"/>
        <v>100.00453240740644</v>
      </c>
      <c r="Z101" s="4">
        <f t="shared" si="212"/>
        <v>116.67195447530752</v>
      </c>
      <c r="AA101" s="226">
        <f t="shared" si="213"/>
        <v>302.44999999999709</v>
      </c>
      <c r="AC101" s="98">
        <f t="shared" si="214"/>
        <v>5.6009259259258721</v>
      </c>
      <c r="AD101" s="94">
        <f t="shared" si="215"/>
        <v>1.2336599444444325</v>
      </c>
      <c r="AE101" s="6">
        <f t="shared" si="216"/>
        <v>2467.3198888888651</v>
      </c>
      <c r="AF101" s="6">
        <f t="shared" si="217"/>
        <v>2467.3198888888651</v>
      </c>
      <c r="AG101" s="6">
        <f t="shared" si="218"/>
        <v>73.279400699999286</v>
      </c>
      <c r="AH101" s="6">
        <f t="shared" si="159"/>
        <v>405.61905555555165</v>
      </c>
      <c r="AI101" s="95">
        <f t="shared" si="219"/>
        <v>2400.1087777777548</v>
      </c>
    </row>
    <row r="102" spans="1:35" ht="12.75" customHeight="1" x14ac:dyDescent="0.2">
      <c r="B102" s="232">
        <v>87675.37</v>
      </c>
      <c r="C102" s="233">
        <v>87775.37</v>
      </c>
      <c r="D102" s="222" t="s">
        <v>15</v>
      </c>
      <c r="E102" s="222">
        <v>0</v>
      </c>
      <c r="F102" s="223">
        <v>1</v>
      </c>
      <c r="G102" s="223">
        <v>0</v>
      </c>
      <c r="H102" s="26">
        <f t="shared" ref="H102:H125" si="251">IF(E102=2,$AL$4*2,IF(F102=2,$AO$10*2,IF(G102=2,$AL$16*2,IF(AND(E102=1,F102=1),$AL$4+$AO$10,IF(AND(E102=1,F102=0,G102=0),$AL$4,IF(AND(E102=1,G102=1),$AL$4+$AL$16,IF(AND(E102=0,F102=1,G102=0),$AO$10,IF(AND(F102=1,G102=1),$AO$10+$AL$16,IF(AND(E102=0,F102=0,G102=1),$AL$16,0)))))))))</f>
        <v>2</v>
      </c>
      <c r="I102" s="27">
        <f t="shared" ref="I102:I125" si="252">IF(E102=2,AO$4*L102*2/27,IF(G102=2,$AO$16*L102*2/27,IF(AND(E102=1,G102=0),$AO$4*L102/27,IF(AND(E102=1,G102=1),($AO$4*L102+$AO$16*L102)/27,IF(AND(F102=1,G102=1),$AO$16*L102/27,IF(AND(E102=0,F102=0,G102=1),$AO$16*L102/27,0))))))</f>
        <v>0</v>
      </c>
      <c r="J102" s="27">
        <f t="shared" ref="J102:J125" si="253">IF(E102=2,$AR$4*2*L102/27,IF(F102=2,$AR$10*2*L102/27,IF(G102=2,$AR$16*2*L102/27,IF(AND(E102=1,F102=1),($AR$4*L102+$AR$10*L102)/27,IF(AND(E102=1,F102=0,G102=0),$AR$4*L102/27,IF(AND(E102=1,G102=1),($AR$4*L102+$AR$16*L102)/27,IF(AND(E102=0,F102=1,G102=0),$AR$10*L102/27,IF(AND(F102=1,G102=1),($AR$10*L102+$AR$16*L102)/27,IF(AND(E102=0,F102=0,G102=1),$AR$16*L102/27,0)))))))))</f>
        <v>1.8518518518518519</v>
      </c>
      <c r="K102" s="27">
        <f t="shared" ref="K102:K125" si="254">IF(G102=1,$AU$16*L102/27,IF(G102=2,$AU$16*L102*2/27,0))</f>
        <v>0</v>
      </c>
      <c r="L102" s="4">
        <f t="shared" si="203"/>
        <v>100</v>
      </c>
      <c r="M102" s="224">
        <v>67.42</v>
      </c>
      <c r="N102" s="14">
        <f t="shared" si="142"/>
        <v>6742</v>
      </c>
      <c r="O102" s="224"/>
      <c r="P102" s="4">
        <f t="shared" ref="P102:P105" si="255">SUM(N102:O102)</f>
        <v>6742</v>
      </c>
      <c r="Q102" s="6">
        <f t="shared" ref="Q102:Q105" si="256">(S102)/2000</f>
        <v>0.38566666666666671</v>
      </c>
      <c r="R102" s="6">
        <f t="shared" ref="R102:R105" si="257">S102</f>
        <v>771.33333333333337</v>
      </c>
      <c r="S102" s="6">
        <f t="shared" si="207"/>
        <v>771.33333333333337</v>
      </c>
      <c r="T102" s="6">
        <f t="shared" ref="T102:T105" si="258">$S$1*S102*110*0.06*0.75/2000</f>
        <v>22.9086</v>
      </c>
      <c r="U102" s="225"/>
      <c r="V102" s="34">
        <f t="shared" si="209"/>
        <v>239.29938271604937</v>
      </c>
      <c r="W102" s="4">
        <f t="shared" ref="W102:W125" si="259">(P102*$W$1/12)/27+J102</f>
        <v>126.7037037037037</v>
      </c>
      <c r="X102" s="6">
        <f t="shared" si="210"/>
        <v>29.964444444444442</v>
      </c>
      <c r="Y102" s="4">
        <f t="shared" si="211"/>
        <v>31.212962962962962</v>
      </c>
      <c r="Z102" s="4">
        <f t="shared" si="212"/>
        <v>36.415123456790127</v>
      </c>
      <c r="AA102" s="226">
        <f t="shared" si="213"/>
        <v>100</v>
      </c>
      <c r="AC102" s="98">
        <f t="shared" si="214"/>
        <v>1.8518518518518519</v>
      </c>
      <c r="AD102" s="94">
        <f t="shared" si="215"/>
        <v>0.38566666666666671</v>
      </c>
      <c r="AE102" s="6">
        <f t="shared" si="216"/>
        <v>771.33333333333337</v>
      </c>
      <c r="AF102" s="6">
        <f t="shared" si="217"/>
        <v>771.33333333333337</v>
      </c>
      <c r="AG102" s="6">
        <f t="shared" si="218"/>
        <v>22.9086</v>
      </c>
      <c r="AH102" s="6">
        <f t="shared" ref="AH102:AH125" si="260">(P102*$W$1/12)/27+AC102</f>
        <v>126.7037037037037</v>
      </c>
      <c r="AI102" s="95">
        <f t="shared" si="219"/>
        <v>749.11111111111109</v>
      </c>
    </row>
    <row r="103" spans="1:35" ht="12.75" customHeight="1" x14ac:dyDescent="0.2">
      <c r="B103" s="232">
        <v>87775.37</v>
      </c>
      <c r="C103" s="233">
        <v>87820</v>
      </c>
      <c r="D103" s="222" t="s">
        <v>15</v>
      </c>
      <c r="E103" s="222">
        <v>0</v>
      </c>
      <c r="F103" s="223">
        <v>1</v>
      </c>
      <c r="G103" s="223">
        <v>0</v>
      </c>
      <c r="H103" s="26">
        <f t="shared" si="251"/>
        <v>2</v>
      </c>
      <c r="I103" s="27">
        <f t="shared" si="252"/>
        <v>0</v>
      </c>
      <c r="J103" s="27">
        <f t="shared" si="253"/>
        <v>0.82648148148156775</v>
      </c>
      <c r="K103" s="27">
        <f t="shared" si="254"/>
        <v>0</v>
      </c>
      <c r="L103" s="4">
        <f t="shared" si="203"/>
        <v>44.630000000004657</v>
      </c>
      <c r="M103" s="224">
        <v>63.42</v>
      </c>
      <c r="N103" s="14">
        <f t="shared" si="142"/>
        <v>2830.4346000002952</v>
      </c>
      <c r="O103" s="224"/>
      <c r="P103" s="4">
        <f t="shared" si="255"/>
        <v>2830.4346000002952</v>
      </c>
      <c r="Q103" s="6">
        <f t="shared" si="256"/>
        <v>0.16220525555557247</v>
      </c>
      <c r="R103" s="6">
        <f t="shared" si="257"/>
        <v>324.41051111114496</v>
      </c>
      <c r="S103" s="6">
        <f t="shared" si="207"/>
        <v>324.41051111114496</v>
      </c>
      <c r="T103" s="6">
        <f t="shared" si="258"/>
        <v>9.6349921800010048</v>
      </c>
      <c r="U103" s="225"/>
      <c r="V103" s="34">
        <f t="shared" si="209"/>
        <v>100.46295648149196</v>
      </c>
      <c r="W103" s="4">
        <f t="shared" si="259"/>
        <v>53.24193703704259</v>
      </c>
      <c r="X103" s="6">
        <f t="shared" si="210"/>
        <v>12.579709333334645</v>
      </c>
      <c r="Y103" s="4">
        <f t="shared" si="211"/>
        <v>13.103863888890256</v>
      </c>
      <c r="Z103" s="4">
        <f t="shared" si="212"/>
        <v>15.287841203705298</v>
      </c>
      <c r="AA103" s="226">
        <f t="shared" si="213"/>
        <v>44.630000000004657</v>
      </c>
      <c r="AC103" s="98">
        <f t="shared" si="214"/>
        <v>0.82648148148156775</v>
      </c>
      <c r="AD103" s="94">
        <f t="shared" si="215"/>
        <v>0.16220525555557247</v>
      </c>
      <c r="AE103" s="6">
        <f t="shared" si="216"/>
        <v>324.41051111114496</v>
      </c>
      <c r="AF103" s="6">
        <f t="shared" si="217"/>
        <v>324.41051111114496</v>
      </c>
      <c r="AG103" s="6">
        <f t="shared" si="218"/>
        <v>9.6349921800010048</v>
      </c>
      <c r="AH103" s="6">
        <f t="shared" si="260"/>
        <v>53.24193703704259</v>
      </c>
      <c r="AI103" s="95">
        <f t="shared" si="219"/>
        <v>314.49273333336612</v>
      </c>
    </row>
    <row r="104" spans="1:35" ht="12.75" customHeight="1" x14ac:dyDescent="0.2">
      <c r="B104" s="232">
        <v>87820</v>
      </c>
      <c r="C104" s="233">
        <v>89190.3</v>
      </c>
      <c r="D104" s="222" t="s">
        <v>15</v>
      </c>
      <c r="E104" s="222">
        <v>1</v>
      </c>
      <c r="F104" s="223">
        <v>0</v>
      </c>
      <c r="G104" s="223">
        <v>0</v>
      </c>
      <c r="H104" s="26">
        <f t="shared" si="251"/>
        <v>1.5</v>
      </c>
      <c r="I104" s="27">
        <f t="shared" si="252"/>
        <v>28.928555555555615</v>
      </c>
      <c r="J104" s="27">
        <f t="shared" si="253"/>
        <v>34.003740740740817</v>
      </c>
      <c r="K104" s="27">
        <f t="shared" si="254"/>
        <v>0</v>
      </c>
      <c r="L104" s="4">
        <f t="shared" si="203"/>
        <v>1370.3000000000029</v>
      </c>
      <c r="M104" s="224">
        <v>61.42</v>
      </c>
      <c r="N104" s="14">
        <f t="shared" si="142"/>
        <v>84163.826000000176</v>
      </c>
      <c r="O104" s="224"/>
      <c r="P104" s="4">
        <f t="shared" si="255"/>
        <v>84163.826000000176</v>
      </c>
      <c r="Q104" s="6">
        <f t="shared" si="256"/>
        <v>4.7899597777777885</v>
      </c>
      <c r="R104" s="6">
        <f t="shared" si="257"/>
        <v>9579.9195555555762</v>
      </c>
      <c r="S104" s="6">
        <f t="shared" si="207"/>
        <v>9579.9195555555762</v>
      </c>
      <c r="T104" s="6">
        <f t="shared" si="258"/>
        <v>284.5236108000006</v>
      </c>
      <c r="U104" s="225"/>
      <c r="V104" s="34">
        <f t="shared" si="209"/>
        <v>3016.2248487654388</v>
      </c>
      <c r="W104" s="4">
        <f t="shared" si="259"/>
        <v>1592.5931111111145</v>
      </c>
      <c r="X104" s="6">
        <f t="shared" si="210"/>
        <v>374.06144888888963</v>
      </c>
      <c r="Y104" s="4">
        <f t="shared" si="211"/>
        <v>389.64734259259342</v>
      </c>
      <c r="Z104" s="4">
        <f t="shared" si="212"/>
        <v>454.58856635802573</v>
      </c>
      <c r="AA104" s="226">
        <f t="shared" si="213"/>
        <v>1370.3000000000029</v>
      </c>
      <c r="AC104" s="98">
        <f t="shared" si="214"/>
        <v>25.37592592592598</v>
      </c>
      <c r="AD104" s="94">
        <f t="shared" si="215"/>
        <v>4.7899597777777885</v>
      </c>
      <c r="AE104" s="6">
        <f t="shared" si="216"/>
        <v>9579.9195555555762</v>
      </c>
      <c r="AF104" s="6">
        <f t="shared" si="217"/>
        <v>9579.9195555555762</v>
      </c>
      <c r="AG104" s="6">
        <f t="shared" si="218"/>
        <v>284.5236108000006</v>
      </c>
      <c r="AH104" s="6">
        <f t="shared" si="260"/>
        <v>1583.9652962962996</v>
      </c>
      <c r="AI104" s="95">
        <f t="shared" si="219"/>
        <v>9351.5362222222411</v>
      </c>
    </row>
    <row r="105" spans="1:35" ht="12.75" customHeight="1" x14ac:dyDescent="0.2">
      <c r="B105" s="232">
        <v>89190.3</v>
      </c>
      <c r="C105" s="233">
        <v>89617.38</v>
      </c>
      <c r="D105" s="222" t="s">
        <v>15</v>
      </c>
      <c r="E105" s="222">
        <v>0</v>
      </c>
      <c r="F105" s="223">
        <v>1</v>
      </c>
      <c r="G105" s="223">
        <v>0</v>
      </c>
      <c r="H105" s="26">
        <f t="shared" si="251"/>
        <v>2</v>
      </c>
      <c r="I105" s="27">
        <f t="shared" si="252"/>
        <v>0</v>
      </c>
      <c r="J105" s="27">
        <f t="shared" si="253"/>
        <v>7.9088888888889208</v>
      </c>
      <c r="K105" s="27">
        <f t="shared" si="254"/>
        <v>0</v>
      </c>
      <c r="L105" s="4">
        <f t="shared" si="203"/>
        <v>427.08000000000175</v>
      </c>
      <c r="M105" s="224">
        <v>63.42</v>
      </c>
      <c r="N105" s="14">
        <f t="shared" si="142"/>
        <v>27085.413600000113</v>
      </c>
      <c r="O105" s="224"/>
      <c r="P105" s="4">
        <f t="shared" si="255"/>
        <v>27085.413600000113</v>
      </c>
      <c r="Q105" s="6">
        <f t="shared" si="256"/>
        <v>1.5521985333333399</v>
      </c>
      <c r="R105" s="6">
        <f t="shared" si="257"/>
        <v>3104.3970666666796</v>
      </c>
      <c r="S105" s="6">
        <f t="shared" si="207"/>
        <v>3104.3970666666796</v>
      </c>
      <c r="T105" s="6">
        <f t="shared" si="258"/>
        <v>92.200592880000386</v>
      </c>
      <c r="U105" s="225"/>
      <c r="V105" s="34">
        <f t="shared" si="209"/>
        <v>961.36498888889298</v>
      </c>
      <c r="W105" s="4">
        <f t="shared" si="259"/>
        <v>509.49062222222432</v>
      </c>
      <c r="X105" s="6">
        <f t="shared" si="210"/>
        <v>120.3796160000005</v>
      </c>
      <c r="Y105" s="4">
        <f t="shared" si="211"/>
        <v>125.39543333333386</v>
      </c>
      <c r="Z105" s="4">
        <f t="shared" si="212"/>
        <v>146.29467222222283</v>
      </c>
      <c r="AA105" s="226">
        <f t="shared" si="213"/>
        <v>427.08000000000175</v>
      </c>
      <c r="AC105" s="98">
        <f t="shared" si="214"/>
        <v>7.9088888888889208</v>
      </c>
      <c r="AD105" s="94">
        <f t="shared" si="215"/>
        <v>1.5521985333333399</v>
      </c>
      <c r="AE105" s="6">
        <f t="shared" si="216"/>
        <v>3104.3970666666796</v>
      </c>
      <c r="AF105" s="6">
        <f t="shared" si="217"/>
        <v>3104.3970666666796</v>
      </c>
      <c r="AG105" s="6">
        <f t="shared" si="218"/>
        <v>92.200592880000386</v>
      </c>
      <c r="AH105" s="6">
        <f t="shared" si="260"/>
        <v>509.49062222222432</v>
      </c>
      <c r="AI105" s="95">
        <f t="shared" si="219"/>
        <v>3009.4904000000124</v>
      </c>
    </row>
    <row r="106" spans="1:35" ht="12.75" customHeight="1" x14ac:dyDescent="0.2">
      <c r="B106" s="232">
        <v>89617.38</v>
      </c>
      <c r="C106" s="233">
        <v>89637.55</v>
      </c>
      <c r="D106" s="222" t="s">
        <v>15</v>
      </c>
      <c r="E106" s="222">
        <v>0</v>
      </c>
      <c r="F106" s="223">
        <v>1</v>
      </c>
      <c r="G106" s="223">
        <v>0</v>
      </c>
      <c r="H106" s="26">
        <f t="shared" si="251"/>
        <v>2</v>
      </c>
      <c r="I106" s="27">
        <f t="shared" si="252"/>
        <v>0</v>
      </c>
      <c r="J106" s="27">
        <f t="shared" si="253"/>
        <v>0.37351851851848616</v>
      </c>
      <c r="K106" s="27">
        <f t="shared" si="254"/>
        <v>0</v>
      </c>
      <c r="L106" s="4">
        <f t="shared" si="203"/>
        <v>20.169999999998254</v>
      </c>
      <c r="M106" s="224"/>
      <c r="N106" s="14" t="str">
        <f t="shared" si="142"/>
        <v/>
      </c>
      <c r="O106" s="224">
        <v>642.77</v>
      </c>
      <c r="P106" s="4">
        <f t="shared" ref="P106:P108" si="261">SUM(N106:O106)</f>
        <v>642.77</v>
      </c>
      <c r="Q106" s="6">
        <f t="shared" ref="Q106" si="262">(S106)/2000</f>
        <v>3.7950555555555363E-2</v>
      </c>
      <c r="R106" s="6">
        <f t="shared" ref="R106" si="263">S106</f>
        <v>75.901111111110723</v>
      </c>
      <c r="S106" s="6">
        <f t="shared" si="207"/>
        <v>75.901111111110723</v>
      </c>
      <c r="T106" s="6">
        <f t="shared" ref="T106" si="264">$S$1*S106*110*0.06*0.75/2000</f>
        <v>2.2542629999999884</v>
      </c>
      <c r="U106" s="225"/>
      <c r="V106" s="34">
        <f t="shared" si="209"/>
        <v>22.814367283950613</v>
      </c>
      <c r="W106" s="4">
        <f t="shared" si="259"/>
        <v>12.276666666666634</v>
      </c>
      <c r="X106" s="6">
        <f t="shared" si="210"/>
        <v>2.8567555555555555</v>
      </c>
      <c r="Y106" s="4">
        <f t="shared" si="211"/>
        <v>2.975787037037037</v>
      </c>
      <c r="Z106" s="4">
        <f t="shared" si="212"/>
        <v>3.471751543209876</v>
      </c>
      <c r="AA106" s="226">
        <f t="shared" si="213"/>
        <v>20.169999999998254</v>
      </c>
      <c r="AC106" s="98">
        <f t="shared" si="214"/>
        <v>0.37351851851848616</v>
      </c>
      <c r="AD106" s="94">
        <f t="shared" si="215"/>
        <v>3.7950555555555363E-2</v>
      </c>
      <c r="AE106" s="6">
        <f t="shared" si="216"/>
        <v>75.901111111110723</v>
      </c>
      <c r="AF106" s="6">
        <f t="shared" si="217"/>
        <v>75.901111111110723</v>
      </c>
      <c r="AG106" s="6">
        <f t="shared" si="218"/>
        <v>2.2542629999999884</v>
      </c>
      <c r="AH106" s="6">
        <f t="shared" si="260"/>
        <v>12.276666666666634</v>
      </c>
      <c r="AI106" s="95">
        <f t="shared" si="219"/>
        <v>71.418888888888887</v>
      </c>
    </row>
    <row r="107" spans="1:35" ht="12.75" customHeight="1" x14ac:dyDescent="0.2">
      <c r="A107" s="58" t="s">
        <v>36</v>
      </c>
      <c r="B107" s="232">
        <v>89617.38</v>
      </c>
      <c r="C107" s="233">
        <v>89642.38</v>
      </c>
      <c r="D107" s="222" t="s">
        <v>15</v>
      </c>
      <c r="E107" s="222">
        <v>0</v>
      </c>
      <c r="F107" s="223">
        <v>0</v>
      </c>
      <c r="G107" s="223">
        <v>0</v>
      </c>
      <c r="H107" s="26">
        <f t="shared" si="251"/>
        <v>0</v>
      </c>
      <c r="I107" s="27">
        <f t="shared" si="252"/>
        <v>0</v>
      </c>
      <c r="J107" s="27">
        <f t="shared" si="253"/>
        <v>0</v>
      </c>
      <c r="K107" s="27">
        <f t="shared" si="254"/>
        <v>0</v>
      </c>
      <c r="L107" s="4">
        <f t="shared" ref="L107" si="265">C107-B107</f>
        <v>25</v>
      </c>
      <c r="M107" s="224"/>
      <c r="N107" s="14" t="str">
        <f t="shared" si="142"/>
        <v/>
      </c>
      <c r="O107" s="224">
        <v>1622.79</v>
      </c>
      <c r="P107" s="4">
        <f t="shared" si="261"/>
        <v>1622.79</v>
      </c>
      <c r="Q107" s="6"/>
      <c r="R107" s="6"/>
      <c r="S107" s="6"/>
      <c r="T107" s="6"/>
      <c r="U107" s="225"/>
      <c r="V107" s="34"/>
      <c r="W107" s="4">
        <f t="shared" si="259"/>
        <v>30.051666666666666</v>
      </c>
      <c r="X107" s="6"/>
      <c r="Y107" s="4"/>
      <c r="Z107" s="4"/>
      <c r="AA107" s="226"/>
      <c r="AC107" s="98"/>
      <c r="AD107" s="94"/>
      <c r="AE107" s="6"/>
      <c r="AF107" s="6"/>
      <c r="AG107" s="6"/>
      <c r="AH107" s="6">
        <f t="shared" si="260"/>
        <v>30.051666666666666</v>
      </c>
      <c r="AI107" s="95"/>
    </row>
    <row r="108" spans="1:35" ht="12.75" customHeight="1" x14ac:dyDescent="0.2">
      <c r="A108" s="58" t="s">
        <v>36</v>
      </c>
      <c r="B108" s="232">
        <v>89984.24</v>
      </c>
      <c r="C108" s="233">
        <v>90009.24</v>
      </c>
      <c r="D108" s="222" t="s">
        <v>15</v>
      </c>
      <c r="E108" s="222">
        <v>0</v>
      </c>
      <c r="F108" s="223">
        <v>0</v>
      </c>
      <c r="G108" s="223">
        <v>0</v>
      </c>
      <c r="H108" s="26">
        <f t="shared" si="251"/>
        <v>0</v>
      </c>
      <c r="I108" s="27">
        <f t="shared" si="252"/>
        <v>0</v>
      </c>
      <c r="J108" s="27">
        <f t="shared" si="253"/>
        <v>0</v>
      </c>
      <c r="K108" s="27">
        <f t="shared" si="254"/>
        <v>0</v>
      </c>
      <c r="L108" s="4">
        <f t="shared" ref="L108:L125" si="266">C108-B108</f>
        <v>25</v>
      </c>
      <c r="M108" s="224"/>
      <c r="N108" s="14" t="str">
        <f t="shared" si="142"/>
        <v/>
      </c>
      <c r="O108" s="224">
        <v>1622.76</v>
      </c>
      <c r="P108" s="4">
        <f t="shared" si="261"/>
        <v>1622.76</v>
      </c>
      <c r="Q108" s="6"/>
      <c r="R108" s="6"/>
      <c r="S108" s="6"/>
      <c r="T108" s="6"/>
      <c r="U108" s="225"/>
      <c r="V108" s="34"/>
      <c r="W108" s="4">
        <f t="shared" si="259"/>
        <v>30.051111111111112</v>
      </c>
      <c r="X108" s="6"/>
      <c r="Y108" s="4"/>
      <c r="Z108" s="4"/>
      <c r="AA108" s="226"/>
      <c r="AC108" s="98"/>
      <c r="AD108" s="94"/>
      <c r="AE108" s="6"/>
      <c r="AF108" s="6"/>
      <c r="AG108" s="6"/>
      <c r="AH108" s="6">
        <f t="shared" si="260"/>
        <v>30.051111111111112</v>
      </c>
      <c r="AI108" s="95"/>
    </row>
    <row r="109" spans="1:35" ht="12.75" customHeight="1" x14ac:dyDescent="0.2">
      <c r="B109" s="232">
        <v>90009.24</v>
      </c>
      <c r="C109" s="233">
        <v>90029.39</v>
      </c>
      <c r="D109" s="222" t="s">
        <v>15</v>
      </c>
      <c r="E109" s="222">
        <v>0</v>
      </c>
      <c r="F109" s="223">
        <v>0</v>
      </c>
      <c r="G109" s="223">
        <v>0</v>
      </c>
      <c r="H109" s="26">
        <f t="shared" si="251"/>
        <v>0</v>
      </c>
      <c r="I109" s="27">
        <f t="shared" si="252"/>
        <v>0</v>
      </c>
      <c r="J109" s="27">
        <f t="shared" si="253"/>
        <v>0</v>
      </c>
      <c r="K109" s="27">
        <f t="shared" si="254"/>
        <v>0</v>
      </c>
      <c r="L109" s="4">
        <f t="shared" si="266"/>
        <v>20.149999999994179</v>
      </c>
      <c r="M109" s="224"/>
      <c r="N109" s="14" t="str">
        <f t="shared" si="142"/>
        <v/>
      </c>
      <c r="O109" s="224">
        <v>644.04999999999995</v>
      </c>
      <c r="P109" s="4">
        <f t="shared" ref="P109" si="267">SUM(N109:O109)</f>
        <v>644.04999999999995</v>
      </c>
      <c r="Q109" s="6">
        <f t="shared" ref="Q109" si="268">(S109)/2000</f>
        <v>3.5780555555555552E-2</v>
      </c>
      <c r="R109" s="6">
        <f t="shared" ref="R109" si="269">S109</f>
        <v>71.561111111111103</v>
      </c>
      <c r="S109" s="6">
        <f t="shared" ref="S109:S125" si="270">($P109+H109*$L109)/9</f>
        <v>71.561111111111103</v>
      </c>
      <c r="T109" s="6">
        <f t="shared" ref="T109" si="271">$S$1*S109*110*0.06*0.75/2000</f>
        <v>2.1253649999999999</v>
      </c>
      <c r="U109" s="225"/>
      <c r="V109" s="34">
        <f t="shared" ref="V109:V125" si="272">(P109*$V$1/12)/27+I109</f>
        <v>22.859799382716048</v>
      </c>
      <c r="W109" s="4">
        <f t="shared" si="259"/>
        <v>11.92685185185185</v>
      </c>
      <c r="X109" s="6">
        <f t="shared" ref="X109:X125" si="273">($P109/9)*$X$1</f>
        <v>2.8624444444444443</v>
      </c>
      <c r="Y109" s="4">
        <f t="shared" ref="Y109:Y125" si="274">($P109*($Y$1/12))/27</f>
        <v>2.9817129629629626</v>
      </c>
      <c r="Z109" s="4">
        <f t="shared" ref="Z109:Z125" si="275">(P109*$Z$1/12)/27+K109</f>
        <v>3.4786651234567896</v>
      </c>
      <c r="AA109" s="226">
        <f t="shared" ref="AA109:AA125" si="276">L109</f>
        <v>20.149999999994179</v>
      </c>
      <c r="AC109" s="98">
        <f t="shared" ref="AC109:AC125" si="277">IF(E109=2,$AO$26*2*L109/27,IF(F109=2,$AO$32*2*L109/27,IF(G109=2,$AO$38*2*L109/27,IF(AND(E109=1,F109=1),($AO$26*L109+$AO$32*L109)/27,IF(AND(E109=1,F109=0,G109=0),$AO$26*L109/27,IF(AND(E109=1,G109=1),($AO$26*L109+$AO$38*L109)/27,IF(AND(E109=0,F109=1,G109=0),$AO$32*L109/27,IF(AND(F109=1,G109=1),($AO$32*L109+$AO$38*L109)/27,IF(AND(E109=0,F109=0,G109=1),$AO$38*L109/27,0)))))))))</f>
        <v>0</v>
      </c>
      <c r="AD109" s="94">
        <f t="shared" ref="AD109:AD125" si="278">(S109)/2000</f>
        <v>3.5780555555555552E-2</v>
      </c>
      <c r="AE109" s="6">
        <f t="shared" ref="AE109:AE125" si="279">AF109</f>
        <v>71.561111111111103</v>
      </c>
      <c r="AF109" s="6">
        <f t="shared" ref="AF109:AF125" si="280">($P109+H109*$L109)/9</f>
        <v>71.561111111111103</v>
      </c>
      <c r="AG109" s="6">
        <f t="shared" ref="AG109:AG125" si="281">$S$1*AF109*110*0.06*0.75/2000</f>
        <v>2.1253649999999999</v>
      </c>
      <c r="AH109" s="6">
        <f t="shared" si="260"/>
        <v>11.92685185185185</v>
      </c>
      <c r="AI109" s="95">
        <f t="shared" ref="AI109:AI125" si="282">P109/9</f>
        <v>71.561111111111103</v>
      </c>
    </row>
    <row r="110" spans="1:35" ht="12.75" customHeight="1" x14ac:dyDescent="0.2">
      <c r="B110" s="232">
        <v>90029.39</v>
      </c>
      <c r="C110" s="233">
        <v>90318.11</v>
      </c>
      <c r="D110" s="222" t="s">
        <v>15</v>
      </c>
      <c r="E110" s="222">
        <v>0</v>
      </c>
      <c r="F110" s="223">
        <v>1</v>
      </c>
      <c r="G110" s="223">
        <v>0</v>
      </c>
      <c r="H110" s="26">
        <f t="shared" si="251"/>
        <v>2</v>
      </c>
      <c r="I110" s="27">
        <f t="shared" si="252"/>
        <v>0</v>
      </c>
      <c r="J110" s="27">
        <f t="shared" si="253"/>
        <v>5.346666666666688</v>
      </c>
      <c r="K110" s="27">
        <f t="shared" si="254"/>
        <v>0</v>
      </c>
      <c r="L110" s="4">
        <f t="shared" si="266"/>
        <v>288.72000000000116</v>
      </c>
      <c r="M110" s="224">
        <v>63.42</v>
      </c>
      <c r="N110" s="14">
        <f t="shared" si="142"/>
        <v>18310.622400000073</v>
      </c>
      <c r="O110" s="224"/>
      <c r="P110" s="4">
        <f t="shared" ref="P110" si="283">SUM(N110:O110)</f>
        <v>18310.622400000073</v>
      </c>
      <c r="Q110" s="6">
        <f t="shared" ref="Q110" si="284">(S110)/2000</f>
        <v>1.0493368000000041</v>
      </c>
      <c r="R110" s="6">
        <f t="shared" ref="R110" si="285">S110</f>
        <v>2098.6736000000083</v>
      </c>
      <c r="S110" s="6">
        <f t="shared" si="270"/>
        <v>2098.6736000000083</v>
      </c>
      <c r="T110" s="6">
        <f t="shared" ref="T110" si="286">$S$1*S110*110*0.06*0.75/2000</f>
        <v>62.330605920000245</v>
      </c>
      <c r="U110" s="225"/>
      <c r="V110" s="34">
        <f t="shared" si="272"/>
        <v>649.91406666666933</v>
      </c>
      <c r="W110" s="4">
        <f t="shared" si="259"/>
        <v>344.43226666666806</v>
      </c>
      <c r="X110" s="6">
        <f t="shared" si="273"/>
        <v>81.380544000000327</v>
      </c>
      <c r="Y110" s="4">
        <f t="shared" si="274"/>
        <v>84.771400000000341</v>
      </c>
      <c r="Z110" s="4">
        <f t="shared" si="275"/>
        <v>98.899966666667055</v>
      </c>
      <c r="AA110" s="226">
        <f t="shared" si="276"/>
        <v>288.72000000000116</v>
      </c>
      <c r="AC110" s="98">
        <f t="shared" si="277"/>
        <v>5.346666666666688</v>
      </c>
      <c r="AD110" s="94">
        <f t="shared" si="278"/>
        <v>1.0493368000000041</v>
      </c>
      <c r="AE110" s="6">
        <f t="shared" si="279"/>
        <v>2098.6736000000083</v>
      </c>
      <c r="AF110" s="6">
        <f t="shared" si="280"/>
        <v>2098.6736000000083</v>
      </c>
      <c r="AG110" s="6">
        <f t="shared" si="281"/>
        <v>62.330605920000245</v>
      </c>
      <c r="AH110" s="6">
        <f t="shared" si="260"/>
        <v>344.43226666666806</v>
      </c>
      <c r="AI110" s="95">
        <f t="shared" si="282"/>
        <v>2034.5136000000082</v>
      </c>
    </row>
    <row r="111" spans="1:35" ht="12.75" customHeight="1" x14ac:dyDescent="0.2">
      <c r="B111" s="232">
        <v>90318.11</v>
      </c>
      <c r="C111" s="233">
        <v>91368.11</v>
      </c>
      <c r="D111" s="222" t="s">
        <v>15</v>
      </c>
      <c r="E111" s="222">
        <v>0</v>
      </c>
      <c r="F111" s="223">
        <v>1</v>
      </c>
      <c r="G111" s="223">
        <v>0</v>
      </c>
      <c r="H111" s="26">
        <f t="shared" si="251"/>
        <v>2</v>
      </c>
      <c r="I111" s="27">
        <f t="shared" si="252"/>
        <v>0</v>
      </c>
      <c r="J111" s="27">
        <f t="shared" si="253"/>
        <v>19.444444444444443</v>
      </c>
      <c r="K111" s="27">
        <f t="shared" si="254"/>
        <v>0</v>
      </c>
      <c r="L111" s="4">
        <f t="shared" si="266"/>
        <v>1050</v>
      </c>
      <c r="M111" s="224">
        <v>73.92</v>
      </c>
      <c r="N111" s="14">
        <f t="shared" si="142"/>
        <v>77616</v>
      </c>
      <c r="O111" s="224"/>
      <c r="P111" s="4">
        <f t="shared" ref="P111" si="287">SUM(N111:O111)</f>
        <v>77616</v>
      </c>
      <c r="Q111" s="6">
        <f t="shared" ref="Q111" si="288">(S111)/2000</f>
        <v>4.4286666666666665</v>
      </c>
      <c r="R111" s="6">
        <f t="shared" ref="R111" si="289">S111</f>
        <v>8857.3333333333339</v>
      </c>
      <c r="S111" s="6">
        <f t="shared" si="270"/>
        <v>8857.3333333333339</v>
      </c>
      <c r="T111" s="6">
        <f t="shared" ref="T111" si="290">$S$1*S111*110*0.06*0.75/2000</f>
        <v>263.06279999999998</v>
      </c>
      <c r="U111" s="225"/>
      <c r="V111" s="34">
        <f t="shared" si="272"/>
        <v>2754.8888888888887</v>
      </c>
      <c r="W111" s="4">
        <f t="shared" si="259"/>
        <v>1456.7777777777776</v>
      </c>
      <c r="X111" s="6">
        <f t="shared" si="273"/>
        <v>344.96</v>
      </c>
      <c r="Y111" s="4">
        <f t="shared" si="274"/>
        <v>359.33333333333331</v>
      </c>
      <c r="Z111" s="4">
        <f t="shared" si="275"/>
        <v>419.22222222222223</v>
      </c>
      <c r="AA111" s="226">
        <f t="shared" si="276"/>
        <v>1050</v>
      </c>
      <c r="AC111" s="98">
        <f t="shared" si="277"/>
        <v>19.444444444444443</v>
      </c>
      <c r="AD111" s="94">
        <f t="shared" si="278"/>
        <v>4.4286666666666665</v>
      </c>
      <c r="AE111" s="6">
        <f t="shared" si="279"/>
        <v>8857.3333333333339</v>
      </c>
      <c r="AF111" s="6">
        <f t="shared" si="280"/>
        <v>8857.3333333333339</v>
      </c>
      <c r="AG111" s="6">
        <f t="shared" si="281"/>
        <v>263.06279999999998</v>
      </c>
      <c r="AH111" s="6">
        <f t="shared" si="260"/>
        <v>1456.7777777777776</v>
      </c>
      <c r="AI111" s="95">
        <f t="shared" si="282"/>
        <v>8624</v>
      </c>
    </row>
    <row r="112" spans="1:35" ht="12.75" customHeight="1" x14ac:dyDescent="0.2">
      <c r="B112" s="232">
        <v>91368.11</v>
      </c>
      <c r="C112" s="233">
        <v>91745.83</v>
      </c>
      <c r="D112" s="222" t="s">
        <v>15</v>
      </c>
      <c r="E112" s="222">
        <v>0</v>
      </c>
      <c r="F112" s="223">
        <v>1</v>
      </c>
      <c r="G112" s="223">
        <v>0</v>
      </c>
      <c r="H112" s="26">
        <f t="shared" si="251"/>
        <v>2</v>
      </c>
      <c r="I112" s="27">
        <f t="shared" si="252"/>
        <v>0</v>
      </c>
      <c r="J112" s="27">
        <f t="shared" si="253"/>
        <v>6.9948148148148368</v>
      </c>
      <c r="K112" s="27">
        <f t="shared" si="254"/>
        <v>0</v>
      </c>
      <c r="L112" s="4">
        <f t="shared" si="266"/>
        <v>377.72000000000116</v>
      </c>
      <c r="M112" s="224"/>
      <c r="N112" s="14" t="str">
        <f t="shared" si="142"/>
        <v/>
      </c>
      <c r="O112" s="224">
        <v>32566.06</v>
      </c>
      <c r="P112" s="4">
        <f t="shared" ref="P112" si="291">SUM(N112:O112)</f>
        <v>32566.06</v>
      </c>
      <c r="Q112" s="6">
        <f t="shared" ref="Q112" si="292">(S112)/2000</f>
        <v>1.8511944444444444</v>
      </c>
      <c r="R112" s="6">
        <f t="shared" ref="R112" si="293">S112</f>
        <v>3702.3888888888887</v>
      </c>
      <c r="S112" s="6">
        <f t="shared" si="270"/>
        <v>3702.3888888888887</v>
      </c>
      <c r="T112" s="6">
        <f t="shared" ref="T112" si="294">$S$1*S112*110*0.06*0.75/2000</f>
        <v>109.96094999999998</v>
      </c>
      <c r="U112" s="225"/>
      <c r="V112" s="34">
        <f t="shared" si="272"/>
        <v>1155.8941049382718</v>
      </c>
      <c r="W112" s="4">
        <f t="shared" si="259"/>
        <v>610.07000000000005</v>
      </c>
      <c r="X112" s="6">
        <f t="shared" si="273"/>
        <v>144.73804444444445</v>
      </c>
      <c r="Y112" s="4">
        <f t="shared" si="274"/>
        <v>150.7687962962963</v>
      </c>
      <c r="Z112" s="4">
        <f t="shared" si="275"/>
        <v>175.89692901234571</v>
      </c>
      <c r="AA112" s="226">
        <f t="shared" si="276"/>
        <v>377.72000000000116</v>
      </c>
      <c r="AC112" s="98">
        <f t="shared" si="277"/>
        <v>6.9948148148148368</v>
      </c>
      <c r="AD112" s="94">
        <f t="shared" si="278"/>
        <v>1.8511944444444444</v>
      </c>
      <c r="AE112" s="6">
        <f t="shared" si="279"/>
        <v>3702.3888888888887</v>
      </c>
      <c r="AF112" s="6">
        <f t="shared" si="280"/>
        <v>3702.3888888888887</v>
      </c>
      <c r="AG112" s="6">
        <f t="shared" si="281"/>
        <v>109.96094999999998</v>
      </c>
      <c r="AH112" s="6">
        <f t="shared" si="260"/>
        <v>610.07000000000005</v>
      </c>
      <c r="AI112" s="95">
        <f t="shared" si="282"/>
        <v>3618.4511111111115</v>
      </c>
    </row>
    <row r="113" spans="2:35" ht="12.75" customHeight="1" x14ac:dyDescent="0.2">
      <c r="B113" s="232">
        <v>91745.83</v>
      </c>
      <c r="C113" s="233">
        <v>93258.71</v>
      </c>
      <c r="D113" s="222" t="s">
        <v>15</v>
      </c>
      <c r="E113" s="222">
        <v>1</v>
      </c>
      <c r="F113" s="223">
        <v>0</v>
      </c>
      <c r="G113" s="223">
        <v>0</v>
      </c>
      <c r="H113" s="26">
        <f t="shared" si="251"/>
        <v>1.5</v>
      </c>
      <c r="I113" s="27">
        <f t="shared" si="252"/>
        <v>31.938577777777873</v>
      </c>
      <c r="J113" s="27">
        <f t="shared" si="253"/>
        <v>37.541837037037155</v>
      </c>
      <c r="K113" s="27">
        <f t="shared" si="254"/>
        <v>0</v>
      </c>
      <c r="L113" s="4">
        <f t="shared" si="266"/>
        <v>1512.8800000000047</v>
      </c>
      <c r="M113" s="224">
        <v>61.42</v>
      </c>
      <c r="N113" s="14">
        <f t="shared" si="142"/>
        <v>92921.089600000283</v>
      </c>
      <c r="O113" s="224"/>
      <c r="P113" s="4">
        <f t="shared" ref="P113" si="295">SUM(N113:O113)</f>
        <v>92921.089600000283</v>
      </c>
      <c r="Q113" s="6">
        <f t="shared" ref="Q113" si="296">(S113)/2000</f>
        <v>5.2883560888889054</v>
      </c>
      <c r="R113" s="6">
        <f t="shared" ref="R113" si="297">S113</f>
        <v>10576.71217777781</v>
      </c>
      <c r="S113" s="6">
        <f t="shared" si="270"/>
        <v>10576.71217777781</v>
      </c>
      <c r="T113" s="6">
        <f t="shared" ref="T113" si="298">$S$1*S113*110*0.06*0.75/2000</f>
        <v>314.128351680001</v>
      </c>
      <c r="U113" s="225"/>
      <c r="V113" s="34">
        <f t="shared" si="272"/>
        <v>3330.0636716049485</v>
      </c>
      <c r="W113" s="4">
        <f t="shared" si="259"/>
        <v>1758.3027555555609</v>
      </c>
      <c r="X113" s="6">
        <f t="shared" si="273"/>
        <v>412.98262044444573</v>
      </c>
      <c r="Y113" s="4">
        <f t="shared" si="274"/>
        <v>430.19022962963095</v>
      </c>
      <c r="Z113" s="4">
        <f t="shared" si="275"/>
        <v>501.88860123456942</v>
      </c>
      <c r="AA113" s="226">
        <f t="shared" si="276"/>
        <v>1512.8800000000047</v>
      </c>
      <c r="AC113" s="98">
        <f t="shared" si="277"/>
        <v>28.016296296296382</v>
      </c>
      <c r="AD113" s="94">
        <f t="shared" si="278"/>
        <v>5.2883560888889054</v>
      </c>
      <c r="AE113" s="6">
        <f t="shared" si="279"/>
        <v>10576.71217777781</v>
      </c>
      <c r="AF113" s="6">
        <f t="shared" si="280"/>
        <v>10576.71217777781</v>
      </c>
      <c r="AG113" s="6">
        <f t="shared" si="281"/>
        <v>314.128351680001</v>
      </c>
      <c r="AH113" s="6">
        <f t="shared" si="260"/>
        <v>1748.7772148148201</v>
      </c>
      <c r="AI113" s="95">
        <f t="shared" si="282"/>
        <v>10324.565511111143</v>
      </c>
    </row>
    <row r="114" spans="2:35" ht="12.75" customHeight="1" x14ac:dyDescent="0.2">
      <c r="B114" s="232">
        <v>93258.71</v>
      </c>
      <c r="C114" s="233">
        <v>93710.71</v>
      </c>
      <c r="D114" s="222" t="s">
        <v>15</v>
      </c>
      <c r="E114" s="222">
        <v>1</v>
      </c>
      <c r="F114" s="223">
        <v>0</v>
      </c>
      <c r="G114" s="223">
        <v>0</v>
      </c>
      <c r="H114" s="26">
        <f t="shared" si="251"/>
        <v>1.5</v>
      </c>
      <c r="I114" s="27">
        <f t="shared" si="252"/>
        <v>9.5422222222222217</v>
      </c>
      <c r="J114" s="27">
        <f t="shared" si="253"/>
        <v>11.216296296296298</v>
      </c>
      <c r="K114" s="27">
        <f t="shared" si="254"/>
        <v>0</v>
      </c>
      <c r="L114" s="4">
        <f t="shared" si="266"/>
        <v>452</v>
      </c>
      <c r="M114" s="224"/>
      <c r="N114" s="14" t="str">
        <f t="shared" si="142"/>
        <v/>
      </c>
      <c r="O114" s="224">
        <v>35394.42</v>
      </c>
      <c r="P114" s="4">
        <f t="shared" ref="P114" si="299">SUM(N114:O114)</f>
        <v>35394.42</v>
      </c>
      <c r="Q114" s="6">
        <f t="shared" ref="Q114" si="300">(S114)/2000</f>
        <v>2.0040233333333335</v>
      </c>
      <c r="R114" s="6">
        <f t="shared" ref="R114" si="301">S114</f>
        <v>4008.0466666666666</v>
      </c>
      <c r="S114" s="6">
        <f t="shared" si="270"/>
        <v>4008.0466666666666</v>
      </c>
      <c r="T114" s="6">
        <f t="shared" ref="T114" si="302">$S$1*S114*110*0.06*0.75/2000</f>
        <v>119.03898599999999</v>
      </c>
      <c r="U114" s="225"/>
      <c r="V114" s="34">
        <f t="shared" si="272"/>
        <v>1265.825648148148</v>
      </c>
      <c r="W114" s="4">
        <f t="shared" si="259"/>
        <v>666.66851851851845</v>
      </c>
      <c r="X114" s="6">
        <f t="shared" si="273"/>
        <v>157.30853333333332</v>
      </c>
      <c r="Y114" s="4">
        <f t="shared" si="274"/>
        <v>163.86305555555555</v>
      </c>
      <c r="Z114" s="4">
        <f t="shared" si="275"/>
        <v>191.1735648148148</v>
      </c>
      <c r="AA114" s="226">
        <f t="shared" si="276"/>
        <v>452</v>
      </c>
      <c r="AC114" s="98">
        <f t="shared" si="277"/>
        <v>8.3703703703703702</v>
      </c>
      <c r="AD114" s="94">
        <f t="shared" si="278"/>
        <v>2.0040233333333335</v>
      </c>
      <c r="AE114" s="6">
        <f t="shared" si="279"/>
        <v>4008.0466666666666</v>
      </c>
      <c r="AF114" s="6">
        <f t="shared" si="280"/>
        <v>4008.0466666666666</v>
      </c>
      <c r="AG114" s="6">
        <f t="shared" si="281"/>
        <v>119.03898599999999</v>
      </c>
      <c r="AH114" s="6">
        <f t="shared" si="260"/>
        <v>663.82259259259251</v>
      </c>
      <c r="AI114" s="95">
        <f t="shared" si="282"/>
        <v>3932.7133333333331</v>
      </c>
    </row>
    <row r="115" spans="2:35" ht="12.75" customHeight="1" x14ac:dyDescent="0.2">
      <c r="B115" s="232">
        <v>93710.71</v>
      </c>
      <c r="C115" s="233">
        <v>94058.71</v>
      </c>
      <c r="D115" s="222" t="s">
        <v>15</v>
      </c>
      <c r="E115" s="222">
        <v>1</v>
      </c>
      <c r="F115" s="223">
        <v>0</v>
      </c>
      <c r="G115" s="223">
        <v>0</v>
      </c>
      <c r="H115" s="26">
        <f t="shared" si="251"/>
        <v>1.5</v>
      </c>
      <c r="I115" s="27">
        <f t="shared" si="252"/>
        <v>7.3466666666666658</v>
      </c>
      <c r="J115" s="27">
        <f t="shared" si="253"/>
        <v>8.6355555555555572</v>
      </c>
      <c r="K115" s="27">
        <f t="shared" si="254"/>
        <v>0</v>
      </c>
      <c r="L115" s="4">
        <f t="shared" si="266"/>
        <v>348</v>
      </c>
      <c r="M115" s="224">
        <v>69.42</v>
      </c>
      <c r="N115" s="14">
        <f t="shared" si="142"/>
        <v>24158.16</v>
      </c>
      <c r="O115" s="224"/>
      <c r="P115" s="4">
        <f t="shared" ref="P115:P125" si="303">SUM(N115:O115)</f>
        <v>24158.16</v>
      </c>
      <c r="Q115" s="6">
        <f t="shared" ref="Q115:Q125" si="304">(S115)/2000</f>
        <v>1.3711199999999999</v>
      </c>
      <c r="R115" s="6">
        <f t="shared" ref="R115:R125" si="305">S115</f>
        <v>2742.24</v>
      </c>
      <c r="S115" s="6">
        <f t="shared" si="270"/>
        <v>2742.24</v>
      </c>
      <c r="T115" s="6">
        <f t="shared" ref="T115:T125" si="306">$S$1*S115*110*0.06*0.75/2000</f>
        <v>81.444527999999991</v>
      </c>
      <c r="U115" s="225"/>
      <c r="V115" s="34">
        <f t="shared" si="272"/>
        <v>864.81222222222232</v>
      </c>
      <c r="W115" s="4">
        <f t="shared" si="259"/>
        <v>456.00888888888892</v>
      </c>
      <c r="X115" s="6">
        <f t="shared" si="273"/>
        <v>107.36959999999999</v>
      </c>
      <c r="Y115" s="4">
        <f t="shared" si="274"/>
        <v>111.84333333333333</v>
      </c>
      <c r="Z115" s="4">
        <f t="shared" si="275"/>
        <v>130.48388888888888</v>
      </c>
      <c r="AA115" s="226">
        <f t="shared" si="276"/>
        <v>348</v>
      </c>
      <c r="AC115" s="98">
        <f t="shared" si="277"/>
        <v>6.4444444444444446</v>
      </c>
      <c r="AD115" s="94">
        <f t="shared" si="278"/>
        <v>1.3711199999999999</v>
      </c>
      <c r="AE115" s="6">
        <f t="shared" si="279"/>
        <v>2742.24</v>
      </c>
      <c r="AF115" s="6">
        <f t="shared" si="280"/>
        <v>2742.24</v>
      </c>
      <c r="AG115" s="6">
        <f t="shared" si="281"/>
        <v>81.444527999999991</v>
      </c>
      <c r="AH115" s="6">
        <f t="shared" si="260"/>
        <v>453.81777777777779</v>
      </c>
      <c r="AI115" s="95">
        <f t="shared" si="282"/>
        <v>2684.24</v>
      </c>
    </row>
    <row r="116" spans="2:35" ht="12.75" customHeight="1" x14ac:dyDescent="0.2">
      <c r="B116" s="232">
        <v>94058.71</v>
      </c>
      <c r="C116" s="233">
        <v>94158.71</v>
      </c>
      <c r="D116" s="222" t="s">
        <v>15</v>
      </c>
      <c r="E116" s="222">
        <v>1</v>
      </c>
      <c r="F116" s="223">
        <v>0</v>
      </c>
      <c r="G116" s="223">
        <v>0</v>
      </c>
      <c r="H116" s="26">
        <f t="shared" si="251"/>
        <v>1.5</v>
      </c>
      <c r="I116" s="27">
        <f t="shared" si="252"/>
        <v>2.1111111111111107</v>
      </c>
      <c r="J116" s="27">
        <f t="shared" si="253"/>
        <v>2.4814814814814814</v>
      </c>
      <c r="K116" s="27">
        <f t="shared" si="254"/>
        <v>0</v>
      </c>
      <c r="L116" s="4">
        <f t="shared" si="266"/>
        <v>100</v>
      </c>
      <c r="M116" s="224">
        <v>65.42</v>
      </c>
      <c r="N116" s="14">
        <f t="shared" si="142"/>
        <v>6542</v>
      </c>
      <c r="O116" s="224"/>
      <c r="P116" s="4">
        <f t="shared" si="303"/>
        <v>6542</v>
      </c>
      <c r="Q116" s="6">
        <f t="shared" si="304"/>
        <v>0.37177777777777776</v>
      </c>
      <c r="R116" s="6">
        <f t="shared" si="305"/>
        <v>743.55555555555554</v>
      </c>
      <c r="S116" s="6">
        <f t="shared" si="270"/>
        <v>743.55555555555554</v>
      </c>
      <c r="T116" s="6">
        <f t="shared" si="306"/>
        <v>22.083599999999997</v>
      </c>
      <c r="U116" s="225"/>
      <c r="V116" s="34">
        <f t="shared" si="272"/>
        <v>234.31172839506175</v>
      </c>
      <c r="W116" s="4">
        <f t="shared" si="259"/>
        <v>123.62962962962963</v>
      </c>
      <c r="X116" s="6">
        <f t="shared" si="273"/>
        <v>29.075555555555557</v>
      </c>
      <c r="Y116" s="4">
        <f t="shared" si="274"/>
        <v>30.287037037037038</v>
      </c>
      <c r="Z116" s="4">
        <f t="shared" si="275"/>
        <v>35.334876543209873</v>
      </c>
      <c r="AA116" s="226">
        <f t="shared" si="276"/>
        <v>100</v>
      </c>
      <c r="AC116" s="98">
        <f t="shared" si="277"/>
        <v>1.8518518518518519</v>
      </c>
      <c r="AD116" s="94">
        <f t="shared" si="278"/>
        <v>0.37177777777777776</v>
      </c>
      <c r="AE116" s="6">
        <f t="shared" si="279"/>
        <v>743.55555555555554</v>
      </c>
      <c r="AF116" s="6">
        <f t="shared" si="280"/>
        <v>743.55555555555554</v>
      </c>
      <c r="AG116" s="6">
        <f t="shared" si="281"/>
        <v>22.083599999999997</v>
      </c>
      <c r="AH116" s="6">
        <f t="shared" si="260"/>
        <v>123</v>
      </c>
      <c r="AI116" s="95">
        <f t="shared" si="282"/>
        <v>726.88888888888891</v>
      </c>
    </row>
    <row r="117" spans="2:35" ht="12.75" customHeight="1" x14ac:dyDescent="0.2">
      <c r="B117" s="232">
        <v>94158.71</v>
      </c>
      <c r="C117" s="233">
        <v>94896.25</v>
      </c>
      <c r="D117" s="222" t="s">
        <v>15</v>
      </c>
      <c r="E117" s="222">
        <v>1</v>
      </c>
      <c r="F117" s="223">
        <v>0</v>
      </c>
      <c r="G117" s="223">
        <v>0</v>
      </c>
      <c r="H117" s="26">
        <f t="shared" si="251"/>
        <v>1.5</v>
      </c>
      <c r="I117" s="27">
        <f t="shared" si="252"/>
        <v>15.570288888888753</v>
      </c>
      <c r="J117" s="27">
        <f t="shared" si="253"/>
        <v>18.301918518518359</v>
      </c>
      <c r="K117" s="27">
        <f t="shared" si="254"/>
        <v>0</v>
      </c>
      <c r="L117" s="4">
        <f t="shared" si="266"/>
        <v>737.5399999999936</v>
      </c>
      <c r="M117" s="224">
        <v>61.42</v>
      </c>
      <c r="N117" s="14">
        <f t="shared" si="142"/>
        <v>45299.706799999607</v>
      </c>
      <c r="O117" s="224"/>
      <c r="P117" s="4">
        <f t="shared" si="303"/>
        <v>45299.706799999607</v>
      </c>
      <c r="Q117" s="6">
        <f t="shared" si="304"/>
        <v>2.5781120444444223</v>
      </c>
      <c r="R117" s="6">
        <f t="shared" si="305"/>
        <v>5156.2240888888446</v>
      </c>
      <c r="S117" s="6">
        <f t="shared" si="270"/>
        <v>5156.2240888888446</v>
      </c>
      <c r="T117" s="6">
        <f t="shared" si="306"/>
        <v>153.13985543999868</v>
      </c>
      <c r="U117" s="225"/>
      <c r="V117" s="34">
        <f t="shared" si="272"/>
        <v>1623.4302524691218</v>
      </c>
      <c r="W117" s="4">
        <f t="shared" si="259"/>
        <v>857.18537777777033</v>
      </c>
      <c r="X117" s="6">
        <f t="shared" si="273"/>
        <v>201.33203022222051</v>
      </c>
      <c r="Y117" s="4">
        <f t="shared" si="274"/>
        <v>209.72086481481298</v>
      </c>
      <c r="Z117" s="4">
        <f t="shared" si="275"/>
        <v>244.6743422839485</v>
      </c>
      <c r="AA117" s="226">
        <f t="shared" si="276"/>
        <v>737.5399999999936</v>
      </c>
      <c r="AC117" s="98">
        <f t="shared" si="277"/>
        <v>13.65814814814803</v>
      </c>
      <c r="AD117" s="94">
        <f t="shared" si="278"/>
        <v>2.5781120444444223</v>
      </c>
      <c r="AE117" s="6">
        <f t="shared" si="279"/>
        <v>5156.2240888888446</v>
      </c>
      <c r="AF117" s="6">
        <f t="shared" si="280"/>
        <v>5156.2240888888446</v>
      </c>
      <c r="AG117" s="6">
        <f t="shared" si="281"/>
        <v>153.13985543999868</v>
      </c>
      <c r="AH117" s="6">
        <f t="shared" si="260"/>
        <v>852.54160740739997</v>
      </c>
      <c r="AI117" s="95">
        <f t="shared" si="282"/>
        <v>5033.3007555555123</v>
      </c>
    </row>
    <row r="118" spans="2:35" ht="12.75" customHeight="1" x14ac:dyDescent="0.2">
      <c r="B118" s="232">
        <v>94896.25</v>
      </c>
      <c r="C118" s="233">
        <v>95712.25</v>
      </c>
      <c r="D118" s="222" t="s">
        <v>15</v>
      </c>
      <c r="E118" s="222">
        <v>0</v>
      </c>
      <c r="F118" s="223">
        <v>0</v>
      </c>
      <c r="G118" s="223">
        <v>1</v>
      </c>
      <c r="H118" s="26">
        <f t="shared" si="251"/>
        <v>2</v>
      </c>
      <c r="I118" s="27">
        <f t="shared" si="252"/>
        <v>31.733333333333334</v>
      </c>
      <c r="J118" s="27">
        <f t="shared" si="253"/>
        <v>27.804444444444446</v>
      </c>
      <c r="K118" s="27">
        <f t="shared" si="254"/>
        <v>2.1155555555555559</v>
      </c>
      <c r="L118" s="4">
        <f t="shared" si="266"/>
        <v>816</v>
      </c>
      <c r="M118" s="224">
        <v>65.08</v>
      </c>
      <c r="N118" s="14">
        <f t="shared" si="142"/>
        <v>53105.279999999999</v>
      </c>
      <c r="O118" s="224"/>
      <c r="P118" s="4">
        <f t="shared" si="303"/>
        <v>53105.279999999999</v>
      </c>
      <c r="Q118" s="6">
        <f t="shared" si="304"/>
        <v>3.0409600000000001</v>
      </c>
      <c r="R118" s="6">
        <f t="shared" si="305"/>
        <v>6081.92</v>
      </c>
      <c r="S118" s="6">
        <f t="shared" si="270"/>
        <v>6081.92</v>
      </c>
      <c r="T118" s="6">
        <f t="shared" si="306"/>
        <v>180.63302400000003</v>
      </c>
      <c r="U118" s="225"/>
      <c r="V118" s="34">
        <f t="shared" si="272"/>
        <v>1916.6429629629629</v>
      </c>
      <c r="W118" s="4">
        <f t="shared" si="259"/>
        <v>1011.2355555555556</v>
      </c>
      <c r="X118" s="6">
        <f t="shared" si="273"/>
        <v>236.02346666666665</v>
      </c>
      <c r="Y118" s="4">
        <f t="shared" si="274"/>
        <v>245.85777777777778</v>
      </c>
      <c r="Z118" s="4">
        <f t="shared" si="275"/>
        <v>288.94962962962961</v>
      </c>
      <c r="AA118" s="226">
        <f t="shared" si="276"/>
        <v>816</v>
      </c>
      <c r="AC118" s="98">
        <f t="shared" si="277"/>
        <v>15.111111111111111</v>
      </c>
      <c r="AD118" s="94">
        <f t="shared" si="278"/>
        <v>3.0409600000000001</v>
      </c>
      <c r="AE118" s="6">
        <f t="shared" si="279"/>
        <v>6081.92</v>
      </c>
      <c r="AF118" s="6">
        <f t="shared" si="280"/>
        <v>6081.92</v>
      </c>
      <c r="AG118" s="6">
        <f t="shared" si="281"/>
        <v>180.63302400000003</v>
      </c>
      <c r="AH118" s="6">
        <f t="shared" si="260"/>
        <v>998.54222222222222</v>
      </c>
      <c r="AI118" s="95">
        <f t="shared" si="282"/>
        <v>5900.5866666666661</v>
      </c>
    </row>
    <row r="119" spans="2:35" ht="12.75" customHeight="1" x14ac:dyDescent="0.2">
      <c r="B119" s="232">
        <v>95712.25</v>
      </c>
      <c r="C119" s="233">
        <v>98057.71</v>
      </c>
      <c r="D119" s="222" t="s">
        <v>15</v>
      </c>
      <c r="E119" s="222">
        <v>1</v>
      </c>
      <c r="F119" s="223">
        <v>0</v>
      </c>
      <c r="G119" s="223">
        <v>0</v>
      </c>
      <c r="H119" s="26">
        <f t="shared" si="251"/>
        <v>1.5</v>
      </c>
      <c r="I119" s="27">
        <f t="shared" si="252"/>
        <v>49.515266666666804</v>
      </c>
      <c r="J119" s="27">
        <f t="shared" si="253"/>
        <v>58.20215555555572</v>
      </c>
      <c r="K119" s="27">
        <f t="shared" si="254"/>
        <v>0</v>
      </c>
      <c r="L119" s="4">
        <f t="shared" si="266"/>
        <v>2345.4600000000064</v>
      </c>
      <c r="M119" s="224">
        <v>61.42</v>
      </c>
      <c r="N119" s="14">
        <f t="shared" si="142"/>
        <v>144058.15320000041</v>
      </c>
      <c r="O119" s="224"/>
      <c r="P119" s="4">
        <f t="shared" si="303"/>
        <v>144058.15320000041</v>
      </c>
      <c r="Q119" s="6">
        <f t="shared" si="304"/>
        <v>8.198685733333356</v>
      </c>
      <c r="R119" s="6">
        <f t="shared" si="305"/>
        <v>16397.371466666711</v>
      </c>
      <c r="S119" s="6">
        <f t="shared" si="270"/>
        <v>16397.371466666711</v>
      </c>
      <c r="T119" s="6">
        <f t="shared" si="306"/>
        <v>487.00193256000125</v>
      </c>
      <c r="U119" s="225"/>
      <c r="V119" s="34">
        <f t="shared" si="272"/>
        <v>5162.6904574074224</v>
      </c>
      <c r="W119" s="4">
        <f t="shared" si="259"/>
        <v>2725.9457333333412</v>
      </c>
      <c r="X119" s="6">
        <f t="shared" si="273"/>
        <v>640.2584586666685</v>
      </c>
      <c r="Y119" s="4">
        <f t="shared" si="274"/>
        <v>666.93589444444638</v>
      </c>
      <c r="Z119" s="4">
        <f t="shared" si="275"/>
        <v>778.09187685185407</v>
      </c>
      <c r="AA119" s="226">
        <f t="shared" si="276"/>
        <v>2345.4600000000064</v>
      </c>
      <c r="AC119" s="98">
        <f t="shared" si="277"/>
        <v>43.434444444444566</v>
      </c>
      <c r="AD119" s="94">
        <f t="shared" si="278"/>
        <v>8.198685733333356</v>
      </c>
      <c r="AE119" s="6">
        <f t="shared" si="279"/>
        <v>16397.371466666711</v>
      </c>
      <c r="AF119" s="6">
        <f t="shared" si="280"/>
        <v>16397.371466666711</v>
      </c>
      <c r="AG119" s="6">
        <f t="shared" si="281"/>
        <v>487.00193256000125</v>
      </c>
      <c r="AH119" s="6">
        <f t="shared" si="260"/>
        <v>2711.1780222222301</v>
      </c>
      <c r="AI119" s="95">
        <f t="shared" si="282"/>
        <v>16006.461466666711</v>
      </c>
    </row>
    <row r="120" spans="2:35" ht="12.75" customHeight="1" x14ac:dyDescent="0.2">
      <c r="B120" s="232">
        <v>98057.71</v>
      </c>
      <c r="C120" s="233">
        <v>98116.800000000003</v>
      </c>
      <c r="D120" s="222" t="s">
        <v>15</v>
      </c>
      <c r="E120" s="222">
        <v>0</v>
      </c>
      <c r="F120" s="223">
        <v>0</v>
      </c>
      <c r="G120" s="223">
        <v>1</v>
      </c>
      <c r="H120" s="26">
        <f t="shared" si="251"/>
        <v>2</v>
      </c>
      <c r="I120" s="27">
        <f t="shared" si="252"/>
        <v>2.2979444444443087</v>
      </c>
      <c r="J120" s="27">
        <f t="shared" si="253"/>
        <v>2.0134370370369181</v>
      </c>
      <c r="K120" s="27">
        <f t="shared" si="254"/>
        <v>0.15319629629628725</v>
      </c>
      <c r="L120" s="4">
        <f t="shared" si="266"/>
        <v>59.089999999996508</v>
      </c>
      <c r="M120" s="224">
        <v>63.08</v>
      </c>
      <c r="N120" s="14">
        <f t="shared" si="142"/>
        <v>3727.3971999997798</v>
      </c>
      <c r="O120" s="224"/>
      <c r="P120" s="4">
        <f t="shared" si="303"/>
        <v>3727.3971999997798</v>
      </c>
      <c r="Q120" s="6">
        <f t="shared" si="304"/>
        <v>0.21364317777776515</v>
      </c>
      <c r="R120" s="6">
        <f t="shared" si="305"/>
        <v>427.28635555553029</v>
      </c>
      <c r="S120" s="6">
        <f t="shared" si="270"/>
        <v>427.28635555553029</v>
      </c>
      <c r="T120" s="6">
        <f t="shared" si="306"/>
        <v>12.690404759999252</v>
      </c>
      <c r="U120" s="225"/>
      <c r="V120" s="34">
        <f t="shared" si="272"/>
        <v>134.59753641974513</v>
      </c>
      <c r="W120" s="4">
        <f t="shared" si="259"/>
        <v>71.039311111106912</v>
      </c>
      <c r="X120" s="6">
        <f t="shared" si="273"/>
        <v>16.566209777776798</v>
      </c>
      <c r="Y120" s="4">
        <f t="shared" si="274"/>
        <v>17.256468518517497</v>
      </c>
      <c r="Z120" s="4">
        <f t="shared" si="275"/>
        <v>20.285742901233366</v>
      </c>
      <c r="AA120" s="226">
        <f t="shared" si="276"/>
        <v>59.089999999996508</v>
      </c>
      <c r="AC120" s="98">
        <f t="shared" si="277"/>
        <v>1.0942592592591946</v>
      </c>
      <c r="AD120" s="94">
        <f t="shared" si="278"/>
        <v>0.21364317777776515</v>
      </c>
      <c r="AE120" s="6">
        <f t="shared" si="279"/>
        <v>427.28635555553029</v>
      </c>
      <c r="AF120" s="6">
        <f t="shared" si="280"/>
        <v>427.28635555553029</v>
      </c>
      <c r="AG120" s="6">
        <f t="shared" si="281"/>
        <v>12.690404759999252</v>
      </c>
      <c r="AH120" s="6">
        <f t="shared" si="260"/>
        <v>70.120133333329179</v>
      </c>
      <c r="AI120" s="95">
        <f t="shared" si="282"/>
        <v>414.15524444441996</v>
      </c>
    </row>
    <row r="121" spans="2:35" ht="12.75" customHeight="1" x14ac:dyDescent="0.2">
      <c r="B121" s="232">
        <v>98116.800000000003</v>
      </c>
      <c r="C121" s="233">
        <v>98141.8</v>
      </c>
      <c r="D121" s="222" t="s">
        <v>15</v>
      </c>
      <c r="E121" s="222">
        <v>0</v>
      </c>
      <c r="F121" s="223">
        <v>1</v>
      </c>
      <c r="G121" s="223">
        <v>0</v>
      </c>
      <c r="H121" s="26">
        <f t="shared" si="251"/>
        <v>2</v>
      </c>
      <c r="I121" s="27">
        <f t="shared" si="252"/>
        <v>0</v>
      </c>
      <c r="J121" s="27">
        <f t="shared" si="253"/>
        <v>0.46296296296296297</v>
      </c>
      <c r="K121" s="27">
        <f t="shared" si="254"/>
        <v>0</v>
      </c>
      <c r="L121" s="4">
        <f t="shared" si="266"/>
        <v>25</v>
      </c>
      <c r="M121" s="224">
        <v>61.42</v>
      </c>
      <c r="N121" s="14">
        <f t="shared" si="142"/>
        <v>1535.5</v>
      </c>
      <c r="O121" s="224"/>
      <c r="P121" s="4">
        <f t="shared" si="303"/>
        <v>1535.5</v>
      </c>
      <c r="Q121" s="6">
        <f t="shared" si="304"/>
        <v>8.8083333333333333E-2</v>
      </c>
      <c r="R121" s="6">
        <f t="shared" si="305"/>
        <v>176.16666666666666</v>
      </c>
      <c r="S121" s="6">
        <f t="shared" si="270"/>
        <v>176.16666666666666</v>
      </c>
      <c r="T121" s="6">
        <f t="shared" si="306"/>
        <v>5.2321499999999999</v>
      </c>
      <c r="U121" s="225"/>
      <c r="V121" s="34">
        <f t="shared" si="272"/>
        <v>54.500771604938272</v>
      </c>
      <c r="W121" s="4">
        <f t="shared" si="259"/>
        <v>28.898148148148149</v>
      </c>
      <c r="X121" s="6">
        <f t="shared" si="273"/>
        <v>6.8244444444444445</v>
      </c>
      <c r="Y121" s="4">
        <f t="shared" si="274"/>
        <v>7.1087962962962967</v>
      </c>
      <c r="Z121" s="4">
        <f t="shared" si="275"/>
        <v>8.2935956790123466</v>
      </c>
      <c r="AA121" s="226">
        <f t="shared" si="276"/>
        <v>25</v>
      </c>
      <c r="AC121" s="98">
        <f t="shared" si="277"/>
        <v>0.46296296296296297</v>
      </c>
      <c r="AD121" s="94">
        <f t="shared" si="278"/>
        <v>8.8083333333333333E-2</v>
      </c>
      <c r="AE121" s="6">
        <f t="shared" si="279"/>
        <v>176.16666666666666</v>
      </c>
      <c r="AF121" s="6">
        <f t="shared" si="280"/>
        <v>176.16666666666666</v>
      </c>
      <c r="AG121" s="6">
        <f t="shared" si="281"/>
        <v>5.2321499999999999</v>
      </c>
      <c r="AH121" s="6">
        <f t="shared" si="260"/>
        <v>28.898148148148149</v>
      </c>
      <c r="AI121" s="95">
        <f t="shared" si="282"/>
        <v>170.61111111111111</v>
      </c>
    </row>
    <row r="122" spans="2:35" ht="12.75" customHeight="1" x14ac:dyDescent="0.2">
      <c r="B122" s="232">
        <v>98141.8</v>
      </c>
      <c r="C122" s="233">
        <v>98171.83</v>
      </c>
      <c r="D122" s="222" t="s">
        <v>15</v>
      </c>
      <c r="E122" s="222">
        <v>0</v>
      </c>
      <c r="F122" s="223">
        <v>1</v>
      </c>
      <c r="G122" s="223">
        <v>0</v>
      </c>
      <c r="H122" s="26">
        <f t="shared" si="251"/>
        <v>2</v>
      </c>
      <c r="I122" s="27">
        <f t="shared" si="252"/>
        <v>0</v>
      </c>
      <c r="J122" s="27">
        <f t="shared" si="253"/>
        <v>0.55611111111108957</v>
      </c>
      <c r="K122" s="27">
        <f t="shared" si="254"/>
        <v>0</v>
      </c>
      <c r="L122" s="4">
        <f t="shared" si="266"/>
        <v>30.029999999998836</v>
      </c>
      <c r="M122" s="224">
        <v>62.42</v>
      </c>
      <c r="N122" s="14">
        <f t="shared" si="142"/>
        <v>1874.4725999999273</v>
      </c>
      <c r="O122" s="224"/>
      <c r="P122" s="4">
        <f t="shared" si="303"/>
        <v>1874.4725999999273</v>
      </c>
      <c r="Q122" s="6">
        <f t="shared" si="304"/>
        <v>0.10747403333332917</v>
      </c>
      <c r="R122" s="6">
        <f t="shared" si="305"/>
        <v>214.94806666665832</v>
      </c>
      <c r="S122" s="6">
        <f t="shared" si="270"/>
        <v>214.94806666665832</v>
      </c>
      <c r="T122" s="6">
        <f t="shared" si="306"/>
        <v>6.383957579999751</v>
      </c>
      <c r="U122" s="225"/>
      <c r="V122" s="34">
        <f t="shared" si="272"/>
        <v>66.532206481478909</v>
      </c>
      <c r="W122" s="4">
        <f t="shared" si="259"/>
        <v>35.268566666665293</v>
      </c>
      <c r="X122" s="6">
        <f t="shared" si="273"/>
        <v>8.3309893333330098</v>
      </c>
      <c r="Y122" s="4">
        <f t="shared" si="274"/>
        <v>8.6781138888885518</v>
      </c>
      <c r="Z122" s="4">
        <f t="shared" si="275"/>
        <v>10.12446620370331</v>
      </c>
      <c r="AA122" s="226">
        <f t="shared" si="276"/>
        <v>30.029999999998836</v>
      </c>
      <c r="AC122" s="98">
        <f t="shared" si="277"/>
        <v>0.55611111111108957</v>
      </c>
      <c r="AD122" s="94">
        <f t="shared" si="278"/>
        <v>0.10747403333332917</v>
      </c>
      <c r="AE122" s="6">
        <f t="shared" si="279"/>
        <v>214.94806666665832</v>
      </c>
      <c r="AF122" s="6">
        <f t="shared" si="280"/>
        <v>214.94806666665832</v>
      </c>
      <c r="AG122" s="6">
        <f t="shared" si="281"/>
        <v>6.383957579999751</v>
      </c>
      <c r="AH122" s="6">
        <f t="shared" si="260"/>
        <v>35.268566666665293</v>
      </c>
      <c r="AI122" s="95">
        <f t="shared" si="282"/>
        <v>208.27473333332526</v>
      </c>
    </row>
    <row r="123" spans="2:35" ht="12.75" customHeight="1" x14ac:dyDescent="0.2">
      <c r="B123" s="232">
        <v>98171.83</v>
      </c>
      <c r="C123" s="233">
        <v>98778.16</v>
      </c>
      <c r="D123" s="222" t="s">
        <v>15</v>
      </c>
      <c r="E123" s="222">
        <v>0</v>
      </c>
      <c r="F123" s="223">
        <v>1</v>
      </c>
      <c r="G123" s="223">
        <v>0</v>
      </c>
      <c r="H123" s="26">
        <f t="shared" si="251"/>
        <v>2</v>
      </c>
      <c r="I123" s="27">
        <f t="shared" si="252"/>
        <v>0</v>
      </c>
      <c r="J123" s="27">
        <f t="shared" si="253"/>
        <v>11.228333333333365</v>
      </c>
      <c r="K123" s="27">
        <f t="shared" si="254"/>
        <v>0</v>
      </c>
      <c r="L123" s="4">
        <f t="shared" si="266"/>
        <v>606.33000000000175</v>
      </c>
      <c r="M123" s="224">
        <v>63.42</v>
      </c>
      <c r="N123" s="14">
        <f t="shared" si="142"/>
        <v>38453.448600000112</v>
      </c>
      <c r="O123" s="224"/>
      <c r="P123" s="4">
        <f t="shared" si="303"/>
        <v>38453.448600000112</v>
      </c>
      <c r="Q123" s="6">
        <f t="shared" si="304"/>
        <v>2.2036727000000065</v>
      </c>
      <c r="R123" s="6">
        <f t="shared" si="305"/>
        <v>4407.3454000000129</v>
      </c>
      <c r="S123" s="6">
        <f t="shared" si="270"/>
        <v>4407.3454000000129</v>
      </c>
      <c r="T123" s="6">
        <f t="shared" si="306"/>
        <v>130.89815838000038</v>
      </c>
      <c r="U123" s="225"/>
      <c r="V123" s="34">
        <f t="shared" si="272"/>
        <v>1364.8600583333375</v>
      </c>
      <c r="W123" s="4">
        <f t="shared" si="259"/>
        <v>723.32923333333542</v>
      </c>
      <c r="X123" s="6">
        <f t="shared" si="273"/>
        <v>170.9042160000005</v>
      </c>
      <c r="Y123" s="4">
        <f t="shared" si="274"/>
        <v>178.02522500000052</v>
      </c>
      <c r="Z123" s="4">
        <f t="shared" si="275"/>
        <v>207.69609583333391</v>
      </c>
      <c r="AA123" s="226">
        <f t="shared" si="276"/>
        <v>606.33000000000175</v>
      </c>
      <c r="AC123" s="98">
        <f t="shared" si="277"/>
        <v>11.228333333333365</v>
      </c>
      <c r="AD123" s="94">
        <f t="shared" si="278"/>
        <v>2.2036727000000065</v>
      </c>
      <c r="AE123" s="6">
        <f t="shared" si="279"/>
        <v>4407.3454000000129</v>
      </c>
      <c r="AF123" s="6">
        <f t="shared" si="280"/>
        <v>4407.3454000000129</v>
      </c>
      <c r="AG123" s="6">
        <f t="shared" si="281"/>
        <v>130.89815838000038</v>
      </c>
      <c r="AH123" s="6">
        <f t="shared" si="260"/>
        <v>723.32923333333542</v>
      </c>
      <c r="AI123" s="95">
        <f t="shared" si="282"/>
        <v>4272.6054000000122</v>
      </c>
    </row>
    <row r="124" spans="2:35" ht="12.75" customHeight="1" x14ac:dyDescent="0.2">
      <c r="B124" s="232">
        <v>98778.16</v>
      </c>
      <c r="C124" s="233">
        <v>101454.56</v>
      </c>
      <c r="D124" s="222" t="s">
        <v>15</v>
      </c>
      <c r="E124" s="222">
        <v>1</v>
      </c>
      <c r="F124" s="223">
        <v>0</v>
      </c>
      <c r="G124" s="223">
        <v>0</v>
      </c>
      <c r="H124" s="26">
        <f t="shared" si="251"/>
        <v>1.5</v>
      </c>
      <c r="I124" s="27">
        <f t="shared" si="252"/>
        <v>56.501777777777654</v>
      </c>
      <c r="J124" s="27">
        <f t="shared" si="253"/>
        <v>66.414370370370236</v>
      </c>
      <c r="K124" s="27">
        <f t="shared" si="254"/>
        <v>0</v>
      </c>
      <c r="L124" s="4">
        <f t="shared" si="266"/>
        <v>2676.3999999999942</v>
      </c>
      <c r="M124" s="224">
        <v>61.42</v>
      </c>
      <c r="N124" s="14">
        <f t="shared" si="142"/>
        <v>164384.48799999963</v>
      </c>
      <c r="O124" s="224"/>
      <c r="P124" s="4">
        <f t="shared" si="303"/>
        <v>164384.48799999963</v>
      </c>
      <c r="Q124" s="6">
        <f t="shared" si="304"/>
        <v>9.3555048888888681</v>
      </c>
      <c r="R124" s="6">
        <f t="shared" si="305"/>
        <v>18711.009777777737</v>
      </c>
      <c r="S124" s="6">
        <f t="shared" si="270"/>
        <v>18711.009777777737</v>
      </c>
      <c r="T124" s="6">
        <f t="shared" si="306"/>
        <v>555.71699039999862</v>
      </c>
      <c r="U124" s="225"/>
      <c r="V124" s="34">
        <f t="shared" si="272"/>
        <v>5891.1363827160358</v>
      </c>
      <c r="W124" s="4">
        <f t="shared" si="259"/>
        <v>3110.5715555555489</v>
      </c>
      <c r="X124" s="6">
        <f t="shared" si="273"/>
        <v>730.59772444444286</v>
      </c>
      <c r="Y124" s="4">
        <f t="shared" si="274"/>
        <v>761.03929629629465</v>
      </c>
      <c r="Z124" s="4">
        <f t="shared" si="275"/>
        <v>887.87917901234368</v>
      </c>
      <c r="AA124" s="226">
        <f t="shared" si="276"/>
        <v>2676.3999999999942</v>
      </c>
      <c r="AC124" s="98">
        <f t="shared" si="277"/>
        <v>49.562962962962857</v>
      </c>
      <c r="AD124" s="94">
        <f t="shared" si="278"/>
        <v>9.3555048888888681</v>
      </c>
      <c r="AE124" s="6">
        <f t="shared" si="279"/>
        <v>18711.009777777737</v>
      </c>
      <c r="AF124" s="6">
        <f t="shared" si="280"/>
        <v>18711.009777777737</v>
      </c>
      <c r="AG124" s="6">
        <f t="shared" si="281"/>
        <v>555.71699039999862</v>
      </c>
      <c r="AH124" s="6">
        <f t="shared" si="260"/>
        <v>3093.7201481481416</v>
      </c>
      <c r="AI124" s="95">
        <f t="shared" si="282"/>
        <v>18264.943111111072</v>
      </c>
    </row>
    <row r="125" spans="2:35" ht="12.75" customHeight="1" x14ac:dyDescent="0.2">
      <c r="B125" s="232">
        <v>101454.56</v>
      </c>
      <c r="C125" s="233">
        <v>101500</v>
      </c>
      <c r="D125" s="222" t="s">
        <v>15</v>
      </c>
      <c r="E125" s="222">
        <v>2</v>
      </c>
      <c r="F125" s="223">
        <v>0</v>
      </c>
      <c r="G125" s="223">
        <v>0</v>
      </c>
      <c r="H125" s="26">
        <f t="shared" si="251"/>
        <v>3</v>
      </c>
      <c r="I125" s="27">
        <f t="shared" si="252"/>
        <v>1.9185777777778759</v>
      </c>
      <c r="J125" s="27">
        <f t="shared" si="253"/>
        <v>2.255170370370486</v>
      </c>
      <c r="K125" s="27">
        <f t="shared" si="254"/>
        <v>0</v>
      </c>
      <c r="L125" s="4">
        <f t="shared" si="266"/>
        <v>45.440000000002328</v>
      </c>
      <c r="M125" s="224">
        <v>40.5</v>
      </c>
      <c r="N125" s="14">
        <f t="shared" si="142"/>
        <v>1840.3200000000943</v>
      </c>
      <c r="O125" s="224"/>
      <c r="P125" s="4">
        <f t="shared" si="303"/>
        <v>1840.3200000000943</v>
      </c>
      <c r="Q125" s="6">
        <f t="shared" si="304"/>
        <v>0.10981333333333897</v>
      </c>
      <c r="R125" s="6">
        <f t="shared" si="305"/>
        <v>219.62666666667792</v>
      </c>
      <c r="S125" s="6">
        <f t="shared" si="270"/>
        <v>219.62666666667792</v>
      </c>
      <c r="T125" s="6">
        <f t="shared" si="306"/>
        <v>6.5229120000003347</v>
      </c>
      <c r="U125" s="225"/>
      <c r="V125" s="34">
        <f t="shared" si="272"/>
        <v>67.238577777781217</v>
      </c>
      <c r="W125" s="4">
        <f t="shared" si="259"/>
        <v>36.335170370372232</v>
      </c>
      <c r="X125" s="6">
        <f t="shared" si="273"/>
        <v>8.179200000000419</v>
      </c>
      <c r="Y125" s="4">
        <f t="shared" si="274"/>
        <v>8.5200000000004366</v>
      </c>
      <c r="Z125" s="4">
        <f t="shared" si="275"/>
        <v>9.9400000000005093</v>
      </c>
      <c r="AA125" s="226">
        <f t="shared" si="276"/>
        <v>45.440000000002328</v>
      </c>
      <c r="AC125" s="98">
        <f t="shared" si="277"/>
        <v>1.6829629629630491</v>
      </c>
      <c r="AD125" s="94">
        <f t="shared" si="278"/>
        <v>0.10981333333333897</v>
      </c>
      <c r="AE125" s="6">
        <f t="shared" si="279"/>
        <v>219.62666666667792</v>
      </c>
      <c r="AF125" s="6">
        <f t="shared" si="280"/>
        <v>219.62666666667792</v>
      </c>
      <c r="AG125" s="6">
        <f t="shared" si="281"/>
        <v>6.5229120000003347</v>
      </c>
      <c r="AH125" s="6">
        <f t="shared" si="260"/>
        <v>35.762962962964792</v>
      </c>
      <c r="AI125" s="95">
        <f t="shared" si="282"/>
        <v>204.48000000001048</v>
      </c>
    </row>
    <row r="126" spans="2:35" ht="12.75" customHeight="1" x14ac:dyDescent="0.2">
      <c r="B126" s="351">
        <v>101500</v>
      </c>
      <c r="C126" s="352"/>
      <c r="D126" s="222" t="s">
        <v>15</v>
      </c>
      <c r="E126" s="222"/>
      <c r="F126" s="223"/>
      <c r="G126" s="223"/>
      <c r="H126" s="26"/>
      <c r="I126" s="27"/>
      <c r="J126" s="27"/>
      <c r="K126" s="27"/>
      <c r="L126" s="4"/>
      <c r="M126" s="224"/>
      <c r="N126" s="14"/>
      <c r="O126" s="224"/>
      <c r="P126" s="4"/>
      <c r="Q126" s="226"/>
      <c r="R126" s="226"/>
      <c r="S126" s="226"/>
      <c r="T126" s="226"/>
      <c r="U126" s="234">
        <v>40.5</v>
      </c>
      <c r="V126" s="235"/>
      <c r="W126" s="87"/>
      <c r="X126" s="226"/>
      <c r="Y126" s="87"/>
      <c r="Z126" s="87"/>
      <c r="AA126" s="226"/>
      <c r="AC126" s="98"/>
      <c r="AD126" s="94"/>
      <c r="AE126" s="226"/>
      <c r="AF126" s="226"/>
      <c r="AG126" s="226"/>
      <c r="AH126" s="6"/>
      <c r="AI126" s="95"/>
    </row>
    <row r="127" spans="2:35" ht="12.75" customHeight="1" thickBot="1" x14ac:dyDescent="0.25">
      <c r="B127" s="84"/>
      <c r="C127" s="3"/>
      <c r="D127" s="32"/>
      <c r="E127" s="32"/>
      <c r="F127" s="32"/>
      <c r="G127" s="32"/>
      <c r="H127" s="26"/>
      <c r="I127" s="27"/>
      <c r="J127" s="27"/>
      <c r="K127" s="27"/>
      <c r="L127" s="4"/>
      <c r="M127" s="4"/>
      <c r="N127" s="14"/>
      <c r="O127" s="4"/>
      <c r="P127" s="4"/>
      <c r="Q127" s="6"/>
      <c r="R127" s="6"/>
      <c r="S127" s="6"/>
      <c r="T127" s="6"/>
      <c r="U127" s="7"/>
      <c r="V127" s="34"/>
      <c r="W127" s="4"/>
      <c r="X127" s="6"/>
      <c r="Y127" s="4"/>
      <c r="Z127" s="4"/>
      <c r="AA127" s="19"/>
      <c r="AC127" s="19"/>
      <c r="AD127" s="19"/>
      <c r="AE127" s="6"/>
      <c r="AF127" s="6"/>
      <c r="AG127" s="6"/>
      <c r="AH127" s="19"/>
      <c r="AI127" s="19"/>
    </row>
    <row r="128" spans="2:35" s="20" customFormat="1" ht="12.75" customHeight="1" x14ac:dyDescent="0.2">
      <c r="B128" s="380" t="s">
        <v>45</v>
      </c>
      <c r="C128" s="381"/>
      <c r="D128" s="384" t="s">
        <v>28</v>
      </c>
      <c r="E128" s="385"/>
      <c r="F128" s="385"/>
      <c r="G128" s="385"/>
      <c r="H128" s="385"/>
      <c r="I128" s="385"/>
      <c r="J128" s="385"/>
      <c r="K128" s="385"/>
      <c r="L128" s="385"/>
      <c r="M128" s="385"/>
      <c r="N128" s="385"/>
      <c r="O128" s="385"/>
      <c r="P128" s="386"/>
      <c r="Q128" s="369">
        <f>ROUND(SUM(Q15:Q126),0)</f>
        <v>192</v>
      </c>
      <c r="R128" s="369">
        <f t="shared" ref="R128:Z128" si="307">ROUND(SUM(R15:R126),0)</f>
        <v>384949</v>
      </c>
      <c r="S128" s="369">
        <f t="shared" si="307"/>
        <v>384949</v>
      </c>
      <c r="T128" s="369">
        <f t="shared" si="307"/>
        <v>11433</v>
      </c>
      <c r="U128" s="369">
        <f t="shared" si="307"/>
        <v>169</v>
      </c>
      <c r="V128" s="369">
        <f t="shared" si="307"/>
        <v>120813</v>
      </c>
      <c r="W128" s="369">
        <f t="shared" si="307"/>
        <v>64236</v>
      </c>
      <c r="X128" s="369">
        <f t="shared" si="307"/>
        <v>15004</v>
      </c>
      <c r="Y128" s="369">
        <f t="shared" si="307"/>
        <v>15629</v>
      </c>
      <c r="Z128" s="369">
        <f t="shared" si="307"/>
        <v>18240</v>
      </c>
      <c r="AA128" s="369">
        <f>ROUND(SUM(AA15:AA126),0)*2</f>
        <v>105096</v>
      </c>
      <c r="AC128" s="1"/>
      <c r="AD128" s="369">
        <f>ROUND(SUM(AD15:AD126),0)</f>
        <v>192</v>
      </c>
      <c r="AE128" s="369">
        <f>ROUND(SUM(AE15:AE126),0)</f>
        <v>384949</v>
      </c>
      <c r="AF128" s="369">
        <f t="shared" ref="AF128" si="308">ROUND(SUM(AF15:AF126),0)</f>
        <v>384949</v>
      </c>
      <c r="AG128" s="369">
        <f t="shared" ref="AG128" si="309">ROUND(SUM(AG15:AG126),0)</f>
        <v>11433</v>
      </c>
      <c r="AH128" s="369">
        <f>ROUND(SUM(AH15:AH126),0)</f>
        <v>63931</v>
      </c>
      <c r="AI128" s="369">
        <f>ROUND(SUM(AI15:AI126),0)</f>
        <v>375096</v>
      </c>
    </row>
    <row r="129" spans="2:35" s="20" customFormat="1" ht="12.75" customHeight="1" thickBot="1" x14ac:dyDescent="0.25">
      <c r="B129" s="382"/>
      <c r="C129" s="383"/>
      <c r="D129" s="387"/>
      <c r="E129" s="388"/>
      <c r="F129" s="388"/>
      <c r="G129" s="388"/>
      <c r="H129" s="388"/>
      <c r="I129" s="388"/>
      <c r="J129" s="388"/>
      <c r="K129" s="388"/>
      <c r="L129" s="388"/>
      <c r="M129" s="388"/>
      <c r="N129" s="388"/>
      <c r="O129" s="388"/>
      <c r="P129" s="389"/>
      <c r="Q129" s="370"/>
      <c r="R129" s="370"/>
      <c r="S129" s="370"/>
      <c r="T129" s="370"/>
      <c r="U129" s="370"/>
      <c r="V129" s="370"/>
      <c r="W129" s="370"/>
      <c r="X129" s="370"/>
      <c r="Y129" s="370"/>
      <c r="Z129" s="370"/>
      <c r="AA129" s="370"/>
      <c r="AC129" s="1"/>
      <c r="AD129" s="370"/>
      <c r="AE129" s="370"/>
      <c r="AF129" s="370"/>
      <c r="AG129" s="370"/>
      <c r="AH129" s="370"/>
      <c r="AI129" s="370"/>
    </row>
    <row r="132" spans="2:35" x14ac:dyDescent="0.2">
      <c r="C132" s="22"/>
    </row>
    <row r="133" spans="2:35" x14ac:dyDescent="0.2">
      <c r="C133" s="22"/>
    </row>
    <row r="134" spans="2:35" x14ac:dyDescent="0.2">
      <c r="C134" s="22"/>
    </row>
    <row r="135" spans="2:35" x14ac:dyDescent="0.2">
      <c r="C135" s="22"/>
    </row>
    <row r="136" spans="2:35" x14ac:dyDescent="0.2">
      <c r="C136" s="22"/>
    </row>
    <row r="137" spans="2:35" x14ac:dyDescent="0.2">
      <c r="C137" s="22"/>
    </row>
    <row r="138" spans="2:35" x14ac:dyDescent="0.2">
      <c r="C138" s="22"/>
    </row>
    <row r="139" spans="2:35" x14ac:dyDescent="0.2">
      <c r="C139" s="22"/>
    </row>
  </sheetData>
  <mergeCells count="104">
    <mergeCell ref="AU16:AW16"/>
    <mergeCell ref="AO14:AQ14"/>
    <mergeCell ref="AR14:AT14"/>
    <mergeCell ref="AU14:AW14"/>
    <mergeCell ref="AU15:AW15"/>
    <mergeCell ref="AL13:AW13"/>
    <mergeCell ref="AR10:AT10"/>
    <mergeCell ref="AO10:AQ10"/>
    <mergeCell ref="AL1:AT1"/>
    <mergeCell ref="AR8:AT8"/>
    <mergeCell ref="AO8:AQ8"/>
    <mergeCell ref="AO2:AQ2"/>
    <mergeCell ref="AO3:AQ3"/>
    <mergeCell ref="AO4:AQ4"/>
    <mergeCell ref="AR2:AT2"/>
    <mergeCell ref="AR3:AT3"/>
    <mergeCell ref="AR4:AT4"/>
    <mergeCell ref="AO7:AT7"/>
    <mergeCell ref="AL2:AN2"/>
    <mergeCell ref="AL3:AN3"/>
    <mergeCell ref="AL4:AN4"/>
    <mergeCell ref="AR9:AT9"/>
    <mergeCell ref="AO9:AQ9"/>
    <mergeCell ref="B128:C129"/>
    <mergeCell ref="D128:P129"/>
    <mergeCell ref="Q3:Q12"/>
    <mergeCell ref="Q128:Q129"/>
    <mergeCell ref="B2:C12"/>
    <mergeCell ref="B14:C14"/>
    <mergeCell ref="D2:D13"/>
    <mergeCell ref="B15:C15"/>
    <mergeCell ref="L2:L12"/>
    <mergeCell ref="P2:P12"/>
    <mergeCell ref="F2:F13"/>
    <mergeCell ref="E2:E13"/>
    <mergeCell ref="M2:M12"/>
    <mergeCell ref="J2:J12"/>
    <mergeCell ref="G2:G13"/>
    <mergeCell ref="K2:K12"/>
    <mergeCell ref="I2:I12"/>
    <mergeCell ref="H2:H12"/>
    <mergeCell ref="AD128:AD129"/>
    <mergeCell ref="AH128:AH129"/>
    <mergeCell ref="AI128:AI129"/>
    <mergeCell ref="AD3:AD12"/>
    <mergeCell ref="AI3:AI12"/>
    <mergeCell ref="AH3:AH12"/>
    <mergeCell ref="AC2:AC12"/>
    <mergeCell ref="AA3:AA12"/>
    <mergeCell ref="V3:V12"/>
    <mergeCell ref="Y3:Y12"/>
    <mergeCell ref="Z3:Z12"/>
    <mergeCell ref="Y128:Y129"/>
    <mergeCell ref="Y2:Z2"/>
    <mergeCell ref="AA128:AA129"/>
    <mergeCell ref="AE2:AG2"/>
    <mergeCell ref="AE3:AE12"/>
    <mergeCell ref="AF3:AF12"/>
    <mergeCell ref="AG3:AG12"/>
    <mergeCell ref="AE128:AE129"/>
    <mergeCell ref="AF128:AF129"/>
    <mergeCell ref="AG128:AG129"/>
    <mergeCell ref="U3:U12"/>
    <mergeCell ref="N2:N12"/>
    <mergeCell ref="O2:O12"/>
    <mergeCell ref="S3:S12"/>
    <mergeCell ref="AB2:AB13"/>
    <mergeCell ref="W3:W12"/>
    <mergeCell ref="X3:X12"/>
    <mergeCell ref="R128:R129"/>
    <mergeCell ref="S128:S129"/>
    <mergeCell ref="T128:T129"/>
    <mergeCell ref="R3:R12"/>
    <mergeCell ref="T3:T12"/>
    <mergeCell ref="R2:T2"/>
    <mergeCell ref="Z128:Z129"/>
    <mergeCell ref="U128:U129"/>
    <mergeCell ref="X128:X129"/>
    <mergeCell ref="W128:W129"/>
    <mergeCell ref="V128:V129"/>
    <mergeCell ref="AL14:AN14"/>
    <mergeCell ref="AO15:AQ15"/>
    <mergeCell ref="AR15:AT15"/>
    <mergeCell ref="AL15:AN15"/>
    <mergeCell ref="B126:C126"/>
    <mergeCell ref="AO24:AQ24"/>
    <mergeCell ref="AO25:AQ25"/>
    <mergeCell ref="AO26:AQ26"/>
    <mergeCell ref="AO30:AQ30"/>
    <mergeCell ref="AO31:AQ31"/>
    <mergeCell ref="AO32:AQ32"/>
    <mergeCell ref="AO36:AQ36"/>
    <mergeCell ref="AO37:AQ37"/>
    <mergeCell ref="AO38:AQ38"/>
    <mergeCell ref="AN24:AN38"/>
    <mergeCell ref="B66:C66"/>
    <mergeCell ref="B68:C68"/>
    <mergeCell ref="B69:C69"/>
    <mergeCell ref="AO29:AQ29"/>
    <mergeCell ref="AO35:AQ35"/>
    <mergeCell ref="AO23:AQ23"/>
    <mergeCell ref="AO16:AQ16"/>
    <mergeCell ref="AR16:AT16"/>
    <mergeCell ref="AL16:AN16"/>
  </mergeCells>
  <phoneticPr fontId="0" type="noConversion"/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30"/>
  <sheetViews>
    <sheetView zoomScaleNormal="100" zoomScaleSheetLayoutView="100" workbookViewId="0">
      <pane ySplit="13" topLeftCell="A14" activePane="bottomLeft" state="frozen"/>
      <selection activeCell="B34" sqref="B34"/>
      <selection pane="bottomLeft" activeCell="Q21" sqref="Q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2" width="9.28515625" style="13" customWidth="1"/>
    <col min="23" max="28" width="9.28515625" style="8" customWidth="1"/>
    <col min="29" max="29" width="9.140625" style="15"/>
    <col min="30" max="30" width="10.7109375" style="1" customWidth="1"/>
    <col min="31" max="31" width="9.28515625" style="1" customWidth="1"/>
    <col min="32" max="32" width="9.28515625" style="1" bestFit="1" customWidth="1"/>
    <col min="33" max="35" width="9.28515625" style="11" customWidth="1"/>
    <col min="36" max="37" width="10.28515625" style="1" bestFit="1" customWidth="1"/>
    <col min="38" max="44" width="9.140625" style="1"/>
    <col min="45" max="45" width="9.140625" style="1" customWidth="1"/>
    <col min="46" max="16384" width="9.140625" style="1"/>
  </cols>
  <sheetData>
    <row r="1" spans="2:51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0"/>
      <c r="W1" s="11">
        <v>11.5</v>
      </c>
      <c r="X1" s="11">
        <v>6</v>
      </c>
      <c r="Y1" s="11">
        <v>0.04</v>
      </c>
      <c r="Z1" s="31">
        <v>7.4999999999999997E-2</v>
      </c>
      <c r="AA1" s="11">
        <v>1.5</v>
      </c>
      <c r="AB1" s="11">
        <v>1.75</v>
      </c>
      <c r="AG1" s="11"/>
      <c r="AH1" s="11"/>
      <c r="AI1" s="11"/>
      <c r="AN1" s="359" t="s">
        <v>111</v>
      </c>
      <c r="AO1" s="359"/>
      <c r="AP1" s="359"/>
      <c r="AQ1" s="359"/>
      <c r="AR1" s="359"/>
      <c r="AS1" s="359"/>
      <c r="AT1" s="359"/>
      <c r="AU1" s="359"/>
      <c r="AV1" s="359"/>
    </row>
    <row r="2" spans="2:51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98" t="s">
        <v>40</v>
      </c>
      <c r="J2" s="376" t="s">
        <v>116</v>
      </c>
      <c r="K2" s="376" t="s">
        <v>117</v>
      </c>
      <c r="L2" s="397" t="s">
        <v>4</v>
      </c>
      <c r="M2" s="397" t="s">
        <v>23</v>
      </c>
      <c r="N2" s="363" t="s">
        <v>17</v>
      </c>
      <c r="O2" s="363" t="s">
        <v>22</v>
      </c>
      <c r="P2" s="363" t="s">
        <v>14</v>
      </c>
      <c r="Q2" s="65">
        <v>204</v>
      </c>
      <c r="R2" s="371">
        <v>206</v>
      </c>
      <c r="S2" s="372"/>
      <c r="T2" s="372"/>
      <c r="U2" s="2">
        <v>252</v>
      </c>
      <c r="V2" s="221">
        <v>254</v>
      </c>
      <c r="W2" s="2">
        <v>302</v>
      </c>
      <c r="X2" s="230">
        <v>304</v>
      </c>
      <c r="Y2" s="2">
        <v>407</v>
      </c>
      <c r="Z2" s="2">
        <v>407</v>
      </c>
      <c r="AA2" s="371">
        <v>442</v>
      </c>
      <c r="AB2" s="379"/>
      <c r="AC2" s="63">
        <v>618</v>
      </c>
      <c r="AD2" s="308" t="s">
        <v>80</v>
      </c>
      <c r="AE2" s="376" t="s">
        <v>116</v>
      </c>
      <c r="AF2" s="65">
        <v>204</v>
      </c>
      <c r="AG2" s="371">
        <v>206</v>
      </c>
      <c r="AH2" s="372"/>
      <c r="AI2" s="372"/>
      <c r="AJ2" s="2">
        <v>304</v>
      </c>
      <c r="AK2" s="2">
        <v>452</v>
      </c>
      <c r="AN2" s="345" t="s">
        <v>110</v>
      </c>
      <c r="AO2" s="346"/>
      <c r="AP2" s="347"/>
      <c r="AQ2" s="345" t="s">
        <v>108</v>
      </c>
      <c r="AR2" s="346"/>
      <c r="AS2" s="347"/>
      <c r="AT2" s="345" t="s">
        <v>109</v>
      </c>
      <c r="AU2" s="346"/>
      <c r="AV2" s="347"/>
    </row>
    <row r="3" spans="2:51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77"/>
      <c r="K3" s="377"/>
      <c r="L3" s="364"/>
      <c r="M3" s="364"/>
      <c r="N3" s="364"/>
      <c r="O3" s="364"/>
      <c r="P3" s="364"/>
      <c r="Q3" s="367" t="s">
        <v>7</v>
      </c>
      <c r="R3" s="367" t="s">
        <v>18</v>
      </c>
      <c r="S3" s="366" t="s">
        <v>19</v>
      </c>
      <c r="T3" s="360" t="s">
        <v>26</v>
      </c>
      <c r="U3" s="360" t="s">
        <v>30</v>
      </c>
      <c r="V3" s="366" t="s">
        <v>95</v>
      </c>
      <c r="W3" s="368" t="s">
        <v>82</v>
      </c>
      <c r="X3" s="367" t="s">
        <v>9</v>
      </c>
      <c r="Y3" s="368" t="s">
        <v>83</v>
      </c>
      <c r="Z3" s="368" t="s">
        <v>65</v>
      </c>
      <c r="AA3" s="378" t="s">
        <v>33</v>
      </c>
      <c r="AB3" s="378" t="s">
        <v>34</v>
      </c>
      <c r="AC3" s="368" t="s">
        <v>64</v>
      </c>
      <c r="AD3" s="309"/>
      <c r="AE3" s="377"/>
      <c r="AF3" s="367" t="s">
        <v>7</v>
      </c>
      <c r="AG3" s="367" t="s">
        <v>18</v>
      </c>
      <c r="AH3" s="366" t="s">
        <v>19</v>
      </c>
      <c r="AI3" s="360" t="s">
        <v>26</v>
      </c>
      <c r="AJ3" s="373" t="s">
        <v>9</v>
      </c>
      <c r="AK3" s="373" t="s">
        <v>37</v>
      </c>
      <c r="AN3" s="348" t="s">
        <v>113</v>
      </c>
      <c r="AO3" s="349"/>
      <c r="AP3" s="350"/>
      <c r="AQ3" s="348" t="s">
        <v>112</v>
      </c>
      <c r="AR3" s="349"/>
      <c r="AS3" s="350"/>
      <c r="AT3" s="348" t="s">
        <v>112</v>
      </c>
      <c r="AU3" s="349"/>
      <c r="AV3" s="350"/>
    </row>
    <row r="4" spans="2:51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77"/>
      <c r="K4" s="377"/>
      <c r="L4" s="364"/>
      <c r="M4" s="364"/>
      <c r="N4" s="364"/>
      <c r="O4" s="364"/>
      <c r="P4" s="364"/>
      <c r="Q4" s="367"/>
      <c r="R4" s="367"/>
      <c r="S4" s="361"/>
      <c r="T4" s="361"/>
      <c r="U4" s="361"/>
      <c r="V4" s="361"/>
      <c r="W4" s="367"/>
      <c r="X4" s="367"/>
      <c r="Y4" s="367"/>
      <c r="Z4" s="367"/>
      <c r="AA4" s="374"/>
      <c r="AB4" s="374"/>
      <c r="AC4" s="367"/>
      <c r="AD4" s="309"/>
      <c r="AE4" s="377"/>
      <c r="AF4" s="367"/>
      <c r="AG4" s="367"/>
      <c r="AH4" s="361"/>
      <c r="AI4" s="361"/>
      <c r="AJ4" s="374"/>
      <c r="AK4" s="374"/>
      <c r="AN4" s="353">
        <v>1.5</v>
      </c>
      <c r="AO4" s="354"/>
      <c r="AP4" s="355"/>
      <c r="AQ4" s="353">
        <v>0.56999999999999995</v>
      </c>
      <c r="AR4" s="354"/>
      <c r="AS4" s="355"/>
      <c r="AT4" s="353">
        <v>0.67</v>
      </c>
      <c r="AU4" s="354"/>
      <c r="AV4" s="355"/>
    </row>
    <row r="5" spans="2:51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77"/>
      <c r="K5" s="377"/>
      <c r="L5" s="364"/>
      <c r="M5" s="364"/>
      <c r="N5" s="364"/>
      <c r="O5" s="364"/>
      <c r="P5" s="364"/>
      <c r="Q5" s="367"/>
      <c r="R5" s="367"/>
      <c r="S5" s="361"/>
      <c r="T5" s="361"/>
      <c r="U5" s="361"/>
      <c r="V5" s="361"/>
      <c r="W5" s="367"/>
      <c r="X5" s="367"/>
      <c r="Y5" s="367"/>
      <c r="Z5" s="367"/>
      <c r="AA5" s="374"/>
      <c r="AB5" s="374"/>
      <c r="AC5" s="367"/>
      <c r="AD5" s="309"/>
      <c r="AE5" s="377"/>
      <c r="AF5" s="367"/>
      <c r="AG5" s="367"/>
      <c r="AH5" s="361"/>
      <c r="AI5" s="361"/>
      <c r="AJ5" s="374"/>
      <c r="AK5" s="374"/>
    </row>
    <row r="6" spans="2:51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77"/>
      <c r="K6" s="377"/>
      <c r="L6" s="364"/>
      <c r="M6" s="364"/>
      <c r="N6" s="364"/>
      <c r="O6" s="364"/>
      <c r="P6" s="364"/>
      <c r="Q6" s="367"/>
      <c r="R6" s="367"/>
      <c r="S6" s="361"/>
      <c r="T6" s="361"/>
      <c r="U6" s="361"/>
      <c r="V6" s="361"/>
      <c r="W6" s="367"/>
      <c r="X6" s="367"/>
      <c r="Y6" s="367"/>
      <c r="Z6" s="367"/>
      <c r="AA6" s="374"/>
      <c r="AB6" s="374"/>
      <c r="AC6" s="367"/>
      <c r="AD6" s="309"/>
      <c r="AE6" s="377"/>
      <c r="AF6" s="367"/>
      <c r="AG6" s="367"/>
      <c r="AH6" s="361"/>
      <c r="AI6" s="361"/>
      <c r="AJ6" s="374"/>
      <c r="AK6" s="374"/>
    </row>
    <row r="7" spans="2:51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77"/>
      <c r="K7" s="377"/>
      <c r="L7" s="364"/>
      <c r="M7" s="364"/>
      <c r="N7" s="364"/>
      <c r="O7" s="364"/>
      <c r="P7" s="364"/>
      <c r="Q7" s="367"/>
      <c r="R7" s="367"/>
      <c r="S7" s="361"/>
      <c r="T7" s="361"/>
      <c r="U7" s="361"/>
      <c r="V7" s="361"/>
      <c r="W7" s="367"/>
      <c r="X7" s="367"/>
      <c r="Y7" s="367"/>
      <c r="Z7" s="367"/>
      <c r="AA7" s="374"/>
      <c r="AB7" s="374"/>
      <c r="AC7" s="367"/>
      <c r="AD7" s="309"/>
      <c r="AE7" s="377"/>
      <c r="AF7" s="367"/>
      <c r="AG7" s="367"/>
      <c r="AH7" s="361"/>
      <c r="AI7" s="361"/>
      <c r="AJ7" s="374"/>
      <c r="AK7" s="374"/>
      <c r="AQ7" s="359" t="s">
        <v>114</v>
      </c>
      <c r="AR7" s="359"/>
      <c r="AS7" s="359"/>
      <c r="AT7" s="359"/>
      <c r="AU7" s="359"/>
      <c r="AV7" s="359"/>
    </row>
    <row r="8" spans="2:51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77"/>
      <c r="K8" s="377"/>
      <c r="L8" s="364"/>
      <c r="M8" s="364"/>
      <c r="N8" s="364"/>
      <c r="O8" s="364"/>
      <c r="P8" s="364"/>
      <c r="Q8" s="367"/>
      <c r="R8" s="367"/>
      <c r="S8" s="361"/>
      <c r="T8" s="361"/>
      <c r="U8" s="361"/>
      <c r="V8" s="361"/>
      <c r="W8" s="367"/>
      <c r="X8" s="367"/>
      <c r="Y8" s="367"/>
      <c r="Z8" s="367"/>
      <c r="AA8" s="374"/>
      <c r="AB8" s="374"/>
      <c r="AC8" s="367"/>
      <c r="AD8" s="309"/>
      <c r="AE8" s="377"/>
      <c r="AF8" s="367"/>
      <c r="AG8" s="367"/>
      <c r="AH8" s="361"/>
      <c r="AI8" s="361"/>
      <c r="AJ8" s="374"/>
      <c r="AK8" s="374"/>
      <c r="AQ8" s="345" t="s">
        <v>110</v>
      </c>
      <c r="AR8" s="346"/>
      <c r="AS8" s="347"/>
      <c r="AT8" s="345" t="s">
        <v>109</v>
      </c>
      <c r="AU8" s="346"/>
      <c r="AV8" s="347"/>
    </row>
    <row r="9" spans="2:51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77"/>
      <c r="K9" s="377"/>
      <c r="L9" s="364"/>
      <c r="M9" s="364"/>
      <c r="N9" s="364"/>
      <c r="O9" s="364"/>
      <c r="P9" s="364"/>
      <c r="Q9" s="367"/>
      <c r="R9" s="367"/>
      <c r="S9" s="361"/>
      <c r="T9" s="361"/>
      <c r="U9" s="361"/>
      <c r="V9" s="361"/>
      <c r="W9" s="367"/>
      <c r="X9" s="367"/>
      <c r="Y9" s="367"/>
      <c r="Z9" s="367"/>
      <c r="AA9" s="374"/>
      <c r="AB9" s="374"/>
      <c r="AC9" s="367"/>
      <c r="AD9" s="309"/>
      <c r="AE9" s="377"/>
      <c r="AF9" s="367"/>
      <c r="AG9" s="367"/>
      <c r="AH9" s="361"/>
      <c r="AI9" s="361"/>
      <c r="AJ9" s="374"/>
      <c r="AK9" s="374"/>
      <c r="AQ9" s="348" t="s">
        <v>113</v>
      </c>
      <c r="AR9" s="349"/>
      <c r="AS9" s="350"/>
      <c r="AT9" s="348" t="s">
        <v>112</v>
      </c>
      <c r="AU9" s="349"/>
      <c r="AV9" s="350"/>
    </row>
    <row r="10" spans="2:51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77"/>
      <c r="K10" s="377"/>
      <c r="L10" s="364"/>
      <c r="M10" s="364"/>
      <c r="N10" s="364"/>
      <c r="O10" s="364"/>
      <c r="P10" s="364"/>
      <c r="Q10" s="367"/>
      <c r="R10" s="367"/>
      <c r="S10" s="361"/>
      <c r="T10" s="361"/>
      <c r="U10" s="361"/>
      <c r="V10" s="361"/>
      <c r="W10" s="367"/>
      <c r="X10" s="367"/>
      <c r="Y10" s="367"/>
      <c r="Z10" s="367"/>
      <c r="AA10" s="374"/>
      <c r="AB10" s="374"/>
      <c r="AC10" s="367"/>
      <c r="AD10" s="309"/>
      <c r="AE10" s="377"/>
      <c r="AF10" s="367"/>
      <c r="AG10" s="367"/>
      <c r="AH10" s="361"/>
      <c r="AI10" s="361"/>
      <c r="AJ10" s="374"/>
      <c r="AK10" s="374"/>
      <c r="AQ10" s="353">
        <v>2</v>
      </c>
      <c r="AR10" s="354"/>
      <c r="AS10" s="355"/>
      <c r="AT10" s="353">
        <v>0.5</v>
      </c>
      <c r="AU10" s="354"/>
      <c r="AV10" s="355"/>
    </row>
    <row r="11" spans="2:51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77"/>
      <c r="K11" s="377"/>
      <c r="L11" s="364"/>
      <c r="M11" s="364"/>
      <c r="N11" s="364"/>
      <c r="O11" s="364"/>
      <c r="P11" s="364"/>
      <c r="Q11" s="367"/>
      <c r="R11" s="367"/>
      <c r="S11" s="361"/>
      <c r="T11" s="361"/>
      <c r="U11" s="361"/>
      <c r="V11" s="361"/>
      <c r="W11" s="367"/>
      <c r="X11" s="367"/>
      <c r="Y11" s="367"/>
      <c r="Z11" s="367"/>
      <c r="AA11" s="374"/>
      <c r="AB11" s="374"/>
      <c r="AC11" s="367"/>
      <c r="AD11" s="309"/>
      <c r="AE11" s="377"/>
      <c r="AF11" s="367"/>
      <c r="AG11" s="367"/>
      <c r="AH11" s="361"/>
      <c r="AI11" s="361"/>
      <c r="AJ11" s="374"/>
      <c r="AK11" s="374"/>
    </row>
    <row r="12" spans="2:51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77"/>
      <c r="K12" s="377"/>
      <c r="L12" s="365"/>
      <c r="M12" s="365"/>
      <c r="N12" s="365"/>
      <c r="O12" s="365"/>
      <c r="P12" s="365"/>
      <c r="Q12" s="367"/>
      <c r="R12" s="367"/>
      <c r="S12" s="362"/>
      <c r="T12" s="362"/>
      <c r="U12" s="362"/>
      <c r="V12" s="362"/>
      <c r="W12" s="367"/>
      <c r="X12" s="367"/>
      <c r="Y12" s="367"/>
      <c r="Z12" s="367"/>
      <c r="AA12" s="375"/>
      <c r="AB12" s="375"/>
      <c r="AC12" s="367"/>
      <c r="AD12" s="309"/>
      <c r="AE12" s="377"/>
      <c r="AF12" s="367"/>
      <c r="AG12" s="367"/>
      <c r="AH12" s="362"/>
      <c r="AI12" s="362"/>
      <c r="AJ12" s="375"/>
      <c r="AK12" s="375"/>
    </row>
    <row r="13" spans="2:51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10</v>
      </c>
      <c r="W13" s="5" t="s">
        <v>12</v>
      </c>
      <c r="X13" s="5" t="s">
        <v>12</v>
      </c>
      <c r="Y13" s="5" t="s">
        <v>13</v>
      </c>
      <c r="Z13" s="9" t="s">
        <v>13</v>
      </c>
      <c r="AA13" s="5" t="s">
        <v>12</v>
      </c>
      <c r="AB13" s="5" t="s">
        <v>12</v>
      </c>
      <c r="AC13" s="5" t="s">
        <v>5</v>
      </c>
      <c r="AD13" s="309"/>
      <c r="AE13" s="5" t="s">
        <v>12</v>
      </c>
      <c r="AF13" s="86" t="s">
        <v>11</v>
      </c>
      <c r="AG13" s="5" t="s">
        <v>10</v>
      </c>
      <c r="AH13" s="5" t="s">
        <v>10</v>
      </c>
      <c r="AI13" s="5" t="s">
        <v>25</v>
      </c>
      <c r="AJ13" s="87" t="s">
        <v>12</v>
      </c>
      <c r="AK13" s="86" t="s">
        <v>10</v>
      </c>
      <c r="AN13" s="359" t="s">
        <v>118</v>
      </c>
      <c r="AO13" s="359"/>
      <c r="AP13" s="359"/>
      <c r="AQ13" s="359"/>
      <c r="AR13" s="359"/>
      <c r="AS13" s="359"/>
      <c r="AT13" s="359"/>
      <c r="AU13" s="359"/>
      <c r="AV13" s="359"/>
      <c r="AW13" s="359"/>
      <c r="AX13" s="359"/>
      <c r="AY13" s="359"/>
    </row>
    <row r="14" spans="2:51" ht="12.75" customHeight="1" x14ac:dyDescent="0.2">
      <c r="B14" s="357" t="s">
        <v>151</v>
      </c>
      <c r="C14" s="358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29"/>
      <c r="X14" s="29"/>
      <c r="Y14" s="29"/>
      <c r="Z14" s="29"/>
      <c r="AA14" s="29"/>
      <c r="AB14" s="29"/>
      <c r="AC14" s="64"/>
      <c r="AE14" s="97"/>
      <c r="AF14" s="88"/>
      <c r="AG14" s="29"/>
      <c r="AH14" s="29"/>
      <c r="AI14" s="30"/>
      <c r="AJ14" s="91"/>
      <c r="AK14" s="89"/>
      <c r="AN14" s="345" t="s">
        <v>110</v>
      </c>
      <c r="AO14" s="346"/>
      <c r="AP14" s="347"/>
      <c r="AQ14" s="345" t="s">
        <v>108</v>
      </c>
      <c r="AR14" s="346"/>
      <c r="AS14" s="347"/>
      <c r="AT14" s="345" t="s">
        <v>109</v>
      </c>
      <c r="AU14" s="346"/>
      <c r="AV14" s="347"/>
      <c r="AW14" s="345" t="s">
        <v>119</v>
      </c>
      <c r="AX14" s="346"/>
      <c r="AY14" s="347"/>
    </row>
    <row r="15" spans="2:51" ht="12.75" customHeight="1" x14ac:dyDescent="0.2">
      <c r="B15" s="232">
        <v>72500</v>
      </c>
      <c r="C15" s="233">
        <v>73445</v>
      </c>
      <c r="D15" s="222" t="s">
        <v>16</v>
      </c>
      <c r="E15" s="222">
        <v>2</v>
      </c>
      <c r="F15" s="223">
        <v>0</v>
      </c>
      <c r="G15" s="223">
        <v>0</v>
      </c>
      <c r="H15" s="26"/>
      <c r="I15" s="27"/>
      <c r="J15" s="27"/>
      <c r="K15" s="27"/>
      <c r="L15" s="4">
        <f>C15-B15</f>
        <v>945</v>
      </c>
      <c r="M15" s="224"/>
      <c r="N15" s="14" t="str">
        <f>IF(M15="","",L15*M15)</f>
        <v/>
      </c>
      <c r="O15" s="224">
        <v>33679.89</v>
      </c>
      <c r="P15" s="4">
        <f t="shared" ref="P15:P20" si="0">SUM(N15:O15)</f>
        <v>33679.89</v>
      </c>
      <c r="Q15" s="6"/>
      <c r="R15" s="6"/>
      <c r="S15" s="6"/>
      <c r="T15" s="6"/>
      <c r="U15" s="225"/>
      <c r="V15" s="12">
        <f>P15/9</f>
        <v>3742.21</v>
      </c>
      <c r="W15" s="34"/>
      <c r="X15" s="4"/>
      <c r="Y15" s="6">
        <f>($P15/9)*$Y$1</f>
        <v>149.6884</v>
      </c>
      <c r="Z15" s="6">
        <f>IF(V15="","",P15*$Z$1/9)</f>
        <v>280.66574999999995</v>
      </c>
      <c r="AA15" s="4">
        <f>($P15*($AA$1/12))/27</f>
        <v>155.92541666666668</v>
      </c>
      <c r="AB15" s="4">
        <f>(P15*$AB$1/12)/27+K15</f>
        <v>181.91298611111108</v>
      </c>
      <c r="AC15" s="6">
        <f>L15</f>
        <v>945</v>
      </c>
      <c r="AE15" s="98"/>
      <c r="AF15" s="93"/>
      <c r="AG15" s="6"/>
      <c r="AH15" s="6"/>
      <c r="AI15" s="6"/>
      <c r="AJ15" s="92"/>
      <c r="AK15" s="90"/>
      <c r="AN15" s="348" t="s">
        <v>113</v>
      </c>
      <c r="AO15" s="349"/>
      <c r="AP15" s="350"/>
      <c r="AQ15" s="348" t="s">
        <v>112</v>
      </c>
      <c r="AR15" s="349"/>
      <c r="AS15" s="350"/>
      <c r="AT15" s="348" t="s">
        <v>112</v>
      </c>
      <c r="AU15" s="349"/>
      <c r="AV15" s="350"/>
      <c r="AW15" s="348" t="s">
        <v>112</v>
      </c>
      <c r="AX15" s="349"/>
      <c r="AY15" s="350"/>
    </row>
    <row r="16" spans="2:51" ht="12.75" customHeight="1" x14ac:dyDescent="0.2">
      <c r="B16" s="232">
        <v>72500</v>
      </c>
      <c r="C16" s="233">
        <v>73445</v>
      </c>
      <c r="D16" s="222" t="s">
        <v>15</v>
      </c>
      <c r="E16" s="222">
        <v>1</v>
      </c>
      <c r="F16" s="223">
        <v>0</v>
      </c>
      <c r="G16" s="223">
        <v>1</v>
      </c>
      <c r="H16" s="26"/>
      <c r="I16" s="27"/>
      <c r="J16" s="27"/>
      <c r="K16" s="27"/>
      <c r="L16" s="4">
        <f>C16-B16</f>
        <v>945</v>
      </c>
      <c r="M16" s="224"/>
      <c r="N16" s="14" t="str">
        <f>IF(M16="","",L16*M16)</f>
        <v/>
      </c>
      <c r="O16" s="224">
        <v>29514.2</v>
      </c>
      <c r="P16" s="4">
        <f t="shared" si="0"/>
        <v>29514.2</v>
      </c>
      <c r="Q16" s="6"/>
      <c r="R16" s="6"/>
      <c r="S16" s="6"/>
      <c r="T16" s="6"/>
      <c r="U16" s="225">
        <v>972</v>
      </c>
      <c r="V16" s="12">
        <f>P16/9</f>
        <v>3279.3555555555558</v>
      </c>
      <c r="W16" s="34"/>
      <c r="X16" s="4"/>
      <c r="Y16" s="6">
        <f>($P16/9)*$Y$1</f>
        <v>131.17422222222223</v>
      </c>
      <c r="Z16" s="6">
        <f>IF(V16="","",P16*$Z$1/9)</f>
        <v>245.95166666666668</v>
      </c>
      <c r="AA16" s="4">
        <f>($P16*($AA$1/12))/27</f>
        <v>136.63981481481483</v>
      </c>
      <c r="AB16" s="4">
        <f>(P16*$AB$1/12)/27+K16</f>
        <v>159.41311728395061</v>
      </c>
      <c r="AC16" s="6">
        <f>L16</f>
        <v>945</v>
      </c>
      <c r="AE16" s="98"/>
      <c r="AF16" s="94"/>
      <c r="AG16" s="6"/>
      <c r="AH16" s="6"/>
      <c r="AI16" s="6"/>
      <c r="AJ16" s="6"/>
      <c r="AK16" s="95"/>
      <c r="AN16" s="353">
        <v>2</v>
      </c>
      <c r="AO16" s="354"/>
      <c r="AP16" s="355"/>
      <c r="AQ16" s="353">
        <v>1.05</v>
      </c>
      <c r="AR16" s="354"/>
      <c r="AS16" s="355"/>
      <c r="AT16" s="353">
        <v>0.92</v>
      </c>
      <c r="AU16" s="354"/>
      <c r="AV16" s="355"/>
      <c r="AW16" s="353">
        <v>7.0000000000000007E-2</v>
      </c>
      <c r="AX16" s="354"/>
      <c r="AY16" s="355"/>
    </row>
    <row r="17" spans="1:45" ht="12.75" customHeight="1" thickBot="1" x14ac:dyDescent="0.25">
      <c r="B17" s="84"/>
      <c r="C17" s="3"/>
      <c r="D17" s="33"/>
      <c r="E17" s="33"/>
      <c r="F17" s="57"/>
      <c r="G17" s="57"/>
      <c r="H17" s="26"/>
      <c r="I17" s="27"/>
      <c r="J17" s="27"/>
      <c r="K17" s="27"/>
      <c r="L17" s="4"/>
      <c r="M17" s="14"/>
      <c r="N17" s="14"/>
      <c r="O17" s="14"/>
      <c r="P17" s="4"/>
      <c r="Q17" s="6"/>
      <c r="R17" s="6"/>
      <c r="S17" s="6"/>
      <c r="T17" s="6"/>
      <c r="U17" s="12"/>
      <c r="V17" s="12"/>
      <c r="W17" s="34"/>
      <c r="X17" s="4"/>
      <c r="Y17" s="6"/>
      <c r="Z17" s="6"/>
      <c r="AA17" s="4"/>
      <c r="AB17" s="4"/>
      <c r="AC17" s="6"/>
      <c r="AE17" s="98"/>
      <c r="AF17" s="94"/>
      <c r="AG17" s="6"/>
      <c r="AH17" s="6"/>
      <c r="AI17" s="6"/>
      <c r="AJ17" s="6"/>
      <c r="AK17" s="95"/>
    </row>
    <row r="18" spans="1:45" ht="12.75" customHeight="1" x14ac:dyDescent="0.2">
      <c r="A18" s="58"/>
      <c r="B18" s="357" t="s">
        <v>152</v>
      </c>
      <c r="C18" s="358"/>
      <c r="D18" s="33"/>
      <c r="E18" s="33"/>
      <c r="F18" s="57"/>
      <c r="G18" s="57"/>
      <c r="H18" s="26"/>
      <c r="I18" s="27"/>
      <c r="J18" s="27"/>
      <c r="K18" s="27"/>
      <c r="L18" s="4"/>
      <c r="M18" s="14"/>
      <c r="N18" s="14"/>
      <c r="O18" s="14"/>
      <c r="P18" s="4"/>
      <c r="Q18" s="6"/>
      <c r="R18" s="6"/>
      <c r="S18" s="6"/>
      <c r="T18" s="6"/>
      <c r="U18" s="12"/>
      <c r="V18" s="12"/>
      <c r="W18" s="34"/>
      <c r="X18" s="4"/>
      <c r="Y18" s="6"/>
      <c r="Z18" s="6"/>
      <c r="AA18" s="4"/>
      <c r="AB18" s="4"/>
      <c r="AC18" s="6"/>
      <c r="AE18" s="98"/>
      <c r="AF18" s="94"/>
      <c r="AG18" s="6"/>
      <c r="AH18" s="6"/>
      <c r="AI18" s="6"/>
      <c r="AJ18" s="6"/>
      <c r="AK18" s="95"/>
    </row>
    <row r="19" spans="1:45" ht="12.75" customHeight="1" x14ac:dyDescent="0.2">
      <c r="A19" s="58"/>
      <c r="B19" s="351">
        <v>73445</v>
      </c>
      <c r="C19" s="352"/>
      <c r="D19" s="222" t="s">
        <v>16</v>
      </c>
      <c r="E19" s="222"/>
      <c r="F19" s="223"/>
      <c r="G19" s="223"/>
      <c r="H19" s="26"/>
      <c r="I19" s="27"/>
      <c r="J19" s="27"/>
      <c r="K19" s="27"/>
      <c r="L19" s="4"/>
      <c r="M19" s="224"/>
      <c r="N19" s="14" t="str">
        <f t="shared" ref="N19:N49" si="1">IF(M19="","",L19*M19)</f>
        <v/>
      </c>
      <c r="O19" s="224"/>
      <c r="P19" s="4"/>
      <c r="Q19" s="6"/>
      <c r="R19" s="6"/>
      <c r="S19" s="6"/>
      <c r="T19" s="6"/>
      <c r="U19" s="225">
        <v>46</v>
      </c>
      <c r="V19" s="12"/>
      <c r="W19" s="34"/>
      <c r="X19" s="4"/>
      <c r="Y19" s="6"/>
      <c r="Z19" s="6"/>
      <c r="AA19" s="4"/>
      <c r="AB19" s="4"/>
      <c r="AC19" s="6"/>
      <c r="AE19" s="98"/>
      <c r="AF19" s="94"/>
      <c r="AG19" s="6"/>
      <c r="AH19" s="6"/>
      <c r="AI19" s="6"/>
      <c r="AJ19" s="6"/>
      <c r="AK19" s="95"/>
    </row>
    <row r="20" spans="1:45" ht="12.75" customHeight="1" x14ac:dyDescent="0.2">
      <c r="B20" s="232">
        <v>73445</v>
      </c>
      <c r="C20" s="233">
        <v>74242.990000000005</v>
      </c>
      <c r="D20" s="222" t="s">
        <v>16</v>
      </c>
      <c r="E20" s="222">
        <v>1</v>
      </c>
      <c r="F20" s="223">
        <v>0</v>
      </c>
      <c r="G20" s="223">
        <v>0</v>
      </c>
      <c r="H20" s="26">
        <f t="shared" ref="H20:H30" si="2">IF(E20=2,$AN$4*2,IF(F20=2,$AQ$10*2,IF(G20=2,$AN$16*2,IF(AND(E20=1,F20=1),$AN$4+$AQ$10,IF(AND(E20=1,F20=0,G20=0),$AN$4,IF(AND(E20=1,G20=1),$AN$4+$AN$16,IF(AND(E20=0,F20=1,G20=0),$AQ$10,IF(AND(F20=1,G20=1),$AQ$10+$AN$16,IF(AND(E20=0,F20=0,G20=1),$AN$16,0)))))))))</f>
        <v>1.5</v>
      </c>
      <c r="I20" s="27">
        <f t="shared" ref="I20:I30" si="3">IF(E20=2,AQ$4*L20*2/27,IF(G20=2,$AQ$16*L20*2/27,IF(AND(E20=1,G20=0),$AQ$4*L20/27,IF(AND(E20=1,G20=1),($AQ$4*L20+$AQ$16*L20)/27,IF(AND(F20=1,G20=1),$AQ$16*L20/27,IF(AND(E20=0,F20=0,G20=1),$AQ$16*L20/27,0))))))</f>
        <v>16.846455555555664</v>
      </c>
      <c r="J20" s="27">
        <f t="shared" ref="J20:J30" si="4">IF(E20=2,$AT$4*2*L20/27,IF(F20=2,$AT$10*2*L20/27,IF(G20=2,$AT$16*2*L20/27,IF(AND(E20=1,F20=1),($AT$4*L20+$AT$10*L20)/27,IF(AND(E20=1,F20=0,G20=0),$AT$4*L20/27,IF(AND(E20=1,G20=1),($AT$4*L20+$AT$16*L20)/27,IF(AND(E20=0,F20=1,G20=0),$AT$10*L20/27,IF(AND(F20=1,G20=1),($AT$10*L20+$AT$16*L20)/27,IF(AND(E20=0,F20=0,G20=1),$AT$16*L20/27,0)))))))))</f>
        <v>19.801974074074206</v>
      </c>
      <c r="K20" s="27">
        <f t="shared" ref="K20:K30" si="5">IF(G20=1,$AW$16*L20/27,IF(G20=2,$AW$16*L20*2/27,0))</f>
        <v>0</v>
      </c>
      <c r="L20" s="4">
        <f t="shared" ref="L20" si="6">C20-B20</f>
        <v>797.99000000000524</v>
      </c>
      <c r="M20" s="224"/>
      <c r="N20" s="14" t="str">
        <f t="shared" si="1"/>
        <v/>
      </c>
      <c r="O20" s="224">
        <v>30763.96</v>
      </c>
      <c r="P20" s="4">
        <f t="shared" si="0"/>
        <v>30763.96</v>
      </c>
      <c r="Q20" s="6">
        <f>(S20)/2000</f>
        <v>1.7756080555555558</v>
      </c>
      <c r="R20" s="6">
        <f t="shared" ref="R20" si="7">S20</f>
        <v>3551.2161111111118</v>
      </c>
      <c r="S20" s="6">
        <f t="shared" ref="S20:S25" si="8">($P20+H20*$L20)/9</f>
        <v>3551.2161111111118</v>
      </c>
      <c r="T20" s="6">
        <f t="shared" ref="T20" si="9">$S$1*S20*110*0.06*0.75/2000</f>
        <v>105.47111850000002</v>
      </c>
      <c r="U20" s="225"/>
      <c r="V20" s="12"/>
      <c r="W20" s="34">
        <f t="shared" ref="W20:W25" si="10">(P20*$W$1/12)/27+I20</f>
        <v>1108.7771345679012</v>
      </c>
      <c r="X20" s="4">
        <f t="shared" ref="X20:X30" si="11">(P20*$X$1/12)/27+J20</f>
        <v>589.50493703703728</v>
      </c>
      <c r="Y20" s="6">
        <f t="shared" ref="Y20:Y25" si="12">($P20/9)*$Y$1</f>
        <v>136.72871111111112</v>
      </c>
      <c r="Z20" s="6"/>
      <c r="AA20" s="4">
        <f t="shared" ref="AA20:AA25" si="13">($P20*($AA$1/12))/27</f>
        <v>142.42574074074074</v>
      </c>
      <c r="AB20" s="4">
        <f t="shared" ref="AB20:AB25" si="14">(P20*$AB$1/12)/27+K20</f>
        <v>166.16336419753085</v>
      </c>
      <c r="AC20" s="6">
        <f t="shared" ref="AC20:AC25" si="15">L20</f>
        <v>797.99000000000524</v>
      </c>
      <c r="AE20" s="98">
        <f t="shared" ref="AE20:AE25" si="16">IF(E20=2,$AQ$26*2*L20/27,IF(F20=2,$AQ$32*2*L20/27,IF(G20=2,$AQ$38*2*L20/27,IF(AND(E20=1,F20=1),($AQ$26*L20+$AQ$32*L20)/27,IF(AND(E20=1,F20=0,G20=0),$AQ$26*L20/27,IF(AND(E20=1,G20=1),($AQ$26*L20+$AQ$38*L20)/27,IF(AND(E20=0,F20=1,G20=0),$AQ$32*L20/27,IF(AND(F20=1,G20=1),($AQ$32*L20+$AQ$38*L20)/27,IF(AND(E20=0,F20=0,G20=1),$AQ$38*L20/27,0)))))))))</f>
        <v>14.77759259259269</v>
      </c>
      <c r="AF20" s="94">
        <f>(S20)/2000</f>
        <v>1.7756080555555558</v>
      </c>
      <c r="AG20" s="6">
        <f t="shared" ref="AG20:AG25" si="17">AH20</f>
        <v>3551.2161111111118</v>
      </c>
      <c r="AH20" s="6">
        <f>($P20+H20*$L20)/9</f>
        <v>3551.2161111111118</v>
      </c>
      <c r="AI20" s="6">
        <f t="shared" ref="AI20:AI25" si="18">$S$1*AH20*110*0.06*0.75/2000</f>
        <v>105.47111850000002</v>
      </c>
      <c r="AJ20" s="6">
        <f t="shared" ref="AJ20:AJ30" si="19">(P20*$X$1/12)/27+AE20</f>
        <v>584.48055555555572</v>
      </c>
      <c r="AK20" s="95">
        <f t="shared" ref="AK20:AK25" si="20">P20/9</f>
        <v>3418.2177777777779</v>
      </c>
    </row>
    <row r="21" spans="1:45" ht="12.75" customHeight="1" x14ac:dyDescent="0.2">
      <c r="B21" s="232">
        <v>74242.990000000005</v>
      </c>
      <c r="C21" s="233">
        <v>74584.929999999993</v>
      </c>
      <c r="D21" s="222" t="s">
        <v>16</v>
      </c>
      <c r="E21" s="222">
        <v>1</v>
      </c>
      <c r="F21" s="223">
        <v>0</v>
      </c>
      <c r="G21" s="223">
        <v>0</v>
      </c>
      <c r="H21" s="26">
        <f t="shared" si="2"/>
        <v>1.5</v>
      </c>
      <c r="I21" s="27">
        <f t="shared" si="3"/>
        <v>7.2187333333330743</v>
      </c>
      <c r="J21" s="27">
        <f t="shared" si="4"/>
        <v>8.4851777777774746</v>
      </c>
      <c r="K21" s="27">
        <f t="shared" si="5"/>
        <v>0</v>
      </c>
      <c r="L21" s="4">
        <f t="shared" ref="L21" si="21">C21-B21</f>
        <v>341.93999999998778</v>
      </c>
      <c r="M21" s="224">
        <v>50.42</v>
      </c>
      <c r="N21" s="14">
        <f t="shared" si="1"/>
        <v>17240.614799999385</v>
      </c>
      <c r="O21" s="224"/>
      <c r="P21" s="4">
        <f t="shared" ref="P21" si="22">SUM(N21:O21)</f>
        <v>17240.614799999385</v>
      </c>
      <c r="Q21" s="6">
        <f t="shared" ref="Q21" si="23">(S21)/2000</f>
        <v>0.98630693333329811</v>
      </c>
      <c r="R21" s="6">
        <f t="shared" ref="R21" si="24">S21</f>
        <v>1972.6138666665963</v>
      </c>
      <c r="S21" s="6">
        <f t="shared" si="8"/>
        <v>1972.6138666665963</v>
      </c>
      <c r="T21" s="6">
        <f t="shared" ref="T21" si="25">$S$1*S21*110*0.06*0.75/2000</f>
        <v>58.586631839997906</v>
      </c>
      <c r="U21" s="225"/>
      <c r="V21" s="12"/>
      <c r="W21" s="34">
        <f t="shared" si="10"/>
        <v>619.154135185163</v>
      </c>
      <c r="X21" s="4">
        <f t="shared" si="11"/>
        <v>327.75582222221055</v>
      </c>
      <c r="Y21" s="6">
        <f t="shared" si="12"/>
        <v>76.624954666663939</v>
      </c>
      <c r="Z21" s="6"/>
      <c r="AA21" s="4">
        <f t="shared" si="13"/>
        <v>79.817661111108265</v>
      </c>
      <c r="AB21" s="4">
        <f t="shared" si="14"/>
        <v>93.1206046296263</v>
      </c>
      <c r="AC21" s="6">
        <f t="shared" si="15"/>
        <v>341.93999999998778</v>
      </c>
      <c r="AE21" s="98">
        <f t="shared" si="16"/>
        <v>6.3322222222219962</v>
      </c>
      <c r="AF21" s="94">
        <f t="shared" ref="AF21:AF30" si="26">(S21)/2000</f>
        <v>0.98630693333329811</v>
      </c>
      <c r="AG21" s="6">
        <f t="shared" si="17"/>
        <v>1972.6138666665963</v>
      </c>
      <c r="AH21" s="6">
        <f t="shared" ref="AH21:AH25" si="27">($P21+H21*$L21)/9</f>
        <v>1972.6138666665963</v>
      </c>
      <c r="AI21" s="6">
        <f t="shared" si="18"/>
        <v>58.586631839997906</v>
      </c>
      <c r="AJ21" s="6">
        <f t="shared" si="19"/>
        <v>325.60286666665507</v>
      </c>
      <c r="AK21" s="95">
        <f t="shared" si="20"/>
        <v>1915.6238666665984</v>
      </c>
    </row>
    <row r="22" spans="1:45" ht="12.75" customHeight="1" x14ac:dyDescent="0.2">
      <c r="B22" s="232">
        <v>74584.929999999993</v>
      </c>
      <c r="C22" s="233">
        <v>75039.25</v>
      </c>
      <c r="D22" s="222" t="s">
        <v>16</v>
      </c>
      <c r="E22" s="222">
        <v>1</v>
      </c>
      <c r="F22" s="223">
        <v>0</v>
      </c>
      <c r="G22" s="223">
        <v>0</v>
      </c>
      <c r="H22" s="26">
        <f t="shared" si="2"/>
        <v>1.5</v>
      </c>
      <c r="I22" s="27">
        <f t="shared" si="3"/>
        <v>9.5912000000001481</v>
      </c>
      <c r="J22" s="27">
        <f t="shared" si="4"/>
        <v>11.273866666666841</v>
      </c>
      <c r="K22" s="27">
        <f t="shared" si="5"/>
        <v>0</v>
      </c>
      <c r="L22" s="4">
        <f t="shared" ref="L22" si="28">C22-B22</f>
        <v>454.32000000000698</v>
      </c>
      <c r="M22" s="224"/>
      <c r="N22" s="14" t="str">
        <f t="shared" si="1"/>
        <v/>
      </c>
      <c r="O22" s="224">
        <v>26979.439999999999</v>
      </c>
      <c r="P22" s="4">
        <f t="shared" ref="P22" si="29">SUM(N22:O22)</f>
        <v>26979.439999999999</v>
      </c>
      <c r="Q22" s="6">
        <f t="shared" ref="Q22" si="30">(S22)/2000</f>
        <v>1.5367177777777783</v>
      </c>
      <c r="R22" s="6">
        <f t="shared" ref="R22" si="31">S22</f>
        <v>3073.4355555555567</v>
      </c>
      <c r="S22" s="6">
        <f t="shared" si="8"/>
        <v>3073.4355555555567</v>
      </c>
      <c r="T22" s="6">
        <f t="shared" ref="T22" si="32">$S$1*S22*110*0.06*0.75/2000</f>
        <v>91.281036000000043</v>
      </c>
      <c r="U22" s="225"/>
      <c r="V22" s="12"/>
      <c r="W22" s="34">
        <f t="shared" si="10"/>
        <v>967.19478024691375</v>
      </c>
      <c r="X22" s="4">
        <f t="shared" si="11"/>
        <v>510.89312592592609</v>
      </c>
      <c r="Y22" s="6">
        <f t="shared" si="12"/>
        <v>119.90862222222222</v>
      </c>
      <c r="Z22" s="6"/>
      <c r="AA22" s="4">
        <f t="shared" si="13"/>
        <v>124.90481481481481</v>
      </c>
      <c r="AB22" s="4">
        <f t="shared" si="14"/>
        <v>145.72228395061728</v>
      </c>
      <c r="AC22" s="6">
        <f t="shared" si="15"/>
        <v>454.32000000000698</v>
      </c>
      <c r="AE22" s="98">
        <f t="shared" si="16"/>
        <v>8.4133333333334619</v>
      </c>
      <c r="AF22" s="94">
        <f t="shared" si="26"/>
        <v>1.5367177777777783</v>
      </c>
      <c r="AG22" s="6">
        <f t="shared" si="17"/>
        <v>3073.4355555555567</v>
      </c>
      <c r="AH22" s="6">
        <f t="shared" si="27"/>
        <v>3073.4355555555567</v>
      </c>
      <c r="AI22" s="6">
        <f t="shared" si="18"/>
        <v>91.281036000000043</v>
      </c>
      <c r="AJ22" s="6">
        <f t="shared" si="19"/>
        <v>508.03259259259272</v>
      </c>
      <c r="AK22" s="95">
        <f t="shared" si="20"/>
        <v>2997.7155555555555</v>
      </c>
    </row>
    <row r="23" spans="1:45" ht="12.75" customHeight="1" x14ac:dyDescent="0.2">
      <c r="B23" s="232">
        <v>75039.25</v>
      </c>
      <c r="C23" s="233">
        <v>75140</v>
      </c>
      <c r="D23" s="222" t="s">
        <v>16</v>
      </c>
      <c r="E23" s="222">
        <v>1</v>
      </c>
      <c r="F23" s="223">
        <v>0</v>
      </c>
      <c r="G23" s="223">
        <v>0</v>
      </c>
      <c r="H23" s="26">
        <f t="shared" si="2"/>
        <v>1.5</v>
      </c>
      <c r="I23" s="27">
        <f t="shared" si="3"/>
        <v>2.1269444444444443</v>
      </c>
      <c r="J23" s="27">
        <f t="shared" si="4"/>
        <v>2.5000925925925923</v>
      </c>
      <c r="K23" s="27">
        <f t="shared" si="5"/>
        <v>0</v>
      </c>
      <c r="L23" s="4">
        <f t="shared" ref="L23:L30" si="33">C23-B23</f>
        <v>100.75</v>
      </c>
      <c r="M23" s="224">
        <v>42.42</v>
      </c>
      <c r="N23" s="14">
        <f t="shared" si="1"/>
        <v>4273.8150000000005</v>
      </c>
      <c r="O23" s="224"/>
      <c r="P23" s="4">
        <f t="shared" ref="P23" si="34">SUM(N23:O23)</f>
        <v>4273.8150000000005</v>
      </c>
      <c r="Q23" s="6">
        <f t="shared" ref="Q23" si="35">(S23)/2000</f>
        <v>0.24583000000000005</v>
      </c>
      <c r="R23" s="6">
        <f t="shared" ref="R23" si="36">S23</f>
        <v>491.66000000000008</v>
      </c>
      <c r="S23" s="6">
        <f t="shared" si="8"/>
        <v>491.66000000000008</v>
      </c>
      <c r="T23" s="6">
        <f t="shared" ref="T23" si="37">$S$1*S23*110*0.06*0.75/2000</f>
        <v>14.602302</v>
      </c>
      <c r="U23" s="225"/>
      <c r="V23" s="12"/>
      <c r="W23" s="34">
        <f t="shared" si="10"/>
        <v>153.82099537037038</v>
      </c>
      <c r="X23" s="4">
        <f t="shared" si="11"/>
        <v>81.644814814814822</v>
      </c>
      <c r="Y23" s="6">
        <f t="shared" si="12"/>
        <v>18.994733333333336</v>
      </c>
      <c r="Z23" s="6"/>
      <c r="AA23" s="4">
        <f t="shared" si="13"/>
        <v>19.786180555555557</v>
      </c>
      <c r="AB23" s="4">
        <f t="shared" si="14"/>
        <v>23.083877314814817</v>
      </c>
      <c r="AC23" s="6">
        <f t="shared" si="15"/>
        <v>100.75</v>
      </c>
      <c r="AE23" s="98">
        <f t="shared" si="16"/>
        <v>1.8657407407407407</v>
      </c>
      <c r="AF23" s="94">
        <f t="shared" si="26"/>
        <v>0.24583000000000005</v>
      </c>
      <c r="AG23" s="6">
        <f t="shared" si="17"/>
        <v>491.66000000000008</v>
      </c>
      <c r="AH23" s="6">
        <f t="shared" si="27"/>
        <v>491.66000000000008</v>
      </c>
      <c r="AI23" s="6">
        <f t="shared" si="18"/>
        <v>14.602302</v>
      </c>
      <c r="AJ23" s="6">
        <f t="shared" si="19"/>
        <v>81.010462962962976</v>
      </c>
      <c r="AK23" s="95">
        <f t="shared" si="20"/>
        <v>474.8683333333334</v>
      </c>
      <c r="AQ23" s="359" t="s">
        <v>121</v>
      </c>
      <c r="AR23" s="359"/>
      <c r="AS23" s="359"/>
    </row>
    <row r="24" spans="1:45" ht="12.75" customHeight="1" x14ac:dyDescent="0.2">
      <c r="B24" s="232">
        <v>75140</v>
      </c>
      <c r="C24" s="233">
        <v>75778.14</v>
      </c>
      <c r="D24" s="222" t="s">
        <v>16</v>
      </c>
      <c r="E24" s="222">
        <v>0</v>
      </c>
      <c r="F24" s="223">
        <v>1</v>
      </c>
      <c r="G24" s="223">
        <v>0</v>
      </c>
      <c r="H24" s="26">
        <f t="shared" si="2"/>
        <v>2</v>
      </c>
      <c r="I24" s="27">
        <f t="shared" si="3"/>
        <v>0</v>
      </c>
      <c r="J24" s="27">
        <f t="shared" si="4"/>
        <v>11.817407407407396</v>
      </c>
      <c r="K24" s="27">
        <f t="shared" si="5"/>
        <v>0</v>
      </c>
      <c r="L24" s="4">
        <f t="shared" si="33"/>
        <v>638.13999999999942</v>
      </c>
      <c r="M24" s="224">
        <v>44.42</v>
      </c>
      <c r="N24" s="14">
        <f t="shared" si="1"/>
        <v>28346.178799999976</v>
      </c>
      <c r="O24" s="224"/>
      <c r="P24" s="4">
        <f t="shared" ref="P24" si="38">SUM(N24:O24)</f>
        <v>28346.178799999976</v>
      </c>
      <c r="Q24" s="6">
        <f t="shared" ref="Q24" si="39">(S24)/2000</f>
        <v>1.6456921555555541</v>
      </c>
      <c r="R24" s="6">
        <f t="shared" ref="R24" si="40">S24</f>
        <v>3291.3843111111082</v>
      </c>
      <c r="S24" s="6">
        <f t="shared" si="8"/>
        <v>3291.3843111111082</v>
      </c>
      <c r="T24" s="6">
        <f t="shared" ref="T24" si="41">$S$1*S24*110*0.06*0.75/2000</f>
        <v>97.754114039999905</v>
      </c>
      <c r="U24" s="225"/>
      <c r="V24" s="12"/>
      <c r="W24" s="34">
        <f t="shared" si="10"/>
        <v>1006.1143709876534</v>
      </c>
      <c r="X24" s="4">
        <f t="shared" si="11"/>
        <v>536.74664444444397</v>
      </c>
      <c r="Y24" s="6">
        <f t="shared" si="12"/>
        <v>125.98301688888878</v>
      </c>
      <c r="Z24" s="6"/>
      <c r="AA24" s="4">
        <f t="shared" si="13"/>
        <v>131.23230925925915</v>
      </c>
      <c r="AB24" s="4">
        <f t="shared" si="14"/>
        <v>153.10436080246902</v>
      </c>
      <c r="AC24" s="6">
        <f t="shared" si="15"/>
        <v>638.13999999999942</v>
      </c>
      <c r="AE24" s="98">
        <f t="shared" si="16"/>
        <v>11.817407407407396</v>
      </c>
      <c r="AF24" s="94">
        <f t="shared" si="26"/>
        <v>1.6456921555555541</v>
      </c>
      <c r="AG24" s="6">
        <f t="shared" si="17"/>
        <v>3291.3843111111082</v>
      </c>
      <c r="AH24" s="6">
        <f t="shared" si="27"/>
        <v>3291.3843111111082</v>
      </c>
      <c r="AI24" s="6">
        <f t="shared" si="18"/>
        <v>97.754114039999905</v>
      </c>
      <c r="AJ24" s="6">
        <f t="shared" si="19"/>
        <v>536.74664444444397</v>
      </c>
      <c r="AK24" s="95">
        <f t="shared" si="20"/>
        <v>3149.5754222222195</v>
      </c>
      <c r="AP24" s="356" t="s">
        <v>145</v>
      </c>
      <c r="AQ24" s="345" t="s">
        <v>109</v>
      </c>
      <c r="AR24" s="346"/>
      <c r="AS24" s="347"/>
    </row>
    <row r="25" spans="1:45" ht="12.75" customHeight="1" x14ac:dyDescent="0.2">
      <c r="B25" s="232">
        <v>75778.14</v>
      </c>
      <c r="C25" s="233">
        <v>75788.42</v>
      </c>
      <c r="D25" s="222" t="s">
        <v>16</v>
      </c>
      <c r="E25" s="222">
        <v>0</v>
      </c>
      <c r="F25" s="223">
        <v>0</v>
      </c>
      <c r="G25" s="223">
        <v>0</v>
      </c>
      <c r="H25" s="26">
        <f t="shared" si="2"/>
        <v>0</v>
      </c>
      <c r="I25" s="27">
        <f t="shared" si="3"/>
        <v>0</v>
      </c>
      <c r="J25" s="27">
        <f t="shared" si="4"/>
        <v>0</v>
      </c>
      <c r="K25" s="27">
        <f t="shared" si="5"/>
        <v>0</v>
      </c>
      <c r="L25" s="4">
        <f t="shared" si="33"/>
        <v>10.279999999998836</v>
      </c>
      <c r="M25" s="224"/>
      <c r="N25" s="14" t="str">
        <f t="shared" si="1"/>
        <v/>
      </c>
      <c r="O25" s="224">
        <v>228.25</v>
      </c>
      <c r="P25" s="4">
        <f t="shared" ref="P25:P27" si="42">SUM(N25:O25)</f>
        <v>228.25</v>
      </c>
      <c r="Q25" s="6">
        <f t="shared" ref="Q25" si="43">(S25)/2000</f>
        <v>1.2680555555555556E-2</v>
      </c>
      <c r="R25" s="6">
        <f t="shared" ref="R25" si="44">S25</f>
        <v>25.361111111111111</v>
      </c>
      <c r="S25" s="6">
        <f t="shared" si="8"/>
        <v>25.361111111111111</v>
      </c>
      <c r="T25" s="6">
        <f t="shared" ref="T25" si="45">$S$1*S25*110*0.06*0.75/2000</f>
        <v>0.75322499999999992</v>
      </c>
      <c r="U25" s="225"/>
      <c r="V25" s="12"/>
      <c r="W25" s="34">
        <f t="shared" si="10"/>
        <v>8.1014660493827169</v>
      </c>
      <c r="X25" s="4">
        <f t="shared" si="11"/>
        <v>4.2268518518518521</v>
      </c>
      <c r="Y25" s="6">
        <f t="shared" si="12"/>
        <v>1.0144444444444445</v>
      </c>
      <c r="Z25" s="6"/>
      <c r="AA25" s="4">
        <f t="shared" si="13"/>
        <v>1.056712962962963</v>
      </c>
      <c r="AB25" s="4">
        <f t="shared" si="14"/>
        <v>1.2328317901234569</v>
      </c>
      <c r="AC25" s="6">
        <f t="shared" si="15"/>
        <v>10.279999999998836</v>
      </c>
      <c r="AE25" s="98">
        <f t="shared" si="16"/>
        <v>0</v>
      </c>
      <c r="AF25" s="94">
        <f t="shared" si="26"/>
        <v>1.2680555555555556E-2</v>
      </c>
      <c r="AG25" s="6">
        <f t="shared" si="17"/>
        <v>25.361111111111111</v>
      </c>
      <c r="AH25" s="6">
        <f t="shared" si="27"/>
        <v>25.361111111111111</v>
      </c>
      <c r="AI25" s="6">
        <f t="shared" si="18"/>
        <v>0.75322499999999992</v>
      </c>
      <c r="AJ25" s="6">
        <f t="shared" si="19"/>
        <v>4.2268518518518521</v>
      </c>
      <c r="AK25" s="95">
        <f t="shared" si="20"/>
        <v>25.361111111111111</v>
      </c>
      <c r="AP25" s="356"/>
      <c r="AQ25" s="348" t="s">
        <v>112</v>
      </c>
      <c r="AR25" s="349"/>
      <c r="AS25" s="350"/>
    </row>
    <row r="26" spans="1:45" ht="12.75" customHeight="1" x14ac:dyDescent="0.2">
      <c r="A26" s="1" t="s">
        <v>36</v>
      </c>
      <c r="B26" s="232">
        <v>75788.42</v>
      </c>
      <c r="C26" s="233">
        <v>75818.42</v>
      </c>
      <c r="D26" s="222" t="s">
        <v>16</v>
      </c>
      <c r="E26" s="222">
        <v>0</v>
      </c>
      <c r="F26" s="223">
        <v>0</v>
      </c>
      <c r="G26" s="223">
        <v>0</v>
      </c>
      <c r="H26" s="26">
        <f t="shared" si="2"/>
        <v>0</v>
      </c>
      <c r="I26" s="27">
        <f t="shared" si="3"/>
        <v>0</v>
      </c>
      <c r="J26" s="27">
        <f t="shared" si="4"/>
        <v>0</v>
      </c>
      <c r="K26" s="27">
        <f t="shared" si="5"/>
        <v>0</v>
      </c>
      <c r="L26" s="4">
        <f t="shared" si="33"/>
        <v>30</v>
      </c>
      <c r="M26" s="224"/>
      <c r="N26" s="14" t="str">
        <f t="shared" si="1"/>
        <v/>
      </c>
      <c r="O26" s="224">
        <v>1412.5</v>
      </c>
      <c r="P26" s="4">
        <f t="shared" si="42"/>
        <v>1412.5</v>
      </c>
      <c r="Q26" s="6"/>
      <c r="R26" s="6"/>
      <c r="S26" s="6"/>
      <c r="T26" s="6"/>
      <c r="U26" s="225"/>
      <c r="V26" s="12"/>
      <c r="W26" s="34"/>
      <c r="X26" s="4">
        <f t="shared" si="11"/>
        <v>26.157407407407408</v>
      </c>
      <c r="Y26" s="6"/>
      <c r="Z26" s="6"/>
      <c r="AA26" s="4"/>
      <c r="AB26" s="4"/>
      <c r="AC26" s="6"/>
      <c r="AE26" s="98"/>
      <c r="AF26" s="94"/>
      <c r="AG26" s="6"/>
      <c r="AH26" s="6"/>
      <c r="AI26" s="6"/>
      <c r="AJ26" s="6">
        <f t="shared" si="19"/>
        <v>26.157407407407408</v>
      </c>
      <c r="AK26" s="95"/>
      <c r="AP26" s="356"/>
      <c r="AQ26" s="353">
        <v>0.5</v>
      </c>
      <c r="AR26" s="354"/>
      <c r="AS26" s="355"/>
    </row>
    <row r="27" spans="1:45" ht="12.75" customHeight="1" x14ac:dyDescent="0.2">
      <c r="A27" s="1" t="s">
        <v>36</v>
      </c>
      <c r="B27" s="232">
        <v>75914.84</v>
      </c>
      <c r="C27" s="233">
        <v>75944.84</v>
      </c>
      <c r="D27" s="222" t="s">
        <v>16</v>
      </c>
      <c r="E27" s="222">
        <v>0</v>
      </c>
      <c r="F27" s="223">
        <v>0</v>
      </c>
      <c r="G27" s="223">
        <v>0</v>
      </c>
      <c r="H27" s="26">
        <f t="shared" si="2"/>
        <v>0</v>
      </c>
      <c r="I27" s="27">
        <f t="shared" si="3"/>
        <v>0</v>
      </c>
      <c r="J27" s="27">
        <f t="shared" si="4"/>
        <v>0</v>
      </c>
      <c r="K27" s="27">
        <f t="shared" si="5"/>
        <v>0</v>
      </c>
      <c r="L27" s="4">
        <f t="shared" si="33"/>
        <v>30</v>
      </c>
      <c r="M27" s="224"/>
      <c r="N27" s="14" t="str">
        <f t="shared" si="1"/>
        <v/>
      </c>
      <c r="O27" s="224">
        <v>1412.5</v>
      </c>
      <c r="P27" s="4">
        <f t="shared" si="42"/>
        <v>1412.5</v>
      </c>
      <c r="Q27" s="6"/>
      <c r="R27" s="6"/>
      <c r="S27" s="6"/>
      <c r="T27" s="6"/>
      <c r="U27" s="225"/>
      <c r="V27" s="12"/>
      <c r="W27" s="34"/>
      <c r="X27" s="4">
        <f t="shared" si="11"/>
        <v>26.157407407407408</v>
      </c>
      <c r="Y27" s="6"/>
      <c r="Z27" s="6"/>
      <c r="AA27" s="4"/>
      <c r="AB27" s="4"/>
      <c r="AC27" s="6"/>
      <c r="AE27" s="98"/>
      <c r="AF27" s="94"/>
      <c r="AG27" s="6"/>
      <c r="AH27" s="6"/>
      <c r="AI27" s="6"/>
      <c r="AJ27" s="6">
        <f t="shared" si="19"/>
        <v>26.157407407407408</v>
      </c>
      <c r="AK27" s="95"/>
      <c r="AP27" s="356"/>
    </row>
    <row r="28" spans="1:45" ht="12.75" customHeight="1" x14ac:dyDescent="0.2">
      <c r="B28" s="232">
        <v>75934.570000000007</v>
      </c>
      <c r="C28" s="233">
        <v>75944.84</v>
      </c>
      <c r="D28" s="222" t="s">
        <v>16</v>
      </c>
      <c r="E28" s="222">
        <v>0</v>
      </c>
      <c r="F28" s="223">
        <v>0</v>
      </c>
      <c r="G28" s="223">
        <v>0</v>
      </c>
      <c r="H28" s="26">
        <f t="shared" si="2"/>
        <v>0</v>
      </c>
      <c r="I28" s="27">
        <f t="shared" si="3"/>
        <v>0</v>
      </c>
      <c r="J28" s="27">
        <f t="shared" si="4"/>
        <v>0</v>
      </c>
      <c r="K28" s="27">
        <f t="shared" si="5"/>
        <v>0</v>
      </c>
      <c r="L28" s="4">
        <f t="shared" si="33"/>
        <v>10.269999999989523</v>
      </c>
      <c r="M28" s="224"/>
      <c r="N28" s="14" t="str">
        <f t="shared" si="1"/>
        <v/>
      </c>
      <c r="O28" s="224">
        <v>228.25</v>
      </c>
      <c r="P28" s="4">
        <f t="shared" ref="P28" si="46">SUM(N28:O28)</f>
        <v>228.25</v>
      </c>
      <c r="Q28" s="6">
        <f t="shared" ref="Q28" si="47">(S28)/2000</f>
        <v>1.2680555555555556E-2</v>
      </c>
      <c r="R28" s="6">
        <f t="shared" ref="R28" si="48">S28</f>
        <v>25.361111111111111</v>
      </c>
      <c r="S28" s="6">
        <f>($P28+H28*$L28)/9</f>
        <v>25.361111111111111</v>
      </c>
      <c r="T28" s="6">
        <f t="shared" ref="T28" si="49">$S$1*S28*110*0.06*0.75/2000</f>
        <v>0.75322499999999992</v>
      </c>
      <c r="U28" s="225"/>
      <c r="V28" s="12"/>
      <c r="W28" s="34">
        <f>(P28*$W$1/12)/27+I28</f>
        <v>8.1014660493827169</v>
      </c>
      <c r="X28" s="4">
        <f t="shared" si="11"/>
        <v>4.2268518518518521</v>
      </c>
      <c r="Y28" s="6">
        <f>($P28/9)*$Y$1</f>
        <v>1.0144444444444445</v>
      </c>
      <c r="Z28" s="6"/>
      <c r="AA28" s="4">
        <f>($P28*($AA$1/12))/27</f>
        <v>1.056712962962963</v>
      </c>
      <c r="AB28" s="4">
        <f>(P28*$AB$1/12)/27+K28</f>
        <v>1.2328317901234569</v>
      </c>
      <c r="AC28" s="6">
        <f>L28</f>
        <v>10.269999999989523</v>
      </c>
      <c r="AE28" s="98">
        <f>IF(E28=2,$AQ$26*2*L28/27,IF(F28=2,$AQ$32*2*L28/27,IF(G28=2,$AQ$38*2*L28/27,IF(AND(E28=1,F28=1),($AQ$26*L28+$AQ$32*L28)/27,IF(AND(E28=1,F28=0,G28=0),$AQ$26*L28/27,IF(AND(E28=1,G28=1),($AQ$26*L28+$AQ$38*L28)/27,IF(AND(E28=0,F28=1,G28=0),$AQ$32*L28/27,IF(AND(F28=1,G28=1),($AQ$32*L28+$AQ$38*L28)/27,IF(AND(E28=0,F28=0,G28=1),$AQ$38*L28/27,0)))))))))</f>
        <v>0</v>
      </c>
      <c r="AF28" s="94">
        <f t="shared" si="26"/>
        <v>1.2680555555555556E-2</v>
      </c>
      <c r="AG28" s="6">
        <f t="shared" ref="AG28:AG29" si="50">AH28</f>
        <v>25.361111111111111</v>
      </c>
      <c r="AH28" s="6">
        <f t="shared" ref="AH28:AH30" si="51">($P28+H28*$L28)/9</f>
        <v>25.361111111111111</v>
      </c>
      <c r="AI28" s="6">
        <f t="shared" ref="AI28:AI29" si="52">$S$1*AH28*110*0.06*0.75/2000</f>
        <v>0.75322499999999992</v>
      </c>
      <c r="AJ28" s="6">
        <f t="shared" si="19"/>
        <v>4.2268518518518521</v>
      </c>
      <c r="AK28" s="95">
        <f>P28/9</f>
        <v>25.361111111111111</v>
      </c>
      <c r="AP28" s="356"/>
    </row>
    <row r="29" spans="1:45" ht="12.75" customHeight="1" x14ac:dyDescent="0.2">
      <c r="B29" s="232">
        <v>75944.84</v>
      </c>
      <c r="C29" s="233">
        <v>76085.570000000007</v>
      </c>
      <c r="D29" s="222" t="s">
        <v>16</v>
      </c>
      <c r="E29" s="222">
        <v>0</v>
      </c>
      <c r="F29" s="223">
        <v>1</v>
      </c>
      <c r="G29" s="223">
        <v>0</v>
      </c>
      <c r="H29" s="26">
        <f t="shared" si="2"/>
        <v>2</v>
      </c>
      <c r="I29" s="27">
        <f t="shared" si="3"/>
        <v>0</v>
      </c>
      <c r="J29" s="27">
        <f t="shared" si="4"/>
        <v>2.6061111111113053</v>
      </c>
      <c r="K29" s="27">
        <f t="shared" si="5"/>
        <v>0</v>
      </c>
      <c r="L29" s="4">
        <f t="shared" si="33"/>
        <v>140.73000000001048</v>
      </c>
      <c r="M29" s="224">
        <v>44.42</v>
      </c>
      <c r="N29" s="14">
        <f t="shared" si="1"/>
        <v>6251.2266000004656</v>
      </c>
      <c r="O29" s="224"/>
      <c r="P29" s="4">
        <f t="shared" ref="P29" si="53">SUM(N29:O29)</f>
        <v>6251.2266000004656</v>
      </c>
      <c r="Q29" s="6">
        <f t="shared" ref="Q29" si="54">(S29)/2000</f>
        <v>0.3629270333333604</v>
      </c>
      <c r="R29" s="6">
        <f t="shared" ref="R29" si="55">S29</f>
        <v>725.85406666672077</v>
      </c>
      <c r="S29" s="6">
        <f>($P29+H29*$L29)/9</f>
        <v>725.85406666672077</v>
      </c>
      <c r="T29" s="6">
        <f t="shared" ref="T29" si="56">$S$1*S29*110*0.06*0.75/2000</f>
        <v>21.55786578000161</v>
      </c>
      <c r="U29" s="225"/>
      <c r="V29" s="12"/>
      <c r="W29" s="34">
        <f>(P29*$W$1/12)/27+I29</f>
        <v>221.87995648149797</v>
      </c>
      <c r="X29" s="4">
        <f t="shared" si="11"/>
        <v>118.36956666667547</v>
      </c>
      <c r="Y29" s="6">
        <f>($P29/9)*$Y$1</f>
        <v>27.783229333335402</v>
      </c>
      <c r="Z29" s="6"/>
      <c r="AA29" s="4">
        <f>($P29*($AA$1/12))/27</f>
        <v>28.940863888891045</v>
      </c>
      <c r="AB29" s="4">
        <f>(P29*$AB$1/12)/27+K29</f>
        <v>33.764341203706216</v>
      </c>
      <c r="AC29" s="6">
        <f>L29</f>
        <v>140.73000000001048</v>
      </c>
      <c r="AE29" s="98">
        <f>IF(E29=2,$AQ$26*2*L29/27,IF(F29=2,$AQ$32*2*L29/27,IF(G29=2,$AQ$38*2*L29/27,IF(AND(E29=1,F29=1),($AQ$26*L29+$AQ$32*L29)/27,IF(AND(E29=1,F29=0,G29=0),$AQ$26*L29/27,IF(AND(E29=1,G29=1),($AQ$26*L29+$AQ$38*L29)/27,IF(AND(E29=0,F29=1,G29=0),$AQ$32*L29/27,IF(AND(F29=1,G29=1),($AQ$32*L29+$AQ$38*L29)/27,IF(AND(E29=0,F29=0,G29=1),$AQ$38*L29/27,0)))))))))</f>
        <v>2.6061111111113053</v>
      </c>
      <c r="AF29" s="94">
        <f t="shared" si="26"/>
        <v>0.3629270333333604</v>
      </c>
      <c r="AG29" s="6">
        <f t="shared" si="50"/>
        <v>725.85406666672077</v>
      </c>
      <c r="AH29" s="6">
        <f t="shared" si="51"/>
        <v>725.85406666672077</v>
      </c>
      <c r="AI29" s="6">
        <f t="shared" si="52"/>
        <v>21.55786578000161</v>
      </c>
      <c r="AJ29" s="6">
        <f t="shared" si="19"/>
        <v>118.36956666667547</v>
      </c>
      <c r="AK29" s="95">
        <f>P29/9</f>
        <v>694.58073333338507</v>
      </c>
      <c r="AP29" s="356"/>
      <c r="AQ29" s="359" t="s">
        <v>114</v>
      </c>
      <c r="AR29" s="359"/>
      <c r="AS29" s="359"/>
    </row>
    <row r="30" spans="1:45" ht="12.75" customHeight="1" x14ac:dyDescent="0.2">
      <c r="B30" s="232">
        <v>76085.570000000007</v>
      </c>
      <c r="C30" s="233">
        <v>76681.61</v>
      </c>
      <c r="D30" s="222" t="s">
        <v>16</v>
      </c>
      <c r="E30" s="222">
        <v>0</v>
      </c>
      <c r="F30" s="223">
        <v>1</v>
      </c>
      <c r="G30" s="223">
        <v>0</v>
      </c>
      <c r="H30" s="26">
        <f t="shared" si="2"/>
        <v>2</v>
      </c>
      <c r="I30" s="27">
        <f t="shared" si="3"/>
        <v>0</v>
      </c>
      <c r="J30" s="27">
        <f t="shared" si="4"/>
        <v>11.037777777777659</v>
      </c>
      <c r="K30" s="27">
        <f t="shared" si="5"/>
        <v>0</v>
      </c>
      <c r="L30" s="4">
        <f t="shared" si="33"/>
        <v>596.0399999999936</v>
      </c>
      <c r="M30" s="224"/>
      <c r="N30" s="14" t="str">
        <f t="shared" si="1"/>
        <v/>
      </c>
      <c r="O30" s="224">
        <v>31986.54</v>
      </c>
      <c r="P30" s="4">
        <f t="shared" ref="P30" si="57">SUM(N30:O30)</f>
        <v>31986.54</v>
      </c>
      <c r="Q30" s="6">
        <f t="shared" ref="Q30" si="58">(S30)/2000</f>
        <v>1.8432566666666659</v>
      </c>
      <c r="R30" s="6">
        <f t="shared" ref="R30" si="59">S30</f>
        <v>3686.513333333332</v>
      </c>
      <c r="S30" s="6">
        <f>($P30+H30*$L30)/9</f>
        <v>3686.513333333332</v>
      </c>
      <c r="T30" s="6">
        <f t="shared" ref="T30" si="60">$S$1*S30*110*0.06*0.75/2000</f>
        <v>109.48944599999994</v>
      </c>
      <c r="U30" s="225"/>
      <c r="V30" s="12"/>
      <c r="W30" s="34">
        <f>(P30*$W$1/12)/27+I30</f>
        <v>1135.3247222222224</v>
      </c>
      <c r="X30" s="4">
        <f t="shared" si="11"/>
        <v>603.38111111111095</v>
      </c>
      <c r="Y30" s="6">
        <f>($P30/9)*$Y$1</f>
        <v>142.16239999999999</v>
      </c>
      <c r="Z30" s="6"/>
      <c r="AA30" s="4">
        <f>($P30*($AA$1/12))/27</f>
        <v>148.08583333333334</v>
      </c>
      <c r="AB30" s="4">
        <f>(P30*$AB$1/12)/27+K30</f>
        <v>172.76680555555555</v>
      </c>
      <c r="AC30" s="6">
        <f>L30</f>
        <v>596.0399999999936</v>
      </c>
      <c r="AE30" s="98">
        <f>IF(E30=2,$AQ$26*2*L30/27,IF(F30=2,$AQ$32*2*L30/27,IF(G30=2,$AQ$38*2*L30/27,IF(AND(E30=1,F30=1),($AQ$26*L30+$AQ$32*L30)/27,IF(AND(E30=1,F30=0,G30=0),$AQ$26*L30/27,IF(AND(E30=1,G30=1),($AQ$26*L30+$AQ$38*L30)/27,IF(AND(E30=0,F30=1,G30=0),$AQ$32*L30/27,IF(AND(F30=1,G30=1),($AQ$32*L30+$AQ$38*L30)/27,IF(AND(E30=0,F30=0,G30=1),$AQ$38*L30/27,0)))))))))</f>
        <v>11.037777777777659</v>
      </c>
      <c r="AF30" s="94">
        <f t="shared" si="26"/>
        <v>1.8432566666666659</v>
      </c>
      <c r="AG30" s="6">
        <f t="shared" ref="AG30" si="61">AH30</f>
        <v>3686.513333333332</v>
      </c>
      <c r="AH30" s="6">
        <f t="shared" si="51"/>
        <v>3686.513333333332</v>
      </c>
      <c r="AI30" s="6">
        <f t="shared" ref="AI30" si="62">$S$1*AH30*110*0.06*0.75/2000</f>
        <v>109.48944599999994</v>
      </c>
      <c r="AJ30" s="6">
        <f t="shared" si="19"/>
        <v>603.38111111111095</v>
      </c>
      <c r="AK30" s="95">
        <f>P30/9</f>
        <v>3554.06</v>
      </c>
      <c r="AP30" s="356"/>
      <c r="AQ30" s="345" t="s">
        <v>109</v>
      </c>
      <c r="AR30" s="346"/>
      <c r="AS30" s="347"/>
    </row>
    <row r="31" spans="1:45" ht="12.75" customHeight="1" x14ac:dyDescent="0.2">
      <c r="B31" s="232">
        <v>76681.61</v>
      </c>
      <c r="C31" s="233"/>
      <c r="D31" s="222"/>
      <c r="E31" s="222"/>
      <c r="F31" s="223"/>
      <c r="G31" s="223"/>
      <c r="H31" s="26"/>
      <c r="I31" s="27"/>
      <c r="J31" s="27"/>
      <c r="K31" s="27"/>
      <c r="L31" s="4"/>
      <c r="M31" s="224"/>
      <c r="N31" s="14"/>
      <c r="O31" s="224"/>
      <c r="P31" s="4"/>
      <c r="Q31" s="6"/>
      <c r="R31" s="6"/>
      <c r="S31" s="6"/>
      <c r="T31" s="6"/>
      <c r="U31" s="225"/>
      <c r="V31" s="12"/>
      <c r="W31" s="34"/>
      <c r="X31" s="4"/>
      <c r="Y31" s="6"/>
      <c r="Z31" s="6"/>
      <c r="AA31" s="4"/>
      <c r="AB31" s="4"/>
      <c r="AC31" s="6"/>
      <c r="AE31" s="98"/>
      <c r="AF31" s="94"/>
      <c r="AG31" s="6"/>
      <c r="AH31" s="6"/>
      <c r="AI31" s="6"/>
      <c r="AJ31" s="6"/>
      <c r="AK31" s="95"/>
      <c r="AP31" s="356"/>
      <c r="AQ31" s="348" t="s">
        <v>112</v>
      </c>
      <c r="AR31" s="349"/>
      <c r="AS31" s="350"/>
    </row>
    <row r="32" spans="1:45" ht="12.75" customHeight="1" thickBot="1" x14ac:dyDescent="0.25">
      <c r="B32" s="84"/>
      <c r="C32" s="3"/>
      <c r="D32" s="32"/>
      <c r="E32" s="32"/>
      <c r="F32" s="32"/>
      <c r="G32" s="32"/>
      <c r="H32" s="26"/>
      <c r="I32" s="27"/>
      <c r="J32" s="27"/>
      <c r="K32" s="27"/>
      <c r="L32" s="4"/>
      <c r="M32" s="4"/>
      <c r="N32" s="14"/>
      <c r="O32" s="4"/>
      <c r="P32" s="4"/>
      <c r="Q32" s="6"/>
      <c r="R32" s="6"/>
      <c r="S32" s="6"/>
      <c r="T32" s="6"/>
      <c r="U32" s="7"/>
      <c r="V32" s="7"/>
      <c r="W32" s="34"/>
      <c r="X32" s="4"/>
      <c r="Y32" s="6"/>
      <c r="Z32" s="6"/>
      <c r="AA32" s="4"/>
      <c r="AB32" s="4"/>
      <c r="AC32" s="19"/>
      <c r="AE32" s="19"/>
      <c r="AF32" s="19"/>
      <c r="AG32" s="19"/>
      <c r="AH32" s="19"/>
      <c r="AI32" s="19"/>
      <c r="AJ32" s="19"/>
      <c r="AK32" s="19"/>
      <c r="AP32" s="356"/>
      <c r="AQ32" s="353">
        <v>0.5</v>
      </c>
      <c r="AR32" s="354"/>
      <c r="AS32" s="355"/>
    </row>
    <row r="33" spans="1:45" ht="12.75" customHeight="1" x14ac:dyDescent="0.2">
      <c r="B33" s="357" t="s">
        <v>153</v>
      </c>
      <c r="C33" s="358"/>
      <c r="D33" s="28"/>
      <c r="E33" s="28"/>
      <c r="F33" s="28"/>
      <c r="G33" s="28"/>
      <c r="H33" s="28"/>
      <c r="I33" s="28"/>
      <c r="J33" s="28"/>
      <c r="K33" s="28"/>
      <c r="L33" s="29"/>
      <c r="M33" s="29"/>
      <c r="N33" s="29"/>
      <c r="O33" s="29"/>
      <c r="P33" s="29"/>
      <c r="Q33" s="29"/>
      <c r="R33" s="29"/>
      <c r="S33" s="29"/>
      <c r="T33" s="30"/>
      <c r="U33" s="30"/>
      <c r="V33" s="30"/>
      <c r="W33" s="29"/>
      <c r="X33" s="29"/>
      <c r="Y33" s="29"/>
      <c r="Z33" s="29"/>
      <c r="AA33" s="29"/>
      <c r="AB33" s="29"/>
      <c r="AC33" s="228"/>
      <c r="AE33" s="228"/>
      <c r="AF33" s="228"/>
      <c r="AG33" s="228"/>
      <c r="AH33" s="228"/>
      <c r="AI33" s="228"/>
      <c r="AJ33" s="228"/>
      <c r="AK33" s="228"/>
      <c r="AP33" s="356"/>
    </row>
    <row r="34" spans="1:45" ht="12.75" customHeight="1" x14ac:dyDescent="0.2">
      <c r="B34" s="232">
        <v>72744.350000000006</v>
      </c>
      <c r="C34" s="233">
        <v>73350.03</v>
      </c>
      <c r="D34" s="222" t="s">
        <v>15</v>
      </c>
      <c r="E34" s="222">
        <v>0</v>
      </c>
      <c r="F34" s="223">
        <v>0</v>
      </c>
      <c r="G34" s="223">
        <v>0</v>
      </c>
      <c r="H34" s="26">
        <f t="shared" ref="H34:H49" si="63">IF(E34=2,$AN$4*2,IF(F34=2,$AQ$10*2,IF(G34=2,$AN$16*2,IF(AND(E34=1,F34=1),$AN$4+$AQ$10,IF(AND(E34=1,F34=0,G34=0),$AN$4,IF(AND(E34=1,G34=1),$AN$4+$AN$16,IF(AND(E34=0,F34=1,G34=0),$AQ$10,IF(AND(F34=1,G34=1),$AQ$10+$AN$16,IF(AND(E34=0,F34=0,G34=1),$AN$16,0)))))))))</f>
        <v>0</v>
      </c>
      <c r="I34" s="27">
        <f t="shared" ref="I34:I49" si="64">IF(E34=2,AQ$4*L34*2/27,IF(G34=2,$AQ$16*L34*2/27,IF(AND(E34=1,G34=0),$AQ$4*L34/27,IF(AND(E34=1,G34=1),($AQ$4*L34+$AQ$16*L34)/27,IF(AND(F34=1,G34=1),$AQ$16*L34/27,IF(AND(E34=0,F34=0,G34=1),$AQ$16*L34/27,0))))))</f>
        <v>0</v>
      </c>
      <c r="J34" s="27">
        <f t="shared" ref="J34:J49" si="65">IF(E34=2,$AT$4*2*L34/27,IF(F34=2,$AT$10*2*L34/27,IF(G34=2,$AT$16*2*L34/27,IF(AND(E34=1,F34=1),($AT$4*L34+$AT$10*L34)/27,IF(AND(E34=1,F34=0,G34=0),$AT$4*L34/27,IF(AND(E34=1,G34=1),($AT$4*L34+$AT$16*L34)/27,IF(AND(E34=0,F34=1,G34=0),$AT$10*L34/27,IF(AND(F34=1,G34=1),($AT$10*L34+$AT$16*L34)/27,IF(AND(E34=0,F34=0,G34=1),$AT$16*L34/27,0)))))))))</f>
        <v>0</v>
      </c>
      <c r="K34" s="27">
        <f t="shared" ref="K34:K49" si="66">IF(G34=1,$AW$16*L34/27,IF(G34=2,$AW$16*L34*2/27,0))</f>
        <v>0</v>
      </c>
      <c r="L34" s="4">
        <f t="shared" ref="L34" si="67">C34-B34</f>
        <v>605.67999999999302</v>
      </c>
      <c r="M34" s="224">
        <v>4.51</v>
      </c>
      <c r="N34" s="14">
        <f t="shared" si="1"/>
        <v>2731.6167999999684</v>
      </c>
      <c r="O34" s="224"/>
      <c r="P34" s="4">
        <f t="shared" ref="P34" si="68">SUM(N34:O34)</f>
        <v>2731.6167999999684</v>
      </c>
      <c r="Q34" s="6">
        <f t="shared" ref="Q34" si="69">(S34)/2000</f>
        <v>0.15175648888888713</v>
      </c>
      <c r="R34" s="6">
        <f t="shared" ref="R34" si="70">S34</f>
        <v>303.51297777777427</v>
      </c>
      <c r="S34" s="6">
        <f t="shared" ref="S34:S42" si="71">($P34+H34*$L34)/9</f>
        <v>303.51297777777427</v>
      </c>
      <c r="T34" s="6">
        <f t="shared" ref="T34" si="72">$S$1*S34*110*0.06*0.75/2000</f>
        <v>9.0143354399998952</v>
      </c>
      <c r="U34" s="225"/>
      <c r="V34" s="12"/>
      <c r="W34" s="34">
        <f t="shared" ref="W34:W42" si="73">(P34*$W$1/12)/27+I34</f>
        <v>96.955534567900116</v>
      </c>
      <c r="X34" s="4">
        <f t="shared" ref="X34:X49" si="74">(P34*$X$1/12)/27+J34</f>
        <v>50.585496296295709</v>
      </c>
      <c r="Y34" s="6">
        <f t="shared" ref="Y34:Y42" si="75">($P34/9)*$Y$1</f>
        <v>12.14051911111097</v>
      </c>
      <c r="Z34" s="6"/>
      <c r="AA34" s="4">
        <f t="shared" ref="AA34:AA42" si="76">($P34*($AA$1/12))/27</f>
        <v>12.646374074073927</v>
      </c>
      <c r="AB34" s="4">
        <f t="shared" ref="AB34:AB42" si="77">(P34*$AB$1/12)/27+K34</f>
        <v>14.754103086419583</v>
      </c>
      <c r="AC34" s="6">
        <f t="shared" ref="AC34:AC42" si="78">L34</f>
        <v>605.67999999999302</v>
      </c>
      <c r="AE34" s="98">
        <f t="shared" ref="AE34:AE42" si="79">IF(E34=2,$AQ$26*2*L34/27,IF(F34=2,$AQ$32*2*L34/27,IF(G34=2,$AQ$38*2*L34/27,IF(AND(E34=1,F34=1),($AQ$26*L34+$AQ$32*L34)/27,IF(AND(E34=1,F34=0,G34=0),$AQ$26*L34/27,IF(AND(E34=1,G34=1),($AQ$26*L34+$AQ$38*L34)/27,IF(AND(E34=0,F34=1,G34=0),$AQ$32*L34/27,IF(AND(F34=1,G34=1),($AQ$32*L34+$AQ$38*L34)/27,IF(AND(E34=0,F34=0,G34=1),$AQ$38*L34/27,0)))))))))</f>
        <v>0</v>
      </c>
      <c r="AF34" s="94">
        <f t="shared" ref="AF34" si="80">(S34)/2000</f>
        <v>0.15175648888888713</v>
      </c>
      <c r="AG34" s="6">
        <f t="shared" ref="AG34" si="81">AH34</f>
        <v>303.51297777777427</v>
      </c>
      <c r="AH34" s="6">
        <f t="shared" ref="AH34:AH42" si="82">($P34+H34*$L34)/9</f>
        <v>303.51297777777427</v>
      </c>
      <c r="AI34" s="6">
        <f t="shared" ref="AI34" si="83">$S$1*AH34*110*0.06*0.75/2000</f>
        <v>9.0143354399998952</v>
      </c>
      <c r="AJ34" s="6">
        <f t="shared" ref="AJ34:AJ49" si="84">(P34*$X$1/12)/27+AE34</f>
        <v>50.585496296295709</v>
      </c>
      <c r="AK34" s="95">
        <f>P34/9</f>
        <v>303.51297777777427</v>
      </c>
      <c r="AP34" s="356"/>
    </row>
    <row r="35" spans="1:45" ht="12.75" customHeight="1" x14ac:dyDescent="0.2">
      <c r="B35" s="232">
        <v>73193.600000000006</v>
      </c>
      <c r="C35" s="233">
        <v>73445</v>
      </c>
      <c r="D35" s="222" t="s">
        <v>15</v>
      </c>
      <c r="E35" s="222">
        <v>1</v>
      </c>
      <c r="F35" s="223">
        <v>0</v>
      </c>
      <c r="G35" s="223">
        <v>0</v>
      </c>
      <c r="H35" s="26">
        <f t="shared" si="63"/>
        <v>1.5</v>
      </c>
      <c r="I35" s="27">
        <f t="shared" si="64"/>
        <v>5.3073333333332107</v>
      </c>
      <c r="J35" s="27">
        <f t="shared" si="65"/>
        <v>6.2384444444443012</v>
      </c>
      <c r="K35" s="27">
        <f t="shared" si="66"/>
        <v>0</v>
      </c>
      <c r="L35" s="4">
        <f t="shared" ref="L35" si="85">C35-B35</f>
        <v>251.39999999999418</v>
      </c>
      <c r="M35" s="224"/>
      <c r="N35" s="14" t="str">
        <f t="shared" si="1"/>
        <v/>
      </c>
      <c r="O35" s="224">
        <v>2576.69</v>
      </c>
      <c r="P35" s="4">
        <f t="shared" ref="P35" si="86">SUM(N35:O35)</f>
        <v>2576.69</v>
      </c>
      <c r="Q35" s="6">
        <f t="shared" ref="Q35" si="87">(S35)/2000</f>
        <v>0.16409944444444396</v>
      </c>
      <c r="R35" s="6">
        <f t="shared" ref="R35" si="88">S35</f>
        <v>328.19888888888795</v>
      </c>
      <c r="S35" s="6">
        <f t="shared" si="71"/>
        <v>328.19888888888795</v>
      </c>
      <c r="T35" s="6">
        <f t="shared" ref="T35" si="89">$S$1*S35*110*0.06*0.75/2000</f>
        <v>9.7475069999999722</v>
      </c>
      <c r="U35" s="225"/>
      <c r="V35" s="12"/>
      <c r="W35" s="34">
        <f t="shared" si="73"/>
        <v>96.763922839506037</v>
      </c>
      <c r="X35" s="4">
        <f t="shared" si="74"/>
        <v>53.954925925925778</v>
      </c>
      <c r="Y35" s="6">
        <f t="shared" si="75"/>
        <v>11.451955555555555</v>
      </c>
      <c r="Z35" s="6"/>
      <c r="AA35" s="4">
        <f t="shared" si="76"/>
        <v>11.92912037037037</v>
      </c>
      <c r="AB35" s="4">
        <f t="shared" si="77"/>
        <v>13.917307098765434</v>
      </c>
      <c r="AC35" s="6">
        <f t="shared" si="78"/>
        <v>251.39999999999418</v>
      </c>
      <c r="AE35" s="98">
        <f t="shared" si="79"/>
        <v>4.6555555555554475</v>
      </c>
      <c r="AF35" s="94"/>
      <c r="AG35" s="6"/>
      <c r="AH35" s="6"/>
      <c r="AI35" s="6"/>
      <c r="AJ35" s="6">
        <f t="shared" si="84"/>
        <v>52.372037037036925</v>
      </c>
      <c r="AK35" s="95"/>
      <c r="AP35" s="356"/>
      <c r="AQ35" s="359" t="s">
        <v>122</v>
      </c>
      <c r="AR35" s="359"/>
      <c r="AS35" s="359"/>
    </row>
    <row r="36" spans="1:45" ht="12.75" customHeight="1" x14ac:dyDescent="0.2">
      <c r="B36" s="232">
        <v>73350.03</v>
      </c>
      <c r="C36" s="233">
        <v>73445</v>
      </c>
      <c r="D36" s="222" t="s">
        <v>15</v>
      </c>
      <c r="E36" s="222">
        <v>0</v>
      </c>
      <c r="F36" s="223">
        <v>0</v>
      </c>
      <c r="G36" s="223">
        <v>0</v>
      </c>
      <c r="H36" s="26">
        <f t="shared" si="63"/>
        <v>0</v>
      </c>
      <c r="I36" s="27">
        <f t="shared" si="64"/>
        <v>0</v>
      </c>
      <c r="J36" s="27">
        <f t="shared" si="65"/>
        <v>0</v>
      </c>
      <c r="K36" s="27">
        <f t="shared" si="66"/>
        <v>0</v>
      </c>
      <c r="L36" s="4">
        <f t="shared" ref="L36" si="90">C36-B36</f>
        <v>94.970000000001164</v>
      </c>
      <c r="M36" s="224"/>
      <c r="N36" s="14" t="str">
        <f t="shared" si="1"/>
        <v/>
      </c>
      <c r="O36" s="224">
        <v>1314.03</v>
      </c>
      <c r="P36" s="4">
        <f t="shared" ref="P36" si="91">SUM(N36:O36)</f>
        <v>1314.03</v>
      </c>
      <c r="Q36" s="6">
        <f t="shared" ref="Q36" si="92">(S36)/2000</f>
        <v>7.3001666666666659E-2</v>
      </c>
      <c r="R36" s="6">
        <f t="shared" ref="R36" si="93">S36</f>
        <v>146.00333333333333</v>
      </c>
      <c r="S36" s="6">
        <f t="shared" si="71"/>
        <v>146.00333333333333</v>
      </c>
      <c r="T36" s="6">
        <f t="shared" ref="T36" si="94">$S$1*S36*110*0.06*0.75/2000</f>
        <v>4.3362990000000003</v>
      </c>
      <c r="U36" s="225"/>
      <c r="V36" s="12"/>
      <c r="W36" s="34">
        <f t="shared" si="73"/>
        <v>46.639953703703704</v>
      </c>
      <c r="X36" s="4">
        <f t="shared" si="74"/>
        <v>24.33388888888889</v>
      </c>
      <c r="Y36" s="6">
        <f t="shared" si="75"/>
        <v>5.8401333333333332</v>
      </c>
      <c r="Z36" s="6"/>
      <c r="AA36" s="4">
        <f t="shared" si="76"/>
        <v>6.0834722222222224</v>
      </c>
      <c r="AB36" s="4">
        <f t="shared" si="77"/>
        <v>7.0973842592592584</v>
      </c>
      <c r="AC36" s="6">
        <f t="shared" si="78"/>
        <v>94.970000000001164</v>
      </c>
      <c r="AE36" s="98">
        <f t="shared" si="79"/>
        <v>0</v>
      </c>
      <c r="AF36" s="94">
        <f t="shared" ref="AF36:AF49" si="95">(S36)/2000</f>
        <v>7.3001666666666659E-2</v>
      </c>
      <c r="AG36" s="6">
        <f t="shared" ref="AG36" si="96">AH36</f>
        <v>146.00333333333333</v>
      </c>
      <c r="AH36" s="6">
        <f t="shared" si="82"/>
        <v>146.00333333333333</v>
      </c>
      <c r="AI36" s="6">
        <f t="shared" ref="AI36" si="97">$S$1*AH36*110*0.06*0.75/2000</f>
        <v>4.3362990000000003</v>
      </c>
      <c r="AJ36" s="6">
        <f t="shared" si="84"/>
        <v>24.33388888888889</v>
      </c>
      <c r="AK36" s="95">
        <f t="shared" ref="AK36:AK42" si="98">P36/9</f>
        <v>146.00333333333333</v>
      </c>
      <c r="AP36" s="356"/>
      <c r="AQ36" s="345" t="s">
        <v>109</v>
      </c>
      <c r="AR36" s="346"/>
      <c r="AS36" s="347"/>
    </row>
    <row r="37" spans="1:45" ht="12.75" customHeight="1" x14ac:dyDescent="0.2">
      <c r="B37" s="232">
        <v>73445</v>
      </c>
      <c r="C37" s="233">
        <v>74517.91</v>
      </c>
      <c r="D37" s="222" t="s">
        <v>15</v>
      </c>
      <c r="E37" s="222">
        <v>1</v>
      </c>
      <c r="F37" s="223">
        <v>0</v>
      </c>
      <c r="G37" s="223">
        <v>0</v>
      </c>
      <c r="H37" s="26">
        <f t="shared" si="63"/>
        <v>1.5</v>
      </c>
      <c r="I37" s="27">
        <f t="shared" si="64"/>
        <v>22.650322222222297</v>
      </c>
      <c r="J37" s="27">
        <f t="shared" si="65"/>
        <v>26.624062962963052</v>
      </c>
      <c r="K37" s="27">
        <f t="shared" si="66"/>
        <v>0</v>
      </c>
      <c r="L37" s="4">
        <f t="shared" ref="L37:L43" si="99">C37-B37</f>
        <v>1072.9100000000035</v>
      </c>
      <c r="M37" s="224">
        <v>57.91</v>
      </c>
      <c r="N37" s="14">
        <f t="shared" si="1"/>
        <v>62132.218100000202</v>
      </c>
      <c r="O37" s="224"/>
      <c r="P37" s="4">
        <f t="shared" ref="P37" si="100">SUM(N37:O37)</f>
        <v>62132.218100000202</v>
      </c>
      <c r="Q37" s="6">
        <f t="shared" ref="Q37" si="101">(S37)/2000</f>
        <v>3.5411990611111226</v>
      </c>
      <c r="R37" s="6">
        <f t="shared" ref="R37" si="102">S37</f>
        <v>7082.3981222222455</v>
      </c>
      <c r="S37" s="6">
        <f t="shared" si="71"/>
        <v>7082.3981222222455</v>
      </c>
      <c r="T37" s="6">
        <f t="shared" ref="T37" si="103">$S$1*S37*110*0.06*0.75/2000</f>
        <v>210.34722423000065</v>
      </c>
      <c r="U37" s="225"/>
      <c r="V37" s="12"/>
      <c r="W37" s="34">
        <f t="shared" si="73"/>
        <v>2227.9605325617358</v>
      </c>
      <c r="X37" s="4">
        <f t="shared" si="74"/>
        <v>1177.2206944444483</v>
      </c>
      <c r="Y37" s="6">
        <f t="shared" si="75"/>
        <v>276.14319155555643</v>
      </c>
      <c r="Z37" s="6"/>
      <c r="AA37" s="4">
        <f t="shared" si="76"/>
        <v>287.64915787037131</v>
      </c>
      <c r="AB37" s="4">
        <f t="shared" si="77"/>
        <v>335.59068418209984</v>
      </c>
      <c r="AC37" s="6">
        <f t="shared" si="78"/>
        <v>1072.9100000000035</v>
      </c>
      <c r="AE37" s="98">
        <f t="shared" si="79"/>
        <v>19.868703703703769</v>
      </c>
      <c r="AF37" s="94">
        <f t="shared" si="95"/>
        <v>3.5411990611111226</v>
      </c>
      <c r="AG37" s="6">
        <f t="shared" ref="AG37:AG42" si="104">AH37</f>
        <v>7082.3981222222455</v>
      </c>
      <c r="AH37" s="6">
        <f t="shared" si="82"/>
        <v>7082.3981222222455</v>
      </c>
      <c r="AI37" s="6">
        <f t="shared" ref="AI37:AI42" si="105">$S$1*AH37*110*0.06*0.75/2000</f>
        <v>210.34722423000065</v>
      </c>
      <c r="AJ37" s="6">
        <f t="shared" si="84"/>
        <v>1170.4653351851889</v>
      </c>
      <c r="AK37" s="95">
        <f t="shared" si="98"/>
        <v>6903.579788888911</v>
      </c>
      <c r="AP37" s="356"/>
      <c r="AQ37" s="348" t="s">
        <v>112</v>
      </c>
      <c r="AR37" s="349"/>
      <c r="AS37" s="350"/>
    </row>
    <row r="38" spans="1:45" ht="12.75" customHeight="1" x14ac:dyDescent="0.2">
      <c r="B38" s="232">
        <v>74517.91</v>
      </c>
      <c r="C38" s="233">
        <v>75050</v>
      </c>
      <c r="D38" s="222" t="s">
        <v>15</v>
      </c>
      <c r="E38" s="222">
        <v>1</v>
      </c>
      <c r="F38" s="223">
        <v>0</v>
      </c>
      <c r="G38" s="223">
        <v>0</v>
      </c>
      <c r="H38" s="26">
        <f t="shared" si="63"/>
        <v>1.5</v>
      </c>
      <c r="I38" s="27">
        <f t="shared" si="64"/>
        <v>11.233011111111036</v>
      </c>
      <c r="J38" s="27">
        <f t="shared" si="65"/>
        <v>13.203714814814729</v>
      </c>
      <c r="K38" s="27">
        <f t="shared" si="66"/>
        <v>0</v>
      </c>
      <c r="L38" s="4">
        <f t="shared" si="99"/>
        <v>532.08999999999651</v>
      </c>
      <c r="M38" s="224"/>
      <c r="N38" s="14" t="str">
        <f t="shared" si="1"/>
        <v/>
      </c>
      <c r="O38" s="224">
        <v>37292.639999999999</v>
      </c>
      <c r="P38" s="4">
        <f t="shared" ref="P38" si="106">SUM(N38:O38)</f>
        <v>37292.639999999999</v>
      </c>
      <c r="Q38" s="6">
        <f t="shared" ref="Q38" si="107">(S38)/2000</f>
        <v>2.1161541666666661</v>
      </c>
      <c r="R38" s="6">
        <f t="shared" ref="R38" si="108">S38</f>
        <v>4232.3083333333325</v>
      </c>
      <c r="S38" s="6">
        <f t="shared" si="71"/>
        <v>4232.3083333333325</v>
      </c>
      <c r="T38" s="6">
        <f t="shared" ref="T38" si="109">$S$1*S38*110*0.06*0.75/2000</f>
        <v>125.69955749999998</v>
      </c>
      <c r="U38" s="225"/>
      <c r="V38" s="12"/>
      <c r="W38" s="34">
        <f t="shared" si="73"/>
        <v>1334.8915296296295</v>
      </c>
      <c r="X38" s="4">
        <f t="shared" si="74"/>
        <v>703.80815925925913</v>
      </c>
      <c r="Y38" s="6">
        <f t="shared" si="75"/>
        <v>165.74506666666667</v>
      </c>
      <c r="Z38" s="6"/>
      <c r="AA38" s="4">
        <f t="shared" si="76"/>
        <v>172.65111111111111</v>
      </c>
      <c r="AB38" s="4">
        <f t="shared" si="77"/>
        <v>201.42629629629627</v>
      </c>
      <c r="AC38" s="6">
        <f t="shared" si="78"/>
        <v>532.08999999999651</v>
      </c>
      <c r="AE38" s="98">
        <f t="shared" si="79"/>
        <v>9.8535185185184542</v>
      </c>
      <c r="AF38" s="94">
        <f t="shared" si="95"/>
        <v>2.1161541666666661</v>
      </c>
      <c r="AG38" s="6">
        <f t="shared" si="104"/>
        <v>4232.3083333333325</v>
      </c>
      <c r="AH38" s="6">
        <f t="shared" si="82"/>
        <v>4232.3083333333325</v>
      </c>
      <c r="AI38" s="6">
        <f t="shared" si="105"/>
        <v>125.69955749999998</v>
      </c>
      <c r="AJ38" s="6">
        <f t="shared" si="84"/>
        <v>700.45796296296282</v>
      </c>
      <c r="AK38" s="95">
        <f t="shared" si="98"/>
        <v>4143.626666666667</v>
      </c>
      <c r="AP38" s="356"/>
      <c r="AQ38" s="353">
        <v>0.5</v>
      </c>
      <c r="AR38" s="354"/>
      <c r="AS38" s="355"/>
    </row>
    <row r="39" spans="1:45" ht="12.75" customHeight="1" x14ac:dyDescent="0.2">
      <c r="B39" s="232">
        <v>75050</v>
      </c>
      <c r="C39" s="233">
        <v>75725</v>
      </c>
      <c r="D39" s="222" t="s">
        <v>15</v>
      </c>
      <c r="E39" s="222">
        <v>0</v>
      </c>
      <c r="F39" s="223">
        <v>0</v>
      </c>
      <c r="G39" s="223">
        <v>0</v>
      </c>
      <c r="H39" s="26">
        <f t="shared" si="63"/>
        <v>0</v>
      </c>
      <c r="I39" s="27">
        <f t="shared" si="64"/>
        <v>0</v>
      </c>
      <c r="J39" s="27">
        <f t="shared" si="65"/>
        <v>0</v>
      </c>
      <c r="K39" s="27">
        <f t="shared" si="66"/>
        <v>0</v>
      </c>
      <c r="L39" s="4">
        <f t="shared" si="99"/>
        <v>675</v>
      </c>
      <c r="M39" s="224">
        <v>42.42</v>
      </c>
      <c r="N39" s="14">
        <f t="shared" si="1"/>
        <v>28633.5</v>
      </c>
      <c r="O39" s="224"/>
      <c r="P39" s="4">
        <f t="shared" ref="P39" si="110">SUM(N39:O39)</f>
        <v>28633.5</v>
      </c>
      <c r="Q39" s="6">
        <f t="shared" ref="Q39" si="111">(S39)/2000</f>
        <v>1.5907500000000001</v>
      </c>
      <c r="R39" s="6">
        <f t="shared" ref="R39" si="112">S39</f>
        <v>3181.5</v>
      </c>
      <c r="S39" s="6">
        <f t="shared" si="71"/>
        <v>3181.5</v>
      </c>
      <c r="T39" s="6">
        <f t="shared" ref="T39" si="113">$S$1*S39*110*0.06*0.75/2000</f>
        <v>94.490549999999985</v>
      </c>
      <c r="U39" s="225"/>
      <c r="V39" s="12"/>
      <c r="W39" s="34">
        <f t="shared" si="73"/>
        <v>1016.3125</v>
      </c>
      <c r="X39" s="4">
        <f t="shared" si="74"/>
        <v>530.25</v>
      </c>
      <c r="Y39" s="6">
        <f t="shared" si="75"/>
        <v>127.26</v>
      </c>
      <c r="Z39" s="6"/>
      <c r="AA39" s="4">
        <f t="shared" si="76"/>
        <v>132.5625</v>
      </c>
      <c r="AB39" s="4">
        <f t="shared" si="77"/>
        <v>154.65625</v>
      </c>
      <c r="AC39" s="6">
        <f t="shared" si="78"/>
        <v>675</v>
      </c>
      <c r="AE39" s="98">
        <f t="shared" si="79"/>
        <v>0</v>
      </c>
      <c r="AF39" s="94">
        <f t="shared" si="95"/>
        <v>1.5907500000000001</v>
      </c>
      <c r="AG39" s="6">
        <f t="shared" si="104"/>
        <v>3181.5</v>
      </c>
      <c r="AH39" s="6">
        <f t="shared" si="82"/>
        <v>3181.5</v>
      </c>
      <c r="AI39" s="6">
        <f t="shared" si="105"/>
        <v>94.490549999999985</v>
      </c>
      <c r="AJ39" s="6">
        <f t="shared" si="84"/>
        <v>530.25</v>
      </c>
      <c r="AK39" s="95">
        <f t="shared" si="98"/>
        <v>3181.5</v>
      </c>
    </row>
    <row r="40" spans="1:45" ht="12.75" customHeight="1" x14ac:dyDescent="0.2">
      <c r="B40" s="232">
        <v>75725</v>
      </c>
      <c r="C40" s="233">
        <v>75775</v>
      </c>
      <c r="D40" s="222" t="s">
        <v>15</v>
      </c>
      <c r="E40" s="222">
        <v>0</v>
      </c>
      <c r="F40" s="223">
        <v>0</v>
      </c>
      <c r="G40" s="223">
        <v>0</v>
      </c>
      <c r="H40" s="26">
        <f t="shared" si="63"/>
        <v>0</v>
      </c>
      <c r="I40" s="27">
        <f t="shared" si="64"/>
        <v>0</v>
      </c>
      <c r="J40" s="27">
        <f t="shared" si="65"/>
        <v>0</v>
      </c>
      <c r="K40" s="27">
        <f t="shared" si="66"/>
        <v>0</v>
      </c>
      <c r="L40" s="4">
        <f t="shared" si="99"/>
        <v>50</v>
      </c>
      <c r="M40" s="224">
        <v>43.42</v>
      </c>
      <c r="N40" s="14">
        <f t="shared" si="1"/>
        <v>2171</v>
      </c>
      <c r="O40" s="224"/>
      <c r="P40" s="4">
        <f t="shared" ref="P40:P41" si="114">SUM(N40:O40)</f>
        <v>2171</v>
      </c>
      <c r="Q40" s="6">
        <f t="shared" ref="Q40:Q41" si="115">(S40)/2000</f>
        <v>0.12061111111111111</v>
      </c>
      <c r="R40" s="6">
        <f t="shared" ref="R40:R41" si="116">S40</f>
        <v>241.22222222222223</v>
      </c>
      <c r="S40" s="6">
        <f t="shared" si="71"/>
        <v>241.22222222222223</v>
      </c>
      <c r="T40" s="6">
        <f t="shared" ref="T40:T41" si="117">$S$1*S40*110*0.06*0.75/2000</f>
        <v>7.1643000000000008</v>
      </c>
      <c r="U40" s="225"/>
      <c r="V40" s="12"/>
      <c r="W40" s="34">
        <f t="shared" si="73"/>
        <v>77.057098765432087</v>
      </c>
      <c r="X40" s="4">
        <f t="shared" si="74"/>
        <v>40.203703703703702</v>
      </c>
      <c r="Y40" s="6">
        <f t="shared" si="75"/>
        <v>9.6488888888888891</v>
      </c>
      <c r="Z40" s="6"/>
      <c r="AA40" s="4">
        <f t="shared" si="76"/>
        <v>10.050925925925926</v>
      </c>
      <c r="AB40" s="4">
        <f t="shared" si="77"/>
        <v>11.726080246913581</v>
      </c>
      <c r="AC40" s="6">
        <f t="shared" si="78"/>
        <v>50</v>
      </c>
      <c r="AE40" s="98">
        <f t="shared" si="79"/>
        <v>0</v>
      </c>
      <c r="AF40" s="94">
        <f t="shared" si="95"/>
        <v>0.12061111111111111</v>
      </c>
      <c r="AG40" s="6">
        <f t="shared" si="104"/>
        <v>241.22222222222223</v>
      </c>
      <c r="AH40" s="6">
        <f t="shared" si="82"/>
        <v>241.22222222222223</v>
      </c>
      <c r="AI40" s="6">
        <f t="shared" si="105"/>
        <v>7.1643000000000008</v>
      </c>
      <c r="AJ40" s="6">
        <f t="shared" si="84"/>
        <v>40.203703703703702</v>
      </c>
      <c r="AK40" s="95">
        <f t="shared" si="98"/>
        <v>241.22222222222223</v>
      </c>
    </row>
    <row r="41" spans="1:45" ht="12.75" customHeight="1" x14ac:dyDescent="0.2">
      <c r="B41" s="232">
        <v>75775</v>
      </c>
      <c r="C41" s="233">
        <v>75788.42</v>
      </c>
      <c r="D41" s="222" t="s">
        <v>15</v>
      </c>
      <c r="E41" s="222">
        <v>0</v>
      </c>
      <c r="F41" s="223">
        <v>0</v>
      </c>
      <c r="G41" s="223">
        <v>0</v>
      </c>
      <c r="H41" s="26">
        <f t="shared" si="63"/>
        <v>0</v>
      </c>
      <c r="I41" s="27">
        <f t="shared" si="64"/>
        <v>0</v>
      </c>
      <c r="J41" s="27">
        <f t="shared" si="65"/>
        <v>0</v>
      </c>
      <c r="K41" s="27">
        <f t="shared" si="66"/>
        <v>0</v>
      </c>
      <c r="L41" s="4">
        <f t="shared" si="99"/>
        <v>13.419999999998254</v>
      </c>
      <c r="M41" s="224">
        <v>44.42</v>
      </c>
      <c r="N41" s="14">
        <f t="shared" si="1"/>
        <v>596.11639999992246</v>
      </c>
      <c r="O41" s="224"/>
      <c r="P41" s="4">
        <f t="shared" si="114"/>
        <v>596.11639999992246</v>
      </c>
      <c r="Q41" s="6">
        <f t="shared" si="115"/>
        <v>3.3117577777773473E-2</v>
      </c>
      <c r="R41" s="6">
        <f t="shared" si="116"/>
        <v>66.235155555546939</v>
      </c>
      <c r="S41" s="6">
        <f t="shared" si="71"/>
        <v>66.235155555546939</v>
      </c>
      <c r="T41" s="6">
        <f t="shared" si="117"/>
        <v>1.967184119999744</v>
      </c>
      <c r="U41" s="225"/>
      <c r="V41" s="12"/>
      <c r="W41" s="34">
        <f t="shared" si="73"/>
        <v>21.158452469133049</v>
      </c>
      <c r="X41" s="4">
        <f t="shared" si="74"/>
        <v>11.039192592591156</v>
      </c>
      <c r="Y41" s="6">
        <f t="shared" si="75"/>
        <v>2.6494062222218777</v>
      </c>
      <c r="Z41" s="6"/>
      <c r="AA41" s="4">
        <f t="shared" si="76"/>
        <v>2.7597981481477891</v>
      </c>
      <c r="AB41" s="4">
        <f t="shared" si="77"/>
        <v>3.2197645061724209</v>
      </c>
      <c r="AC41" s="6">
        <f t="shared" si="78"/>
        <v>13.419999999998254</v>
      </c>
      <c r="AE41" s="98">
        <f t="shared" si="79"/>
        <v>0</v>
      </c>
      <c r="AF41" s="94">
        <f t="shared" si="95"/>
        <v>3.3117577777773473E-2</v>
      </c>
      <c r="AG41" s="6">
        <f t="shared" si="104"/>
        <v>66.235155555546939</v>
      </c>
      <c r="AH41" s="6">
        <f t="shared" si="82"/>
        <v>66.235155555546939</v>
      </c>
      <c r="AI41" s="6">
        <f t="shared" si="105"/>
        <v>1.967184119999744</v>
      </c>
      <c r="AJ41" s="6">
        <f t="shared" si="84"/>
        <v>11.039192592591156</v>
      </c>
      <c r="AK41" s="95">
        <f t="shared" si="98"/>
        <v>66.235155555546939</v>
      </c>
    </row>
    <row r="42" spans="1:45" ht="12.75" customHeight="1" x14ac:dyDescent="0.2">
      <c r="B42" s="232">
        <v>75788.42</v>
      </c>
      <c r="C42" s="233">
        <v>75798.7</v>
      </c>
      <c r="D42" s="222" t="s">
        <v>15</v>
      </c>
      <c r="E42" s="222">
        <v>0</v>
      </c>
      <c r="F42" s="223">
        <v>0</v>
      </c>
      <c r="G42" s="223">
        <v>0</v>
      </c>
      <c r="H42" s="26">
        <f t="shared" si="63"/>
        <v>0</v>
      </c>
      <c r="I42" s="27">
        <f t="shared" si="64"/>
        <v>0</v>
      </c>
      <c r="J42" s="27">
        <f t="shared" si="65"/>
        <v>0</v>
      </c>
      <c r="K42" s="27">
        <f t="shared" si="66"/>
        <v>0</v>
      </c>
      <c r="L42" s="4">
        <f t="shared" si="99"/>
        <v>10.279999999998836</v>
      </c>
      <c r="M42" s="224"/>
      <c r="N42" s="14" t="str">
        <f t="shared" si="1"/>
        <v/>
      </c>
      <c r="O42" s="224">
        <v>228.25</v>
      </c>
      <c r="P42" s="4">
        <f t="shared" ref="P42:P44" si="118">SUM(N42:O42)</f>
        <v>228.25</v>
      </c>
      <c r="Q42" s="6">
        <f t="shared" ref="Q42" si="119">(S42)/2000</f>
        <v>1.2680555555555556E-2</v>
      </c>
      <c r="R42" s="6">
        <f t="shared" ref="R42" si="120">S42</f>
        <v>25.361111111111111</v>
      </c>
      <c r="S42" s="6">
        <f t="shared" si="71"/>
        <v>25.361111111111111</v>
      </c>
      <c r="T42" s="6">
        <f t="shared" ref="T42" si="121">$S$1*S42*110*0.06*0.75/2000</f>
        <v>0.75322499999999992</v>
      </c>
      <c r="U42" s="225"/>
      <c r="V42" s="12"/>
      <c r="W42" s="34">
        <f t="shared" si="73"/>
        <v>8.1014660493827169</v>
      </c>
      <c r="X42" s="4">
        <f t="shared" si="74"/>
        <v>4.2268518518518521</v>
      </c>
      <c r="Y42" s="6">
        <f t="shared" si="75"/>
        <v>1.0144444444444445</v>
      </c>
      <c r="Z42" s="6"/>
      <c r="AA42" s="4">
        <f t="shared" si="76"/>
        <v>1.056712962962963</v>
      </c>
      <c r="AB42" s="4">
        <f t="shared" si="77"/>
        <v>1.2328317901234569</v>
      </c>
      <c r="AC42" s="6">
        <f t="shared" si="78"/>
        <v>10.279999999998836</v>
      </c>
      <c r="AE42" s="98">
        <f t="shared" si="79"/>
        <v>0</v>
      </c>
      <c r="AF42" s="94">
        <f t="shared" si="95"/>
        <v>1.2680555555555556E-2</v>
      </c>
      <c r="AG42" s="6">
        <f t="shared" si="104"/>
        <v>25.361111111111111</v>
      </c>
      <c r="AH42" s="6">
        <f t="shared" si="82"/>
        <v>25.361111111111111</v>
      </c>
      <c r="AI42" s="6">
        <f t="shared" si="105"/>
        <v>0.75322499999999992</v>
      </c>
      <c r="AJ42" s="6">
        <f t="shared" si="84"/>
        <v>4.2268518518518521</v>
      </c>
      <c r="AK42" s="95">
        <f t="shared" si="98"/>
        <v>25.361111111111111</v>
      </c>
    </row>
    <row r="43" spans="1:45" ht="12.75" customHeight="1" x14ac:dyDescent="0.2">
      <c r="A43" s="1" t="s">
        <v>36</v>
      </c>
      <c r="B43" s="232">
        <v>75788.42</v>
      </c>
      <c r="C43" s="233">
        <v>75818.42</v>
      </c>
      <c r="D43" s="222" t="s">
        <v>15</v>
      </c>
      <c r="E43" s="222">
        <v>0</v>
      </c>
      <c r="F43" s="223">
        <v>0</v>
      </c>
      <c r="G43" s="223">
        <v>0</v>
      </c>
      <c r="H43" s="26">
        <f t="shared" si="63"/>
        <v>0</v>
      </c>
      <c r="I43" s="27">
        <f t="shared" si="64"/>
        <v>0</v>
      </c>
      <c r="J43" s="27">
        <f t="shared" si="65"/>
        <v>0</v>
      </c>
      <c r="K43" s="27">
        <f t="shared" si="66"/>
        <v>0</v>
      </c>
      <c r="L43" s="4">
        <f t="shared" si="99"/>
        <v>30</v>
      </c>
      <c r="M43" s="224"/>
      <c r="N43" s="14" t="str">
        <f t="shared" si="1"/>
        <v/>
      </c>
      <c r="O43" s="224">
        <v>1412.5</v>
      </c>
      <c r="P43" s="4">
        <f t="shared" si="118"/>
        <v>1412.5</v>
      </c>
      <c r="Q43" s="6"/>
      <c r="R43" s="6"/>
      <c r="S43" s="6"/>
      <c r="T43" s="6"/>
      <c r="U43" s="225"/>
      <c r="V43" s="12"/>
      <c r="W43" s="34"/>
      <c r="X43" s="4">
        <f t="shared" si="74"/>
        <v>26.157407407407408</v>
      </c>
      <c r="Y43" s="6"/>
      <c r="Z43" s="6"/>
      <c r="AA43" s="4"/>
      <c r="AB43" s="4"/>
      <c r="AC43" s="6"/>
      <c r="AE43" s="98"/>
      <c r="AF43" s="94"/>
      <c r="AG43" s="6"/>
      <c r="AH43" s="6"/>
      <c r="AI43" s="6"/>
      <c r="AJ43" s="6">
        <f t="shared" si="84"/>
        <v>26.157407407407408</v>
      </c>
      <c r="AK43" s="95"/>
    </row>
    <row r="44" spans="1:45" ht="12.75" customHeight="1" x14ac:dyDescent="0.2">
      <c r="A44" s="1" t="s">
        <v>36</v>
      </c>
      <c r="B44" s="232">
        <v>75914.84</v>
      </c>
      <c r="C44" s="233">
        <v>75944.84</v>
      </c>
      <c r="D44" s="222" t="s">
        <v>15</v>
      </c>
      <c r="E44" s="222">
        <v>0</v>
      </c>
      <c r="F44" s="223">
        <v>0</v>
      </c>
      <c r="G44" s="223">
        <v>0</v>
      </c>
      <c r="H44" s="26">
        <f t="shared" si="63"/>
        <v>0</v>
      </c>
      <c r="I44" s="27">
        <f t="shared" si="64"/>
        <v>0</v>
      </c>
      <c r="J44" s="27">
        <f t="shared" si="65"/>
        <v>0</v>
      </c>
      <c r="K44" s="27">
        <f t="shared" si="66"/>
        <v>0</v>
      </c>
      <c r="L44" s="4">
        <f t="shared" ref="L44:L49" si="122">C44-B44</f>
        <v>30</v>
      </c>
      <c r="M44" s="224"/>
      <c r="N44" s="14" t="str">
        <f t="shared" si="1"/>
        <v/>
      </c>
      <c r="O44" s="224">
        <v>1412.5</v>
      </c>
      <c r="P44" s="4">
        <f t="shared" si="118"/>
        <v>1412.5</v>
      </c>
      <c r="Q44" s="6"/>
      <c r="R44" s="6"/>
      <c r="S44" s="6"/>
      <c r="T44" s="6"/>
      <c r="U44" s="225"/>
      <c r="V44" s="12"/>
      <c r="W44" s="34"/>
      <c r="X44" s="4">
        <f t="shared" si="74"/>
        <v>26.157407407407408</v>
      </c>
      <c r="Y44" s="6"/>
      <c r="Z44" s="6"/>
      <c r="AA44" s="4"/>
      <c r="AB44" s="4"/>
      <c r="AC44" s="6"/>
      <c r="AE44" s="98"/>
      <c r="AF44" s="94"/>
      <c r="AG44" s="6"/>
      <c r="AH44" s="6"/>
      <c r="AI44" s="6"/>
      <c r="AJ44" s="6">
        <f t="shared" si="84"/>
        <v>26.157407407407408</v>
      </c>
      <c r="AK44" s="95"/>
    </row>
    <row r="45" spans="1:45" ht="12.75" customHeight="1" x14ac:dyDescent="0.2">
      <c r="B45" s="232">
        <v>75944.84</v>
      </c>
      <c r="C45" s="233">
        <v>75955.12</v>
      </c>
      <c r="D45" s="222" t="s">
        <v>15</v>
      </c>
      <c r="E45" s="222">
        <v>0</v>
      </c>
      <c r="F45" s="223">
        <v>0</v>
      </c>
      <c r="G45" s="223">
        <v>0</v>
      </c>
      <c r="H45" s="26">
        <f t="shared" si="63"/>
        <v>0</v>
      </c>
      <c r="I45" s="27">
        <f t="shared" si="64"/>
        <v>0</v>
      </c>
      <c r="J45" s="27">
        <f t="shared" si="65"/>
        <v>0</v>
      </c>
      <c r="K45" s="27">
        <f t="shared" si="66"/>
        <v>0</v>
      </c>
      <c r="L45" s="4">
        <f t="shared" si="122"/>
        <v>10.279999999998836</v>
      </c>
      <c r="M45" s="224"/>
      <c r="N45" s="14" t="str">
        <f t="shared" si="1"/>
        <v/>
      </c>
      <c r="O45" s="224">
        <v>228.25</v>
      </c>
      <c r="P45" s="4">
        <f t="shared" ref="P45" si="123">SUM(N45:O45)</f>
        <v>228.25</v>
      </c>
      <c r="Q45" s="6">
        <f t="shared" ref="Q45" si="124">(S45)/2000</f>
        <v>1.2680555555555556E-2</v>
      </c>
      <c r="R45" s="6">
        <f t="shared" ref="R45" si="125">S45</f>
        <v>25.361111111111111</v>
      </c>
      <c r="S45" s="6">
        <f>($P45+H45*$L45)/9</f>
        <v>25.361111111111111</v>
      </c>
      <c r="T45" s="6">
        <f t="shared" ref="T45" si="126">$S$1*S45*110*0.06*0.75/2000</f>
        <v>0.75322499999999992</v>
      </c>
      <c r="U45" s="225"/>
      <c r="V45" s="12"/>
      <c r="W45" s="34">
        <f>(P45*$W$1/12)/27+I45</f>
        <v>8.1014660493827169</v>
      </c>
      <c r="X45" s="4">
        <f t="shared" si="74"/>
        <v>4.2268518518518521</v>
      </c>
      <c r="Y45" s="6">
        <f>($P45/9)*$Y$1</f>
        <v>1.0144444444444445</v>
      </c>
      <c r="Z45" s="6"/>
      <c r="AA45" s="4">
        <f>($P45*($AA$1/12))/27</f>
        <v>1.056712962962963</v>
      </c>
      <c r="AB45" s="4">
        <f>(P45*$AB$1/12)/27+K45</f>
        <v>1.2328317901234569</v>
      </c>
      <c r="AC45" s="6">
        <f>L45</f>
        <v>10.279999999998836</v>
      </c>
      <c r="AE45" s="98">
        <f>IF(E45=2,$AQ$26*2*L45/27,IF(F45=2,$AQ$32*2*L45/27,IF(G45=2,$AQ$38*2*L45/27,IF(AND(E45=1,F45=1),($AQ$26*L45+$AQ$32*L45)/27,IF(AND(E45=1,F45=0,G45=0),$AQ$26*L45/27,IF(AND(E45=1,G45=1),($AQ$26*L45+$AQ$38*L45)/27,IF(AND(E45=0,F45=1,G45=0),$AQ$32*L45/27,IF(AND(F45=1,G45=1),($AQ$32*L45+$AQ$38*L45)/27,IF(AND(E45=0,F45=0,G45=1),$AQ$38*L45/27,0)))))))))</f>
        <v>0</v>
      </c>
      <c r="AF45" s="94">
        <f t="shared" si="95"/>
        <v>1.2680555555555556E-2</v>
      </c>
      <c r="AG45" s="6">
        <f t="shared" ref="AG45" si="127">AH45</f>
        <v>25.361111111111111</v>
      </c>
      <c r="AH45" s="6">
        <f t="shared" ref="AH45:AH49" si="128">($P45+H45*$L45)/9</f>
        <v>25.361111111111111</v>
      </c>
      <c r="AI45" s="6">
        <f t="shared" ref="AI45" si="129">$S$1*AH45*110*0.06*0.75/2000</f>
        <v>0.75322499999999992</v>
      </c>
      <c r="AJ45" s="6">
        <f t="shared" si="84"/>
        <v>4.2268518518518521</v>
      </c>
      <c r="AK45" s="95">
        <f>P45/9</f>
        <v>25.361111111111111</v>
      </c>
    </row>
    <row r="46" spans="1:45" ht="12.75" customHeight="1" x14ac:dyDescent="0.2">
      <c r="B46" s="232">
        <v>75955.12</v>
      </c>
      <c r="C46" s="233">
        <v>76176.61</v>
      </c>
      <c r="D46" s="222" t="s">
        <v>15</v>
      </c>
      <c r="E46" s="222">
        <v>0</v>
      </c>
      <c r="F46" s="223">
        <v>1</v>
      </c>
      <c r="G46" s="223">
        <v>0</v>
      </c>
      <c r="H46" s="26">
        <f t="shared" si="63"/>
        <v>2</v>
      </c>
      <c r="I46" s="27">
        <f t="shared" si="64"/>
        <v>0</v>
      </c>
      <c r="J46" s="27">
        <f t="shared" si="65"/>
        <v>4.1016666666667634</v>
      </c>
      <c r="K46" s="27">
        <f t="shared" si="66"/>
        <v>0</v>
      </c>
      <c r="L46" s="4">
        <f t="shared" si="122"/>
        <v>221.49000000000524</v>
      </c>
      <c r="M46" s="224">
        <v>44.42</v>
      </c>
      <c r="N46" s="14">
        <f t="shared" si="1"/>
        <v>9838.5858000002336</v>
      </c>
      <c r="O46" s="224"/>
      <c r="P46" s="4">
        <f t="shared" ref="P46" si="130">SUM(N46:O46)</f>
        <v>9838.5858000002336</v>
      </c>
      <c r="Q46" s="6">
        <f t="shared" ref="Q46" si="131">(S46)/2000</f>
        <v>0.57119810000001359</v>
      </c>
      <c r="R46" s="6">
        <f t="shared" ref="R46" si="132">S46</f>
        <v>1142.3962000000272</v>
      </c>
      <c r="S46" s="6">
        <f>($P46+H46*$L46)/9</f>
        <v>1142.3962000000272</v>
      </c>
      <c r="T46" s="6">
        <f t="shared" ref="T46" si="133">$S$1*S46*110*0.06*0.75/2000</f>
        <v>33.929167140000807</v>
      </c>
      <c r="U46" s="225"/>
      <c r="V46" s="12"/>
      <c r="W46" s="34">
        <f>(P46*$W$1/12)/27+I46</f>
        <v>349.20906388889716</v>
      </c>
      <c r="X46" s="4">
        <f t="shared" si="74"/>
        <v>186.29770000000443</v>
      </c>
      <c r="Y46" s="6">
        <f>($P46/9)*$Y$1</f>
        <v>43.727048000001041</v>
      </c>
      <c r="Z46" s="6"/>
      <c r="AA46" s="4">
        <f>($P46*($AA$1/12))/27</f>
        <v>45.549008333334413</v>
      </c>
      <c r="AB46" s="4">
        <f>(P46*$AB$1/12)/27+K46</f>
        <v>53.140509722223484</v>
      </c>
      <c r="AC46" s="6">
        <f>L46</f>
        <v>221.49000000000524</v>
      </c>
      <c r="AE46" s="98">
        <f>IF(E46=2,$AQ$26*2*L46/27,IF(F46=2,$AQ$32*2*L46/27,IF(G46=2,$AQ$38*2*L46/27,IF(AND(E46=1,F46=1),($AQ$26*L46+$AQ$32*L46)/27,IF(AND(E46=1,F46=0,G46=0),$AQ$26*L46/27,IF(AND(E46=1,G46=1),($AQ$26*L46+$AQ$38*L46)/27,IF(AND(E46=0,F46=1,G46=0),$AQ$32*L46/27,IF(AND(F46=1,G46=1),($AQ$32*L46+$AQ$38*L46)/27,IF(AND(E46=0,F46=0,G46=1),$AQ$38*L46/27,0)))))))))</f>
        <v>4.1016666666667634</v>
      </c>
      <c r="AF46" s="94">
        <f t="shared" si="95"/>
        <v>0.57119810000001359</v>
      </c>
      <c r="AG46" s="6">
        <f t="shared" ref="AG46:AG49" si="134">AH46</f>
        <v>1142.3962000000272</v>
      </c>
      <c r="AH46" s="6">
        <f t="shared" si="128"/>
        <v>1142.3962000000272</v>
      </c>
      <c r="AI46" s="6">
        <f t="shared" ref="AI46:AI49" si="135">$S$1*AH46*110*0.06*0.75/2000</f>
        <v>33.929167140000807</v>
      </c>
      <c r="AJ46" s="6">
        <f t="shared" si="84"/>
        <v>186.29770000000443</v>
      </c>
      <c r="AK46" s="95">
        <f>P46/9</f>
        <v>1093.176200000026</v>
      </c>
    </row>
    <row r="47" spans="1:45" ht="12.75" customHeight="1" x14ac:dyDescent="0.2">
      <c r="B47" s="232">
        <v>76176.61</v>
      </c>
      <c r="C47" s="233">
        <v>76736.5</v>
      </c>
      <c r="D47" s="222" t="s">
        <v>15</v>
      </c>
      <c r="E47" s="222">
        <v>0</v>
      </c>
      <c r="F47" s="223">
        <v>1</v>
      </c>
      <c r="G47" s="223">
        <v>0</v>
      </c>
      <c r="H47" s="26">
        <f t="shared" si="63"/>
        <v>2</v>
      </c>
      <c r="I47" s="27">
        <f t="shared" si="64"/>
        <v>0</v>
      </c>
      <c r="J47" s="27">
        <f t="shared" si="65"/>
        <v>10.368333333333323</v>
      </c>
      <c r="K47" s="27">
        <f t="shared" si="66"/>
        <v>0</v>
      </c>
      <c r="L47" s="4">
        <f t="shared" si="122"/>
        <v>559.88999999999942</v>
      </c>
      <c r="M47" s="224">
        <v>48.42</v>
      </c>
      <c r="N47" s="14">
        <f t="shared" si="1"/>
        <v>27109.873799999972</v>
      </c>
      <c r="O47" s="224"/>
      <c r="P47" s="4">
        <f t="shared" ref="P47" si="136">SUM(N47:O47)</f>
        <v>27109.873799999972</v>
      </c>
      <c r="Q47" s="6">
        <f t="shared" ref="Q47" si="137">(S47)/2000</f>
        <v>1.5683140999999985</v>
      </c>
      <c r="R47" s="6">
        <f t="shared" ref="R47" si="138">S47</f>
        <v>3136.6281999999969</v>
      </c>
      <c r="S47" s="6">
        <f>($P47+H47*$L47)/9</f>
        <v>3136.6281999999969</v>
      </c>
      <c r="T47" s="6">
        <f t="shared" ref="T47" si="139">$S$1*S47*110*0.06*0.75/2000</f>
        <v>93.157857539999895</v>
      </c>
      <c r="U47" s="225"/>
      <c r="V47" s="12"/>
      <c r="W47" s="34">
        <f>(P47*$W$1/12)/27+I47</f>
        <v>962.23317499999905</v>
      </c>
      <c r="X47" s="4">
        <f t="shared" si="74"/>
        <v>512.40303333333281</v>
      </c>
      <c r="Y47" s="6">
        <f>($P47/9)*$Y$1</f>
        <v>120.48832799999988</v>
      </c>
      <c r="Z47" s="6"/>
      <c r="AA47" s="4">
        <f>($P47*($AA$1/12))/27</f>
        <v>125.50867499999987</v>
      </c>
      <c r="AB47" s="4">
        <f>(P47*$AB$1/12)/27+K47</f>
        <v>146.42678749999985</v>
      </c>
      <c r="AC47" s="6">
        <f>L47</f>
        <v>559.88999999999942</v>
      </c>
      <c r="AE47" s="98">
        <f>IF(E47=2,$AQ$26*2*L47/27,IF(F47=2,$AQ$32*2*L47/27,IF(G47=2,$AQ$38*2*L47/27,IF(AND(E47=1,F47=1),($AQ$26*L47+$AQ$32*L47)/27,IF(AND(E47=1,F47=0,G47=0),$AQ$26*L47/27,IF(AND(E47=1,G47=1),($AQ$26*L47+$AQ$38*L47)/27,IF(AND(E47=0,F47=1,G47=0),$AQ$32*L47/27,IF(AND(F47=1,G47=1),($AQ$32*L47+$AQ$38*L47)/27,IF(AND(E47=0,F47=0,G47=1),$AQ$38*L47/27,0)))))))))</f>
        <v>10.368333333333323</v>
      </c>
      <c r="AF47" s="94">
        <f t="shared" si="95"/>
        <v>1.5683140999999985</v>
      </c>
      <c r="AG47" s="6">
        <f t="shared" si="134"/>
        <v>3136.6281999999969</v>
      </c>
      <c r="AH47" s="6">
        <f t="shared" si="128"/>
        <v>3136.6281999999969</v>
      </c>
      <c r="AI47" s="6">
        <f t="shared" si="135"/>
        <v>93.157857539999895</v>
      </c>
      <c r="AJ47" s="6">
        <f t="shared" si="84"/>
        <v>512.40303333333281</v>
      </c>
      <c r="AK47" s="95">
        <f>P47/9</f>
        <v>3012.2081999999969</v>
      </c>
    </row>
    <row r="48" spans="1:45" ht="12.75" customHeight="1" x14ac:dyDescent="0.2">
      <c r="B48" s="232">
        <v>76736.5</v>
      </c>
      <c r="C48" s="233">
        <v>77000</v>
      </c>
      <c r="D48" s="222" t="s">
        <v>15</v>
      </c>
      <c r="E48" s="222">
        <v>0</v>
      </c>
      <c r="F48" s="223">
        <v>1</v>
      </c>
      <c r="G48" s="223">
        <v>0</v>
      </c>
      <c r="H48" s="26">
        <f t="shared" si="63"/>
        <v>2</v>
      </c>
      <c r="I48" s="27">
        <f t="shared" si="64"/>
        <v>0</v>
      </c>
      <c r="J48" s="27">
        <f t="shared" si="65"/>
        <v>4.8796296296296298</v>
      </c>
      <c r="K48" s="27">
        <f t="shared" si="66"/>
        <v>0</v>
      </c>
      <c r="L48" s="4">
        <f t="shared" si="122"/>
        <v>263.5</v>
      </c>
      <c r="M48" s="224"/>
      <c r="N48" s="14" t="str">
        <f t="shared" si="1"/>
        <v/>
      </c>
      <c r="O48" s="224">
        <v>14385.11</v>
      </c>
      <c r="P48" s="4">
        <f t="shared" ref="P48:P49" si="140">SUM(N48:O48)</f>
        <v>14385.11</v>
      </c>
      <c r="Q48" s="6">
        <f t="shared" ref="Q48:Q49" si="141">(S48)/2000</f>
        <v>0.82845055555555569</v>
      </c>
      <c r="R48" s="6">
        <f t="shared" ref="R48:R49" si="142">S48</f>
        <v>1656.9011111111113</v>
      </c>
      <c r="S48" s="6">
        <f>($P48+H48*$L48)/9</f>
        <v>1656.9011111111113</v>
      </c>
      <c r="T48" s="6">
        <f t="shared" ref="T48:T49" si="143">$S$1*S48*110*0.06*0.75/2000</f>
        <v>49.209963000000002</v>
      </c>
      <c r="U48" s="225"/>
      <c r="V48" s="12"/>
      <c r="W48" s="34">
        <f>(P48*$W$1/12)/27+I48</f>
        <v>510.58260802469135</v>
      </c>
      <c r="X48" s="4">
        <f t="shared" si="74"/>
        <v>271.27055555555557</v>
      </c>
      <c r="Y48" s="6">
        <f>($P48/9)*$Y$1</f>
        <v>63.933822222222226</v>
      </c>
      <c r="Z48" s="6"/>
      <c r="AA48" s="4">
        <f>($P48*($AA$1/12))/27</f>
        <v>66.597731481481489</v>
      </c>
      <c r="AB48" s="4">
        <f>(P48*$AB$1/12)/27+K48</f>
        <v>77.697353395061725</v>
      </c>
      <c r="AC48" s="6">
        <f>L48</f>
        <v>263.5</v>
      </c>
      <c r="AE48" s="98">
        <f>IF(E48=2,$AQ$26*2*L48/27,IF(F48=2,$AQ$32*2*L48/27,IF(G48=2,$AQ$38*2*L48/27,IF(AND(E48=1,F48=1),($AQ$26*L48+$AQ$32*L48)/27,IF(AND(E48=1,F48=0,G48=0),$AQ$26*L48/27,IF(AND(E48=1,G48=1),($AQ$26*L48+$AQ$38*L48)/27,IF(AND(E48=0,F48=1,G48=0),$AQ$32*L48/27,IF(AND(F48=1,G48=1),($AQ$32*L48+$AQ$38*L48)/27,IF(AND(E48=0,F48=0,G48=1),$AQ$38*L48/27,0)))))))))</f>
        <v>4.8796296296296298</v>
      </c>
      <c r="AF48" s="94">
        <f t="shared" si="95"/>
        <v>0.82845055555555569</v>
      </c>
      <c r="AG48" s="6">
        <f t="shared" si="134"/>
        <v>1656.9011111111113</v>
      </c>
      <c r="AH48" s="6">
        <f t="shared" si="128"/>
        <v>1656.9011111111113</v>
      </c>
      <c r="AI48" s="6">
        <f t="shared" si="135"/>
        <v>49.209963000000002</v>
      </c>
      <c r="AJ48" s="6">
        <f t="shared" si="84"/>
        <v>271.27055555555557</v>
      </c>
      <c r="AK48" s="95">
        <f>P48/9</f>
        <v>1598.3455555555556</v>
      </c>
    </row>
    <row r="49" spans="1:37" ht="12.75" customHeight="1" x14ac:dyDescent="0.2">
      <c r="B49" s="232">
        <v>77000</v>
      </c>
      <c r="C49" s="233">
        <v>77021.88</v>
      </c>
      <c r="D49" s="222" t="s">
        <v>15</v>
      </c>
      <c r="E49" s="222">
        <v>1</v>
      </c>
      <c r="F49" s="223">
        <v>1</v>
      </c>
      <c r="G49" s="223">
        <v>0</v>
      </c>
      <c r="H49" s="26">
        <f t="shared" si="63"/>
        <v>3.5</v>
      </c>
      <c r="I49" s="27">
        <f t="shared" si="64"/>
        <v>0.46191111111120936</v>
      </c>
      <c r="J49" s="27">
        <f t="shared" si="65"/>
        <v>0.94813333333353511</v>
      </c>
      <c r="K49" s="27">
        <f t="shared" si="66"/>
        <v>0</v>
      </c>
      <c r="L49" s="4">
        <f t="shared" si="122"/>
        <v>21.880000000004657</v>
      </c>
      <c r="M49" s="224"/>
      <c r="N49" s="14" t="str">
        <f t="shared" si="1"/>
        <v/>
      </c>
      <c r="O49" s="224">
        <v>1341.82</v>
      </c>
      <c r="P49" s="4">
        <f t="shared" si="140"/>
        <v>1341.82</v>
      </c>
      <c r="Q49" s="6">
        <f t="shared" si="141"/>
        <v>7.8800000000000911E-2</v>
      </c>
      <c r="R49" s="6">
        <f t="shared" si="142"/>
        <v>157.60000000000181</v>
      </c>
      <c r="S49" s="6">
        <f>($P49+H49*$L49)/9</f>
        <v>157.60000000000181</v>
      </c>
      <c r="T49" s="6">
        <f t="shared" si="143"/>
        <v>4.6807200000000533</v>
      </c>
      <c r="U49" s="225"/>
      <c r="V49" s="12"/>
      <c r="W49" s="34">
        <f>(P49*$W$1/12)/27+I49</f>
        <v>48.088238271605029</v>
      </c>
      <c r="X49" s="4">
        <f t="shared" si="74"/>
        <v>25.796651851852051</v>
      </c>
      <c r="Y49" s="6">
        <f>($P49/9)*$Y$1</f>
        <v>5.9636444444444443</v>
      </c>
      <c r="Z49" s="6"/>
      <c r="AA49" s="4">
        <f>($P49*($AA$1/12))/27</f>
        <v>6.2121296296296293</v>
      </c>
      <c r="AB49" s="4">
        <f>(P49*$AB$1/12)/27+K49</f>
        <v>7.2474845679012345</v>
      </c>
      <c r="AC49" s="226">
        <f>L49</f>
        <v>21.880000000004657</v>
      </c>
      <c r="AE49" s="98">
        <f>IF(E49=2,$AQ$26*2*L49/27,IF(F49=2,$AQ$32*2*L49/27,IF(G49=2,$AQ$38*2*L49/27,IF(AND(E49=1,F49=1),($AQ$26*L49+$AQ$32*L49)/27,IF(AND(E49=1,F49=0,G49=0),$AQ$26*L49/27,IF(AND(E49=1,G49=1),($AQ$26*L49+$AQ$38*L49)/27,IF(AND(E49=0,F49=1,G49=0),$AQ$32*L49/27,IF(AND(F49=1,G49=1),($AQ$32*L49+$AQ$38*L49)/27,IF(AND(E49=0,F49=0,G49=1),$AQ$38*L49/27,0)))))))))</f>
        <v>0.81037037037054283</v>
      </c>
      <c r="AF49" s="94">
        <f t="shared" si="95"/>
        <v>7.8800000000000911E-2</v>
      </c>
      <c r="AG49" s="6">
        <f t="shared" si="134"/>
        <v>157.60000000000181</v>
      </c>
      <c r="AH49" s="6">
        <f t="shared" si="128"/>
        <v>157.60000000000181</v>
      </c>
      <c r="AI49" s="6">
        <f t="shared" si="135"/>
        <v>4.6807200000000533</v>
      </c>
      <c r="AJ49" s="6">
        <f t="shared" si="84"/>
        <v>25.658888888889059</v>
      </c>
      <c r="AK49" s="95">
        <f>P49/9</f>
        <v>149.0911111111111</v>
      </c>
    </row>
    <row r="50" spans="1:37" ht="12.75" customHeight="1" thickBot="1" x14ac:dyDescent="0.25">
      <c r="B50" s="84"/>
      <c r="C50" s="3"/>
      <c r="D50" s="32"/>
      <c r="E50" s="32"/>
      <c r="F50" s="32"/>
      <c r="G50" s="32"/>
      <c r="H50" s="26"/>
      <c r="I50" s="27"/>
      <c r="J50" s="27"/>
      <c r="K50" s="27"/>
      <c r="L50" s="4"/>
      <c r="M50" s="4"/>
      <c r="N50" s="14"/>
      <c r="O50" s="4"/>
      <c r="P50" s="4"/>
      <c r="Q50" s="6"/>
      <c r="R50" s="6"/>
      <c r="S50" s="6"/>
      <c r="T50" s="6"/>
      <c r="U50" s="7"/>
      <c r="V50" s="7"/>
      <c r="W50" s="34"/>
      <c r="X50" s="4"/>
      <c r="Y50" s="6"/>
      <c r="Z50" s="6"/>
      <c r="AA50" s="4"/>
      <c r="AB50" s="4"/>
      <c r="AC50" s="19"/>
      <c r="AE50" s="19"/>
      <c r="AF50" s="19"/>
      <c r="AG50" s="6"/>
      <c r="AH50" s="6"/>
      <c r="AI50" s="6"/>
      <c r="AJ50" s="19"/>
      <c r="AK50" s="19"/>
    </row>
    <row r="51" spans="1:37" ht="12.75" customHeight="1" x14ac:dyDescent="0.2">
      <c r="A51" s="20"/>
      <c r="B51" s="380" t="s">
        <v>136</v>
      </c>
      <c r="C51" s="381"/>
      <c r="D51" s="384" t="s">
        <v>28</v>
      </c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6"/>
      <c r="Q51" s="369">
        <f t="shared" ref="Q51:Y51" si="144">ROUND(SUM(Q15:Q49),0)</f>
        <v>19</v>
      </c>
      <c r="R51" s="369">
        <f t="shared" si="144"/>
        <v>38569</v>
      </c>
      <c r="S51" s="369">
        <f t="shared" si="144"/>
        <v>38569</v>
      </c>
      <c r="T51" s="369">
        <f t="shared" si="144"/>
        <v>1146</v>
      </c>
      <c r="U51" s="369">
        <f t="shared" si="144"/>
        <v>1018</v>
      </c>
      <c r="V51" s="369">
        <f t="shared" si="144"/>
        <v>7022</v>
      </c>
      <c r="W51" s="369">
        <f t="shared" si="144"/>
        <v>12033</v>
      </c>
      <c r="X51" s="369">
        <f t="shared" si="144"/>
        <v>6477</v>
      </c>
      <c r="Y51" s="369">
        <f t="shared" si="144"/>
        <v>1778</v>
      </c>
      <c r="Z51" s="220"/>
      <c r="AA51" s="369">
        <f>ROUND(SUM(AA15:AA49),0)</f>
        <v>1852</v>
      </c>
      <c r="AB51" s="369">
        <f>ROUND(SUM(AB15:AB49),0)</f>
        <v>2161</v>
      </c>
      <c r="AC51" s="369">
        <f>ROUND(SUM(AC15:AC49),0)*2</f>
        <v>18726</v>
      </c>
      <c r="AD51" s="20"/>
      <c r="AF51" s="369">
        <f t="shared" ref="AF51:AK51" si="145">ROUND(SUM(AF15:AF49),0)</f>
        <v>19</v>
      </c>
      <c r="AG51" s="369">
        <f t="shared" si="145"/>
        <v>38241</v>
      </c>
      <c r="AH51" s="369">
        <f t="shared" si="145"/>
        <v>38241</v>
      </c>
      <c r="AI51" s="369">
        <f t="shared" si="145"/>
        <v>1136</v>
      </c>
      <c r="AJ51" s="369">
        <f t="shared" si="145"/>
        <v>6454</v>
      </c>
      <c r="AK51" s="369">
        <f t="shared" si="145"/>
        <v>37145</v>
      </c>
    </row>
    <row r="52" spans="1:37" ht="12.75" customHeight="1" thickBot="1" x14ac:dyDescent="0.25">
      <c r="A52" s="20"/>
      <c r="B52" s="382"/>
      <c r="C52" s="383"/>
      <c r="D52" s="387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88"/>
      <c r="P52" s="389"/>
      <c r="Q52" s="370"/>
      <c r="R52" s="370"/>
      <c r="S52" s="370"/>
      <c r="T52" s="370"/>
      <c r="U52" s="370"/>
      <c r="V52" s="370"/>
      <c r="W52" s="370"/>
      <c r="X52" s="370"/>
      <c r="Y52" s="370"/>
      <c r="Z52" s="219"/>
      <c r="AA52" s="370"/>
      <c r="AB52" s="370"/>
      <c r="AC52" s="370"/>
      <c r="AD52" s="20"/>
      <c r="AF52" s="370"/>
      <c r="AG52" s="370"/>
      <c r="AH52" s="370"/>
      <c r="AI52" s="370"/>
      <c r="AJ52" s="370"/>
      <c r="AK52" s="370"/>
    </row>
    <row r="53" spans="1:37" ht="12.75" customHeight="1" x14ac:dyDescent="0.2">
      <c r="AG53" s="1"/>
      <c r="AH53" s="1"/>
      <c r="AI53" s="1"/>
    </row>
    <row r="54" spans="1:37" ht="12.75" customHeight="1" x14ac:dyDescent="0.2">
      <c r="AG54" s="1"/>
      <c r="AH54" s="1"/>
      <c r="AI54" s="1"/>
    </row>
    <row r="55" spans="1:37" ht="12.75" customHeight="1" x14ac:dyDescent="0.2">
      <c r="C55" s="22"/>
      <c r="AG55" s="1"/>
      <c r="AH55" s="1"/>
      <c r="AI55" s="1"/>
    </row>
    <row r="56" spans="1:37" ht="12.75" customHeight="1" x14ac:dyDescent="0.2">
      <c r="C56" s="22"/>
      <c r="AG56" s="1"/>
      <c r="AH56" s="1"/>
      <c r="AI56" s="1"/>
    </row>
    <row r="57" spans="1:37" ht="12.75" customHeight="1" x14ac:dyDescent="0.2">
      <c r="C57" s="22"/>
      <c r="AG57" s="1"/>
      <c r="AH57" s="1"/>
      <c r="AI57" s="1"/>
    </row>
    <row r="58" spans="1:37" ht="12.75" customHeight="1" x14ac:dyDescent="0.2">
      <c r="C58" s="22"/>
      <c r="AG58" s="1"/>
      <c r="AH58" s="1"/>
      <c r="AI58" s="1"/>
    </row>
    <row r="59" spans="1:37" ht="12.75" customHeight="1" x14ac:dyDescent="0.2">
      <c r="C59" s="22"/>
      <c r="AG59" s="1"/>
      <c r="AH59" s="1"/>
      <c r="AI59" s="1"/>
    </row>
    <row r="60" spans="1:37" ht="12.75" customHeight="1" x14ac:dyDescent="0.2">
      <c r="C60" s="22"/>
      <c r="AG60" s="1"/>
      <c r="AH60" s="1"/>
      <c r="AI60" s="1"/>
    </row>
    <row r="61" spans="1:37" ht="12.75" customHeight="1" x14ac:dyDescent="0.2">
      <c r="C61" s="22"/>
      <c r="AG61" s="1"/>
      <c r="AH61" s="1"/>
      <c r="AI61" s="1"/>
    </row>
    <row r="62" spans="1:37" ht="12.75" customHeight="1" x14ac:dyDescent="0.2">
      <c r="C62" s="22"/>
      <c r="AG62" s="1"/>
      <c r="AH62" s="1"/>
      <c r="AI62" s="1"/>
    </row>
    <row r="63" spans="1:37" ht="12.75" customHeight="1" x14ac:dyDescent="0.2">
      <c r="AG63" s="1"/>
      <c r="AH63" s="1"/>
      <c r="AI63" s="1"/>
    </row>
    <row r="64" spans="1:37" ht="12.75" customHeight="1" x14ac:dyDescent="0.2">
      <c r="AG64" s="1"/>
      <c r="AH64" s="1"/>
      <c r="AI64" s="1"/>
    </row>
    <row r="65" spans="33:35" ht="12.75" customHeight="1" x14ac:dyDescent="0.2">
      <c r="AG65" s="1"/>
      <c r="AH65" s="1"/>
      <c r="AI65" s="1"/>
    </row>
    <row r="66" spans="33:35" ht="12.75" customHeight="1" x14ac:dyDescent="0.2">
      <c r="AG66" s="1"/>
      <c r="AH66" s="1"/>
      <c r="AI66" s="1"/>
    </row>
    <row r="67" spans="33:35" ht="12.75" customHeight="1" x14ac:dyDescent="0.2">
      <c r="AG67" s="1"/>
      <c r="AH67" s="1"/>
      <c r="AI67" s="1"/>
    </row>
    <row r="68" spans="33:35" ht="12.75" customHeight="1" x14ac:dyDescent="0.2">
      <c r="AG68" s="1"/>
      <c r="AH68" s="1"/>
      <c r="AI68" s="1"/>
    </row>
    <row r="69" spans="33:35" ht="12.75" customHeight="1" x14ac:dyDescent="0.2">
      <c r="AG69" s="1"/>
      <c r="AH69" s="1"/>
      <c r="AI69" s="1"/>
    </row>
    <row r="70" spans="33:35" ht="12.75" customHeight="1" x14ac:dyDescent="0.2">
      <c r="AG70" s="1"/>
      <c r="AH70" s="1"/>
      <c r="AI70" s="1"/>
    </row>
    <row r="71" spans="33:35" ht="12.75" customHeight="1" x14ac:dyDescent="0.2">
      <c r="AG71" s="1"/>
      <c r="AH71" s="1"/>
      <c r="AI71" s="1"/>
    </row>
    <row r="72" spans="33:35" ht="12.75" customHeight="1" x14ac:dyDescent="0.2">
      <c r="AG72" s="1"/>
      <c r="AH72" s="1"/>
      <c r="AI72" s="1"/>
    </row>
    <row r="73" spans="33:35" ht="12.75" customHeight="1" x14ac:dyDescent="0.2">
      <c r="AG73" s="1"/>
      <c r="AH73" s="1"/>
      <c r="AI73" s="1"/>
    </row>
    <row r="74" spans="33:35" ht="12.75" customHeight="1" x14ac:dyDescent="0.2">
      <c r="AG74" s="1"/>
      <c r="AH74" s="1"/>
      <c r="AI74" s="1"/>
    </row>
    <row r="75" spans="33:35" ht="12.75" customHeight="1" x14ac:dyDescent="0.2">
      <c r="AG75" s="1"/>
      <c r="AH75" s="1"/>
      <c r="AI75" s="1"/>
    </row>
    <row r="76" spans="33:35" ht="12.75" customHeight="1" x14ac:dyDescent="0.2">
      <c r="AG76" s="1"/>
      <c r="AH76" s="1"/>
      <c r="AI76" s="1"/>
    </row>
    <row r="77" spans="33:35" ht="12.75" customHeight="1" x14ac:dyDescent="0.2">
      <c r="AG77" s="1"/>
      <c r="AH77" s="1"/>
      <c r="AI77" s="1"/>
    </row>
    <row r="78" spans="33:35" ht="12.75" customHeight="1" x14ac:dyDescent="0.2">
      <c r="AG78" s="1"/>
      <c r="AH78" s="1"/>
      <c r="AI78" s="1"/>
    </row>
    <row r="79" spans="33:35" ht="12.75" customHeight="1" x14ac:dyDescent="0.2">
      <c r="AG79" s="1"/>
      <c r="AH79" s="1"/>
      <c r="AI79" s="1"/>
    </row>
    <row r="80" spans="33:35" ht="12.75" customHeight="1" x14ac:dyDescent="0.2">
      <c r="AG80" s="1"/>
      <c r="AH80" s="1"/>
      <c r="AI80" s="1"/>
    </row>
    <row r="81" spans="33:35" ht="12.75" customHeight="1" x14ac:dyDescent="0.2">
      <c r="AG81" s="1"/>
      <c r="AH81" s="1"/>
      <c r="AI81" s="1"/>
    </row>
    <row r="82" spans="33:35" ht="12.75" customHeight="1" x14ac:dyDescent="0.2">
      <c r="AG82" s="1"/>
      <c r="AH82" s="1"/>
      <c r="AI82" s="1"/>
    </row>
    <row r="83" spans="33:35" ht="12.75" customHeight="1" x14ac:dyDescent="0.2">
      <c r="AG83" s="1"/>
      <c r="AH83" s="1"/>
      <c r="AI83" s="1"/>
    </row>
    <row r="84" spans="33:35" ht="12.75" customHeight="1" x14ac:dyDescent="0.2">
      <c r="AG84" s="1"/>
      <c r="AH84" s="1"/>
      <c r="AI84" s="1"/>
    </row>
    <row r="85" spans="33:35" ht="12.75" customHeight="1" x14ac:dyDescent="0.2">
      <c r="AG85" s="1"/>
      <c r="AH85" s="1"/>
      <c r="AI85" s="1"/>
    </row>
    <row r="86" spans="33:35" ht="12.75" customHeight="1" x14ac:dyDescent="0.2">
      <c r="AG86" s="1"/>
      <c r="AH86" s="1"/>
      <c r="AI86" s="1"/>
    </row>
    <row r="87" spans="33:35" ht="12.75" customHeight="1" x14ac:dyDescent="0.2">
      <c r="AG87" s="1"/>
      <c r="AH87" s="1"/>
      <c r="AI87" s="1"/>
    </row>
    <row r="88" spans="33:35" ht="12.75" customHeight="1" x14ac:dyDescent="0.2">
      <c r="AG88" s="1"/>
      <c r="AH88" s="1"/>
      <c r="AI88" s="1"/>
    </row>
    <row r="89" spans="33:35" ht="12.75" customHeight="1" x14ac:dyDescent="0.2">
      <c r="AG89" s="1"/>
      <c r="AH89" s="1"/>
      <c r="AI89" s="1"/>
    </row>
    <row r="90" spans="33:35" ht="12.75" customHeight="1" x14ac:dyDescent="0.2">
      <c r="AG90" s="1"/>
      <c r="AH90" s="1"/>
      <c r="AI90" s="1"/>
    </row>
    <row r="91" spans="33:35" ht="12.75" customHeight="1" x14ac:dyDescent="0.2">
      <c r="AG91" s="1"/>
      <c r="AH91" s="1"/>
      <c r="AI91" s="1"/>
    </row>
    <row r="92" spans="33:35" ht="12.75" customHeight="1" x14ac:dyDescent="0.2">
      <c r="AG92" s="1"/>
      <c r="AH92" s="1"/>
      <c r="AI92" s="1"/>
    </row>
    <row r="93" spans="33:35" ht="12.75" customHeight="1" x14ac:dyDescent="0.2">
      <c r="AG93" s="1"/>
      <c r="AH93" s="1"/>
      <c r="AI93" s="1"/>
    </row>
    <row r="94" spans="33:35" ht="12.75" customHeight="1" x14ac:dyDescent="0.2">
      <c r="AG94" s="1"/>
      <c r="AH94" s="1"/>
      <c r="AI94" s="1"/>
    </row>
    <row r="95" spans="33:35" ht="12.75" customHeight="1" x14ac:dyDescent="0.2">
      <c r="AG95" s="1"/>
      <c r="AH95" s="1"/>
      <c r="AI95" s="1"/>
    </row>
    <row r="96" spans="33:35" ht="12.75" customHeight="1" x14ac:dyDescent="0.2">
      <c r="AG96" s="1"/>
      <c r="AH96" s="1"/>
      <c r="AI96" s="1"/>
    </row>
    <row r="97" spans="33:35" ht="12.75" customHeight="1" x14ac:dyDescent="0.2">
      <c r="AG97" s="1"/>
      <c r="AH97" s="1"/>
      <c r="AI97" s="1"/>
    </row>
    <row r="98" spans="33:35" ht="12.75" customHeight="1" x14ac:dyDescent="0.2">
      <c r="AG98" s="1"/>
      <c r="AH98" s="1"/>
      <c r="AI98" s="1"/>
    </row>
    <row r="99" spans="33:35" ht="12.75" customHeight="1" x14ac:dyDescent="0.2">
      <c r="AG99" s="1"/>
      <c r="AH99" s="1"/>
      <c r="AI99" s="1"/>
    </row>
    <row r="100" spans="33:35" ht="12.75" customHeight="1" x14ac:dyDescent="0.2">
      <c r="AG100" s="1"/>
      <c r="AH100" s="1"/>
      <c r="AI100" s="1"/>
    </row>
    <row r="101" spans="33:35" ht="12.75" customHeight="1" x14ac:dyDescent="0.2">
      <c r="AG101" s="1"/>
      <c r="AH101" s="1"/>
      <c r="AI101" s="1"/>
    </row>
    <row r="102" spans="33:35" ht="12.75" customHeight="1" x14ac:dyDescent="0.2">
      <c r="AG102" s="1"/>
      <c r="AH102" s="1"/>
      <c r="AI102" s="1"/>
    </row>
    <row r="103" spans="33:35" ht="12.75" customHeight="1" x14ac:dyDescent="0.2">
      <c r="AG103" s="1"/>
      <c r="AH103" s="1"/>
      <c r="AI103" s="1"/>
    </row>
    <row r="104" spans="33:35" ht="12.75" customHeight="1" x14ac:dyDescent="0.2">
      <c r="AG104" s="1"/>
      <c r="AH104" s="1"/>
      <c r="AI104" s="1"/>
    </row>
    <row r="105" spans="33:35" ht="12.75" customHeight="1" x14ac:dyDescent="0.2">
      <c r="AG105" s="1"/>
      <c r="AH105" s="1"/>
      <c r="AI105" s="1"/>
    </row>
    <row r="106" spans="33:35" ht="12.75" customHeight="1" x14ac:dyDescent="0.2">
      <c r="AG106" s="1"/>
      <c r="AH106" s="1"/>
      <c r="AI106" s="1"/>
    </row>
    <row r="107" spans="33:35" ht="12.75" customHeight="1" x14ac:dyDescent="0.2">
      <c r="AG107" s="1"/>
      <c r="AH107" s="1"/>
      <c r="AI107" s="1"/>
    </row>
    <row r="108" spans="33:35" ht="12.75" customHeight="1" x14ac:dyDescent="0.2">
      <c r="AG108" s="1"/>
      <c r="AH108" s="1"/>
      <c r="AI108" s="1"/>
    </row>
    <row r="109" spans="33:35" ht="12.75" customHeight="1" x14ac:dyDescent="0.2">
      <c r="AG109" s="1"/>
      <c r="AH109" s="1"/>
      <c r="AI109" s="1"/>
    </row>
    <row r="110" spans="33:35" ht="12.75" customHeight="1" x14ac:dyDescent="0.2">
      <c r="AG110" s="1"/>
      <c r="AH110" s="1"/>
      <c r="AI110" s="1"/>
    </row>
    <row r="111" spans="33:35" ht="12.75" customHeight="1" x14ac:dyDescent="0.2">
      <c r="AG111" s="1"/>
      <c r="AH111" s="1"/>
      <c r="AI111" s="1"/>
    </row>
    <row r="112" spans="33:35" ht="12.75" customHeight="1" x14ac:dyDescent="0.2">
      <c r="AG112" s="1"/>
      <c r="AH112" s="1"/>
      <c r="AI112" s="1"/>
    </row>
    <row r="113" spans="33:35" ht="12.75" customHeight="1" x14ac:dyDescent="0.2">
      <c r="AG113" s="1"/>
      <c r="AH113" s="1"/>
      <c r="AI113" s="1"/>
    </row>
    <row r="114" spans="33:35" ht="12.75" customHeight="1" x14ac:dyDescent="0.2">
      <c r="AG114" s="1"/>
      <c r="AH114" s="1"/>
      <c r="AI114" s="1"/>
    </row>
    <row r="115" spans="33:35" ht="12.75" customHeight="1" x14ac:dyDescent="0.2">
      <c r="AG115" s="1"/>
      <c r="AH115" s="1"/>
      <c r="AI115" s="1"/>
    </row>
    <row r="116" spans="33:35" ht="12.75" customHeight="1" x14ac:dyDescent="0.2">
      <c r="AG116" s="1"/>
      <c r="AH116" s="1"/>
      <c r="AI116" s="1"/>
    </row>
    <row r="117" spans="33:35" ht="12.75" customHeight="1" x14ac:dyDescent="0.2">
      <c r="AG117" s="1"/>
      <c r="AH117" s="1"/>
      <c r="AI117" s="1"/>
    </row>
    <row r="118" spans="33:35" ht="12.75" customHeight="1" x14ac:dyDescent="0.2">
      <c r="AG118" s="1"/>
      <c r="AH118" s="1"/>
      <c r="AI118" s="1"/>
    </row>
    <row r="119" spans="33:35" ht="12.75" customHeight="1" x14ac:dyDescent="0.2">
      <c r="AG119" s="1"/>
      <c r="AH119" s="1"/>
      <c r="AI119" s="1"/>
    </row>
    <row r="120" spans="33:35" ht="12.75" customHeight="1" x14ac:dyDescent="0.2">
      <c r="AG120" s="1"/>
      <c r="AH120" s="1"/>
      <c r="AI120" s="1"/>
    </row>
    <row r="121" spans="33:35" ht="12.75" customHeight="1" x14ac:dyDescent="0.2">
      <c r="AG121" s="1"/>
      <c r="AH121" s="1"/>
      <c r="AI121" s="1"/>
    </row>
    <row r="122" spans="33:35" ht="12.75" customHeight="1" x14ac:dyDescent="0.2">
      <c r="AG122" s="1"/>
      <c r="AH122" s="1"/>
      <c r="AI122" s="1"/>
    </row>
    <row r="123" spans="33:35" ht="12.75" customHeight="1" x14ac:dyDescent="0.2">
      <c r="AG123" s="1"/>
      <c r="AH123" s="1"/>
      <c r="AI123" s="1"/>
    </row>
    <row r="124" spans="33:35" ht="12.75" customHeight="1" x14ac:dyDescent="0.2">
      <c r="AG124" s="1"/>
      <c r="AH124" s="1"/>
      <c r="AI124" s="1"/>
    </row>
    <row r="125" spans="33:35" ht="12.75" customHeight="1" x14ac:dyDescent="0.2">
      <c r="AG125" s="1"/>
      <c r="AH125" s="1"/>
      <c r="AI125" s="1"/>
    </row>
    <row r="126" spans="33:35" ht="12.75" customHeight="1" x14ac:dyDescent="0.2">
      <c r="AG126" s="1"/>
      <c r="AH126" s="1"/>
      <c r="AI126" s="1"/>
    </row>
    <row r="127" spans="33:35" ht="12.75" customHeight="1" x14ac:dyDescent="0.2">
      <c r="AG127" s="1"/>
      <c r="AH127" s="1"/>
      <c r="AI127" s="1"/>
    </row>
    <row r="128" spans="33:35" ht="12.75" customHeight="1" x14ac:dyDescent="0.2">
      <c r="AG128" s="1"/>
      <c r="AH128" s="1"/>
      <c r="AI128" s="1"/>
    </row>
    <row r="129" spans="1:37" s="20" customFormat="1" ht="12.75" customHeight="1" x14ac:dyDescent="0.2">
      <c r="A129" s="1"/>
      <c r="B129" s="21"/>
      <c r="C129" s="21"/>
      <c r="D129" s="1"/>
      <c r="E129" s="1"/>
      <c r="F129" s="1"/>
      <c r="G129" s="1"/>
      <c r="H129" s="1"/>
      <c r="I129" s="1"/>
      <c r="J129" s="1"/>
      <c r="K129" s="1"/>
      <c r="L129" s="8"/>
      <c r="M129" s="8"/>
      <c r="N129" s="8"/>
      <c r="O129" s="8"/>
      <c r="P129" s="8"/>
      <c r="Q129" s="8"/>
      <c r="R129" s="11"/>
      <c r="S129" s="11"/>
      <c r="T129" s="11"/>
      <c r="U129" s="13"/>
      <c r="V129" s="13"/>
      <c r="W129" s="8"/>
      <c r="X129" s="8"/>
      <c r="Y129" s="8"/>
      <c r="Z129" s="8"/>
      <c r="AA129" s="8"/>
      <c r="AB129" s="8"/>
      <c r="AC129" s="15"/>
      <c r="AD129" s="1"/>
      <c r="AE129" s="1"/>
      <c r="AF129" s="1"/>
      <c r="AG129" s="1"/>
      <c r="AH129" s="1"/>
    </row>
    <row r="130" spans="1:37" s="20" customFormat="1" ht="12.75" customHeight="1" x14ac:dyDescent="0.2">
      <c r="A130" s="1"/>
      <c r="B130" s="21"/>
      <c r="C130" s="21"/>
      <c r="D130" s="1"/>
      <c r="E130" s="1"/>
      <c r="F130" s="1"/>
      <c r="G130" s="1"/>
      <c r="H130" s="1"/>
      <c r="I130" s="1"/>
      <c r="J130" s="1"/>
      <c r="K130" s="1"/>
      <c r="L130" s="8"/>
      <c r="M130" s="8"/>
      <c r="N130" s="8"/>
      <c r="O130" s="8"/>
      <c r="P130" s="8"/>
      <c r="Q130" s="8"/>
      <c r="R130" s="11"/>
      <c r="S130" s="11"/>
      <c r="T130" s="11"/>
      <c r="U130" s="13"/>
      <c r="V130" s="13"/>
      <c r="W130" s="8"/>
      <c r="X130" s="8"/>
      <c r="Y130" s="8"/>
      <c r="Z130" s="8"/>
      <c r="AA130" s="8"/>
      <c r="AB130" s="8"/>
      <c r="AC130" s="15"/>
      <c r="AD130" s="1"/>
      <c r="AE130" s="1"/>
      <c r="AF130" s="1"/>
      <c r="AG130" s="11"/>
      <c r="AH130" s="11"/>
      <c r="AI130" s="11"/>
      <c r="AJ130" s="1"/>
      <c r="AK130" s="1"/>
    </row>
  </sheetData>
  <mergeCells count="105">
    <mergeCell ref="AI51:AI52"/>
    <mergeCell ref="L2:L12"/>
    <mergeCell ref="M2:M12"/>
    <mergeCell ref="N2:N12"/>
    <mergeCell ref="O2:O12"/>
    <mergeCell ref="P2:P12"/>
    <mergeCell ref="R2:T2"/>
    <mergeCell ref="B14:C14"/>
    <mergeCell ref="AB3:AB12"/>
    <mergeCell ref="AC3:AC12"/>
    <mergeCell ref="AF3:AF12"/>
    <mergeCell ref="B51:C52"/>
    <mergeCell ref="D51:P52"/>
    <mergeCell ref="AE2:AE12"/>
    <mergeCell ref="X3:X12"/>
    <mergeCell ref="Y3:Y12"/>
    <mergeCell ref="AA3:AA12"/>
    <mergeCell ref="B18:C18"/>
    <mergeCell ref="B19:C19"/>
    <mergeCell ref="B33:C33"/>
    <mergeCell ref="AG2:AI2"/>
    <mergeCell ref="AG3:AG12"/>
    <mergeCell ref="AH3:AH12"/>
    <mergeCell ref="AI3:AI12"/>
    <mergeCell ref="AT4:AV4"/>
    <mergeCell ref="AQ7:AV7"/>
    <mergeCell ref="AQ8:AS8"/>
    <mergeCell ref="AT8:AV8"/>
    <mergeCell ref="AN1:AV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W3:W12"/>
    <mergeCell ref="AN2:AP2"/>
    <mergeCell ref="AQ2:AS2"/>
    <mergeCell ref="AT2:AV2"/>
    <mergeCell ref="Q3:Q12"/>
    <mergeCell ref="R3:R12"/>
    <mergeCell ref="S3:S12"/>
    <mergeCell ref="T3:T12"/>
    <mergeCell ref="AA2:AB2"/>
    <mergeCell ref="AD2:AD13"/>
    <mergeCell ref="AJ3:AJ12"/>
    <mergeCell ref="U3:U12"/>
    <mergeCell ref="V3:V12"/>
    <mergeCell ref="AW15:AY15"/>
    <mergeCell ref="AN16:AP16"/>
    <mergeCell ref="AQ16:AS16"/>
    <mergeCell ref="AT16:AV16"/>
    <mergeCell ref="AW16:AY16"/>
    <mergeCell ref="AQ9:AS9"/>
    <mergeCell ref="AT9:AV9"/>
    <mergeCell ref="AQ10:AS10"/>
    <mergeCell ref="AT10:AV10"/>
    <mergeCell ref="AN13:AY13"/>
    <mergeCell ref="Z3:Z12"/>
    <mergeCell ref="AN14:AP14"/>
    <mergeCell ref="AQ14:AS14"/>
    <mergeCell ref="AT14:AV14"/>
    <mergeCell ref="AW14:AY14"/>
    <mergeCell ref="AK3:AK12"/>
    <mergeCell ref="AN3:AP3"/>
    <mergeCell ref="AQ3:AS3"/>
    <mergeCell ref="AT3:AV3"/>
    <mergeCell ref="AN4:AP4"/>
    <mergeCell ref="AQ4:AS4"/>
    <mergeCell ref="AQ23:AS23"/>
    <mergeCell ref="AQ24:AS24"/>
    <mergeCell ref="AQ25:AS25"/>
    <mergeCell ref="AQ26:AS26"/>
    <mergeCell ref="AQ29:AS29"/>
    <mergeCell ref="AQ30:AS30"/>
    <mergeCell ref="AN15:AP15"/>
    <mergeCell ref="AQ15:AS15"/>
    <mergeCell ref="AT15:AV15"/>
    <mergeCell ref="AQ31:AS31"/>
    <mergeCell ref="AQ32:AS32"/>
    <mergeCell ref="AQ35:AS35"/>
    <mergeCell ref="AQ36:AS36"/>
    <mergeCell ref="AQ37:AS37"/>
    <mergeCell ref="AQ38:AS38"/>
    <mergeCell ref="U51:U52"/>
    <mergeCell ref="V51:V52"/>
    <mergeCell ref="Q51:Q52"/>
    <mergeCell ref="R51:R52"/>
    <mergeCell ref="S51:S52"/>
    <mergeCell ref="T51:T52"/>
    <mergeCell ref="AC51:AC52"/>
    <mergeCell ref="AF51:AF52"/>
    <mergeCell ref="AJ51:AJ52"/>
    <mergeCell ref="AK51:AK52"/>
    <mergeCell ref="W51:W52"/>
    <mergeCell ref="X51:X52"/>
    <mergeCell ref="Y51:Y52"/>
    <mergeCell ref="AA51:AA52"/>
    <mergeCell ref="AB51:AB52"/>
    <mergeCell ref="AP24:AP38"/>
    <mergeCell ref="AG51:AG52"/>
    <mergeCell ref="AH51:AH5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29"/>
  <sheetViews>
    <sheetView zoomScaleNormal="100" zoomScaleSheetLayoutView="100" workbookViewId="0">
      <pane ySplit="13" topLeftCell="A14" activePane="bottomLeft" state="frozen"/>
      <selection pane="bottomLeft" activeCell="E30" sqref="E30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20" width="9.28515625" style="11" customWidth="1"/>
    <col min="21" max="21" width="9.28515625" style="13" customWidth="1"/>
    <col min="22" max="26" width="9.28515625" style="8" customWidth="1"/>
    <col min="27" max="27" width="10.7109375" style="1" customWidth="1"/>
    <col min="28" max="28" width="9.28515625" style="1" customWidth="1"/>
    <col min="29" max="29" width="9.28515625" style="1" bestFit="1" customWidth="1"/>
    <col min="30" max="32" width="9.28515625" style="11" customWidth="1"/>
    <col min="33" max="34" width="10.28515625" style="1" bestFit="1" customWidth="1"/>
    <col min="35" max="41" width="9.140625" style="1"/>
    <col min="42" max="42" width="9.140625" style="1" customWidth="1"/>
    <col min="43" max="16384" width="9.140625" style="1"/>
  </cols>
  <sheetData>
    <row r="1" spans="2:48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1"/>
      <c r="S1" s="11">
        <v>12</v>
      </c>
      <c r="T1" s="11"/>
      <c r="U1" s="10"/>
      <c r="V1" s="11">
        <v>11.5</v>
      </c>
      <c r="W1" s="11">
        <v>6</v>
      </c>
      <c r="X1" s="11">
        <v>0.04</v>
      </c>
      <c r="Y1" s="11">
        <v>1.5</v>
      </c>
      <c r="Z1" s="11">
        <v>1.75</v>
      </c>
      <c r="AD1" s="11"/>
      <c r="AE1" s="11"/>
      <c r="AF1" s="11"/>
      <c r="AK1" s="359" t="s">
        <v>111</v>
      </c>
      <c r="AL1" s="359"/>
      <c r="AM1" s="359"/>
      <c r="AN1" s="359"/>
      <c r="AO1" s="359"/>
      <c r="AP1" s="359"/>
      <c r="AQ1" s="359"/>
      <c r="AR1" s="359"/>
      <c r="AS1" s="359"/>
    </row>
    <row r="2" spans="2:48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98" t="s">
        <v>40</v>
      </c>
      <c r="J2" s="376" t="s">
        <v>116</v>
      </c>
      <c r="K2" s="376" t="s">
        <v>117</v>
      </c>
      <c r="L2" s="397" t="s">
        <v>4</v>
      </c>
      <c r="M2" s="397" t="s">
        <v>23</v>
      </c>
      <c r="N2" s="363" t="s">
        <v>17</v>
      </c>
      <c r="O2" s="363" t="s">
        <v>22</v>
      </c>
      <c r="P2" s="363" t="s">
        <v>14</v>
      </c>
      <c r="Q2" s="65">
        <v>204</v>
      </c>
      <c r="R2" s="371">
        <v>206</v>
      </c>
      <c r="S2" s="372"/>
      <c r="T2" s="372"/>
      <c r="U2" s="2">
        <v>252</v>
      </c>
      <c r="V2" s="2">
        <v>302</v>
      </c>
      <c r="W2" s="230">
        <v>304</v>
      </c>
      <c r="X2" s="2">
        <v>407</v>
      </c>
      <c r="Y2" s="371">
        <v>442</v>
      </c>
      <c r="Z2" s="379"/>
      <c r="AA2" s="308" t="s">
        <v>80</v>
      </c>
      <c r="AB2" s="376" t="s">
        <v>116</v>
      </c>
      <c r="AC2" s="65">
        <v>204</v>
      </c>
      <c r="AD2" s="371">
        <v>206</v>
      </c>
      <c r="AE2" s="372"/>
      <c r="AF2" s="372"/>
      <c r="AG2" s="2">
        <v>304</v>
      </c>
      <c r="AH2" s="2">
        <v>452</v>
      </c>
      <c r="AK2" s="345" t="s">
        <v>110</v>
      </c>
      <c r="AL2" s="346"/>
      <c r="AM2" s="347"/>
      <c r="AN2" s="345" t="s">
        <v>108</v>
      </c>
      <c r="AO2" s="346"/>
      <c r="AP2" s="347"/>
      <c r="AQ2" s="345" t="s">
        <v>109</v>
      </c>
      <c r="AR2" s="346"/>
      <c r="AS2" s="347"/>
    </row>
    <row r="3" spans="2:48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77"/>
      <c r="K3" s="377"/>
      <c r="L3" s="364"/>
      <c r="M3" s="364"/>
      <c r="N3" s="364"/>
      <c r="O3" s="364"/>
      <c r="P3" s="364"/>
      <c r="Q3" s="367" t="s">
        <v>7</v>
      </c>
      <c r="R3" s="367" t="s">
        <v>18</v>
      </c>
      <c r="S3" s="366" t="s">
        <v>19</v>
      </c>
      <c r="T3" s="360" t="s">
        <v>26</v>
      </c>
      <c r="U3" s="360" t="s">
        <v>30</v>
      </c>
      <c r="V3" s="368" t="s">
        <v>82</v>
      </c>
      <c r="W3" s="367" t="s">
        <v>9</v>
      </c>
      <c r="X3" s="368" t="s">
        <v>83</v>
      </c>
      <c r="Y3" s="378" t="s">
        <v>33</v>
      </c>
      <c r="Z3" s="378" t="s">
        <v>34</v>
      </c>
      <c r="AA3" s="309"/>
      <c r="AB3" s="377"/>
      <c r="AC3" s="367" t="s">
        <v>7</v>
      </c>
      <c r="AD3" s="367" t="s">
        <v>18</v>
      </c>
      <c r="AE3" s="366" t="s">
        <v>19</v>
      </c>
      <c r="AF3" s="360" t="s">
        <v>26</v>
      </c>
      <c r="AG3" s="373" t="s">
        <v>9</v>
      </c>
      <c r="AH3" s="373" t="s">
        <v>37</v>
      </c>
      <c r="AK3" s="348" t="s">
        <v>113</v>
      </c>
      <c r="AL3" s="349"/>
      <c r="AM3" s="350"/>
      <c r="AN3" s="348" t="s">
        <v>112</v>
      </c>
      <c r="AO3" s="349"/>
      <c r="AP3" s="350"/>
      <c r="AQ3" s="348" t="s">
        <v>112</v>
      </c>
      <c r="AR3" s="349"/>
      <c r="AS3" s="350"/>
    </row>
    <row r="4" spans="2:48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77"/>
      <c r="K4" s="377"/>
      <c r="L4" s="364"/>
      <c r="M4" s="364"/>
      <c r="N4" s="364"/>
      <c r="O4" s="364"/>
      <c r="P4" s="364"/>
      <c r="Q4" s="367"/>
      <c r="R4" s="367"/>
      <c r="S4" s="361"/>
      <c r="T4" s="361"/>
      <c r="U4" s="361"/>
      <c r="V4" s="367"/>
      <c r="W4" s="367"/>
      <c r="X4" s="367"/>
      <c r="Y4" s="374"/>
      <c r="Z4" s="374"/>
      <c r="AA4" s="309"/>
      <c r="AB4" s="377"/>
      <c r="AC4" s="367"/>
      <c r="AD4" s="367"/>
      <c r="AE4" s="361"/>
      <c r="AF4" s="361"/>
      <c r="AG4" s="374"/>
      <c r="AH4" s="374"/>
      <c r="AK4" s="353">
        <v>1.5</v>
      </c>
      <c r="AL4" s="354"/>
      <c r="AM4" s="355"/>
      <c r="AN4" s="353">
        <v>0.56999999999999995</v>
      </c>
      <c r="AO4" s="354"/>
      <c r="AP4" s="355"/>
      <c r="AQ4" s="353">
        <v>0.67</v>
      </c>
      <c r="AR4" s="354"/>
      <c r="AS4" s="355"/>
    </row>
    <row r="5" spans="2:48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77"/>
      <c r="K5" s="377"/>
      <c r="L5" s="364"/>
      <c r="M5" s="364"/>
      <c r="N5" s="364"/>
      <c r="O5" s="364"/>
      <c r="P5" s="364"/>
      <c r="Q5" s="367"/>
      <c r="R5" s="367"/>
      <c r="S5" s="361"/>
      <c r="T5" s="361"/>
      <c r="U5" s="361"/>
      <c r="V5" s="367"/>
      <c r="W5" s="367"/>
      <c r="X5" s="367"/>
      <c r="Y5" s="374"/>
      <c r="Z5" s="374"/>
      <c r="AA5" s="309"/>
      <c r="AB5" s="377"/>
      <c r="AC5" s="367"/>
      <c r="AD5" s="367"/>
      <c r="AE5" s="361"/>
      <c r="AF5" s="361"/>
      <c r="AG5" s="374"/>
      <c r="AH5" s="374"/>
    </row>
    <row r="6" spans="2:48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77"/>
      <c r="K6" s="377"/>
      <c r="L6" s="364"/>
      <c r="M6" s="364"/>
      <c r="N6" s="364"/>
      <c r="O6" s="364"/>
      <c r="P6" s="364"/>
      <c r="Q6" s="367"/>
      <c r="R6" s="367"/>
      <c r="S6" s="361"/>
      <c r="T6" s="361"/>
      <c r="U6" s="361"/>
      <c r="V6" s="367"/>
      <c r="W6" s="367"/>
      <c r="X6" s="367"/>
      <c r="Y6" s="374"/>
      <c r="Z6" s="374"/>
      <c r="AA6" s="309"/>
      <c r="AB6" s="377"/>
      <c r="AC6" s="367"/>
      <c r="AD6" s="367"/>
      <c r="AE6" s="361"/>
      <c r="AF6" s="361"/>
      <c r="AG6" s="374"/>
      <c r="AH6" s="374"/>
    </row>
    <row r="7" spans="2:48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77"/>
      <c r="K7" s="377"/>
      <c r="L7" s="364"/>
      <c r="M7" s="364"/>
      <c r="N7" s="364"/>
      <c r="O7" s="364"/>
      <c r="P7" s="364"/>
      <c r="Q7" s="367"/>
      <c r="R7" s="367"/>
      <c r="S7" s="361"/>
      <c r="T7" s="361"/>
      <c r="U7" s="361"/>
      <c r="V7" s="367"/>
      <c r="W7" s="367"/>
      <c r="X7" s="367"/>
      <c r="Y7" s="374"/>
      <c r="Z7" s="374"/>
      <c r="AA7" s="309"/>
      <c r="AB7" s="377"/>
      <c r="AC7" s="367"/>
      <c r="AD7" s="367"/>
      <c r="AE7" s="361"/>
      <c r="AF7" s="361"/>
      <c r="AG7" s="374"/>
      <c r="AH7" s="374"/>
      <c r="AN7" s="359" t="s">
        <v>114</v>
      </c>
      <c r="AO7" s="359"/>
      <c r="AP7" s="359"/>
      <c r="AQ7" s="359"/>
      <c r="AR7" s="359"/>
      <c r="AS7" s="359"/>
    </row>
    <row r="8" spans="2:48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77"/>
      <c r="K8" s="377"/>
      <c r="L8" s="364"/>
      <c r="M8" s="364"/>
      <c r="N8" s="364"/>
      <c r="O8" s="364"/>
      <c r="P8" s="364"/>
      <c r="Q8" s="367"/>
      <c r="R8" s="367"/>
      <c r="S8" s="361"/>
      <c r="T8" s="361"/>
      <c r="U8" s="361"/>
      <c r="V8" s="367"/>
      <c r="W8" s="367"/>
      <c r="X8" s="367"/>
      <c r="Y8" s="374"/>
      <c r="Z8" s="374"/>
      <c r="AA8" s="309"/>
      <c r="AB8" s="377"/>
      <c r="AC8" s="367"/>
      <c r="AD8" s="367"/>
      <c r="AE8" s="361"/>
      <c r="AF8" s="361"/>
      <c r="AG8" s="374"/>
      <c r="AH8" s="374"/>
      <c r="AN8" s="345" t="s">
        <v>110</v>
      </c>
      <c r="AO8" s="346"/>
      <c r="AP8" s="347"/>
      <c r="AQ8" s="345" t="s">
        <v>109</v>
      </c>
      <c r="AR8" s="346"/>
      <c r="AS8" s="347"/>
    </row>
    <row r="9" spans="2:48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77"/>
      <c r="K9" s="377"/>
      <c r="L9" s="364"/>
      <c r="M9" s="364"/>
      <c r="N9" s="364"/>
      <c r="O9" s="364"/>
      <c r="P9" s="364"/>
      <c r="Q9" s="367"/>
      <c r="R9" s="367"/>
      <c r="S9" s="361"/>
      <c r="T9" s="361"/>
      <c r="U9" s="361"/>
      <c r="V9" s="367"/>
      <c r="W9" s="367"/>
      <c r="X9" s="367"/>
      <c r="Y9" s="374"/>
      <c r="Z9" s="374"/>
      <c r="AA9" s="309"/>
      <c r="AB9" s="377"/>
      <c r="AC9" s="367"/>
      <c r="AD9" s="367"/>
      <c r="AE9" s="361"/>
      <c r="AF9" s="361"/>
      <c r="AG9" s="374"/>
      <c r="AH9" s="374"/>
      <c r="AN9" s="348" t="s">
        <v>113</v>
      </c>
      <c r="AO9" s="349"/>
      <c r="AP9" s="350"/>
      <c r="AQ9" s="348" t="s">
        <v>112</v>
      </c>
      <c r="AR9" s="349"/>
      <c r="AS9" s="350"/>
    </row>
    <row r="10" spans="2:48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77"/>
      <c r="K10" s="377"/>
      <c r="L10" s="364"/>
      <c r="M10" s="364"/>
      <c r="N10" s="364"/>
      <c r="O10" s="364"/>
      <c r="P10" s="364"/>
      <c r="Q10" s="367"/>
      <c r="R10" s="367"/>
      <c r="S10" s="361"/>
      <c r="T10" s="361"/>
      <c r="U10" s="361"/>
      <c r="V10" s="367"/>
      <c r="W10" s="367"/>
      <c r="X10" s="367"/>
      <c r="Y10" s="374"/>
      <c r="Z10" s="374"/>
      <c r="AA10" s="309"/>
      <c r="AB10" s="377"/>
      <c r="AC10" s="367"/>
      <c r="AD10" s="367"/>
      <c r="AE10" s="361"/>
      <c r="AF10" s="361"/>
      <c r="AG10" s="374"/>
      <c r="AH10" s="374"/>
      <c r="AN10" s="353">
        <v>2</v>
      </c>
      <c r="AO10" s="354"/>
      <c r="AP10" s="355"/>
      <c r="AQ10" s="353">
        <v>0.5</v>
      </c>
      <c r="AR10" s="354"/>
      <c r="AS10" s="355"/>
    </row>
    <row r="11" spans="2:48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77"/>
      <c r="K11" s="377"/>
      <c r="L11" s="364"/>
      <c r="M11" s="364"/>
      <c r="N11" s="364"/>
      <c r="O11" s="364"/>
      <c r="P11" s="364"/>
      <c r="Q11" s="367"/>
      <c r="R11" s="367"/>
      <c r="S11" s="361"/>
      <c r="T11" s="361"/>
      <c r="U11" s="361"/>
      <c r="V11" s="367"/>
      <c r="W11" s="367"/>
      <c r="X11" s="367"/>
      <c r="Y11" s="374"/>
      <c r="Z11" s="374"/>
      <c r="AA11" s="309"/>
      <c r="AB11" s="377"/>
      <c r="AC11" s="367"/>
      <c r="AD11" s="367"/>
      <c r="AE11" s="361"/>
      <c r="AF11" s="361"/>
      <c r="AG11" s="374"/>
      <c r="AH11" s="374"/>
    </row>
    <row r="12" spans="2:48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77"/>
      <c r="K12" s="377"/>
      <c r="L12" s="365"/>
      <c r="M12" s="365"/>
      <c r="N12" s="365"/>
      <c r="O12" s="365"/>
      <c r="P12" s="365"/>
      <c r="Q12" s="367"/>
      <c r="R12" s="367"/>
      <c r="S12" s="362"/>
      <c r="T12" s="362"/>
      <c r="U12" s="362"/>
      <c r="V12" s="367"/>
      <c r="W12" s="367"/>
      <c r="X12" s="367"/>
      <c r="Y12" s="375"/>
      <c r="Z12" s="375"/>
      <c r="AA12" s="309"/>
      <c r="AB12" s="377"/>
      <c r="AC12" s="367"/>
      <c r="AD12" s="367"/>
      <c r="AE12" s="362"/>
      <c r="AF12" s="362"/>
      <c r="AG12" s="375"/>
      <c r="AH12" s="375"/>
    </row>
    <row r="13" spans="2:48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5" t="s">
        <v>10</v>
      </c>
      <c r="S13" s="5" t="s">
        <v>10</v>
      </c>
      <c r="T13" s="5" t="s">
        <v>25</v>
      </c>
      <c r="U13" s="5" t="s">
        <v>5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A13" s="309"/>
      <c r="AB13" s="5" t="s">
        <v>12</v>
      </c>
      <c r="AC13" s="86" t="s">
        <v>11</v>
      </c>
      <c r="AD13" s="5" t="s">
        <v>10</v>
      </c>
      <c r="AE13" s="5" t="s">
        <v>10</v>
      </c>
      <c r="AF13" s="5" t="s">
        <v>25</v>
      </c>
      <c r="AG13" s="87" t="s">
        <v>12</v>
      </c>
      <c r="AH13" s="86" t="s">
        <v>10</v>
      </c>
      <c r="AK13" s="359" t="s">
        <v>118</v>
      </c>
      <c r="AL13" s="359"/>
      <c r="AM13" s="359"/>
      <c r="AN13" s="359"/>
      <c r="AO13" s="359"/>
      <c r="AP13" s="359"/>
      <c r="AQ13" s="359"/>
      <c r="AR13" s="359"/>
      <c r="AS13" s="359"/>
      <c r="AT13" s="359"/>
      <c r="AU13" s="359"/>
      <c r="AV13" s="359"/>
    </row>
    <row r="14" spans="2:48" ht="12.75" customHeight="1" x14ac:dyDescent="0.2">
      <c r="B14" s="357" t="s">
        <v>154</v>
      </c>
      <c r="C14" s="358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29"/>
      <c r="W14" s="29"/>
      <c r="X14" s="29"/>
      <c r="Y14" s="29"/>
      <c r="Z14" s="29"/>
      <c r="AB14" s="97"/>
      <c r="AC14" s="88"/>
      <c r="AD14" s="29"/>
      <c r="AE14" s="29"/>
      <c r="AF14" s="30"/>
      <c r="AG14" s="91"/>
      <c r="AH14" s="89"/>
      <c r="AK14" s="345" t="s">
        <v>110</v>
      </c>
      <c r="AL14" s="346"/>
      <c r="AM14" s="347"/>
      <c r="AN14" s="345" t="s">
        <v>108</v>
      </c>
      <c r="AO14" s="346"/>
      <c r="AP14" s="347"/>
      <c r="AQ14" s="345" t="s">
        <v>109</v>
      </c>
      <c r="AR14" s="346"/>
      <c r="AS14" s="347"/>
      <c r="AT14" s="345" t="s">
        <v>119</v>
      </c>
      <c r="AU14" s="346"/>
      <c r="AV14" s="347"/>
    </row>
    <row r="15" spans="2:48" ht="12.75" customHeight="1" x14ac:dyDescent="0.2">
      <c r="B15" s="232">
        <v>76681.61</v>
      </c>
      <c r="C15" s="233">
        <v>76998.59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0" si="0">IF(E15=2,$AK$4*2,IF(F15=2,$AN$10*2,IF(G15=2,$AK$16*2,IF(AND(E15=1,F15=1),$AK$4+$AN$10,IF(AND(E15=1,F15=0,G15=0),$AK$4,IF(AND(E15=1,G15=1),$AK$4+$AK$16,IF(AND(E15=0,F15=1,G15=0),$AN$10,IF(AND(F15=1,G15=1),$AN$10+$AK$16,IF(AND(E15=0,F15=0,G15=1),$AK$16,0)))))))))</f>
        <v>1.5</v>
      </c>
      <c r="I15" s="27">
        <f t="shared" ref="I15:I20" si="1">IF(E15=2,AN$4*L15*2/27,IF(G15=2,$AN$16*L15*2/27,IF(AND(E15=1,G15=0),$AN$4*L15/27,IF(AND(E15=1,G15=1),($AN$4*L15+$AN$16*L15)/27,IF(AND(F15=1,G15=1),$AN$16*L15/27,IF(AND(E15=0,F15=0,G15=1),$AN$16*L15/27,0))))))</f>
        <v>6.6917999999999136</v>
      </c>
      <c r="J15" s="27">
        <f t="shared" ref="J15:J20" si="2">IF(E15=2,$AQ$4*2*L15/27,IF(F15=2,$AQ$10*2*L15/27,IF(G15=2,$AQ$16*2*L15/27,IF(AND(E15=1,F15=1),($AQ$4*L15+$AQ$10*L15)/27,IF(AND(E15=1,F15=0,G15=0),$AQ$4*L15/27,IF(AND(E15=1,G15=1),($AQ$4*L15+$AQ$16*L15)/27,IF(AND(E15=0,F15=1,G15=0),$AQ$10*L15/27,IF(AND(F15=1,G15=1),($AQ$10*L15+$AQ$16*L15)/27,IF(AND(E15=0,F15=0,G15=1),$AQ$16*L15/27,0)))))))))</f>
        <v>7.8657999999998998</v>
      </c>
      <c r="K15" s="27">
        <f t="shared" ref="K15:K20" si="3">IF(G15=1,$AT$16*L15/27,IF(G15=2,$AT$16*L15*2/27,0))</f>
        <v>0</v>
      </c>
      <c r="L15" s="4">
        <f t="shared" ref="L15:L20" si="4">C15-B15</f>
        <v>316.97999999999593</v>
      </c>
      <c r="M15" s="224"/>
      <c r="N15" s="14" t="str">
        <f t="shared" ref="N15:N20" si="5">IF(M15="","",L15*M15)</f>
        <v/>
      </c>
      <c r="O15" s="224">
        <v>9775.58</v>
      </c>
      <c r="P15" s="4">
        <f t="shared" ref="P15" si="6">SUM(N15:O15)</f>
        <v>9775.58</v>
      </c>
      <c r="Q15" s="6">
        <f>(S15)/2000</f>
        <v>0.56950277777777736</v>
      </c>
      <c r="R15" s="6">
        <f t="shared" ref="R15" si="7">S15</f>
        <v>1139.0055555555548</v>
      </c>
      <c r="S15" s="6">
        <f t="shared" ref="S15:S20" si="8">($P15+H15*$L15)/9</f>
        <v>1139.0055555555548</v>
      </c>
      <c r="T15" s="6">
        <f t="shared" ref="T15" si="9">$S$1*S15*110*0.06*0.75/2000</f>
        <v>33.828464999999973</v>
      </c>
      <c r="U15" s="225"/>
      <c r="V15" s="34">
        <f t="shared" ref="V15:V20" si="10">(P15*$V$1/12)/27+I15</f>
        <v>353.66454691358012</v>
      </c>
      <c r="W15" s="4">
        <f t="shared" ref="W15:W20" si="11">(P15*$W$1/12)/27+J15</f>
        <v>188.89505925925914</v>
      </c>
      <c r="X15" s="6">
        <f t="shared" ref="X15:X20" si="12">($P15/9)*$X$1</f>
        <v>43.447022222222223</v>
      </c>
      <c r="Y15" s="4">
        <f t="shared" ref="Y15:Y20" si="13">($P15*($Y$1/12))/27</f>
        <v>45.257314814814812</v>
      </c>
      <c r="Z15" s="4">
        <f t="shared" ref="Z15:Z20" si="14">(P15*$Z$1/12)/27+K15</f>
        <v>52.800200617283949</v>
      </c>
      <c r="AB15" s="98">
        <f t="shared" ref="AB15:AB20" si="15">IF(E15=2,$AN$26*2*L15/27,IF(F15=2,$AN$32*2*L15/27,IF(G15=2,$AN$38*2*L15/27,IF(AND(E15=1,F15=1),($AN$26*L15+$AN$32*L15)/27,IF(AND(E15=1,F15=0,G15=0),$AN$26*L15/27,IF(AND(E15=1,G15=1),($AN$26*L15+$AN$38*L15)/27,IF(AND(E15=0,F15=1,G15=0),$AN$32*L15/27,IF(AND(F15=1,G15=1),($AN$32*L15+$AN$38*L15)/27,IF(AND(E15=0,F15=0,G15=1),$AN$38*L15/27,0)))))))))</f>
        <v>5.8699999999999246</v>
      </c>
      <c r="AC15" s="94">
        <f>(S15)/2000</f>
        <v>0.56950277777777736</v>
      </c>
      <c r="AD15" s="6">
        <f t="shared" ref="AD15" si="16">AE15</f>
        <v>1139.0055555555548</v>
      </c>
      <c r="AE15" s="6">
        <f>($P15+H15*$L15)/9</f>
        <v>1139.0055555555548</v>
      </c>
      <c r="AF15" s="6">
        <f t="shared" ref="AF15" si="17">$S$1*AE15*110*0.06*0.75/2000</f>
        <v>33.828464999999973</v>
      </c>
      <c r="AG15" s="6">
        <f t="shared" ref="AG15:AG20" si="18">(P15*$W$1/12)/27+AB15</f>
        <v>186.89925925925917</v>
      </c>
      <c r="AH15" s="95">
        <f>P15/9</f>
        <v>1086.1755555555555</v>
      </c>
      <c r="AK15" s="348" t="s">
        <v>113</v>
      </c>
      <c r="AL15" s="349"/>
      <c r="AM15" s="350"/>
      <c r="AN15" s="348" t="s">
        <v>112</v>
      </c>
      <c r="AO15" s="349"/>
      <c r="AP15" s="350"/>
      <c r="AQ15" s="348" t="s">
        <v>112</v>
      </c>
      <c r="AR15" s="349"/>
      <c r="AS15" s="350"/>
      <c r="AT15" s="348" t="s">
        <v>112</v>
      </c>
      <c r="AU15" s="349"/>
      <c r="AV15" s="350"/>
    </row>
    <row r="16" spans="2:48" ht="12.75" customHeight="1" x14ac:dyDescent="0.2">
      <c r="B16" s="232">
        <v>76998.59</v>
      </c>
      <c r="C16" s="233">
        <v>77149.119999999995</v>
      </c>
      <c r="D16" s="222" t="s">
        <v>38</v>
      </c>
      <c r="E16" s="222">
        <v>1</v>
      </c>
      <c r="F16" s="223">
        <v>0</v>
      </c>
      <c r="G16" s="223">
        <v>1</v>
      </c>
      <c r="H16" s="26">
        <f t="shared" si="0"/>
        <v>3.5</v>
      </c>
      <c r="I16" s="27">
        <f t="shared" si="1"/>
        <v>9.0317999999999294</v>
      </c>
      <c r="J16" s="27">
        <f t="shared" si="2"/>
        <v>8.8645444444443768</v>
      </c>
      <c r="K16" s="27">
        <f t="shared" si="3"/>
        <v>0.39026296296295998</v>
      </c>
      <c r="L16" s="4">
        <f t="shared" si="4"/>
        <v>150.52999999999884</v>
      </c>
      <c r="M16" s="224">
        <v>29.81</v>
      </c>
      <c r="N16" s="14">
        <f t="shared" si="5"/>
        <v>4487.2992999999651</v>
      </c>
      <c r="O16" s="224"/>
      <c r="P16" s="4">
        <f t="shared" ref="P16" si="19">SUM(N16:O16)</f>
        <v>4487.2992999999651</v>
      </c>
      <c r="Q16" s="6">
        <f t="shared" ref="Q16" si="20">(S16)/2000</f>
        <v>0.27856412777777562</v>
      </c>
      <c r="R16" s="6">
        <f t="shared" ref="R16" si="21">S16</f>
        <v>557.12825555555128</v>
      </c>
      <c r="S16" s="6">
        <f t="shared" si="8"/>
        <v>557.12825555555128</v>
      </c>
      <c r="T16" s="6">
        <f t="shared" ref="T16" si="22">$S$1*S16*110*0.06*0.75/2000</f>
        <v>16.54670918999987</v>
      </c>
      <c r="U16" s="225"/>
      <c r="V16" s="34">
        <f t="shared" si="10"/>
        <v>168.30322577160362</v>
      </c>
      <c r="W16" s="4">
        <f t="shared" si="11"/>
        <v>91.962679629628923</v>
      </c>
      <c r="X16" s="6">
        <f t="shared" si="12"/>
        <v>19.94355244444429</v>
      </c>
      <c r="Y16" s="4">
        <f t="shared" si="13"/>
        <v>20.774533796296137</v>
      </c>
      <c r="Z16" s="4">
        <f t="shared" si="14"/>
        <v>24.627219058641785</v>
      </c>
      <c r="AB16" s="98">
        <f t="shared" si="15"/>
        <v>5.5751851851851422</v>
      </c>
      <c r="AC16" s="94">
        <f t="shared" ref="AC16:AC20" si="23">(S16)/2000</f>
        <v>0.27856412777777562</v>
      </c>
      <c r="AD16" s="6">
        <f t="shared" ref="AD16:AD51" si="24">AE16</f>
        <v>557.12825555555128</v>
      </c>
      <c r="AE16" s="6">
        <f t="shared" ref="AE16:AE51" si="25">($P16+H16*$L16)/9</f>
        <v>557.12825555555128</v>
      </c>
      <c r="AF16" s="6">
        <f t="shared" ref="AF16:AF51" si="26">$S$1*AE16*110*0.06*0.75/2000</f>
        <v>16.54670918999987</v>
      </c>
      <c r="AG16" s="6">
        <f t="shared" si="18"/>
        <v>88.673320370369694</v>
      </c>
      <c r="AH16" s="95">
        <f t="shared" ref="AH16:AH20" si="27">P16/9</f>
        <v>498.58881111110725</v>
      </c>
      <c r="AK16" s="353">
        <v>2</v>
      </c>
      <c r="AL16" s="354"/>
      <c r="AM16" s="355"/>
      <c r="AN16" s="353">
        <v>1.05</v>
      </c>
      <c r="AO16" s="354"/>
      <c r="AP16" s="355"/>
      <c r="AQ16" s="353">
        <v>0.92</v>
      </c>
      <c r="AR16" s="354"/>
      <c r="AS16" s="355"/>
      <c r="AT16" s="353">
        <v>7.0000000000000007E-2</v>
      </c>
      <c r="AU16" s="354"/>
      <c r="AV16" s="355"/>
    </row>
    <row r="17" spans="1:42" ht="12.75" customHeight="1" x14ac:dyDescent="0.2">
      <c r="B17" s="232">
        <v>77149.119999999995</v>
      </c>
      <c r="C17" s="233">
        <v>77882.509999999995</v>
      </c>
      <c r="D17" s="222" t="s">
        <v>38</v>
      </c>
      <c r="E17" s="222">
        <v>2</v>
      </c>
      <c r="F17" s="223">
        <v>0</v>
      </c>
      <c r="G17" s="223">
        <v>0</v>
      </c>
      <c r="H17" s="26">
        <f t="shared" si="0"/>
        <v>3</v>
      </c>
      <c r="I17" s="27">
        <f t="shared" si="1"/>
        <v>30.965355555555529</v>
      </c>
      <c r="J17" s="27">
        <f t="shared" si="2"/>
        <v>36.397874074074046</v>
      </c>
      <c r="K17" s="27">
        <f t="shared" si="3"/>
        <v>0</v>
      </c>
      <c r="L17" s="4">
        <f t="shared" si="4"/>
        <v>733.38999999999942</v>
      </c>
      <c r="M17" s="224">
        <v>26</v>
      </c>
      <c r="N17" s="14">
        <f t="shared" si="5"/>
        <v>19068.139999999985</v>
      </c>
      <c r="O17" s="224"/>
      <c r="P17" s="4">
        <f t="shared" ref="P17" si="28">SUM(N17:O17)</f>
        <v>19068.139999999985</v>
      </c>
      <c r="Q17" s="6">
        <f t="shared" ref="Q17" si="29">(S17)/2000</f>
        <v>1.1815727777777767</v>
      </c>
      <c r="R17" s="6">
        <f t="shared" ref="R17" si="30">S17</f>
        <v>2363.1455555555535</v>
      </c>
      <c r="S17" s="6">
        <f t="shared" si="8"/>
        <v>2363.1455555555535</v>
      </c>
      <c r="T17" s="6">
        <f t="shared" ref="T17" si="31">$S$1*S17*110*0.06*0.75/2000</f>
        <v>70.185422999999957</v>
      </c>
      <c r="U17" s="225"/>
      <c r="V17" s="34">
        <f t="shared" si="10"/>
        <v>707.76662098765382</v>
      </c>
      <c r="W17" s="4">
        <f t="shared" si="11"/>
        <v>389.51157777777746</v>
      </c>
      <c r="X17" s="6">
        <f t="shared" si="12"/>
        <v>84.747288888888818</v>
      </c>
      <c r="Y17" s="4">
        <f t="shared" si="13"/>
        <v>88.278425925925859</v>
      </c>
      <c r="Z17" s="4">
        <f t="shared" si="14"/>
        <v>102.99149691358016</v>
      </c>
      <c r="AB17" s="98">
        <f t="shared" si="15"/>
        <v>27.162592592592571</v>
      </c>
      <c r="AC17" s="94">
        <f t="shared" si="23"/>
        <v>1.1815727777777767</v>
      </c>
      <c r="AD17" s="6">
        <f t="shared" si="24"/>
        <v>2363.1455555555535</v>
      </c>
      <c r="AE17" s="6">
        <f t="shared" si="25"/>
        <v>2363.1455555555535</v>
      </c>
      <c r="AF17" s="6">
        <f t="shared" si="26"/>
        <v>70.185422999999957</v>
      </c>
      <c r="AG17" s="6">
        <f t="shared" si="18"/>
        <v>380.27629629629598</v>
      </c>
      <c r="AH17" s="95">
        <f t="shared" si="27"/>
        <v>2118.6822222222204</v>
      </c>
    </row>
    <row r="18" spans="1:42" ht="12.75" customHeight="1" x14ac:dyDescent="0.2">
      <c r="A18" s="58"/>
      <c r="B18" s="232">
        <v>77882.509999999995</v>
      </c>
      <c r="C18" s="233">
        <v>79287.81</v>
      </c>
      <c r="D18" s="222" t="s">
        <v>15</v>
      </c>
      <c r="E18" s="222">
        <v>1</v>
      </c>
      <c r="F18" s="223">
        <v>0</v>
      </c>
      <c r="G18" s="223">
        <v>0</v>
      </c>
      <c r="H18" s="26">
        <f t="shared" si="0"/>
        <v>1.5</v>
      </c>
      <c r="I18" s="27">
        <f t="shared" si="1"/>
        <v>29.667444444444502</v>
      </c>
      <c r="J18" s="27">
        <f t="shared" si="2"/>
        <v>34.87225925925933</v>
      </c>
      <c r="K18" s="27">
        <f t="shared" si="3"/>
        <v>0</v>
      </c>
      <c r="L18" s="4">
        <f t="shared" si="4"/>
        <v>1405.3000000000029</v>
      </c>
      <c r="M18" s="224">
        <v>20</v>
      </c>
      <c r="N18" s="14">
        <f t="shared" si="5"/>
        <v>28106.000000000058</v>
      </c>
      <c r="O18" s="224"/>
      <c r="P18" s="4">
        <f t="shared" ref="P18" si="32">SUM(N18:O18)</f>
        <v>28106.000000000058</v>
      </c>
      <c r="Q18" s="6">
        <f t="shared" ref="Q18" si="33">(S18)/2000</f>
        <v>1.6785527777777813</v>
      </c>
      <c r="R18" s="6">
        <f t="shared" ref="R18" si="34">S18</f>
        <v>3357.1055555555627</v>
      </c>
      <c r="S18" s="6">
        <f t="shared" si="8"/>
        <v>3357.1055555555627</v>
      </c>
      <c r="T18" s="6">
        <f t="shared" ref="T18" si="35">$S$1*S18*110*0.06*0.75/2000</f>
        <v>99.706035000000213</v>
      </c>
      <c r="U18" s="225"/>
      <c r="V18" s="34">
        <f t="shared" si="10"/>
        <v>1027.2569506172861</v>
      </c>
      <c r="W18" s="4">
        <f t="shared" si="11"/>
        <v>555.35374074074184</v>
      </c>
      <c r="X18" s="6">
        <f t="shared" si="12"/>
        <v>124.91555555555583</v>
      </c>
      <c r="Y18" s="4">
        <f t="shared" si="13"/>
        <v>130.12037037037064</v>
      </c>
      <c r="Z18" s="4">
        <f t="shared" si="14"/>
        <v>151.80709876543241</v>
      </c>
      <c r="AB18" s="98">
        <f t="shared" si="15"/>
        <v>26.024074074074129</v>
      </c>
      <c r="AC18" s="94">
        <f t="shared" si="23"/>
        <v>1.6785527777777813</v>
      </c>
      <c r="AD18" s="6">
        <f t="shared" si="24"/>
        <v>3357.1055555555627</v>
      </c>
      <c r="AE18" s="6">
        <f t="shared" si="25"/>
        <v>3357.1055555555627</v>
      </c>
      <c r="AF18" s="6">
        <f t="shared" si="26"/>
        <v>99.706035000000213</v>
      </c>
      <c r="AG18" s="6">
        <f t="shared" si="18"/>
        <v>546.50555555555673</v>
      </c>
      <c r="AH18" s="95">
        <f t="shared" si="27"/>
        <v>3122.8888888888955</v>
      </c>
    </row>
    <row r="19" spans="1:42" ht="12.75" customHeight="1" x14ac:dyDescent="0.2">
      <c r="A19" s="58"/>
      <c r="B19" s="232">
        <v>77882.509999999995</v>
      </c>
      <c r="C19" s="233">
        <v>79287.81</v>
      </c>
      <c r="D19" s="222" t="s">
        <v>16</v>
      </c>
      <c r="E19" s="222">
        <v>1</v>
      </c>
      <c r="F19" s="223">
        <v>0</v>
      </c>
      <c r="G19" s="223">
        <v>0</v>
      </c>
      <c r="H19" s="26">
        <f t="shared" si="0"/>
        <v>1.5</v>
      </c>
      <c r="I19" s="27">
        <f t="shared" si="1"/>
        <v>29.667444444444502</v>
      </c>
      <c r="J19" s="27">
        <f t="shared" si="2"/>
        <v>34.87225925925933</v>
      </c>
      <c r="K19" s="27">
        <f t="shared" si="3"/>
        <v>0</v>
      </c>
      <c r="L19" s="4">
        <f t="shared" si="4"/>
        <v>1405.3000000000029</v>
      </c>
      <c r="M19" s="224"/>
      <c r="N19" s="14" t="str">
        <f t="shared" si="5"/>
        <v/>
      </c>
      <c r="O19" s="224">
        <v>29013.11</v>
      </c>
      <c r="P19" s="4">
        <f t="shared" ref="P19" si="36">SUM(N19:O19)</f>
        <v>29013.11</v>
      </c>
      <c r="Q19" s="6">
        <f t="shared" ref="Q19" si="37">(S19)/2000</f>
        <v>1.7289477777777782</v>
      </c>
      <c r="R19" s="6">
        <f t="shared" ref="R19" si="38">S19</f>
        <v>3457.8955555555563</v>
      </c>
      <c r="S19" s="6">
        <f t="shared" si="8"/>
        <v>3457.8955555555563</v>
      </c>
      <c r="T19" s="6">
        <f t="shared" ref="T19" si="39">$S$1*S19*110*0.06*0.75/2000</f>
        <v>102.69949800000002</v>
      </c>
      <c r="U19" s="225"/>
      <c r="V19" s="34">
        <f t="shared" si="10"/>
        <v>1059.4537561728396</v>
      </c>
      <c r="W19" s="4">
        <f t="shared" si="11"/>
        <v>572.15207407407411</v>
      </c>
      <c r="X19" s="6">
        <f t="shared" si="12"/>
        <v>128.94715555555555</v>
      </c>
      <c r="Y19" s="4">
        <f t="shared" si="13"/>
        <v>134.3199537037037</v>
      </c>
      <c r="Z19" s="4">
        <f t="shared" si="14"/>
        <v>156.70661265432099</v>
      </c>
      <c r="AB19" s="98">
        <f t="shared" si="15"/>
        <v>26.024074074074129</v>
      </c>
      <c r="AC19" s="94">
        <f t="shared" si="23"/>
        <v>1.7289477777777782</v>
      </c>
      <c r="AD19" s="6">
        <f t="shared" si="24"/>
        <v>3457.8955555555563</v>
      </c>
      <c r="AE19" s="6">
        <f t="shared" si="25"/>
        <v>3457.8955555555563</v>
      </c>
      <c r="AF19" s="6">
        <f t="shared" si="26"/>
        <v>102.69949800000002</v>
      </c>
      <c r="AG19" s="6">
        <f t="shared" si="18"/>
        <v>563.30388888888899</v>
      </c>
      <c r="AH19" s="95">
        <f t="shared" si="27"/>
        <v>3223.6788888888891</v>
      </c>
    </row>
    <row r="20" spans="1:42" ht="12.75" customHeight="1" x14ac:dyDescent="0.2">
      <c r="B20" s="232">
        <v>79287.81</v>
      </c>
      <c r="C20" s="233">
        <v>79829.320000000007</v>
      </c>
      <c r="D20" s="222" t="s">
        <v>38</v>
      </c>
      <c r="E20" s="222">
        <v>2</v>
      </c>
      <c r="F20" s="223">
        <v>0</v>
      </c>
      <c r="G20" s="223">
        <v>0</v>
      </c>
      <c r="H20" s="26">
        <f t="shared" si="0"/>
        <v>3</v>
      </c>
      <c r="I20" s="27">
        <f t="shared" si="1"/>
        <v>22.863755555555947</v>
      </c>
      <c r="J20" s="27">
        <f t="shared" si="2"/>
        <v>26.874940740741206</v>
      </c>
      <c r="K20" s="27">
        <f t="shared" si="3"/>
        <v>0</v>
      </c>
      <c r="L20" s="4">
        <f t="shared" si="4"/>
        <v>541.51000000000931</v>
      </c>
      <c r="M20" s="224">
        <v>26</v>
      </c>
      <c r="N20" s="14">
        <f t="shared" si="5"/>
        <v>14079.260000000242</v>
      </c>
      <c r="O20" s="224"/>
      <c r="P20" s="4">
        <f t="shared" ref="P20" si="40">SUM(N20:O20)</f>
        <v>14079.260000000242</v>
      </c>
      <c r="Q20" s="6">
        <f t="shared" ref="Q20" si="41">(S20)/2000</f>
        <v>0.87243277777779282</v>
      </c>
      <c r="R20" s="6">
        <f t="shared" ref="R20" si="42">S20</f>
        <v>1744.8655555555856</v>
      </c>
      <c r="S20" s="6">
        <f t="shared" si="8"/>
        <v>1744.8655555555856</v>
      </c>
      <c r="T20" s="6">
        <f t="shared" ref="T20" si="43">$S$1*S20*110*0.06*0.75/2000</f>
        <v>51.822507000000897</v>
      </c>
      <c r="U20" s="225"/>
      <c r="V20" s="34">
        <f t="shared" si="10"/>
        <v>522.59057654321896</v>
      </c>
      <c r="W20" s="4">
        <f t="shared" si="11"/>
        <v>287.60197777778268</v>
      </c>
      <c r="X20" s="6">
        <f t="shared" si="12"/>
        <v>62.574488888889967</v>
      </c>
      <c r="Y20" s="4">
        <f t="shared" si="13"/>
        <v>65.181759259260375</v>
      </c>
      <c r="Z20" s="4">
        <f t="shared" si="14"/>
        <v>76.045385802470449</v>
      </c>
      <c r="AB20" s="98">
        <f t="shared" si="15"/>
        <v>20.055925925926271</v>
      </c>
      <c r="AC20" s="94">
        <f t="shared" si="23"/>
        <v>0.87243277777779282</v>
      </c>
      <c r="AD20" s="6">
        <f t="shared" si="24"/>
        <v>1744.8655555555856</v>
      </c>
      <c r="AE20" s="6">
        <f t="shared" si="25"/>
        <v>1744.8655555555856</v>
      </c>
      <c r="AF20" s="6">
        <f t="shared" si="26"/>
        <v>51.822507000000897</v>
      </c>
      <c r="AG20" s="6">
        <f t="shared" si="18"/>
        <v>280.78296296296776</v>
      </c>
      <c r="AH20" s="95">
        <f t="shared" si="27"/>
        <v>1564.3622222222491</v>
      </c>
    </row>
    <row r="21" spans="1:42" ht="12.75" customHeight="1" thickBot="1" x14ac:dyDescent="0.25">
      <c r="B21" s="84"/>
      <c r="C21" s="3"/>
      <c r="D21" s="32"/>
      <c r="E21" s="32"/>
      <c r="F21" s="32"/>
      <c r="G21" s="32"/>
      <c r="H21" s="26"/>
      <c r="I21" s="27"/>
      <c r="J21" s="27"/>
      <c r="K21" s="27"/>
      <c r="L21" s="4"/>
      <c r="M21" s="4"/>
      <c r="N21" s="14"/>
      <c r="O21" s="4"/>
      <c r="P21" s="4"/>
      <c r="Q21" s="6"/>
      <c r="R21" s="6"/>
      <c r="S21" s="6"/>
      <c r="T21" s="6"/>
      <c r="U21" s="7"/>
      <c r="V21" s="34"/>
      <c r="W21" s="4"/>
      <c r="X21" s="6"/>
      <c r="Y21" s="4"/>
      <c r="Z21" s="4"/>
      <c r="AB21" s="19"/>
      <c r="AC21" s="19"/>
      <c r="AD21" s="19"/>
      <c r="AE21" s="19"/>
      <c r="AF21" s="19"/>
      <c r="AG21" s="19"/>
      <c r="AH21" s="19"/>
    </row>
    <row r="22" spans="1:42" ht="12.75" customHeight="1" x14ac:dyDescent="0.2">
      <c r="B22" s="357" t="s">
        <v>155</v>
      </c>
      <c r="C22" s="358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  <c r="P22" s="29"/>
      <c r="Q22" s="29"/>
      <c r="R22" s="29"/>
      <c r="S22" s="29"/>
      <c r="T22" s="30"/>
      <c r="U22" s="30"/>
      <c r="V22" s="29"/>
      <c r="W22" s="29"/>
      <c r="X22" s="29"/>
      <c r="Y22" s="29"/>
      <c r="Z22" s="29"/>
      <c r="AB22" s="228"/>
      <c r="AC22" s="228"/>
      <c r="AD22" s="228"/>
      <c r="AE22" s="228"/>
      <c r="AF22" s="228"/>
      <c r="AG22" s="228"/>
      <c r="AH22" s="228"/>
    </row>
    <row r="23" spans="1:42" ht="12.75" customHeight="1" x14ac:dyDescent="0.2">
      <c r="B23" s="232">
        <v>78827.38</v>
      </c>
      <c r="C23" s="233">
        <v>80040.03</v>
      </c>
      <c r="D23" s="222" t="s">
        <v>38</v>
      </c>
      <c r="E23" s="222">
        <v>1</v>
      </c>
      <c r="F23" s="223">
        <v>0</v>
      </c>
      <c r="G23" s="223">
        <v>0</v>
      </c>
      <c r="H23" s="26">
        <f>IF(E23=2,$AK$4*2,IF(F23=2,$AN$10*2,IF(G23=2,$AK$16*2,IF(AND(E23=1,F23=1),$AK$4+$AN$10,IF(AND(E23=1,F23=0,G23=0),$AK$4,IF(AND(E23=1,G23=1),$AK$4+$AK$16,IF(AND(E23=0,F23=1,G23=0),$AN$10,IF(AND(F23=1,G23=1),$AN$10+$AK$16,IF(AND(E23=0,F23=0,G23=1),$AK$16,0)))))))))</f>
        <v>1.5</v>
      </c>
      <c r="I23" s="27">
        <f>IF(E23=2,AN$4*L23*2/27,IF(G23=2,$AN$16*L23*2/27,IF(AND(E23=1,G23=0),$AN$4*L23/27,IF(AND(E23=1,G23=1),($AN$4*L23+$AN$16*L23)/27,IF(AND(F23=1,G23=1),$AN$16*L23/27,IF(AND(E23=0,F23=0,G23=1),$AN$16*L23/27,0))))))</f>
        <v>25.600388888888762</v>
      </c>
      <c r="J23" s="27">
        <f>IF(E23=2,$AQ$4*2*L23/27,IF(F23=2,$AQ$10*2*L23/27,IF(G23=2,$AQ$16*2*L23/27,IF(AND(E23=1,F23=1),($AQ$4*L23+$AQ$10*L23)/27,IF(AND(E23=1,F23=0,G23=0),$AQ$4*L23/27,IF(AND(E23=1,G23=1),($AQ$4*L23+$AQ$16*L23)/27,IF(AND(E23=0,F23=1,G23=0),$AQ$10*L23/27,IF(AND(F23=1,G23=1),($AQ$10*L23+$AQ$16*L23)/27,IF(AND(E23=0,F23=0,G23=1),$AQ$16*L23/27,0)))))))))</f>
        <v>30.091685185185042</v>
      </c>
      <c r="K23" s="27">
        <f>IF(G23=1,$AT$16*L23/27,IF(G23=2,$AT$16*L23*2/27,0))</f>
        <v>0</v>
      </c>
      <c r="L23" s="4">
        <f>C23-B23</f>
        <v>1212.6499999999942</v>
      </c>
      <c r="M23" s="224"/>
      <c r="N23" s="14" t="str">
        <f>IF(M23="","",L23*M23)</f>
        <v/>
      </c>
      <c r="O23" s="224">
        <v>51857.02</v>
      </c>
      <c r="P23" s="4">
        <f t="shared" ref="P23" si="44">SUM(N23:O23)</f>
        <v>51857.02</v>
      </c>
      <c r="Q23" s="6">
        <f t="shared" ref="Q23" si="45">(S23)/2000</f>
        <v>2.9819997222222212</v>
      </c>
      <c r="R23" s="6">
        <f t="shared" ref="R23" si="46">S23</f>
        <v>5963.9994444444428</v>
      </c>
      <c r="S23" s="6">
        <f>($P23+H23*$L23)/9</f>
        <v>5963.9994444444428</v>
      </c>
      <c r="T23" s="6">
        <f t="shared" ref="T23" si="47">$S$1*S23*110*0.06*0.75/2000</f>
        <v>177.13078349999995</v>
      </c>
      <c r="U23" s="225"/>
      <c r="V23" s="34">
        <f>(P23*$V$1/12)/27+I23</f>
        <v>1866.2044938271601</v>
      </c>
      <c r="W23" s="4">
        <f>(P23*$W$1/12)/27+J23</f>
        <v>990.40687037037014</v>
      </c>
      <c r="X23" s="6">
        <f>($P23/9)*$X$1</f>
        <v>230.47564444444444</v>
      </c>
      <c r="Y23" s="4">
        <f>($P23*($Y$1/12))/27</f>
        <v>240.07879629629628</v>
      </c>
      <c r="Z23" s="4">
        <f>(P23*$Z$1/12)/27+K23</f>
        <v>280.09192901234564</v>
      </c>
      <c r="AB23" s="98">
        <f>IF(E23=2,$AN$26*2*L23/27,IF(F23=2,$AN$32*2*L23/27,IF(G23=2,$AN$38*2*L23/27,IF(AND(E23=1,F23=1),($AN$26*L23+$AN$32*L23)/27,IF(AND(E23=1,F23=0,G23=0),$AN$26*L23/27,IF(AND(E23=1,G23=1),($AN$26*L23+$AN$38*L23)/27,IF(AND(E23=0,F23=1,G23=0),$AN$32*L23/27,IF(AND(F23=1,G23=1),($AN$32*L23+$AN$38*L23)/27,IF(AND(E23=0,F23=0,G23=1),$AN$38*L23/27,0)))))))))</f>
        <v>22.456481481481372</v>
      </c>
      <c r="AC23" s="94">
        <f t="shared" ref="AC23" si="48">(S23)/2000</f>
        <v>2.9819997222222212</v>
      </c>
      <c r="AD23" s="6">
        <f t="shared" si="24"/>
        <v>5963.9994444444428</v>
      </c>
      <c r="AE23" s="6">
        <f t="shared" si="25"/>
        <v>5963.9994444444428</v>
      </c>
      <c r="AF23" s="6">
        <f t="shared" si="26"/>
        <v>177.13078349999995</v>
      </c>
      <c r="AG23" s="6">
        <f>(P23*$W$1/12)/27+AB23</f>
        <v>982.77166666666642</v>
      </c>
      <c r="AH23" s="95">
        <f t="shared" ref="AH23" si="49">P23/9</f>
        <v>5761.8911111111111</v>
      </c>
      <c r="AN23" s="359" t="s">
        <v>121</v>
      </c>
      <c r="AO23" s="359"/>
      <c r="AP23" s="359"/>
    </row>
    <row r="24" spans="1:42" ht="12.75" customHeight="1" x14ac:dyDescent="0.2">
      <c r="B24" s="232">
        <v>80040.03</v>
      </c>
      <c r="C24" s="233">
        <v>81216.600000000006</v>
      </c>
      <c r="D24" s="222" t="s">
        <v>38</v>
      </c>
      <c r="E24" s="222">
        <v>2</v>
      </c>
      <c r="F24" s="223">
        <v>0</v>
      </c>
      <c r="G24" s="223">
        <v>0</v>
      </c>
      <c r="H24" s="26">
        <f>IF(E24=2,$AK$4*2,IF(F24=2,$AN$10*2,IF(G24=2,$AK$16*2,IF(AND(E24=1,F24=1),$AK$4+$AN$10,IF(AND(E24=1,F24=0,G24=0),$AK$4,IF(AND(E24=1,G24=1),$AK$4+$AK$16,IF(AND(E24=0,F24=1,G24=0),$AN$10,IF(AND(F24=1,G24=1),$AN$10+$AK$16,IF(AND(E24=0,F24=0,G24=1),$AK$16,0)))))))))</f>
        <v>3</v>
      </c>
      <c r="I24" s="27">
        <f>IF(E24=2,AN$4*L24*2/27,IF(G24=2,$AN$16*L24*2/27,IF(AND(E24=1,G24=0),$AN$4*L24/27,IF(AND(E24=1,G24=1),($AN$4*L24+$AN$16*L24)/27,IF(AND(F24=1,G24=1),$AN$16*L24/27,IF(AND(E24=0,F24=0,G24=1),$AN$16*L24/27,0))))))</f>
        <v>49.67740000000029</v>
      </c>
      <c r="J24" s="27">
        <f>IF(E24=2,$AQ$4*2*L24/27,IF(F24=2,$AQ$10*2*L24/27,IF(G24=2,$AQ$16*2*L24/27,IF(AND(E24=1,F24=1),($AQ$4*L24+$AQ$10*L24)/27,IF(AND(E24=1,F24=0,G24=0),$AQ$4*L24/27,IF(AND(E24=1,G24=1),($AQ$4*L24+$AQ$16*L24)/27,IF(AND(E24=0,F24=1,G24=0),$AQ$10*L24/27,IF(AND(F24=1,G24=1),($AQ$10*L24+$AQ$16*L24)/27,IF(AND(E24=0,F24=0,G24=1),$AQ$16*L24/27,0)))))))))</f>
        <v>58.39273333333368</v>
      </c>
      <c r="K24" s="27">
        <f>IF(G24=1,$AT$16*L24/27,IF(G24=2,$AT$16*L24*2/27,0))</f>
        <v>0</v>
      </c>
      <c r="L24" s="4">
        <f>C24-B24</f>
        <v>1176.570000000007</v>
      </c>
      <c r="M24" s="224">
        <v>26</v>
      </c>
      <c r="N24" s="14">
        <f>IF(M24="","",L24*M24)</f>
        <v>30590.820000000182</v>
      </c>
      <c r="O24" s="224"/>
      <c r="P24" s="4">
        <f t="shared" ref="P24" si="50">SUM(N24:O24)</f>
        <v>30590.820000000182</v>
      </c>
      <c r="Q24" s="6">
        <f t="shared" ref="Q24" si="51">(S24)/2000</f>
        <v>1.8955850000000112</v>
      </c>
      <c r="R24" s="6">
        <f t="shared" ref="R24" si="52">S24</f>
        <v>3791.1700000000224</v>
      </c>
      <c r="S24" s="6">
        <f>($P24+H24*$L24)/9</f>
        <v>3791.1700000000224</v>
      </c>
      <c r="T24" s="6">
        <f t="shared" ref="T24" si="53">$S$1*S24*110*0.06*0.75/2000</f>
        <v>112.59774900000068</v>
      </c>
      <c r="U24" s="225"/>
      <c r="V24" s="34">
        <f>(P24*$V$1/12)/27+I24</f>
        <v>1135.4626777777844</v>
      </c>
      <c r="W24" s="4">
        <f>(P24*$W$1/12)/27+J24</f>
        <v>624.88940000000377</v>
      </c>
      <c r="X24" s="6">
        <f>($P24/9)*$X$1</f>
        <v>135.95920000000081</v>
      </c>
      <c r="Y24" s="4">
        <f>($P24*($Y$1/12))/27</f>
        <v>141.62416666666752</v>
      </c>
      <c r="Z24" s="4">
        <f>(P24*$Z$1/12)/27+K24</f>
        <v>165.22819444444542</v>
      </c>
      <c r="AB24" s="98">
        <f>IF(E24=2,$AN$26*2*L24/27,IF(F24=2,$AN$32*2*L24/27,IF(G24=2,$AN$38*2*L24/27,IF(AND(E24=1,F24=1),($AN$26*L24+$AN$32*L24)/27,IF(AND(E24=1,F24=0,G24=0),$AN$26*L24/27,IF(AND(E24=1,G24=1),($AN$26*L24+$AN$38*L24)/27,IF(AND(E24=0,F24=1,G24=0),$AN$32*L24/27,IF(AND(F24=1,G24=1),($AN$32*L24+$AN$38*L24)/27,IF(AND(E24=0,F24=0,G24=1),$AN$38*L24/27,0)))))))))</f>
        <v>43.576666666666924</v>
      </c>
      <c r="AC24" s="94">
        <f t="shared" ref="AC24" si="54">(S24)/2000</f>
        <v>1.8955850000000112</v>
      </c>
      <c r="AD24" s="6">
        <f t="shared" si="24"/>
        <v>3791.1700000000224</v>
      </c>
      <c r="AE24" s="6">
        <f t="shared" si="25"/>
        <v>3791.1700000000224</v>
      </c>
      <c r="AF24" s="6">
        <f t="shared" si="26"/>
        <v>112.59774900000068</v>
      </c>
      <c r="AG24" s="6">
        <f>(P24*$W$1/12)/27+AB24</f>
        <v>610.07333333333702</v>
      </c>
      <c r="AH24" s="95">
        <f t="shared" ref="AH24" si="55">P24/9</f>
        <v>3398.98000000002</v>
      </c>
      <c r="AM24" s="356" t="s">
        <v>145</v>
      </c>
      <c r="AN24" s="345" t="s">
        <v>109</v>
      </c>
      <c r="AO24" s="346"/>
      <c r="AP24" s="347"/>
    </row>
    <row r="25" spans="1:42" ht="12.75" customHeight="1" thickBot="1" x14ac:dyDescent="0.25">
      <c r="B25" s="84"/>
      <c r="C25" s="3"/>
      <c r="D25" s="32"/>
      <c r="E25" s="32"/>
      <c r="F25" s="32"/>
      <c r="G25" s="32"/>
      <c r="H25" s="26"/>
      <c r="I25" s="27"/>
      <c r="J25" s="27"/>
      <c r="K25" s="27"/>
      <c r="L25" s="4"/>
      <c r="M25" s="4"/>
      <c r="N25" s="14"/>
      <c r="O25" s="4"/>
      <c r="P25" s="4"/>
      <c r="Q25" s="6"/>
      <c r="R25" s="6"/>
      <c r="S25" s="6"/>
      <c r="T25" s="6"/>
      <c r="U25" s="7"/>
      <c r="V25" s="34"/>
      <c r="W25" s="4"/>
      <c r="X25" s="6"/>
      <c r="Y25" s="4"/>
      <c r="Z25" s="4"/>
      <c r="AB25" s="19"/>
      <c r="AC25" s="19"/>
      <c r="AD25" s="19"/>
      <c r="AE25" s="19"/>
      <c r="AF25" s="19"/>
      <c r="AG25" s="19"/>
      <c r="AH25" s="19"/>
      <c r="AM25" s="356"/>
      <c r="AN25" s="348" t="s">
        <v>112</v>
      </c>
      <c r="AO25" s="349"/>
      <c r="AP25" s="350"/>
    </row>
    <row r="26" spans="1:42" ht="12.75" customHeight="1" x14ac:dyDescent="0.2">
      <c r="B26" s="357" t="s">
        <v>156</v>
      </c>
      <c r="C26" s="358"/>
      <c r="D26" s="28"/>
      <c r="E26" s="28"/>
      <c r="F26" s="28"/>
      <c r="G26" s="28"/>
      <c r="H26" s="28"/>
      <c r="I26" s="28"/>
      <c r="J26" s="28"/>
      <c r="K26" s="28"/>
      <c r="L26" s="29"/>
      <c r="M26" s="29"/>
      <c r="N26" s="29"/>
      <c r="O26" s="29"/>
      <c r="P26" s="29"/>
      <c r="Q26" s="29"/>
      <c r="R26" s="29"/>
      <c r="S26" s="29"/>
      <c r="T26" s="30"/>
      <c r="U26" s="30"/>
      <c r="V26" s="29"/>
      <c r="W26" s="29"/>
      <c r="X26" s="29"/>
      <c r="Y26" s="29"/>
      <c r="Z26" s="29"/>
      <c r="AB26" s="228"/>
      <c r="AC26" s="228"/>
      <c r="AD26" s="228"/>
      <c r="AE26" s="228"/>
      <c r="AF26" s="228"/>
      <c r="AG26" s="228"/>
      <c r="AH26" s="228"/>
      <c r="AM26" s="356"/>
      <c r="AN26" s="353">
        <v>0.5</v>
      </c>
      <c r="AO26" s="354"/>
      <c r="AP26" s="355"/>
    </row>
    <row r="27" spans="1:42" ht="12.75" customHeight="1" x14ac:dyDescent="0.2">
      <c r="B27" s="232">
        <v>78775.33</v>
      </c>
      <c r="C27" s="233">
        <v>78810.09</v>
      </c>
      <c r="D27" s="222" t="s">
        <v>38</v>
      </c>
      <c r="E27" s="222">
        <v>1</v>
      </c>
      <c r="F27" s="223">
        <v>1</v>
      </c>
      <c r="G27" s="223">
        <v>0</v>
      </c>
      <c r="H27" s="26">
        <f t="shared" ref="H27:H37" si="56">IF(E27=2,$AK$4*2,IF(F27=2,$AN$10*2,IF(G27=2,$AK$16*2,IF(AND(E27=1,F27=1),$AK$4+$AN$10,IF(AND(E27=1,F27=0,G27=0),$AK$4,IF(AND(E27=1,G27=1),$AK$4+$AK$16,IF(AND(E27=0,F27=1,G27=0),$AN$10,IF(AND(F27=1,G27=1),$AN$10+$AK$16,IF(AND(E27=0,F27=0,G27=1),$AK$16,0)))))))))</f>
        <v>3.5</v>
      </c>
      <c r="I27" s="27">
        <f t="shared" ref="I27:I37" si="57">IF(E27=2,AN$4*L27*2/27,IF(G27=2,$AN$16*L27*2/27,IF(AND(E27=1,G27=0),$AN$4*L27/27,IF(AND(E27=1,G27=1),($AN$4*L27+$AN$16*L27)/27,IF(AND(F27=1,G27=1),$AN$16*L27/27,IF(AND(E27=0,F27=0,G27=1),$AN$16*L27/27,0))))))</f>
        <v>0.73382222222211146</v>
      </c>
      <c r="J27" s="27">
        <f t="shared" ref="J27:J37" si="58">IF(E27=2,$AQ$4*2*L27/27,IF(F27=2,$AQ$10*2*L27/27,IF(G27=2,$AQ$16*2*L27/27,IF(AND(E27=1,F27=1),($AQ$4*L27+$AQ$10*L27)/27,IF(AND(E27=1,F27=0,G27=0),$AQ$4*L27/27,IF(AND(E27=1,G27=1),($AQ$4*L27+$AQ$16*L27)/27,IF(AND(E27=0,F27=1,G27=0),$AQ$10*L27/27,IF(AND(F27=1,G27=1),($AQ$10*L27+$AQ$16*L27)/27,IF(AND(E27=0,F27=0,G27=1),$AQ$16*L27/27,0)))))))))</f>
        <v>1.5062666666664397</v>
      </c>
      <c r="K27" s="27">
        <f t="shared" ref="K27:K37" si="59">IF(G27=1,$AT$16*L27/27,IF(G27=2,$AT$16*L27*2/27,0))</f>
        <v>0</v>
      </c>
      <c r="L27" s="4">
        <f t="shared" ref="L27:L37" si="60">C27-B27</f>
        <v>34.759999999994761</v>
      </c>
      <c r="M27" s="224">
        <v>28</v>
      </c>
      <c r="N27" s="14">
        <f t="shared" ref="N27:N37" si="61">IF(M27="","",L27*M27)</f>
        <v>973.27999999985332</v>
      </c>
      <c r="O27" s="224"/>
      <c r="P27" s="4">
        <f t="shared" ref="P27" si="62">SUM(N27:O27)</f>
        <v>973.27999999985332</v>
      </c>
      <c r="Q27" s="6">
        <f t="shared" ref="Q27" si="63">(S27)/2000</f>
        <v>6.0829999999990829E-2</v>
      </c>
      <c r="R27" s="6">
        <f t="shared" ref="R27" si="64">S27</f>
        <v>121.65999999998166</v>
      </c>
      <c r="S27" s="6">
        <f>($P27+H27*$L27)/9</f>
        <v>121.65999999998166</v>
      </c>
      <c r="T27" s="6">
        <f t="shared" ref="T27" si="65">$S$1*S27*110*0.06*0.75/2000</f>
        <v>3.613301999999456</v>
      </c>
      <c r="U27" s="225"/>
      <c r="V27" s="34">
        <f>(P27*$V$1/12)/27+I27</f>
        <v>35.279254320982332</v>
      </c>
      <c r="W27" s="4">
        <f t="shared" ref="W27:W37" si="66">(P27*$W$1/12)/27+J27</f>
        <v>19.52997037036743</v>
      </c>
      <c r="X27" s="6">
        <f>($P27/9)*$X$1</f>
        <v>4.3256888888882372</v>
      </c>
      <c r="Y27" s="4">
        <f>($P27*($Y$1/12))/27</f>
        <v>4.5059259259252471</v>
      </c>
      <c r="Z27" s="4">
        <f>(P27*$Z$1/12)/27+K27</f>
        <v>5.2569135802461213</v>
      </c>
      <c r="AB27" s="98">
        <f>IF(E27=2,$AN$26*2*L27/27,IF(F27=2,$AN$32*2*L27/27,IF(G27=2,$AN$38*2*L27/27,IF(AND(E27=1,F27=1),($AN$26*L27+$AN$32*L27)/27,IF(AND(E27=1,F27=0,G27=0),$AN$26*L27/27,IF(AND(E27=1,G27=1),($AN$26*L27+$AN$38*L27)/27,IF(AND(E27=0,F27=1,G27=0),$AN$32*L27/27,IF(AND(F27=1,G27=1),($AN$32*L27+$AN$38*L27)/27,IF(AND(E27=0,F27=0,G27=1),$AN$38*L27/27,0)))))))))</f>
        <v>1.2874074074072135</v>
      </c>
      <c r="AC27" s="94">
        <f t="shared" ref="AC27" si="67">(S27)/2000</f>
        <v>6.0829999999990829E-2</v>
      </c>
      <c r="AD27" s="6">
        <f t="shared" si="24"/>
        <v>121.65999999998166</v>
      </c>
      <c r="AE27" s="6">
        <f t="shared" si="25"/>
        <v>121.65999999998166</v>
      </c>
      <c r="AF27" s="6">
        <f t="shared" si="26"/>
        <v>3.613301999999456</v>
      </c>
      <c r="AG27" s="6">
        <f t="shared" ref="AG27:AG37" si="68">(P27*$W$1/12)/27+AB27</f>
        <v>19.3111111111082</v>
      </c>
      <c r="AH27" s="95">
        <f t="shared" ref="AH27" si="69">P27/9</f>
        <v>108.14222222220593</v>
      </c>
      <c r="AM27" s="356"/>
    </row>
    <row r="28" spans="1:42" ht="12.75" customHeight="1" x14ac:dyDescent="0.2">
      <c r="B28" s="232">
        <v>78810.09</v>
      </c>
      <c r="C28" s="233">
        <v>79087.05</v>
      </c>
      <c r="D28" s="222" t="s">
        <v>38</v>
      </c>
      <c r="E28" s="222">
        <v>2</v>
      </c>
      <c r="F28" s="223">
        <v>0</v>
      </c>
      <c r="G28" s="223">
        <v>0</v>
      </c>
      <c r="H28" s="26">
        <f t="shared" si="56"/>
        <v>3</v>
      </c>
      <c r="I28" s="27">
        <f t="shared" si="57"/>
        <v>11.693866666666937</v>
      </c>
      <c r="J28" s="27">
        <f t="shared" si="58"/>
        <v>13.745422222222542</v>
      </c>
      <c r="K28" s="27">
        <f t="shared" si="59"/>
        <v>0</v>
      </c>
      <c r="L28" s="4">
        <f t="shared" si="60"/>
        <v>276.9600000000064</v>
      </c>
      <c r="M28" s="224">
        <v>26</v>
      </c>
      <c r="N28" s="14">
        <f t="shared" si="61"/>
        <v>7200.9600000001665</v>
      </c>
      <c r="O28" s="224"/>
      <c r="P28" s="4">
        <f t="shared" ref="P28" si="70">SUM(N28:O28)</f>
        <v>7200.9600000001665</v>
      </c>
      <c r="Q28" s="6">
        <f t="shared" ref="Q28" si="71">(S28)/2000</f>
        <v>0.44621333333334368</v>
      </c>
      <c r="R28" s="6">
        <f t="shared" ref="R28" si="72">S28</f>
        <v>892.42666666668731</v>
      </c>
      <c r="S28" s="6">
        <f>($P28+H28*$L28)/9</f>
        <v>892.42666666668731</v>
      </c>
      <c r="T28" s="6">
        <f t="shared" ref="T28" si="73">$S$1*S28*110*0.06*0.75/2000</f>
        <v>26.505072000000613</v>
      </c>
      <c r="U28" s="225"/>
      <c r="V28" s="34">
        <f>(P28*$V$1/12)/27+I28</f>
        <v>267.28349629630247</v>
      </c>
      <c r="W28" s="4">
        <f t="shared" si="66"/>
        <v>147.09653333333674</v>
      </c>
      <c r="X28" s="6">
        <f>($P28/9)*$X$1</f>
        <v>32.004266666667412</v>
      </c>
      <c r="Y28" s="4">
        <f>($P28*($Y$1/12))/27</f>
        <v>33.337777777778548</v>
      </c>
      <c r="Z28" s="4">
        <f>(P28*$Z$1/12)/27+K28</f>
        <v>38.894074074074972</v>
      </c>
      <c r="AB28" s="98">
        <f>IF(E28=2,$AN$26*2*L28/27,IF(F28=2,$AN$32*2*L28/27,IF(G28=2,$AN$38*2*L28/27,IF(AND(E28=1,F28=1),($AN$26*L28+$AN$32*L28)/27,IF(AND(E28=1,F28=0,G28=0),$AN$26*L28/27,IF(AND(E28=1,G28=1),($AN$26*L28+$AN$38*L28)/27,IF(AND(E28=0,F28=1,G28=0),$AN$32*L28/27,IF(AND(F28=1,G28=1),($AN$32*L28+$AN$38*L28)/27,IF(AND(E28=0,F28=0,G28=1),$AN$38*L28/27,0)))))))))</f>
        <v>10.257777777778015</v>
      </c>
      <c r="AC28" s="94">
        <f t="shared" ref="AC28:AC37" si="74">(S28)/2000</f>
        <v>0.44621333333334368</v>
      </c>
      <c r="AD28" s="6">
        <f t="shared" si="24"/>
        <v>892.42666666668731</v>
      </c>
      <c r="AE28" s="6">
        <f t="shared" si="25"/>
        <v>892.42666666668731</v>
      </c>
      <c r="AF28" s="6">
        <f t="shared" si="26"/>
        <v>26.505072000000613</v>
      </c>
      <c r="AG28" s="6">
        <f t="shared" si="68"/>
        <v>143.60888888889221</v>
      </c>
      <c r="AH28" s="95">
        <f t="shared" ref="AH28:AH37" si="75">P28/9</f>
        <v>800.10666666668521</v>
      </c>
      <c r="AM28" s="356"/>
    </row>
    <row r="29" spans="1:42" ht="12.75" customHeight="1" x14ac:dyDescent="0.2">
      <c r="B29" s="232">
        <v>79087.05</v>
      </c>
      <c r="C29" s="233">
        <v>79173.48</v>
      </c>
      <c r="D29" s="222" t="s">
        <v>38</v>
      </c>
      <c r="E29" s="222">
        <v>1</v>
      </c>
      <c r="F29" s="223">
        <v>1</v>
      </c>
      <c r="G29" s="223">
        <v>0</v>
      </c>
      <c r="H29" s="26">
        <f t="shared" si="56"/>
        <v>3.5</v>
      </c>
      <c r="I29" s="27">
        <f t="shared" si="57"/>
        <v>1.8246333333331859</v>
      </c>
      <c r="J29" s="27">
        <f t="shared" si="58"/>
        <v>3.7452999999996979</v>
      </c>
      <c r="K29" s="27">
        <f t="shared" si="59"/>
        <v>0</v>
      </c>
      <c r="L29" s="4">
        <f t="shared" si="60"/>
        <v>86.429999999993015</v>
      </c>
      <c r="M29" s="224">
        <v>28</v>
      </c>
      <c r="N29" s="14">
        <f t="shared" si="61"/>
        <v>2420.0399999998044</v>
      </c>
      <c r="O29" s="224"/>
      <c r="P29" s="4">
        <f t="shared" ref="P29" si="76">SUM(N29:O29)</f>
        <v>2420.0399999998044</v>
      </c>
      <c r="Q29" s="6">
        <f t="shared" ref="Q29" si="77">(S29)/2000</f>
        <v>0.15125249999998777</v>
      </c>
      <c r="R29" s="6">
        <f t="shared" ref="R29" si="78">S29</f>
        <v>302.50499999997555</v>
      </c>
      <c r="S29" s="6">
        <f>($P29+H29*$L29)/9</f>
        <v>302.50499999997555</v>
      </c>
      <c r="T29" s="6">
        <f t="shared" ref="T29" si="79">$S$1*S29*110*0.06*0.75/2000</f>
        <v>8.9843984999992728</v>
      </c>
      <c r="U29" s="225"/>
      <c r="V29" s="34">
        <f>(P29*$V$1/12)/27+I29</f>
        <v>87.72111481480772</v>
      </c>
      <c r="W29" s="4">
        <f t="shared" si="66"/>
        <v>48.560855555551626</v>
      </c>
      <c r="X29" s="6">
        <f>($P29/9)*$X$1</f>
        <v>10.755733333332465</v>
      </c>
      <c r="Y29" s="4">
        <f>($P29*($Y$1/12))/27</f>
        <v>11.203888888887983</v>
      </c>
      <c r="Z29" s="4">
        <f>(P29*$Z$1/12)/27+K29</f>
        <v>13.071203703702647</v>
      </c>
      <c r="AB29" s="98">
        <f>IF(E29=2,$AN$26*2*L29/27,IF(F29=2,$AN$32*2*L29/27,IF(G29=2,$AN$38*2*L29/27,IF(AND(E29=1,F29=1),($AN$26*L29+$AN$32*L29)/27,IF(AND(E29=1,F29=0,G29=0),$AN$26*L29/27,IF(AND(E29=1,G29=1),($AN$26*L29+$AN$38*L29)/27,IF(AND(E29=0,F29=1,G29=0),$AN$32*L29/27,IF(AND(F29=1,G29=1),($AN$32*L29+$AN$38*L29)/27,IF(AND(E29=0,F29=0,G29=1),$AN$38*L29/27,0)))))))))</f>
        <v>3.2011111111108526</v>
      </c>
      <c r="AC29" s="94">
        <f t="shared" si="74"/>
        <v>0.15125249999998777</v>
      </c>
      <c r="AD29" s="6">
        <f t="shared" si="24"/>
        <v>302.50499999997555</v>
      </c>
      <c r="AE29" s="6">
        <f t="shared" si="25"/>
        <v>302.50499999997555</v>
      </c>
      <c r="AF29" s="6">
        <f t="shared" si="26"/>
        <v>8.9843984999992728</v>
      </c>
      <c r="AG29" s="6">
        <f t="shared" si="68"/>
        <v>48.016666666662786</v>
      </c>
      <c r="AH29" s="95">
        <f t="shared" si="75"/>
        <v>268.8933333333116</v>
      </c>
      <c r="AM29" s="356"/>
      <c r="AN29" s="359" t="s">
        <v>114</v>
      </c>
      <c r="AO29" s="359"/>
      <c r="AP29" s="359"/>
    </row>
    <row r="30" spans="1:42" ht="12.75" customHeight="1" x14ac:dyDescent="0.2">
      <c r="A30" s="243"/>
      <c r="B30" s="244">
        <v>79173.48</v>
      </c>
      <c r="C30" s="245">
        <v>79554.880000000005</v>
      </c>
      <c r="D30" s="246" t="s">
        <v>38</v>
      </c>
      <c r="E30" s="246">
        <v>0</v>
      </c>
      <c r="F30" s="247">
        <v>2</v>
      </c>
      <c r="G30" s="247">
        <v>0</v>
      </c>
      <c r="H30" s="248">
        <f t="shared" si="56"/>
        <v>4</v>
      </c>
      <c r="I30" s="249">
        <f t="shared" si="57"/>
        <v>0</v>
      </c>
      <c r="J30" s="249">
        <f t="shared" si="58"/>
        <v>14.12592592592625</v>
      </c>
      <c r="K30" s="249">
        <f t="shared" si="59"/>
        <v>0</v>
      </c>
      <c r="L30" s="250">
        <f t="shared" si="60"/>
        <v>381.40000000000873</v>
      </c>
      <c r="M30" s="251"/>
      <c r="N30" s="252" t="str">
        <f t="shared" si="61"/>
        <v/>
      </c>
      <c r="O30" s="251">
        <v>18208.7</v>
      </c>
      <c r="P30" s="250">
        <f t="shared" ref="P30:P33" si="80">SUM(N30:O30)</f>
        <v>18208.7</v>
      </c>
      <c r="Q30" s="253">
        <f t="shared" ref="Q30" si="81">(S30)/2000</f>
        <v>1.0963500000000019</v>
      </c>
      <c r="R30" s="253">
        <f t="shared" ref="R30" si="82">S30</f>
        <v>2192.7000000000039</v>
      </c>
      <c r="S30" s="253">
        <f>($P30+H30*$L30)/9</f>
        <v>2192.7000000000039</v>
      </c>
      <c r="T30" s="253">
        <f t="shared" ref="T30" si="83">$S$1*S30*110*0.06*0.75/2000</f>
        <v>65.123190000000108</v>
      </c>
      <c r="U30" s="251"/>
      <c r="V30" s="254">
        <f>(P30*$V$1/12)/27+I30</f>
        <v>646.29645061728399</v>
      </c>
      <c r="W30" s="250">
        <f t="shared" si="66"/>
        <v>351.32407407407442</v>
      </c>
      <c r="X30" s="253">
        <f>($P30/9)*$X$1</f>
        <v>80.927555555555557</v>
      </c>
      <c r="Y30" s="250">
        <f>($P30*($Y$1/12))/27</f>
        <v>84.299537037037041</v>
      </c>
      <c r="Z30" s="250">
        <f>(P30*$Z$1/12)/27+K30</f>
        <v>98.349459876543207</v>
      </c>
      <c r="AB30" s="255">
        <f>IF(E30=2,$AN$26*2*L30/27,IF(F30=2,$AN$32*2*L30/27,IF(G30=2,$AN$38*2*L30/27,IF(AND(E30=1,F30=1),($AN$26*L30+$AN$32*L30)/27,IF(AND(E30=1,F30=0,G30=0),$AN$26*L30/27,IF(AND(E30=1,G30=1),($AN$26*L30+$AN$38*L30)/27,IF(AND(E30=0,F30=1,G30=0),$AN$32*L30/27,IF(AND(F30=1,G30=1),($AN$32*L30+$AN$38*L30)/27,IF(AND(E30=0,F30=0,G30=1),$AN$38*L30/27,0)))))))))</f>
        <v>14.12592592592625</v>
      </c>
      <c r="AC30" s="256">
        <f t="shared" si="74"/>
        <v>1.0963500000000019</v>
      </c>
      <c r="AD30" s="253">
        <f t="shared" si="24"/>
        <v>2192.7000000000039</v>
      </c>
      <c r="AE30" s="253">
        <f t="shared" si="25"/>
        <v>2192.7000000000039</v>
      </c>
      <c r="AF30" s="253">
        <f t="shared" si="26"/>
        <v>65.123190000000108</v>
      </c>
      <c r="AG30" s="253">
        <f t="shared" si="68"/>
        <v>351.32407407407442</v>
      </c>
      <c r="AH30" s="257">
        <f t="shared" si="75"/>
        <v>2023.1888888888889</v>
      </c>
      <c r="AM30" s="356"/>
      <c r="AN30" s="345" t="s">
        <v>109</v>
      </c>
      <c r="AO30" s="346"/>
      <c r="AP30" s="347"/>
    </row>
    <row r="31" spans="1:42" ht="12.75" customHeight="1" x14ac:dyDescent="0.2">
      <c r="A31" s="243" t="s">
        <v>36</v>
      </c>
      <c r="B31" s="244">
        <v>79542.87</v>
      </c>
      <c r="C31" s="245">
        <v>79572.87</v>
      </c>
      <c r="D31" s="246" t="s">
        <v>38</v>
      </c>
      <c r="E31" s="246">
        <v>0</v>
      </c>
      <c r="F31" s="247">
        <v>0</v>
      </c>
      <c r="G31" s="247">
        <v>0</v>
      </c>
      <c r="H31" s="248">
        <f t="shared" si="56"/>
        <v>0</v>
      </c>
      <c r="I31" s="249">
        <f t="shared" si="57"/>
        <v>0</v>
      </c>
      <c r="J31" s="249">
        <f t="shared" si="58"/>
        <v>0</v>
      </c>
      <c r="K31" s="249">
        <f t="shared" si="59"/>
        <v>0</v>
      </c>
      <c r="L31" s="250">
        <f t="shared" si="60"/>
        <v>30</v>
      </c>
      <c r="M31" s="251"/>
      <c r="N31" s="252" t="str">
        <f t="shared" si="61"/>
        <v/>
      </c>
      <c r="O31" s="251">
        <v>1362.47</v>
      </c>
      <c r="P31" s="250">
        <f t="shared" si="80"/>
        <v>1362.47</v>
      </c>
      <c r="Q31" s="253"/>
      <c r="R31" s="253"/>
      <c r="S31" s="253"/>
      <c r="T31" s="253"/>
      <c r="U31" s="251"/>
      <c r="V31" s="254"/>
      <c r="W31" s="250">
        <f t="shared" si="66"/>
        <v>25.230925925925927</v>
      </c>
      <c r="X31" s="253"/>
      <c r="Y31" s="250"/>
      <c r="Z31" s="250"/>
      <c r="AB31" s="255"/>
      <c r="AC31" s="256"/>
      <c r="AD31" s="253"/>
      <c r="AE31" s="253"/>
      <c r="AF31" s="253"/>
      <c r="AG31" s="253">
        <f t="shared" si="68"/>
        <v>25.230925925925927</v>
      </c>
      <c r="AH31" s="257"/>
      <c r="AM31" s="356"/>
      <c r="AN31" s="348" t="s">
        <v>112</v>
      </c>
      <c r="AO31" s="349"/>
      <c r="AP31" s="350"/>
    </row>
    <row r="32" spans="1:42" ht="12.75" customHeight="1" x14ac:dyDescent="0.2">
      <c r="A32" s="243" t="s">
        <v>36</v>
      </c>
      <c r="B32" s="244">
        <v>79928.88</v>
      </c>
      <c r="C32" s="245">
        <v>79958.960000000006</v>
      </c>
      <c r="D32" s="246" t="s">
        <v>38</v>
      </c>
      <c r="E32" s="246">
        <v>0</v>
      </c>
      <c r="F32" s="247">
        <v>0</v>
      </c>
      <c r="G32" s="247">
        <v>0</v>
      </c>
      <c r="H32" s="248">
        <f t="shared" si="56"/>
        <v>0</v>
      </c>
      <c r="I32" s="249">
        <f t="shared" si="57"/>
        <v>0</v>
      </c>
      <c r="J32" s="249">
        <f t="shared" si="58"/>
        <v>0</v>
      </c>
      <c r="K32" s="249">
        <f t="shared" si="59"/>
        <v>0</v>
      </c>
      <c r="L32" s="250">
        <f t="shared" si="60"/>
        <v>30.080000000001746</v>
      </c>
      <c r="M32" s="251"/>
      <c r="N32" s="252" t="str">
        <f t="shared" si="61"/>
        <v/>
      </c>
      <c r="O32" s="251">
        <v>1318.34</v>
      </c>
      <c r="P32" s="250">
        <f t="shared" si="80"/>
        <v>1318.34</v>
      </c>
      <c r="Q32" s="253"/>
      <c r="R32" s="253"/>
      <c r="S32" s="253"/>
      <c r="T32" s="253"/>
      <c r="U32" s="251"/>
      <c r="V32" s="254"/>
      <c r="W32" s="250">
        <f t="shared" si="66"/>
        <v>24.413703703703703</v>
      </c>
      <c r="X32" s="253"/>
      <c r="Y32" s="250"/>
      <c r="Z32" s="250"/>
      <c r="AB32" s="255"/>
      <c r="AC32" s="256"/>
      <c r="AD32" s="253"/>
      <c r="AE32" s="253"/>
      <c r="AF32" s="253"/>
      <c r="AG32" s="253">
        <f t="shared" si="68"/>
        <v>24.413703703703703</v>
      </c>
      <c r="AH32" s="257"/>
      <c r="AM32" s="356"/>
      <c r="AN32" s="353">
        <v>0.5</v>
      </c>
      <c r="AO32" s="354"/>
      <c r="AP32" s="355"/>
    </row>
    <row r="33" spans="1:42" ht="12.75" customHeight="1" x14ac:dyDescent="0.2">
      <c r="B33" s="232">
        <v>80533.63</v>
      </c>
      <c r="C33" s="233">
        <v>80810.559999999998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6"/>
        <v>4</v>
      </c>
      <c r="I33" s="27">
        <f t="shared" si="57"/>
        <v>0</v>
      </c>
      <c r="J33" s="27">
        <f t="shared" si="58"/>
        <v>10.256666666666408</v>
      </c>
      <c r="K33" s="27">
        <f t="shared" si="59"/>
        <v>0</v>
      </c>
      <c r="L33" s="4">
        <f t="shared" si="60"/>
        <v>276.92999999999302</v>
      </c>
      <c r="M33" s="224">
        <v>30</v>
      </c>
      <c r="N33" s="14">
        <f t="shared" si="61"/>
        <v>8307.8999999997905</v>
      </c>
      <c r="O33" s="224"/>
      <c r="P33" s="4">
        <f t="shared" si="80"/>
        <v>8307.8999999997905</v>
      </c>
      <c r="Q33" s="6">
        <f t="shared" ref="Q33" si="84">(S33)/2000</f>
        <v>0.52308999999998684</v>
      </c>
      <c r="R33" s="6">
        <f t="shared" ref="R33" si="85">S33</f>
        <v>1046.1799999999737</v>
      </c>
      <c r="S33" s="6">
        <f>($P33+H33*$L33)/9</f>
        <v>1046.1799999999737</v>
      </c>
      <c r="T33" s="6">
        <f t="shared" ref="T33" si="86">$S$1*S33*110*0.06*0.75/2000</f>
        <v>31.071545999999216</v>
      </c>
      <c r="U33" s="225"/>
      <c r="V33" s="34">
        <f>(P33*$V$1/12)/27+I33</f>
        <v>294.87916666665922</v>
      </c>
      <c r="W33" s="4">
        <f t="shared" si="66"/>
        <v>164.10666666666253</v>
      </c>
      <c r="X33" s="6">
        <f>($P33/9)*$X$1</f>
        <v>36.923999999999069</v>
      </c>
      <c r="Y33" s="4">
        <f>($P33*($Y$1/12))/27</f>
        <v>38.462499999999032</v>
      </c>
      <c r="Z33" s="4">
        <f>(P33*$Z$1/12)/27+K33</f>
        <v>44.872916666665532</v>
      </c>
      <c r="AB33" s="98">
        <f>IF(E33=2,$AN$26*2*L33/27,IF(F33=2,$AN$32*2*L33/27,IF(G33=2,$AN$38*2*L33/27,IF(AND(E33=1,F33=1),($AN$26*L33+$AN$32*L33)/27,IF(AND(E33=1,F33=0,G33=0),$AN$26*L33/27,IF(AND(E33=1,G33=1),($AN$26*L33+$AN$38*L33)/27,IF(AND(E33=0,F33=1,G33=0),$AN$32*L33/27,IF(AND(F33=1,G33=1),($AN$32*L33+$AN$38*L33)/27,IF(AND(E33=0,F33=0,G33=1),$AN$38*L33/27,0)))))))))</f>
        <v>10.256666666666408</v>
      </c>
      <c r="AC33" s="94">
        <f t="shared" si="74"/>
        <v>0.52308999999998684</v>
      </c>
      <c r="AD33" s="6">
        <f t="shared" si="24"/>
        <v>1046.1799999999737</v>
      </c>
      <c r="AE33" s="6">
        <f t="shared" si="25"/>
        <v>1046.1799999999737</v>
      </c>
      <c r="AF33" s="6">
        <f t="shared" si="26"/>
        <v>31.071545999999216</v>
      </c>
      <c r="AG33" s="6">
        <f t="shared" si="68"/>
        <v>164.10666666666253</v>
      </c>
      <c r="AH33" s="95">
        <f t="shared" si="75"/>
        <v>923.09999999997672</v>
      </c>
      <c r="AM33" s="356"/>
    </row>
    <row r="34" spans="1:42" ht="12.75" customHeight="1" x14ac:dyDescent="0.2">
      <c r="B34" s="232">
        <v>80810.559999999998</v>
      </c>
      <c r="C34" s="233">
        <v>80813.539999999994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6"/>
        <v>3.5</v>
      </c>
      <c r="I34" s="27">
        <f t="shared" si="57"/>
        <v>6.2911111111025084E-2</v>
      </c>
      <c r="J34" s="27">
        <f t="shared" si="58"/>
        <v>0.12913333333315677</v>
      </c>
      <c r="K34" s="27">
        <f t="shared" si="59"/>
        <v>0</v>
      </c>
      <c r="L34" s="4">
        <f t="shared" si="60"/>
        <v>2.9799999999959255</v>
      </c>
      <c r="M34" s="224">
        <v>28</v>
      </c>
      <c r="N34" s="14">
        <f t="shared" si="61"/>
        <v>83.439999999885913</v>
      </c>
      <c r="O34" s="224"/>
      <c r="P34" s="4">
        <f t="shared" ref="P34" si="87">SUM(N34:O34)</f>
        <v>83.439999999885913</v>
      </c>
      <c r="Q34" s="6">
        <f t="shared" ref="Q34" si="88">(S34)/2000</f>
        <v>5.2149999999928694E-3</v>
      </c>
      <c r="R34" s="6">
        <f t="shared" ref="R34" si="89">S34</f>
        <v>10.429999999985739</v>
      </c>
      <c r="S34" s="6">
        <f>($P34+H34*$L34)/9</f>
        <v>10.429999999985739</v>
      </c>
      <c r="T34" s="6">
        <f t="shared" ref="T34" si="90">$S$1*S34*110*0.06*0.75/2000</f>
        <v>0.30977099999957647</v>
      </c>
      <c r="U34" s="225"/>
      <c r="V34" s="34">
        <f>(P34*$V$1/12)/27+I34</f>
        <v>3.0245160493785805</v>
      </c>
      <c r="W34" s="4">
        <f t="shared" si="66"/>
        <v>1.6743185185162293</v>
      </c>
      <c r="X34" s="6">
        <f>($P34/9)*$X$1</f>
        <v>0.37084444444393738</v>
      </c>
      <c r="Y34" s="4">
        <f>($P34*($Y$1/12))/27</f>
        <v>0.38629629629576812</v>
      </c>
      <c r="Z34" s="4">
        <f>(P34*$Z$1/12)/27+K34</f>
        <v>0.4506790123450628</v>
      </c>
      <c r="AB34" s="98">
        <f>IF(E34=2,$AN$26*2*L34/27,IF(F34=2,$AN$32*2*L34/27,IF(G34=2,$AN$38*2*L34/27,IF(AND(E34=1,F34=1),($AN$26*L34+$AN$32*L34)/27,IF(AND(E34=1,F34=0,G34=0),$AN$26*L34/27,IF(AND(E34=1,G34=1),($AN$26*L34+$AN$38*L34)/27,IF(AND(E34=0,F34=1,G34=0),$AN$32*L34/27,IF(AND(F34=1,G34=1),($AN$32*L34+$AN$38*L34)/27,IF(AND(E34=0,F34=0,G34=1),$AN$38*L34/27,0)))))))))</f>
        <v>0.11037037037021946</v>
      </c>
      <c r="AC34" s="94">
        <f t="shared" si="74"/>
        <v>5.2149999999928694E-3</v>
      </c>
      <c r="AD34" s="6">
        <f t="shared" si="24"/>
        <v>10.429999999985739</v>
      </c>
      <c r="AE34" s="6">
        <f t="shared" si="25"/>
        <v>10.429999999985739</v>
      </c>
      <c r="AF34" s="6">
        <f t="shared" si="26"/>
        <v>0.30977099999957647</v>
      </c>
      <c r="AG34" s="6">
        <f t="shared" si="68"/>
        <v>1.6555555555532919</v>
      </c>
      <c r="AH34" s="95">
        <f t="shared" si="75"/>
        <v>9.2711111110984348</v>
      </c>
      <c r="AM34" s="356"/>
    </row>
    <row r="35" spans="1:42" ht="12.75" customHeight="1" x14ac:dyDescent="0.2">
      <c r="B35" s="232">
        <v>80813.539999999994</v>
      </c>
      <c r="C35" s="233">
        <v>82090.16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6"/>
        <v>3</v>
      </c>
      <c r="I35" s="27">
        <f t="shared" si="57"/>
        <v>53.901733333333745</v>
      </c>
      <c r="J35" s="27">
        <f t="shared" si="58"/>
        <v>63.358177777778273</v>
      </c>
      <c r="K35" s="27">
        <f t="shared" si="59"/>
        <v>0</v>
      </c>
      <c r="L35" s="4">
        <f t="shared" si="60"/>
        <v>1276.6200000000099</v>
      </c>
      <c r="M35" s="224">
        <v>26</v>
      </c>
      <c r="N35" s="14">
        <f t="shared" si="61"/>
        <v>33192.120000000257</v>
      </c>
      <c r="O35" s="224"/>
      <c r="P35" s="4">
        <f t="shared" ref="P35:P37" si="91">SUM(N35:O35)</f>
        <v>33192.120000000257</v>
      </c>
      <c r="Q35" s="6">
        <f t="shared" ref="Q35" si="92">(S35)/2000</f>
        <v>2.0567766666666825</v>
      </c>
      <c r="R35" s="6">
        <f t="shared" ref="R35" si="93">S35</f>
        <v>4113.5533333333651</v>
      </c>
      <c r="S35" s="6">
        <f>($P35+H35*$L35)/9</f>
        <v>4113.5533333333651</v>
      </c>
      <c r="T35" s="6">
        <f t="shared" ref="T35" si="94">$S$1*S35*110*0.06*0.75/2000</f>
        <v>122.17253400000092</v>
      </c>
      <c r="U35" s="225"/>
      <c r="V35" s="34">
        <f>(P35*$V$1/12)/27+I35</f>
        <v>1232.0171037037135</v>
      </c>
      <c r="W35" s="4">
        <f t="shared" si="66"/>
        <v>678.02706666667189</v>
      </c>
      <c r="X35" s="6">
        <f>($P35/9)*$X$1</f>
        <v>147.52053333333447</v>
      </c>
      <c r="Y35" s="4">
        <f>($P35*($Y$1/12))/27</f>
        <v>153.66722222222342</v>
      </c>
      <c r="Z35" s="4">
        <f>(P35*$Z$1/12)/27+K35</f>
        <v>179.27842592592731</v>
      </c>
      <c r="AB35" s="98">
        <f>IF(E35=2,$AN$26*2*L35/27,IF(F35=2,$AN$32*2*L35/27,IF(G35=2,$AN$38*2*L35/27,IF(AND(E35=1,F35=1),($AN$26*L35+$AN$32*L35)/27,IF(AND(E35=1,F35=0,G35=0),$AN$26*L35/27,IF(AND(E35=1,G35=1),($AN$26*L35+$AN$38*L35)/27,IF(AND(E35=0,F35=1,G35=0),$AN$32*L35/27,IF(AND(F35=1,G35=1),($AN$32*L35+$AN$38*L35)/27,IF(AND(E35=0,F35=0,G35=1),$AN$38*L35/27,0)))))))))</f>
        <v>47.282222222222586</v>
      </c>
      <c r="AC35" s="94">
        <f t="shared" si="74"/>
        <v>2.0567766666666825</v>
      </c>
      <c r="AD35" s="6">
        <f t="shared" si="24"/>
        <v>4113.5533333333651</v>
      </c>
      <c r="AE35" s="6">
        <f t="shared" si="25"/>
        <v>4113.5533333333651</v>
      </c>
      <c r="AF35" s="6">
        <f t="shared" si="26"/>
        <v>122.17253400000092</v>
      </c>
      <c r="AG35" s="6">
        <f t="shared" si="68"/>
        <v>661.95111111111623</v>
      </c>
      <c r="AH35" s="95">
        <f t="shared" si="75"/>
        <v>3688.013333333362</v>
      </c>
      <c r="AM35" s="356"/>
      <c r="AN35" s="359" t="s">
        <v>122</v>
      </c>
      <c r="AO35" s="359"/>
      <c r="AP35" s="359"/>
    </row>
    <row r="36" spans="1:42" ht="12.75" customHeight="1" x14ac:dyDescent="0.2">
      <c r="B36" s="232">
        <v>82090.16</v>
      </c>
      <c r="C36" s="233">
        <v>82138.67</v>
      </c>
      <c r="D36" s="222" t="s">
        <v>38</v>
      </c>
      <c r="E36" s="222">
        <v>1</v>
      </c>
      <c r="F36" s="223">
        <v>1</v>
      </c>
      <c r="G36" s="223">
        <v>0</v>
      </c>
      <c r="H36" s="26">
        <f t="shared" si="56"/>
        <v>3.5</v>
      </c>
      <c r="I36" s="27">
        <f t="shared" si="57"/>
        <v>1.0240999999998894</v>
      </c>
      <c r="J36" s="27">
        <f t="shared" si="58"/>
        <v>2.1020999999997731</v>
      </c>
      <c r="K36" s="27">
        <f t="shared" si="59"/>
        <v>0</v>
      </c>
      <c r="L36" s="4">
        <f t="shared" si="60"/>
        <v>48.509999999994761</v>
      </c>
      <c r="M36" s="224">
        <v>26</v>
      </c>
      <c r="N36" s="14">
        <f t="shared" si="61"/>
        <v>1261.2599999998638</v>
      </c>
      <c r="O36" s="224"/>
      <c r="P36" s="4">
        <f t="shared" si="91"/>
        <v>1261.2599999998638</v>
      </c>
      <c r="Q36" s="6">
        <f t="shared" ref="Q36:Q37" si="95">(S36)/2000</f>
        <v>7.9502499999991413E-2</v>
      </c>
      <c r="R36" s="6">
        <f t="shared" ref="R36:R37" si="96">S36</f>
        <v>159.00499999998283</v>
      </c>
      <c r="S36" s="6">
        <f>($P36+H36*$L36)/9</f>
        <v>159.00499999998283</v>
      </c>
      <c r="T36" s="6">
        <f t="shared" ref="T36:T37" si="97">$S$1*S36*110*0.06*0.75/2000</f>
        <v>4.7224484999994889</v>
      </c>
      <c r="U36" s="225"/>
      <c r="V36" s="34">
        <f>(P36*$V$1/12)/27+I36</f>
        <v>45.7910444444395</v>
      </c>
      <c r="W36" s="4">
        <f t="shared" si="66"/>
        <v>25.458766666663916</v>
      </c>
      <c r="X36" s="6">
        <f>($P36/9)*$X$1</f>
        <v>5.6055999999993951</v>
      </c>
      <c r="Y36" s="4">
        <f>($P36*($Y$1/12))/27</f>
        <v>5.8391666666660358</v>
      </c>
      <c r="Z36" s="4">
        <f>(P36*$Z$1/12)/27+K36</f>
        <v>6.8123611111103752</v>
      </c>
      <c r="AB36" s="98">
        <f>IF(E36=2,$AN$26*2*L36/27,IF(F36=2,$AN$32*2*L36/27,IF(G36=2,$AN$38*2*L36/27,IF(AND(E36=1,F36=1),($AN$26*L36+$AN$32*L36)/27,IF(AND(E36=1,F36=0,G36=0),$AN$26*L36/27,IF(AND(E36=1,G36=1),($AN$26*L36+$AN$38*L36)/27,IF(AND(E36=0,F36=1,G36=0),$AN$32*L36/27,IF(AND(F36=1,G36=1),($AN$32*L36+$AN$38*L36)/27,IF(AND(E36=0,F36=0,G36=1),$AN$38*L36/27,0)))))))))</f>
        <v>1.7966666666664726</v>
      </c>
      <c r="AC36" s="94">
        <f t="shared" si="74"/>
        <v>7.9502499999991413E-2</v>
      </c>
      <c r="AD36" s="6">
        <f t="shared" si="24"/>
        <v>159.00499999998283</v>
      </c>
      <c r="AE36" s="6">
        <f t="shared" si="25"/>
        <v>159.00499999998283</v>
      </c>
      <c r="AF36" s="6">
        <f t="shared" si="26"/>
        <v>4.7224484999994889</v>
      </c>
      <c r="AG36" s="6">
        <f t="shared" si="68"/>
        <v>25.153333333330615</v>
      </c>
      <c r="AH36" s="95">
        <f t="shared" si="75"/>
        <v>140.13999999998487</v>
      </c>
      <c r="AM36" s="356"/>
      <c r="AN36" s="345" t="s">
        <v>109</v>
      </c>
      <c r="AO36" s="346"/>
      <c r="AP36" s="347"/>
    </row>
    <row r="37" spans="1:42" ht="12.75" customHeight="1" x14ac:dyDescent="0.2">
      <c r="B37" s="232">
        <v>82138.67</v>
      </c>
      <c r="C37" s="233">
        <v>82188.67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6"/>
        <v>3.5</v>
      </c>
      <c r="I37" s="27">
        <f t="shared" si="57"/>
        <v>1.0555555555555554</v>
      </c>
      <c r="J37" s="27">
        <f t="shared" si="58"/>
        <v>2.1666666666666665</v>
      </c>
      <c r="K37" s="27">
        <f t="shared" si="59"/>
        <v>0</v>
      </c>
      <c r="L37" s="4">
        <f t="shared" si="60"/>
        <v>50</v>
      </c>
      <c r="M37" s="224">
        <v>27</v>
      </c>
      <c r="N37" s="14">
        <f t="shared" si="61"/>
        <v>1350</v>
      </c>
      <c r="O37" s="224"/>
      <c r="P37" s="4">
        <f t="shared" si="91"/>
        <v>1350</v>
      </c>
      <c r="Q37" s="6">
        <f t="shared" si="95"/>
        <v>8.4722222222222227E-2</v>
      </c>
      <c r="R37" s="6">
        <f t="shared" si="96"/>
        <v>169.44444444444446</v>
      </c>
      <c r="S37" s="6">
        <f>($P37+H37*$L37)/9</f>
        <v>169.44444444444446</v>
      </c>
      <c r="T37" s="6">
        <f t="shared" si="97"/>
        <v>5.0324999999999998</v>
      </c>
      <c r="U37" s="225"/>
      <c r="V37" s="34">
        <f>(P37*$V$1/12)/27+I37</f>
        <v>48.972222222222221</v>
      </c>
      <c r="W37" s="4">
        <f t="shared" si="66"/>
        <v>27.166666666666668</v>
      </c>
      <c r="X37" s="6">
        <f>($P37/9)*$X$1</f>
        <v>6</v>
      </c>
      <c r="Y37" s="4">
        <f>($P37*($Y$1/12))/27</f>
        <v>6.25</v>
      </c>
      <c r="Z37" s="4">
        <f>(P37*$Z$1/12)/27+K37</f>
        <v>7.291666666666667</v>
      </c>
      <c r="AB37" s="98">
        <f>IF(E37=2,$AN$26*2*L37/27,IF(F37=2,$AN$32*2*L37/27,IF(G37=2,$AN$38*2*L37/27,IF(AND(E37=1,F37=1),($AN$26*L37+$AN$32*L37)/27,IF(AND(E37=1,F37=0,G37=0),$AN$26*L37/27,IF(AND(E37=1,G37=1),($AN$26*L37+$AN$38*L37)/27,IF(AND(E37=0,F37=1,G37=0),$AN$32*L37/27,IF(AND(F37=1,G37=1),($AN$32*L37+$AN$38*L37)/27,IF(AND(E37=0,F37=0,G37=1),$AN$38*L37/27,0)))))))))</f>
        <v>1.8518518518518519</v>
      </c>
      <c r="AC37" s="94">
        <f t="shared" si="74"/>
        <v>8.4722222222222227E-2</v>
      </c>
      <c r="AD37" s="6">
        <f t="shared" si="24"/>
        <v>169.44444444444446</v>
      </c>
      <c r="AE37" s="6">
        <f t="shared" si="25"/>
        <v>169.44444444444446</v>
      </c>
      <c r="AF37" s="6">
        <f t="shared" si="26"/>
        <v>5.0324999999999998</v>
      </c>
      <c r="AG37" s="6">
        <f t="shared" si="68"/>
        <v>26.851851851851851</v>
      </c>
      <c r="AH37" s="95">
        <f t="shared" si="75"/>
        <v>150</v>
      </c>
      <c r="AM37" s="356"/>
      <c r="AN37" s="348" t="s">
        <v>112</v>
      </c>
      <c r="AO37" s="349"/>
      <c r="AP37" s="350"/>
    </row>
    <row r="38" spans="1:42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27"/>
      <c r="K38" s="27"/>
      <c r="L38" s="4"/>
      <c r="M38" s="4"/>
      <c r="N38" s="14"/>
      <c r="O38" s="4"/>
      <c r="P38" s="4"/>
      <c r="Q38" s="6"/>
      <c r="R38" s="6"/>
      <c r="S38" s="6"/>
      <c r="T38" s="6"/>
      <c r="U38" s="7"/>
      <c r="V38" s="34"/>
      <c r="W38" s="4"/>
      <c r="X38" s="6"/>
      <c r="Y38" s="4"/>
      <c r="Z38" s="4"/>
      <c r="AB38" s="19"/>
      <c r="AC38" s="19"/>
      <c r="AD38" s="19"/>
      <c r="AE38" s="19"/>
      <c r="AF38" s="19"/>
      <c r="AG38" s="19"/>
      <c r="AH38" s="19"/>
      <c r="AM38" s="356"/>
      <c r="AN38" s="353">
        <v>0.5</v>
      </c>
      <c r="AO38" s="354"/>
      <c r="AP38" s="355"/>
    </row>
    <row r="39" spans="1:42" ht="12.75" customHeight="1" x14ac:dyDescent="0.2">
      <c r="B39" s="357" t="s">
        <v>157</v>
      </c>
      <c r="C39" s="358"/>
      <c r="D39" s="28"/>
      <c r="E39" s="28"/>
      <c r="F39" s="28"/>
      <c r="G39" s="28"/>
      <c r="H39" s="28"/>
      <c r="I39" s="28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29"/>
      <c r="W39" s="29"/>
      <c r="X39" s="29"/>
      <c r="Y39" s="29"/>
      <c r="Z39" s="29"/>
      <c r="AB39" s="228"/>
      <c r="AC39" s="228"/>
      <c r="AD39" s="228"/>
      <c r="AE39" s="228"/>
      <c r="AF39" s="228"/>
      <c r="AG39" s="228"/>
      <c r="AH39" s="228"/>
    </row>
    <row r="40" spans="1:42" ht="12.75" customHeight="1" x14ac:dyDescent="0.2">
      <c r="B40" s="232">
        <v>79735.179999999993</v>
      </c>
      <c r="C40" s="233">
        <v>79968.09</v>
      </c>
      <c r="D40" s="222" t="s">
        <v>38</v>
      </c>
      <c r="E40" s="222">
        <v>1</v>
      </c>
      <c r="F40" s="223">
        <v>1</v>
      </c>
      <c r="G40" s="223">
        <v>0</v>
      </c>
      <c r="H40" s="26">
        <f t="shared" ref="H40:H52" si="98">IF(E40=2,$AK$4*2,IF(F40=2,$AN$10*2,IF(G40=2,$AK$16*2,IF(AND(E40=1,F40=1),$AK$4+$AN$10,IF(AND(E40=1,F40=0,G40=0),$AK$4,IF(AND(E40=1,G40=1),$AK$4+$AK$16,IF(AND(E40=0,F40=1,G40=0),$AN$10,IF(AND(F40=1,G40=1),$AN$10+$AK$16,IF(AND(E40=0,F40=0,G40=1),$AK$16,0)))))))))</f>
        <v>3.5</v>
      </c>
      <c r="I40" s="27">
        <f t="shared" ref="I40:I52" si="99">IF(E40=2,AN$4*L40*2/27,IF(G40=2,$AN$16*L40*2/27,IF(AND(E40=1,G40=0),$AN$4*L40/27,IF(AND(E40=1,G40=1),($AN$4*L40+$AN$16*L40)/27,IF(AND(F40=1,G40=1),$AN$16*L40/27,IF(AND(E40=0,F40=0,G40=1),$AN$16*L40/27,0))))))</f>
        <v>4.9169888888889615</v>
      </c>
      <c r="J40" s="27">
        <f t="shared" ref="J40:J52" si="100">IF(E40=2,$AQ$4*2*L40/27,IF(F40=2,$AQ$10*2*L40/27,IF(G40=2,$AQ$16*2*L40/27,IF(AND(E40=1,F40=1),($AQ$4*L40+$AQ$10*L40)/27,IF(AND(E40=1,F40=0,G40=0),$AQ$4*L40/27,IF(AND(E40=1,G40=1),($AQ$4*L40+$AQ$16*L40)/27,IF(AND(E40=0,F40=1,G40=0),$AQ$10*L40/27,IF(AND(F40=1,G40=1),($AQ$10*L40+$AQ$16*L40)/27,IF(AND(E40=0,F40=0,G40=1),$AQ$16*L40/27,0)))))))))</f>
        <v>10.092766666666819</v>
      </c>
      <c r="K40" s="27">
        <f t="shared" ref="K40:K52" si="101">IF(G40=1,$AT$16*L40/27,IF(G40=2,$AT$16*L40*2/27,0))</f>
        <v>0</v>
      </c>
      <c r="L40" s="4">
        <f t="shared" ref="L40:L52" si="102">C40-B40</f>
        <v>232.91000000000349</v>
      </c>
      <c r="M40" s="224">
        <v>28</v>
      </c>
      <c r="N40" s="14">
        <f t="shared" ref="N40:N52" si="103">IF(M40="","",L40*M40)</f>
        <v>6521.4800000000978</v>
      </c>
      <c r="O40" s="224"/>
      <c r="P40" s="4">
        <f t="shared" ref="P40" si="104">SUM(N40:O40)</f>
        <v>6521.4800000000978</v>
      </c>
      <c r="Q40" s="6">
        <f t="shared" ref="Q40" si="105">(S40)/2000</f>
        <v>0.40759250000000613</v>
      </c>
      <c r="R40" s="6">
        <f t="shared" ref="R40" si="106">S40</f>
        <v>815.18500000001222</v>
      </c>
      <c r="S40" s="6">
        <f t="shared" ref="S40:S45" si="107">($P40+H40*$L40)/9</f>
        <v>815.18500000001222</v>
      </c>
      <c r="T40" s="6">
        <f t="shared" ref="T40" si="108">$S$1*S40*110*0.06*0.75/2000</f>
        <v>24.210994500000361</v>
      </c>
      <c r="U40" s="225"/>
      <c r="V40" s="34">
        <f t="shared" ref="V40:V45" si="109">(P40*$V$1/12)/27+I40</f>
        <v>236.38927283950974</v>
      </c>
      <c r="W40" s="4">
        <f t="shared" ref="W40:W52" si="110">(P40*$W$1/12)/27+J40</f>
        <v>130.86091481481679</v>
      </c>
      <c r="X40" s="6">
        <f t="shared" ref="X40:X45" si="111">($P40/9)*$X$1</f>
        <v>28.98435555555599</v>
      </c>
      <c r="Y40" s="4">
        <f t="shared" ref="Y40:Y45" si="112">($P40*($Y$1/12))/27</f>
        <v>30.19203703703749</v>
      </c>
      <c r="Z40" s="4">
        <f t="shared" ref="Z40:Z45" si="113">(P40*$Z$1/12)/27+K40</f>
        <v>35.224043209877067</v>
      </c>
      <c r="AB40" s="98">
        <f t="shared" ref="AB40:AB45" si="114">IF(E40=2,$AN$26*2*L40/27,IF(F40=2,$AN$32*2*L40/27,IF(G40=2,$AN$38*2*L40/27,IF(AND(E40=1,F40=1),($AN$26*L40+$AN$32*L40)/27,IF(AND(E40=1,F40=0,G40=0),$AN$26*L40/27,IF(AND(E40=1,G40=1),($AN$26*L40+$AN$38*L40)/27,IF(AND(E40=0,F40=1,G40=0),$AN$32*L40/27,IF(AND(F40=1,G40=1),($AN$32*L40+$AN$38*L40)/27,IF(AND(E40=0,F40=0,G40=1),$AN$38*L40/27,0)))))))))</f>
        <v>8.6262962962964256</v>
      </c>
      <c r="AC40" s="94">
        <f t="shared" ref="AC40" si="115">(S40)/2000</f>
        <v>0.40759250000000613</v>
      </c>
      <c r="AD40" s="6">
        <f t="shared" si="24"/>
        <v>815.18500000001222</v>
      </c>
      <c r="AE40" s="6">
        <f t="shared" si="25"/>
        <v>815.18500000001222</v>
      </c>
      <c r="AF40" s="6">
        <f t="shared" si="26"/>
        <v>24.210994500000361</v>
      </c>
      <c r="AG40" s="6">
        <f t="shared" ref="AG40:AG52" si="116">(P40*$W$1/12)/27+AB40</f>
        <v>129.39444444444638</v>
      </c>
      <c r="AH40" s="95">
        <f t="shared" ref="AH40" si="117">P40/9</f>
        <v>724.60888888889974</v>
      </c>
    </row>
    <row r="41" spans="1:42" ht="12.75" customHeight="1" x14ac:dyDescent="0.2">
      <c r="B41" s="232">
        <v>79968.09</v>
      </c>
      <c r="C41" s="233">
        <v>80213.09</v>
      </c>
      <c r="D41" s="222" t="s">
        <v>38</v>
      </c>
      <c r="E41" s="222">
        <v>2</v>
      </c>
      <c r="F41" s="223">
        <v>0</v>
      </c>
      <c r="G41" s="223">
        <v>0</v>
      </c>
      <c r="H41" s="26">
        <f t="shared" si="98"/>
        <v>3</v>
      </c>
      <c r="I41" s="27">
        <f t="shared" si="99"/>
        <v>10.344444444444443</v>
      </c>
      <c r="J41" s="27">
        <f t="shared" si="100"/>
        <v>12.15925925925926</v>
      </c>
      <c r="K41" s="27">
        <f t="shared" si="101"/>
        <v>0</v>
      </c>
      <c r="L41" s="4">
        <f t="shared" si="102"/>
        <v>245</v>
      </c>
      <c r="M41" s="224">
        <v>26</v>
      </c>
      <c r="N41" s="14">
        <f t="shared" si="103"/>
        <v>6370</v>
      </c>
      <c r="O41" s="224"/>
      <c r="P41" s="4">
        <f t="shared" ref="P41" si="118">SUM(N41:O41)</f>
        <v>6370</v>
      </c>
      <c r="Q41" s="6">
        <f t="shared" ref="Q41" si="119">(S41)/2000</f>
        <v>0.39472222222222225</v>
      </c>
      <c r="R41" s="6">
        <f t="shared" ref="R41" si="120">S41</f>
        <v>789.44444444444446</v>
      </c>
      <c r="S41" s="6">
        <f t="shared" si="107"/>
        <v>789.44444444444446</v>
      </c>
      <c r="T41" s="6">
        <f t="shared" ref="T41" si="121">$S$1*S41*110*0.06*0.75/2000</f>
        <v>23.4465</v>
      </c>
      <c r="U41" s="225"/>
      <c r="V41" s="34">
        <f t="shared" si="109"/>
        <v>236.4401234567901</v>
      </c>
      <c r="W41" s="4">
        <f t="shared" si="110"/>
        <v>130.12222222222223</v>
      </c>
      <c r="X41" s="6">
        <f t="shared" si="111"/>
        <v>28.311111111111114</v>
      </c>
      <c r="Y41" s="4">
        <f t="shared" si="112"/>
        <v>29.49074074074074</v>
      </c>
      <c r="Z41" s="4">
        <f t="shared" si="113"/>
        <v>34.405864197530867</v>
      </c>
      <c r="AB41" s="98">
        <f t="shared" si="114"/>
        <v>9.0740740740740744</v>
      </c>
      <c r="AC41" s="94">
        <f t="shared" ref="AC41:AC51" si="122">(S41)/2000</f>
        <v>0.39472222222222225</v>
      </c>
      <c r="AD41" s="6">
        <f t="shared" si="24"/>
        <v>789.44444444444446</v>
      </c>
      <c r="AE41" s="6">
        <f t="shared" si="25"/>
        <v>789.44444444444446</v>
      </c>
      <c r="AF41" s="6">
        <f t="shared" si="26"/>
        <v>23.4465</v>
      </c>
      <c r="AG41" s="6">
        <f t="shared" si="116"/>
        <v>127.03703703703704</v>
      </c>
      <c r="AH41" s="95">
        <f t="shared" ref="AH41:AH51" si="123">P41/9</f>
        <v>707.77777777777783</v>
      </c>
    </row>
    <row r="42" spans="1:42" ht="12.75" customHeight="1" x14ac:dyDescent="0.2">
      <c r="B42" s="232">
        <v>80213.09</v>
      </c>
      <c r="C42" s="233">
        <v>80254.429999999993</v>
      </c>
      <c r="D42" s="222" t="s">
        <v>38</v>
      </c>
      <c r="E42" s="222">
        <v>1</v>
      </c>
      <c r="F42" s="223">
        <v>1</v>
      </c>
      <c r="G42" s="223">
        <v>0</v>
      </c>
      <c r="H42" s="26">
        <f t="shared" si="98"/>
        <v>3.5</v>
      </c>
      <c r="I42" s="27">
        <f t="shared" si="99"/>
        <v>0.87273333333325953</v>
      </c>
      <c r="J42" s="27">
        <f t="shared" si="100"/>
        <v>1.7913999999998487</v>
      </c>
      <c r="K42" s="27">
        <f t="shared" si="101"/>
        <v>0</v>
      </c>
      <c r="L42" s="4">
        <f t="shared" si="102"/>
        <v>41.339999999996508</v>
      </c>
      <c r="M42" s="224">
        <v>28</v>
      </c>
      <c r="N42" s="14">
        <f t="shared" si="103"/>
        <v>1157.5199999999022</v>
      </c>
      <c r="O42" s="224"/>
      <c r="P42" s="4">
        <f t="shared" ref="P42" si="124">SUM(N42:O42)</f>
        <v>1157.5199999999022</v>
      </c>
      <c r="Q42" s="6">
        <f t="shared" ref="Q42" si="125">(S42)/2000</f>
        <v>7.2344999999993886E-2</v>
      </c>
      <c r="R42" s="6">
        <f t="shared" ref="R42" si="126">S42</f>
        <v>144.68999999998778</v>
      </c>
      <c r="S42" s="6">
        <f t="shared" si="107"/>
        <v>144.68999999998778</v>
      </c>
      <c r="T42" s="6">
        <f t="shared" ref="T42" si="127">$S$1*S42*110*0.06*0.75/2000</f>
        <v>4.2972929999996365</v>
      </c>
      <c r="U42" s="225"/>
      <c r="V42" s="34">
        <f t="shared" si="109"/>
        <v>41.957548148144603</v>
      </c>
      <c r="W42" s="4">
        <f t="shared" si="110"/>
        <v>23.226955555553594</v>
      </c>
      <c r="X42" s="6">
        <f t="shared" si="111"/>
        <v>5.1445333333328982</v>
      </c>
      <c r="Y42" s="4">
        <f t="shared" si="112"/>
        <v>5.3588888888884361</v>
      </c>
      <c r="Z42" s="4">
        <f t="shared" si="113"/>
        <v>6.2520370370365086</v>
      </c>
      <c r="AB42" s="98">
        <f t="shared" si="114"/>
        <v>1.5311111111109819</v>
      </c>
      <c r="AC42" s="94">
        <f t="shared" si="122"/>
        <v>7.2344999999993886E-2</v>
      </c>
      <c r="AD42" s="6">
        <f t="shared" si="24"/>
        <v>144.68999999998778</v>
      </c>
      <c r="AE42" s="6">
        <f t="shared" si="25"/>
        <v>144.68999999998778</v>
      </c>
      <c r="AF42" s="6">
        <f t="shared" si="26"/>
        <v>4.2972929999996365</v>
      </c>
      <c r="AG42" s="6">
        <f t="shared" si="116"/>
        <v>22.966666666664725</v>
      </c>
      <c r="AH42" s="95">
        <f t="shared" si="123"/>
        <v>128.61333333332246</v>
      </c>
    </row>
    <row r="43" spans="1:42" ht="12.75" customHeight="1" x14ac:dyDescent="0.2">
      <c r="B43" s="232">
        <v>80254.429999999993</v>
      </c>
      <c r="C43" s="233">
        <v>80563.850000000006</v>
      </c>
      <c r="D43" s="222" t="s">
        <v>15</v>
      </c>
      <c r="E43" s="222">
        <v>0</v>
      </c>
      <c r="F43" s="223">
        <v>1</v>
      </c>
      <c r="G43" s="223">
        <v>0</v>
      </c>
      <c r="H43" s="26">
        <f t="shared" si="98"/>
        <v>2</v>
      </c>
      <c r="I43" s="27">
        <f t="shared" si="99"/>
        <v>0</v>
      </c>
      <c r="J43" s="27">
        <f t="shared" si="100"/>
        <v>5.7300000000002376</v>
      </c>
      <c r="K43" s="27">
        <f t="shared" si="101"/>
        <v>0</v>
      </c>
      <c r="L43" s="4">
        <f t="shared" si="102"/>
        <v>309.42000000001281</v>
      </c>
      <c r="M43" s="224">
        <v>22</v>
      </c>
      <c r="N43" s="14">
        <f t="shared" si="103"/>
        <v>6807.2400000002817</v>
      </c>
      <c r="O43" s="224"/>
      <c r="P43" s="4">
        <f t="shared" ref="P43" si="128">SUM(N43:O43)</f>
        <v>6807.2400000002817</v>
      </c>
      <c r="Q43" s="6">
        <f t="shared" ref="Q43" si="129">(S43)/2000</f>
        <v>0.41256000000001708</v>
      </c>
      <c r="R43" s="6">
        <f t="shared" ref="R43" si="130">S43</f>
        <v>825.12000000003411</v>
      </c>
      <c r="S43" s="6">
        <f t="shared" si="107"/>
        <v>825.12000000003411</v>
      </c>
      <c r="T43" s="6">
        <f t="shared" ref="T43" si="131">$S$1*S43*110*0.06*0.75/2000</f>
        <v>24.506064000001015</v>
      </c>
      <c r="U43" s="225"/>
      <c r="V43" s="34">
        <f t="shared" si="109"/>
        <v>241.61500000000999</v>
      </c>
      <c r="W43" s="4">
        <f t="shared" si="110"/>
        <v>131.79000000000545</v>
      </c>
      <c r="X43" s="6">
        <f t="shared" si="111"/>
        <v>30.254400000001251</v>
      </c>
      <c r="Y43" s="4">
        <f t="shared" si="112"/>
        <v>31.515000000001304</v>
      </c>
      <c r="Z43" s="4">
        <f t="shared" si="113"/>
        <v>36.767500000001526</v>
      </c>
      <c r="AB43" s="98">
        <f t="shared" si="114"/>
        <v>5.7300000000002376</v>
      </c>
      <c r="AC43" s="94">
        <f t="shared" si="122"/>
        <v>0.41256000000001708</v>
      </c>
      <c r="AD43" s="6">
        <f t="shared" si="24"/>
        <v>825.12000000003411</v>
      </c>
      <c r="AE43" s="6">
        <f t="shared" si="25"/>
        <v>825.12000000003411</v>
      </c>
      <c r="AF43" s="6">
        <f t="shared" si="26"/>
        <v>24.506064000001015</v>
      </c>
      <c r="AG43" s="6">
        <f t="shared" si="116"/>
        <v>131.79000000000545</v>
      </c>
      <c r="AH43" s="95">
        <f t="shared" si="123"/>
        <v>756.36000000003128</v>
      </c>
    </row>
    <row r="44" spans="1:42" ht="12.75" customHeight="1" x14ac:dyDescent="0.2">
      <c r="B44" s="232">
        <v>80254.429999999993</v>
      </c>
      <c r="C44" s="233">
        <v>80525.78</v>
      </c>
      <c r="D44" s="222" t="s">
        <v>16</v>
      </c>
      <c r="E44" s="222">
        <v>0</v>
      </c>
      <c r="F44" s="223">
        <v>1</v>
      </c>
      <c r="G44" s="223">
        <v>0</v>
      </c>
      <c r="H44" s="26">
        <f t="shared" si="98"/>
        <v>2</v>
      </c>
      <c r="I44" s="27">
        <f t="shared" si="99"/>
        <v>0</v>
      </c>
      <c r="J44" s="27">
        <f t="shared" si="100"/>
        <v>5.0250000000001078</v>
      </c>
      <c r="K44" s="27">
        <f t="shared" si="101"/>
        <v>0</v>
      </c>
      <c r="L44" s="4">
        <f t="shared" si="102"/>
        <v>271.35000000000582</v>
      </c>
      <c r="M44" s="224"/>
      <c r="N44" s="14" t="str">
        <f t="shared" si="103"/>
        <v/>
      </c>
      <c r="O44" s="224">
        <v>10652.28</v>
      </c>
      <c r="P44" s="4">
        <f t="shared" ref="P44" si="132">SUM(N44:O44)</f>
        <v>10652.28</v>
      </c>
      <c r="Q44" s="6">
        <f t="shared" ref="Q44" si="133">(S44)/2000</f>
        <v>0.62194333333333407</v>
      </c>
      <c r="R44" s="6">
        <f t="shared" ref="R44" si="134">S44</f>
        <v>1243.8866666666681</v>
      </c>
      <c r="S44" s="6">
        <f t="shared" si="107"/>
        <v>1243.8866666666681</v>
      </c>
      <c r="T44" s="6">
        <f t="shared" ref="T44" si="135">$S$1*S44*110*0.06*0.75/2000</f>
        <v>36.943434000000039</v>
      </c>
      <c r="U44" s="225"/>
      <c r="V44" s="34">
        <f t="shared" si="109"/>
        <v>378.09018518518519</v>
      </c>
      <c r="W44" s="4">
        <f t="shared" si="110"/>
        <v>202.28944444444457</v>
      </c>
      <c r="X44" s="6">
        <f t="shared" si="111"/>
        <v>47.343466666666671</v>
      </c>
      <c r="Y44" s="4">
        <f t="shared" si="112"/>
        <v>49.316111111111113</v>
      </c>
      <c r="Z44" s="4">
        <f t="shared" si="113"/>
        <v>57.535462962962974</v>
      </c>
      <c r="AB44" s="98">
        <f t="shared" si="114"/>
        <v>5.0250000000001078</v>
      </c>
      <c r="AC44" s="94">
        <f t="shared" si="122"/>
        <v>0.62194333333333407</v>
      </c>
      <c r="AD44" s="6">
        <f t="shared" si="24"/>
        <v>1243.8866666666681</v>
      </c>
      <c r="AE44" s="6">
        <f t="shared" si="25"/>
        <v>1243.8866666666681</v>
      </c>
      <c r="AF44" s="6">
        <f t="shared" si="26"/>
        <v>36.943434000000039</v>
      </c>
      <c r="AG44" s="6">
        <f t="shared" si="116"/>
        <v>202.28944444444457</v>
      </c>
      <c r="AH44" s="95">
        <f t="shared" si="123"/>
        <v>1183.5866666666668</v>
      </c>
    </row>
    <row r="45" spans="1:42" ht="12.75" customHeight="1" x14ac:dyDescent="0.2">
      <c r="B45" s="232">
        <v>80563.850000000006</v>
      </c>
      <c r="C45" s="233">
        <v>80586.100000000006</v>
      </c>
      <c r="D45" s="222" t="s">
        <v>15</v>
      </c>
      <c r="E45" s="222">
        <v>0</v>
      </c>
      <c r="F45" s="223">
        <v>1</v>
      </c>
      <c r="G45" s="223">
        <v>0</v>
      </c>
      <c r="H45" s="26">
        <f t="shared" si="98"/>
        <v>2</v>
      </c>
      <c r="I45" s="27">
        <f t="shared" si="99"/>
        <v>0</v>
      </c>
      <c r="J45" s="27">
        <f t="shared" si="100"/>
        <v>0.41203703703703703</v>
      </c>
      <c r="K45" s="27">
        <f t="shared" si="101"/>
        <v>0</v>
      </c>
      <c r="L45" s="4">
        <f t="shared" si="102"/>
        <v>22.25</v>
      </c>
      <c r="M45" s="224"/>
      <c r="N45" s="14" t="str">
        <f t="shared" si="103"/>
        <v/>
      </c>
      <c r="O45" s="224">
        <v>249.98</v>
      </c>
      <c r="P45" s="4">
        <f t="shared" ref="P45" si="136">SUM(N45:O45)</f>
        <v>249.98</v>
      </c>
      <c r="Q45" s="6">
        <f t="shared" ref="Q45" si="137">(S45)/2000</f>
        <v>1.636E-2</v>
      </c>
      <c r="R45" s="6">
        <f t="shared" ref="R45" si="138">S45</f>
        <v>32.72</v>
      </c>
      <c r="S45" s="6">
        <f t="shared" si="107"/>
        <v>32.72</v>
      </c>
      <c r="T45" s="6">
        <f t="shared" ref="T45" si="139">$S$1*S45*110*0.06*0.75/2000</f>
        <v>0.97178399999999998</v>
      </c>
      <c r="U45" s="225"/>
      <c r="V45" s="34">
        <f t="shared" si="109"/>
        <v>8.8727469135802473</v>
      </c>
      <c r="W45" s="4">
        <f t="shared" si="110"/>
        <v>5.0412962962962959</v>
      </c>
      <c r="X45" s="6">
        <f t="shared" si="111"/>
        <v>1.1110222222222224</v>
      </c>
      <c r="Y45" s="4">
        <f t="shared" si="112"/>
        <v>1.1573148148148147</v>
      </c>
      <c r="Z45" s="4">
        <f t="shared" si="113"/>
        <v>1.3502006172839505</v>
      </c>
      <c r="AB45" s="98">
        <f t="shared" si="114"/>
        <v>0.41203703703703703</v>
      </c>
      <c r="AC45" s="94">
        <f t="shared" si="122"/>
        <v>1.636E-2</v>
      </c>
      <c r="AD45" s="6">
        <f t="shared" si="24"/>
        <v>32.72</v>
      </c>
      <c r="AE45" s="6">
        <f t="shared" si="25"/>
        <v>32.72</v>
      </c>
      <c r="AF45" s="6">
        <f t="shared" si="26"/>
        <v>0.97178399999999998</v>
      </c>
      <c r="AG45" s="6">
        <f t="shared" si="116"/>
        <v>5.0412962962962959</v>
      </c>
      <c r="AH45" s="95">
        <f t="shared" si="123"/>
        <v>27.775555555555556</v>
      </c>
    </row>
    <row r="46" spans="1:42" ht="12.75" customHeight="1" x14ac:dyDescent="0.2">
      <c r="A46" s="58" t="s">
        <v>36</v>
      </c>
      <c r="B46" s="232">
        <v>80563.850000000006</v>
      </c>
      <c r="C46" s="233">
        <v>80593.850000000006</v>
      </c>
      <c r="D46" s="222" t="s">
        <v>38</v>
      </c>
      <c r="E46" s="222">
        <v>0</v>
      </c>
      <c r="F46" s="223">
        <v>0</v>
      </c>
      <c r="G46" s="223">
        <v>0</v>
      </c>
      <c r="H46" s="26">
        <f t="shared" si="98"/>
        <v>0</v>
      </c>
      <c r="I46" s="27">
        <f t="shared" si="99"/>
        <v>0</v>
      </c>
      <c r="J46" s="27">
        <f t="shared" si="100"/>
        <v>0</v>
      </c>
      <c r="K46" s="27">
        <f t="shared" si="101"/>
        <v>0</v>
      </c>
      <c r="L46" s="4">
        <f t="shared" si="102"/>
        <v>30</v>
      </c>
      <c r="M46" s="224"/>
      <c r="N46" s="14" t="str">
        <f t="shared" si="103"/>
        <v/>
      </c>
      <c r="O46" s="224">
        <v>1881.86</v>
      </c>
      <c r="P46" s="4">
        <f t="shared" ref="P46:P49" si="140">SUM(N46:O46)</f>
        <v>1881.86</v>
      </c>
      <c r="Q46" s="6"/>
      <c r="R46" s="6"/>
      <c r="S46" s="6"/>
      <c r="T46" s="6"/>
      <c r="U46" s="225"/>
      <c r="V46" s="34"/>
      <c r="W46" s="4">
        <f t="shared" si="110"/>
        <v>34.849259259259256</v>
      </c>
      <c r="X46" s="6"/>
      <c r="Y46" s="4"/>
      <c r="Z46" s="4"/>
      <c r="AB46" s="98"/>
      <c r="AC46" s="94"/>
      <c r="AD46" s="6"/>
      <c r="AE46" s="6"/>
      <c r="AF46" s="6"/>
      <c r="AG46" s="6">
        <f t="shared" si="116"/>
        <v>34.849259259259256</v>
      </c>
      <c r="AH46" s="95"/>
    </row>
    <row r="47" spans="1:42" ht="12.75" customHeight="1" x14ac:dyDescent="0.2">
      <c r="A47" s="58" t="s">
        <v>36</v>
      </c>
      <c r="B47" s="232">
        <v>80693.98</v>
      </c>
      <c r="C47" s="233">
        <v>80724.06</v>
      </c>
      <c r="D47" s="222" t="s">
        <v>38</v>
      </c>
      <c r="E47" s="222">
        <v>0</v>
      </c>
      <c r="F47" s="223">
        <v>0</v>
      </c>
      <c r="G47" s="223">
        <v>0</v>
      </c>
      <c r="H47" s="26">
        <f t="shared" si="98"/>
        <v>0</v>
      </c>
      <c r="I47" s="27">
        <f t="shared" si="99"/>
        <v>0</v>
      </c>
      <c r="J47" s="27">
        <f t="shared" si="100"/>
        <v>0</v>
      </c>
      <c r="K47" s="27">
        <f t="shared" si="101"/>
        <v>0</v>
      </c>
      <c r="L47" s="4">
        <f t="shared" si="102"/>
        <v>30.080000000001746</v>
      </c>
      <c r="M47" s="224"/>
      <c r="N47" s="14" t="str">
        <f t="shared" si="103"/>
        <v/>
      </c>
      <c r="O47" s="224">
        <v>1807.55</v>
      </c>
      <c r="P47" s="4">
        <f t="shared" si="140"/>
        <v>1807.55</v>
      </c>
      <c r="Q47" s="6"/>
      <c r="R47" s="6"/>
      <c r="S47" s="6"/>
      <c r="T47" s="6"/>
      <c r="U47" s="225"/>
      <c r="V47" s="34"/>
      <c r="W47" s="4">
        <f t="shared" si="110"/>
        <v>33.473148148148148</v>
      </c>
      <c r="X47" s="6"/>
      <c r="Y47" s="4"/>
      <c r="Z47" s="4"/>
      <c r="AB47" s="98"/>
      <c r="AC47" s="94"/>
      <c r="AD47" s="6"/>
      <c r="AE47" s="6"/>
      <c r="AF47" s="6"/>
      <c r="AG47" s="6">
        <f t="shared" si="116"/>
        <v>33.473148148148148</v>
      </c>
      <c r="AH47" s="95"/>
    </row>
    <row r="48" spans="1:42" ht="12.75" customHeight="1" x14ac:dyDescent="0.2">
      <c r="B48" s="232">
        <v>80724.06</v>
      </c>
      <c r="C48" s="233">
        <v>80741.149999999994</v>
      </c>
      <c r="D48" s="222" t="s">
        <v>15</v>
      </c>
      <c r="E48" s="222">
        <v>0</v>
      </c>
      <c r="F48" s="223">
        <v>0</v>
      </c>
      <c r="G48" s="223">
        <v>0</v>
      </c>
      <c r="H48" s="26">
        <f t="shared" si="98"/>
        <v>0</v>
      </c>
      <c r="I48" s="27">
        <f t="shared" si="99"/>
        <v>0</v>
      </c>
      <c r="J48" s="27">
        <f t="shared" si="100"/>
        <v>0</v>
      </c>
      <c r="K48" s="27">
        <f t="shared" si="101"/>
        <v>0</v>
      </c>
      <c r="L48" s="4">
        <f t="shared" si="102"/>
        <v>17.089999999996508</v>
      </c>
      <c r="M48" s="224"/>
      <c r="N48" s="14" t="str">
        <f t="shared" si="103"/>
        <v/>
      </c>
      <c r="O48" s="224">
        <v>187.66</v>
      </c>
      <c r="P48" s="4">
        <f t="shared" si="140"/>
        <v>187.66</v>
      </c>
      <c r="Q48" s="6">
        <f t="shared" ref="Q48" si="141">(S48)/2000</f>
        <v>1.0425555555555554E-2</v>
      </c>
      <c r="R48" s="6">
        <f t="shared" ref="R48" si="142">S48</f>
        <v>20.851111111111109</v>
      </c>
      <c r="S48" s="6">
        <f>($P48+H48*$L48)/9</f>
        <v>20.851111111111109</v>
      </c>
      <c r="T48" s="6">
        <f t="shared" ref="T48" si="143">$S$1*S48*110*0.06*0.75/2000</f>
        <v>0.61927799999999988</v>
      </c>
      <c r="U48" s="225"/>
      <c r="V48" s="34">
        <f>(P48*$V$1/12)/27+I48</f>
        <v>6.6607716049382715</v>
      </c>
      <c r="W48" s="4">
        <f t="shared" si="110"/>
        <v>3.4751851851851852</v>
      </c>
      <c r="X48" s="6">
        <f>($P48/9)*$X$1</f>
        <v>0.83404444444444437</v>
      </c>
      <c r="Y48" s="4">
        <f>($P48*($Y$1/12))/27</f>
        <v>0.86879629629629629</v>
      </c>
      <c r="Z48" s="4">
        <f>(P48*$Z$1/12)/27+K48</f>
        <v>1.0135956790123455</v>
      </c>
      <c r="AB48" s="98">
        <f>IF(E48=2,$AN$26*2*L48/27,IF(F48=2,$AN$32*2*L48/27,IF(G48=2,$AN$38*2*L48/27,IF(AND(E48=1,F48=1),($AN$26*L48+$AN$32*L48)/27,IF(AND(E48=1,F48=0,G48=0),$AN$26*L48/27,IF(AND(E48=1,G48=1),($AN$26*L48+$AN$38*L48)/27,IF(AND(E48=0,F48=1,G48=0),$AN$32*L48/27,IF(AND(F48=1,G48=1),($AN$32*L48+$AN$38*L48)/27,IF(AND(E48=0,F48=0,G48=1),$AN$38*L48/27,0)))))))))</f>
        <v>0</v>
      </c>
      <c r="AC48" s="94">
        <f t="shared" si="122"/>
        <v>1.0425555555555554E-2</v>
      </c>
      <c r="AD48" s="6">
        <f t="shared" si="24"/>
        <v>20.851111111111109</v>
      </c>
      <c r="AE48" s="6">
        <f t="shared" si="25"/>
        <v>20.851111111111109</v>
      </c>
      <c r="AF48" s="6">
        <f t="shared" si="26"/>
        <v>0.61927799999999988</v>
      </c>
      <c r="AG48" s="6">
        <f t="shared" si="116"/>
        <v>3.4751851851851852</v>
      </c>
      <c r="AH48" s="95">
        <f t="shared" si="123"/>
        <v>20.851111111111109</v>
      </c>
    </row>
    <row r="49" spans="1:34" ht="12.75" customHeight="1" x14ac:dyDescent="0.2">
      <c r="B49" s="232">
        <v>80697.7</v>
      </c>
      <c r="C49" s="233">
        <v>81423.42</v>
      </c>
      <c r="D49" s="222" t="s">
        <v>38</v>
      </c>
      <c r="E49" s="222">
        <v>0</v>
      </c>
      <c r="F49" s="223">
        <v>1</v>
      </c>
      <c r="G49" s="223">
        <v>0</v>
      </c>
      <c r="H49" s="26">
        <f t="shared" si="98"/>
        <v>2</v>
      </c>
      <c r="I49" s="27">
        <f t="shared" si="99"/>
        <v>0</v>
      </c>
      <c r="J49" s="27">
        <f t="shared" si="100"/>
        <v>13.439259259259281</v>
      </c>
      <c r="K49" s="27">
        <f t="shared" si="101"/>
        <v>0</v>
      </c>
      <c r="L49" s="4">
        <f t="shared" si="102"/>
        <v>725.72000000000116</v>
      </c>
      <c r="M49" s="224"/>
      <c r="N49" s="14" t="str">
        <f t="shared" si="103"/>
        <v/>
      </c>
      <c r="O49" s="224">
        <v>18568.61</v>
      </c>
      <c r="P49" s="4">
        <f t="shared" si="140"/>
        <v>18568.61</v>
      </c>
      <c r="Q49" s="6">
        <f t="shared" ref="Q49" si="144">(S49)/2000</f>
        <v>1.1122250000000002</v>
      </c>
      <c r="R49" s="6">
        <f t="shared" ref="R49" si="145">S49</f>
        <v>2224.4500000000003</v>
      </c>
      <c r="S49" s="6">
        <f>($P49+H49*$L49)/9</f>
        <v>2224.4500000000003</v>
      </c>
      <c r="T49" s="6">
        <f t="shared" ref="T49" si="146">$S$1*S49*110*0.06*0.75/2000</f>
        <v>66.066165000000012</v>
      </c>
      <c r="U49" s="225"/>
      <c r="V49" s="34">
        <f>(P49*$V$1/12)/27+I49</f>
        <v>659.07103395061733</v>
      </c>
      <c r="W49" s="4">
        <f t="shared" si="110"/>
        <v>357.30240740740749</v>
      </c>
      <c r="X49" s="6">
        <f>($P49/9)*$X$1</f>
        <v>82.527155555555566</v>
      </c>
      <c r="Y49" s="4">
        <f>($P49*($Y$1/12))/27</f>
        <v>85.965787037037046</v>
      </c>
      <c r="Z49" s="4">
        <f>(P49*$Z$1/12)/27+K49</f>
        <v>100.29341820987655</v>
      </c>
      <c r="AB49" s="98">
        <f>IF(E49=2,$AN$26*2*L49/27,IF(F49=2,$AN$32*2*L49/27,IF(G49=2,$AN$38*2*L49/27,IF(AND(E49=1,F49=1),($AN$26*L49+$AN$32*L49)/27,IF(AND(E49=1,F49=0,G49=0),$AN$26*L49/27,IF(AND(E49=1,G49=1),($AN$26*L49+$AN$38*L49)/27,IF(AND(E49=0,F49=1,G49=0),$AN$32*L49/27,IF(AND(F49=1,G49=1),($AN$32*L49+$AN$38*L49)/27,IF(AND(E49=0,F49=0,G49=1),$AN$38*L49/27,0)))))))))</f>
        <v>13.439259259259281</v>
      </c>
      <c r="AC49" s="94">
        <f t="shared" si="122"/>
        <v>1.1122250000000002</v>
      </c>
      <c r="AD49" s="6">
        <f t="shared" si="24"/>
        <v>2224.4500000000003</v>
      </c>
      <c r="AE49" s="6">
        <f t="shared" si="25"/>
        <v>2224.4500000000003</v>
      </c>
      <c r="AF49" s="6">
        <f t="shared" si="26"/>
        <v>66.066165000000012</v>
      </c>
      <c r="AG49" s="6">
        <f t="shared" si="116"/>
        <v>357.30240740740749</v>
      </c>
      <c r="AH49" s="95">
        <f t="shared" si="123"/>
        <v>2063.1788888888891</v>
      </c>
    </row>
    <row r="50" spans="1:34" ht="12.75" customHeight="1" x14ac:dyDescent="0.2">
      <c r="B50" s="232">
        <v>80741.149999999994</v>
      </c>
      <c r="C50" s="233">
        <v>81059.820000000007</v>
      </c>
      <c r="D50" s="222" t="s">
        <v>15</v>
      </c>
      <c r="E50" s="222">
        <v>0</v>
      </c>
      <c r="F50" s="223">
        <v>1</v>
      </c>
      <c r="G50" s="223">
        <v>0</v>
      </c>
      <c r="H50" s="26">
        <f t="shared" si="98"/>
        <v>2</v>
      </c>
      <c r="I50" s="27">
        <f t="shared" si="99"/>
        <v>0</v>
      </c>
      <c r="J50" s="27">
        <f t="shared" si="100"/>
        <v>5.9012962962965334</v>
      </c>
      <c r="K50" s="27">
        <f t="shared" si="101"/>
        <v>0</v>
      </c>
      <c r="L50" s="4">
        <f t="shared" si="102"/>
        <v>318.67000000001281</v>
      </c>
      <c r="M50" s="224">
        <v>22</v>
      </c>
      <c r="N50" s="14">
        <f t="shared" si="103"/>
        <v>7010.7400000002817</v>
      </c>
      <c r="O50" s="224"/>
      <c r="P50" s="4">
        <f t="shared" ref="P50" si="147">SUM(N50:O50)</f>
        <v>7010.7400000002817</v>
      </c>
      <c r="Q50" s="6">
        <f t="shared" ref="Q50" si="148">(S50)/2000</f>
        <v>0.42489333333335044</v>
      </c>
      <c r="R50" s="6">
        <f t="shared" ref="R50" si="149">S50</f>
        <v>849.78666666670085</v>
      </c>
      <c r="S50" s="6">
        <f>($P50+H50*$L50)/9</f>
        <v>849.78666666670085</v>
      </c>
      <c r="T50" s="6">
        <f t="shared" ref="T50" si="150">$S$1*S50*110*0.06*0.75/2000</f>
        <v>25.238664000001013</v>
      </c>
      <c r="U50" s="225"/>
      <c r="V50" s="34">
        <f>(P50*$V$1/12)/27+I50</f>
        <v>248.83799382717049</v>
      </c>
      <c r="W50" s="4">
        <f t="shared" si="110"/>
        <v>135.72981481482026</v>
      </c>
      <c r="X50" s="6">
        <f>($P50/9)*$X$1</f>
        <v>31.158844444445695</v>
      </c>
      <c r="Y50" s="4">
        <f>($P50*($Y$1/12))/27</f>
        <v>32.457129629630934</v>
      </c>
      <c r="Z50" s="4">
        <f>(P50*$Z$1/12)/27+K50</f>
        <v>37.866651234569424</v>
      </c>
      <c r="AB50" s="98">
        <f>IF(E50=2,$AN$26*2*L50/27,IF(F50=2,$AN$32*2*L50/27,IF(G50=2,$AN$38*2*L50/27,IF(AND(E50=1,F50=1),($AN$26*L50+$AN$32*L50)/27,IF(AND(E50=1,F50=0,G50=0),$AN$26*L50/27,IF(AND(E50=1,G50=1),($AN$26*L50+$AN$38*L50)/27,IF(AND(E50=0,F50=1,G50=0),$AN$32*L50/27,IF(AND(F50=1,G50=1),($AN$32*L50+$AN$38*L50)/27,IF(AND(E50=0,F50=0,G50=1),$AN$38*L50/27,0)))))))))</f>
        <v>5.9012962962965334</v>
      </c>
      <c r="AC50" s="94">
        <f t="shared" si="122"/>
        <v>0.42489333333335044</v>
      </c>
      <c r="AD50" s="6">
        <f t="shared" si="24"/>
        <v>849.78666666670085</v>
      </c>
      <c r="AE50" s="6">
        <f t="shared" si="25"/>
        <v>849.78666666670085</v>
      </c>
      <c r="AF50" s="6">
        <f t="shared" si="26"/>
        <v>25.238664000001013</v>
      </c>
      <c r="AG50" s="6">
        <f t="shared" si="116"/>
        <v>135.72981481482026</v>
      </c>
      <c r="AH50" s="95">
        <f t="shared" si="123"/>
        <v>778.97111111114236</v>
      </c>
    </row>
    <row r="51" spans="1:34" ht="12.75" customHeight="1" x14ac:dyDescent="0.2">
      <c r="B51" s="232">
        <v>81059.820000000007</v>
      </c>
      <c r="C51" s="233">
        <v>81338.899999999994</v>
      </c>
      <c r="D51" s="222" t="s">
        <v>15</v>
      </c>
      <c r="E51" s="222">
        <v>1</v>
      </c>
      <c r="F51" s="223">
        <v>0</v>
      </c>
      <c r="G51" s="223">
        <v>0</v>
      </c>
      <c r="H51" s="26">
        <f t="shared" si="98"/>
        <v>1.5</v>
      </c>
      <c r="I51" s="27">
        <f t="shared" si="99"/>
        <v>5.8916888888886172</v>
      </c>
      <c r="J51" s="27">
        <f t="shared" si="100"/>
        <v>6.9253185185182016</v>
      </c>
      <c r="K51" s="27">
        <f t="shared" si="101"/>
        <v>0</v>
      </c>
      <c r="L51" s="4">
        <f t="shared" si="102"/>
        <v>279.07999999998719</v>
      </c>
      <c r="M51" s="224">
        <v>20</v>
      </c>
      <c r="N51" s="14">
        <f t="shared" si="103"/>
        <v>5581.5999999997439</v>
      </c>
      <c r="O51" s="224"/>
      <c r="P51" s="4">
        <f t="shared" ref="P51:P52" si="151">SUM(N51:O51)</f>
        <v>5581.5999999997439</v>
      </c>
      <c r="Q51" s="6">
        <f t="shared" ref="Q51" si="152">(S51)/2000</f>
        <v>0.3333455555555403</v>
      </c>
      <c r="R51" s="6">
        <f t="shared" ref="R51" si="153">S51</f>
        <v>666.69111111108055</v>
      </c>
      <c r="S51" s="6">
        <f>($P51+H51*$L51)/9</f>
        <v>666.69111111108055</v>
      </c>
      <c r="T51" s="6">
        <f t="shared" ref="T51" si="154">$S$1*S51*110*0.06*0.75/2000</f>
        <v>19.800725999999091</v>
      </c>
      <c r="U51" s="225"/>
      <c r="V51" s="34">
        <f>(P51*$V$1/12)/27+I51</f>
        <v>204.00403456789186</v>
      </c>
      <c r="W51" s="4">
        <f t="shared" si="110"/>
        <v>110.28828148147642</v>
      </c>
      <c r="X51" s="6">
        <f>($P51/9)*$X$1</f>
        <v>24.807111111109972</v>
      </c>
      <c r="Y51" s="4">
        <f>($P51*($Y$1/12))/27</f>
        <v>25.840740740739555</v>
      </c>
      <c r="Z51" s="4">
        <f>(P51*$Z$1/12)/27+K51</f>
        <v>30.147530864196145</v>
      </c>
      <c r="AB51" s="98">
        <f>IF(E51=2,$AN$26*2*L51/27,IF(F51=2,$AN$32*2*L51/27,IF(G51=2,$AN$38*2*L51/27,IF(AND(E51=1,F51=1),($AN$26*L51+$AN$32*L51)/27,IF(AND(E51=1,F51=0,G51=0),$AN$26*L51/27,IF(AND(E51=1,G51=1),($AN$26*L51+$AN$38*L51)/27,IF(AND(E51=0,F51=1,G51=0),$AN$32*L51/27,IF(AND(F51=1,G51=1),($AN$32*L51+$AN$38*L51)/27,IF(AND(E51=0,F51=0,G51=1),$AN$38*L51/27,0)))))))))</f>
        <v>5.1681481481479112</v>
      </c>
      <c r="AC51" s="94">
        <f t="shared" si="122"/>
        <v>0.3333455555555403</v>
      </c>
      <c r="AD51" s="6">
        <f t="shared" si="24"/>
        <v>666.69111111108055</v>
      </c>
      <c r="AE51" s="6">
        <f t="shared" si="25"/>
        <v>666.69111111108055</v>
      </c>
      <c r="AF51" s="6">
        <f t="shared" si="26"/>
        <v>19.800725999999091</v>
      </c>
      <c r="AG51" s="6">
        <f t="shared" si="116"/>
        <v>108.53111111110613</v>
      </c>
      <c r="AH51" s="95">
        <f t="shared" si="123"/>
        <v>620.17777777774927</v>
      </c>
    </row>
    <row r="52" spans="1:34" ht="12.75" customHeight="1" x14ac:dyDescent="0.2">
      <c r="A52" s="58" t="s">
        <v>36</v>
      </c>
      <c r="B52" s="232">
        <v>81407.23</v>
      </c>
      <c r="C52" s="233">
        <v>81429.23</v>
      </c>
      <c r="D52" s="222" t="s">
        <v>38</v>
      </c>
      <c r="E52" s="222">
        <v>0</v>
      </c>
      <c r="F52" s="223">
        <v>0</v>
      </c>
      <c r="G52" s="223">
        <v>0</v>
      </c>
      <c r="H52" s="26">
        <f t="shared" si="98"/>
        <v>0</v>
      </c>
      <c r="I52" s="27">
        <f t="shared" si="99"/>
        <v>0</v>
      </c>
      <c r="J52" s="27">
        <f t="shared" si="100"/>
        <v>0</v>
      </c>
      <c r="K52" s="27">
        <f t="shared" si="101"/>
        <v>0</v>
      </c>
      <c r="L52" s="4">
        <f t="shared" si="102"/>
        <v>22</v>
      </c>
      <c r="M52" s="224"/>
      <c r="N52" s="14" t="str">
        <f t="shared" si="103"/>
        <v/>
      </c>
      <c r="O52" s="224">
        <v>861.52</v>
      </c>
      <c r="P52" s="4">
        <f t="shared" si="151"/>
        <v>861.52</v>
      </c>
      <c r="Q52" s="6"/>
      <c r="R52" s="6"/>
      <c r="S52" s="6"/>
      <c r="T52" s="6"/>
      <c r="U52" s="225"/>
      <c r="V52" s="34"/>
      <c r="W52" s="4">
        <f t="shared" si="110"/>
        <v>15.954074074074073</v>
      </c>
      <c r="X52" s="6"/>
      <c r="Y52" s="4"/>
      <c r="Z52" s="4"/>
      <c r="AB52" s="98"/>
      <c r="AC52" s="94"/>
      <c r="AD52" s="6"/>
      <c r="AE52" s="6"/>
      <c r="AF52" s="6"/>
      <c r="AG52" s="6">
        <f t="shared" si="116"/>
        <v>15.954074074074073</v>
      </c>
      <c r="AH52" s="95"/>
    </row>
    <row r="53" spans="1:34" ht="12.75" customHeight="1" x14ac:dyDescent="0.2">
      <c r="B53" s="232"/>
      <c r="C53" s="233"/>
      <c r="D53" s="222"/>
      <c r="E53" s="222"/>
      <c r="F53" s="223"/>
      <c r="G53" s="223"/>
      <c r="H53" s="26"/>
      <c r="I53" s="27"/>
      <c r="J53" s="27"/>
      <c r="K53" s="27"/>
      <c r="L53" s="4"/>
      <c r="M53" s="224"/>
      <c r="N53" s="14"/>
      <c r="O53" s="224"/>
      <c r="P53" s="4"/>
      <c r="Q53" s="6"/>
      <c r="R53" s="6"/>
      <c r="S53" s="6"/>
      <c r="T53" s="6"/>
      <c r="U53" s="225"/>
      <c r="V53" s="34"/>
      <c r="W53" s="4"/>
      <c r="X53" s="6"/>
      <c r="Y53" s="4"/>
      <c r="Z53" s="4"/>
      <c r="AB53" s="98"/>
      <c r="AC53" s="94"/>
      <c r="AD53" s="6"/>
      <c r="AE53" s="6"/>
      <c r="AF53" s="6"/>
      <c r="AG53" s="6"/>
      <c r="AH53" s="95"/>
    </row>
    <row r="54" spans="1:34" ht="12.75" customHeight="1" thickBot="1" x14ac:dyDescent="0.25">
      <c r="B54" s="84"/>
      <c r="C54" s="3"/>
      <c r="D54" s="32"/>
      <c r="E54" s="32"/>
      <c r="F54" s="32"/>
      <c r="G54" s="32"/>
      <c r="H54" s="26"/>
      <c r="I54" s="27"/>
      <c r="J54" s="27"/>
      <c r="K54" s="27"/>
      <c r="L54" s="4"/>
      <c r="M54" s="4"/>
      <c r="N54" s="14"/>
      <c r="O54" s="4"/>
      <c r="P54" s="4"/>
      <c r="Q54" s="6"/>
      <c r="R54" s="6"/>
      <c r="S54" s="6"/>
      <c r="T54" s="6"/>
      <c r="U54" s="7"/>
      <c r="V54" s="34"/>
      <c r="W54" s="4"/>
      <c r="X54" s="6"/>
      <c r="Y54" s="6"/>
      <c r="Z54" s="4"/>
      <c r="AB54" s="19"/>
      <c r="AC54" s="19"/>
      <c r="AD54" s="6"/>
      <c r="AE54" s="6"/>
      <c r="AF54" s="6"/>
      <c r="AG54" s="19"/>
      <c r="AH54" s="19"/>
    </row>
    <row r="55" spans="1:34" s="20" customFormat="1" ht="12.75" customHeight="1" x14ac:dyDescent="0.2">
      <c r="B55" s="380" t="s">
        <v>137</v>
      </c>
      <c r="C55" s="381"/>
      <c r="D55" s="384" t="s">
        <v>28</v>
      </c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6"/>
      <c r="Q55" s="369">
        <f t="shared" ref="Q55:Z55" si="155">ROUND(SUM(Q15:Q53),0)</f>
        <v>19</v>
      </c>
      <c r="R55" s="369">
        <f t="shared" si="155"/>
        <v>38995</v>
      </c>
      <c r="S55" s="369">
        <f t="shared" si="155"/>
        <v>38995</v>
      </c>
      <c r="T55" s="369">
        <f t="shared" si="155"/>
        <v>1158</v>
      </c>
      <c r="U55" s="369">
        <f t="shared" si="155"/>
        <v>0</v>
      </c>
      <c r="V55" s="369">
        <f t="shared" si="155"/>
        <v>11764</v>
      </c>
      <c r="W55" s="369">
        <f t="shared" si="155"/>
        <v>6528</v>
      </c>
      <c r="X55" s="369">
        <f t="shared" si="155"/>
        <v>1436</v>
      </c>
      <c r="Y55" s="229">
        <f t="shared" si="155"/>
        <v>1496</v>
      </c>
      <c r="Z55" s="369">
        <f t="shared" si="155"/>
        <v>1745</v>
      </c>
      <c r="AA55" s="1"/>
      <c r="AB55" s="1"/>
      <c r="AC55" s="369">
        <f t="shared" ref="AC55:AH55" si="156">ROUND(SUM(AC15:AC53),0)</f>
        <v>19</v>
      </c>
      <c r="AD55" s="369">
        <f t="shared" si="156"/>
        <v>38995</v>
      </c>
      <c r="AE55" s="369">
        <f t="shared" si="156"/>
        <v>38995</v>
      </c>
      <c r="AF55" s="369">
        <f t="shared" si="156"/>
        <v>1158</v>
      </c>
      <c r="AG55" s="369">
        <f t="shared" si="156"/>
        <v>6439</v>
      </c>
      <c r="AH55" s="369">
        <f t="shared" si="156"/>
        <v>35898</v>
      </c>
    </row>
    <row r="56" spans="1:34" s="20" customFormat="1" ht="12.75" customHeight="1" thickBot="1" x14ac:dyDescent="0.25">
      <c r="B56" s="382"/>
      <c r="C56" s="383"/>
      <c r="D56" s="387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88"/>
      <c r="P56" s="389"/>
      <c r="Q56" s="370"/>
      <c r="R56" s="370"/>
      <c r="S56" s="370"/>
      <c r="T56" s="370"/>
      <c r="U56" s="370"/>
      <c r="V56" s="370"/>
      <c r="W56" s="370"/>
      <c r="X56" s="370"/>
      <c r="Y56" s="227"/>
      <c r="Z56" s="370"/>
      <c r="AA56" s="1"/>
      <c r="AB56" s="1"/>
      <c r="AC56" s="370"/>
      <c r="AD56" s="370"/>
      <c r="AE56" s="370"/>
      <c r="AF56" s="370"/>
      <c r="AG56" s="370"/>
      <c r="AH56" s="370"/>
    </row>
    <row r="57" spans="1:34" x14ac:dyDescent="0.2">
      <c r="AD57" s="1"/>
      <c r="AE57" s="1"/>
      <c r="AF57" s="1"/>
    </row>
    <row r="58" spans="1:34" x14ac:dyDescent="0.2">
      <c r="AD58" s="1"/>
      <c r="AE58" s="1"/>
      <c r="AF58" s="1"/>
    </row>
    <row r="59" spans="1:34" x14ac:dyDescent="0.2">
      <c r="C59" s="22"/>
      <c r="AD59" s="1"/>
      <c r="AE59" s="1"/>
      <c r="AF59" s="1"/>
    </row>
    <row r="60" spans="1:34" x14ac:dyDescent="0.2">
      <c r="C60" s="22"/>
      <c r="AD60" s="1"/>
      <c r="AE60" s="1"/>
      <c r="AF60" s="1"/>
    </row>
    <row r="61" spans="1:34" x14ac:dyDescent="0.2">
      <c r="C61" s="22"/>
      <c r="AD61" s="1"/>
      <c r="AE61" s="1"/>
      <c r="AF61" s="1"/>
    </row>
    <row r="62" spans="1:34" x14ac:dyDescent="0.2">
      <c r="C62" s="22"/>
      <c r="AD62" s="1"/>
      <c r="AE62" s="1"/>
      <c r="AF62" s="1"/>
    </row>
    <row r="63" spans="1:34" x14ac:dyDescent="0.2">
      <c r="C63" s="22"/>
      <c r="AD63" s="1"/>
      <c r="AE63" s="1"/>
      <c r="AF63" s="1"/>
    </row>
    <row r="64" spans="1:34" x14ac:dyDescent="0.2">
      <c r="C64" s="22"/>
      <c r="AD64" s="1"/>
      <c r="AE64" s="1"/>
      <c r="AF64" s="1"/>
    </row>
    <row r="65" spans="3:32" x14ac:dyDescent="0.2">
      <c r="C65" s="22"/>
      <c r="AD65" s="1"/>
      <c r="AE65" s="1"/>
      <c r="AF65" s="1"/>
    </row>
    <row r="66" spans="3:32" x14ac:dyDescent="0.2">
      <c r="C66" s="22"/>
      <c r="AD66" s="1"/>
      <c r="AE66" s="1"/>
      <c r="AF66" s="1"/>
    </row>
    <row r="67" spans="3:32" x14ac:dyDescent="0.2">
      <c r="AD67" s="1"/>
      <c r="AE67" s="1"/>
      <c r="AF67" s="1"/>
    </row>
    <row r="68" spans="3:32" x14ac:dyDescent="0.2">
      <c r="AD68" s="1"/>
      <c r="AE68" s="1"/>
      <c r="AF68" s="1"/>
    </row>
    <row r="69" spans="3:32" x14ac:dyDescent="0.2">
      <c r="AD69" s="1"/>
      <c r="AE69" s="1"/>
      <c r="AF69" s="1"/>
    </row>
    <row r="70" spans="3:32" x14ac:dyDescent="0.2">
      <c r="AD70" s="1"/>
      <c r="AE70" s="1"/>
      <c r="AF70" s="1"/>
    </row>
    <row r="71" spans="3:32" x14ac:dyDescent="0.2">
      <c r="AD71" s="1"/>
      <c r="AE71" s="1"/>
      <c r="AF71" s="1"/>
    </row>
    <row r="72" spans="3:32" x14ac:dyDescent="0.2">
      <c r="AD72" s="1"/>
      <c r="AE72" s="1"/>
      <c r="AF72" s="1"/>
    </row>
    <row r="73" spans="3:32" x14ac:dyDescent="0.2">
      <c r="AD73" s="1"/>
      <c r="AE73" s="1"/>
      <c r="AF73" s="1"/>
    </row>
    <row r="74" spans="3:32" x14ac:dyDescent="0.2">
      <c r="AD74" s="1"/>
      <c r="AE74" s="1"/>
      <c r="AF74" s="1"/>
    </row>
    <row r="75" spans="3:32" x14ac:dyDescent="0.2">
      <c r="AD75" s="1"/>
      <c r="AE75" s="1"/>
      <c r="AF75" s="1"/>
    </row>
    <row r="76" spans="3:32" x14ac:dyDescent="0.2">
      <c r="AD76" s="1"/>
      <c r="AE76" s="1"/>
      <c r="AF76" s="1"/>
    </row>
    <row r="77" spans="3:32" x14ac:dyDescent="0.2">
      <c r="AD77" s="1"/>
      <c r="AE77" s="1"/>
      <c r="AF77" s="1"/>
    </row>
    <row r="78" spans="3:32" x14ac:dyDescent="0.2">
      <c r="AD78" s="1"/>
      <c r="AE78" s="1"/>
      <c r="AF78" s="1"/>
    </row>
    <row r="79" spans="3:32" x14ac:dyDescent="0.2">
      <c r="AD79" s="1"/>
      <c r="AE79" s="1"/>
      <c r="AF79" s="1"/>
    </row>
    <row r="80" spans="3:32" x14ac:dyDescent="0.2">
      <c r="AD80" s="1"/>
      <c r="AE80" s="1"/>
      <c r="AF80" s="1"/>
    </row>
    <row r="81" spans="30:32" x14ac:dyDescent="0.2">
      <c r="AD81" s="1"/>
      <c r="AE81" s="1"/>
      <c r="AF81" s="1"/>
    </row>
    <row r="82" spans="30:32" x14ac:dyDescent="0.2">
      <c r="AD82" s="1"/>
      <c r="AE82" s="1"/>
      <c r="AF82" s="1"/>
    </row>
    <row r="83" spans="30:32" x14ac:dyDescent="0.2">
      <c r="AD83" s="1"/>
      <c r="AE83" s="1"/>
      <c r="AF83" s="1"/>
    </row>
    <row r="84" spans="30:32" x14ac:dyDescent="0.2">
      <c r="AD84" s="1"/>
      <c r="AE84" s="1"/>
      <c r="AF84" s="1"/>
    </row>
    <row r="85" spans="30:32" x14ac:dyDescent="0.2">
      <c r="AD85" s="1"/>
      <c r="AE85" s="1"/>
      <c r="AF85" s="1"/>
    </row>
    <row r="86" spans="30:32" x14ac:dyDescent="0.2">
      <c r="AD86" s="1"/>
      <c r="AE86" s="1"/>
      <c r="AF86" s="1"/>
    </row>
    <row r="87" spans="30:32" x14ac:dyDescent="0.2">
      <c r="AD87" s="1"/>
      <c r="AE87" s="1"/>
      <c r="AF87" s="1"/>
    </row>
    <row r="88" spans="30:32" x14ac:dyDescent="0.2">
      <c r="AD88" s="1"/>
      <c r="AE88" s="1"/>
      <c r="AF88" s="1"/>
    </row>
    <row r="89" spans="30:32" x14ac:dyDescent="0.2">
      <c r="AD89" s="1"/>
      <c r="AE89" s="1"/>
      <c r="AF89" s="1"/>
    </row>
    <row r="90" spans="30:32" x14ac:dyDescent="0.2">
      <c r="AD90" s="1"/>
      <c r="AE90" s="1"/>
      <c r="AF90" s="1"/>
    </row>
    <row r="91" spans="30:32" x14ac:dyDescent="0.2">
      <c r="AD91" s="1"/>
      <c r="AE91" s="1"/>
      <c r="AF91" s="1"/>
    </row>
    <row r="92" spans="30:32" x14ac:dyDescent="0.2">
      <c r="AD92" s="1"/>
      <c r="AE92" s="1"/>
      <c r="AF92" s="1"/>
    </row>
    <row r="93" spans="30:32" x14ac:dyDescent="0.2">
      <c r="AD93" s="1"/>
      <c r="AE93" s="1"/>
      <c r="AF93" s="1"/>
    </row>
    <row r="94" spans="30:32" x14ac:dyDescent="0.2">
      <c r="AD94" s="1"/>
      <c r="AE94" s="1"/>
      <c r="AF94" s="1"/>
    </row>
    <row r="95" spans="30:32" x14ac:dyDescent="0.2">
      <c r="AD95" s="1"/>
      <c r="AE95" s="1"/>
      <c r="AF95" s="1"/>
    </row>
    <row r="96" spans="30:32" x14ac:dyDescent="0.2">
      <c r="AD96" s="1"/>
      <c r="AE96" s="1"/>
      <c r="AF96" s="1"/>
    </row>
    <row r="97" spans="30:32" x14ac:dyDescent="0.2">
      <c r="AD97" s="1"/>
      <c r="AE97" s="1"/>
      <c r="AF97" s="1"/>
    </row>
    <row r="98" spans="30:32" x14ac:dyDescent="0.2">
      <c r="AD98" s="1"/>
      <c r="AE98" s="1"/>
      <c r="AF98" s="1"/>
    </row>
    <row r="99" spans="30:32" x14ac:dyDescent="0.2">
      <c r="AD99" s="1"/>
      <c r="AE99" s="1"/>
      <c r="AF99" s="1"/>
    </row>
    <row r="100" spans="30:32" x14ac:dyDescent="0.2">
      <c r="AD100" s="1"/>
      <c r="AE100" s="1"/>
      <c r="AF100" s="1"/>
    </row>
    <row r="101" spans="30:32" x14ac:dyDescent="0.2">
      <c r="AD101" s="1"/>
      <c r="AE101" s="1"/>
      <c r="AF101" s="1"/>
    </row>
    <row r="102" spans="30:32" x14ac:dyDescent="0.2">
      <c r="AD102" s="1"/>
      <c r="AE102" s="1"/>
      <c r="AF102" s="1"/>
    </row>
    <row r="103" spans="30:32" x14ac:dyDescent="0.2">
      <c r="AD103" s="1"/>
      <c r="AE103" s="1"/>
      <c r="AF103" s="1"/>
    </row>
    <row r="104" spans="30:32" x14ac:dyDescent="0.2">
      <c r="AD104" s="1"/>
      <c r="AE104" s="1"/>
      <c r="AF104" s="1"/>
    </row>
    <row r="105" spans="30:32" x14ac:dyDescent="0.2">
      <c r="AD105" s="1"/>
      <c r="AE105" s="1"/>
      <c r="AF105" s="1"/>
    </row>
    <row r="106" spans="30:32" x14ac:dyDescent="0.2">
      <c r="AD106" s="1"/>
      <c r="AE106" s="1"/>
      <c r="AF106" s="1"/>
    </row>
    <row r="107" spans="30:32" x14ac:dyDescent="0.2">
      <c r="AD107" s="1"/>
      <c r="AE107" s="1"/>
      <c r="AF107" s="1"/>
    </row>
    <row r="108" spans="30:32" x14ac:dyDescent="0.2">
      <c r="AD108" s="1"/>
      <c r="AE108" s="1"/>
      <c r="AF108" s="1"/>
    </row>
    <row r="109" spans="30:32" x14ac:dyDescent="0.2">
      <c r="AD109" s="1"/>
      <c r="AE109" s="1"/>
      <c r="AF109" s="1"/>
    </row>
    <row r="110" spans="30:32" x14ac:dyDescent="0.2">
      <c r="AD110" s="1"/>
      <c r="AE110" s="1"/>
      <c r="AF110" s="1"/>
    </row>
    <row r="111" spans="30:32" x14ac:dyDescent="0.2">
      <c r="AD111" s="1"/>
      <c r="AE111" s="1"/>
      <c r="AF111" s="1"/>
    </row>
    <row r="112" spans="30:32" x14ac:dyDescent="0.2">
      <c r="AD112" s="1"/>
      <c r="AE112" s="1"/>
      <c r="AF112" s="1"/>
    </row>
    <row r="113" spans="30:32" x14ac:dyDescent="0.2">
      <c r="AD113" s="1"/>
      <c r="AE113" s="1"/>
      <c r="AF113" s="1"/>
    </row>
    <row r="114" spans="30:32" x14ac:dyDescent="0.2">
      <c r="AD114" s="1"/>
      <c r="AE114" s="1"/>
      <c r="AF114" s="1"/>
    </row>
    <row r="115" spans="30:32" x14ac:dyDescent="0.2">
      <c r="AD115" s="1"/>
      <c r="AE115" s="1"/>
      <c r="AF115" s="1"/>
    </row>
    <row r="116" spans="30:32" x14ac:dyDescent="0.2">
      <c r="AD116" s="1"/>
      <c r="AE116" s="1"/>
      <c r="AF116" s="1"/>
    </row>
    <row r="117" spans="30:32" x14ac:dyDescent="0.2">
      <c r="AD117" s="1"/>
      <c r="AE117" s="1"/>
      <c r="AF117" s="1"/>
    </row>
    <row r="118" spans="30:32" x14ac:dyDescent="0.2">
      <c r="AD118" s="1"/>
      <c r="AE118" s="1"/>
      <c r="AF118" s="1"/>
    </row>
    <row r="119" spans="30:32" x14ac:dyDescent="0.2">
      <c r="AD119" s="1"/>
      <c r="AE119" s="1"/>
      <c r="AF119" s="1"/>
    </row>
    <row r="120" spans="30:32" x14ac:dyDescent="0.2">
      <c r="AD120" s="1"/>
      <c r="AE120" s="1"/>
      <c r="AF120" s="1"/>
    </row>
    <row r="121" spans="30:32" x14ac:dyDescent="0.2">
      <c r="AD121" s="1"/>
      <c r="AE121" s="1"/>
      <c r="AF121" s="1"/>
    </row>
    <row r="122" spans="30:32" x14ac:dyDescent="0.2">
      <c r="AD122" s="1"/>
      <c r="AE122" s="1"/>
      <c r="AF122" s="1"/>
    </row>
    <row r="123" spans="30:32" x14ac:dyDescent="0.2">
      <c r="AD123" s="1"/>
      <c r="AE123" s="1"/>
      <c r="AF123" s="1"/>
    </row>
    <row r="124" spans="30:32" x14ac:dyDescent="0.2">
      <c r="AD124" s="1"/>
      <c r="AE124" s="1"/>
      <c r="AF124" s="1"/>
    </row>
    <row r="125" spans="30:32" x14ac:dyDescent="0.2">
      <c r="AD125" s="1"/>
      <c r="AE125" s="1"/>
      <c r="AF125" s="1"/>
    </row>
    <row r="126" spans="30:32" x14ac:dyDescent="0.2">
      <c r="AD126" s="1"/>
      <c r="AE126" s="1"/>
      <c r="AF126" s="1"/>
    </row>
    <row r="127" spans="30:32" x14ac:dyDescent="0.2">
      <c r="AD127" s="1"/>
      <c r="AE127" s="1"/>
      <c r="AF127" s="1"/>
    </row>
    <row r="128" spans="30:32" x14ac:dyDescent="0.2">
      <c r="AD128" s="1"/>
      <c r="AE128" s="1"/>
      <c r="AF128" s="1"/>
    </row>
    <row r="129" spans="30:32" x14ac:dyDescent="0.2">
      <c r="AD129" s="1"/>
      <c r="AE129" s="1"/>
      <c r="AF129" s="20"/>
    </row>
  </sheetData>
  <mergeCells count="99">
    <mergeCell ref="B22:C22"/>
    <mergeCell ref="B26:C26"/>
    <mergeCell ref="B39:C39"/>
    <mergeCell ref="U55:U56"/>
    <mergeCell ref="Q55:Q56"/>
    <mergeCell ref="R55:R56"/>
    <mergeCell ref="S55:S56"/>
    <mergeCell ref="T55:T56"/>
    <mergeCell ref="B55:C56"/>
    <mergeCell ref="D55:P56"/>
    <mergeCell ref="AD2:AF2"/>
    <mergeCell ref="AD3:AD12"/>
    <mergeCell ref="AE3:AE12"/>
    <mergeCell ref="AF3:AF12"/>
    <mergeCell ref="AC55:AC56"/>
    <mergeCell ref="AD55:AD56"/>
    <mergeCell ref="AE55:AE56"/>
    <mergeCell ref="AF55:AF56"/>
    <mergeCell ref="AC3:AC12"/>
    <mergeCell ref="AG55:AG56"/>
    <mergeCell ref="AH55:AH56"/>
    <mergeCell ref="V55:V56"/>
    <mergeCell ref="W55:W56"/>
    <mergeCell ref="X55:X56"/>
    <mergeCell ref="Z55:Z56"/>
    <mergeCell ref="AN38:AP38"/>
    <mergeCell ref="AN23:AP23"/>
    <mergeCell ref="AN24:AP24"/>
    <mergeCell ref="AN25:AP25"/>
    <mergeCell ref="AN26:AP26"/>
    <mergeCell ref="AN29:AP29"/>
    <mergeCell ref="AN30:AP30"/>
    <mergeCell ref="AN31:AP31"/>
    <mergeCell ref="AN32:AP32"/>
    <mergeCell ref="AN35:AP35"/>
    <mergeCell ref="AN36:AP36"/>
    <mergeCell ref="AN37:AP37"/>
    <mergeCell ref="AK15:AM15"/>
    <mergeCell ref="AN15:AP15"/>
    <mergeCell ref="AQ15:AS15"/>
    <mergeCell ref="AT15:AV15"/>
    <mergeCell ref="AK16:AM16"/>
    <mergeCell ref="AN16:AP16"/>
    <mergeCell ref="AQ16:AS16"/>
    <mergeCell ref="AT16:AV16"/>
    <mergeCell ref="AT14:AV14"/>
    <mergeCell ref="AN9:AP9"/>
    <mergeCell ref="AQ9:AS9"/>
    <mergeCell ref="AN10:AP10"/>
    <mergeCell ref="AQ10:AS10"/>
    <mergeCell ref="AK13:AV13"/>
    <mergeCell ref="AN7:AS7"/>
    <mergeCell ref="AN8:AP8"/>
    <mergeCell ref="AQ8:AS8"/>
    <mergeCell ref="B14:C14"/>
    <mergeCell ref="AK14:AM14"/>
    <mergeCell ref="AN14:AP14"/>
    <mergeCell ref="AQ14:AS14"/>
    <mergeCell ref="AG3:AG12"/>
    <mergeCell ref="U3:U12"/>
    <mergeCell ref="V3:V12"/>
    <mergeCell ref="AH3:AH12"/>
    <mergeCell ref="AN3:AP3"/>
    <mergeCell ref="AQ3:AS3"/>
    <mergeCell ref="AK4:AM4"/>
    <mergeCell ref="AN4:AP4"/>
    <mergeCell ref="AQ4:AS4"/>
    <mergeCell ref="AK3:AM3"/>
    <mergeCell ref="AK2:AM2"/>
    <mergeCell ref="AN2:AP2"/>
    <mergeCell ref="AQ2:AS2"/>
    <mergeCell ref="Q3:Q12"/>
    <mergeCell ref="R3:R12"/>
    <mergeCell ref="S3:S12"/>
    <mergeCell ref="T3:T12"/>
    <mergeCell ref="Y2:Z2"/>
    <mergeCell ref="AA2:AA13"/>
    <mergeCell ref="AB2:AB12"/>
    <mergeCell ref="W3:W12"/>
    <mergeCell ref="X3:X12"/>
    <mergeCell ref="Y3:Y12"/>
    <mergeCell ref="R2:T2"/>
    <mergeCell ref="Z3:Z12"/>
    <mergeCell ref="AM24:AM38"/>
    <mergeCell ref="AK1:AS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O2:O12"/>
    <mergeCell ref="P2:P1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31"/>
  <sheetViews>
    <sheetView zoomScaleNormal="100" zoomScaleSheetLayoutView="100" workbookViewId="0">
      <pane ySplit="13" topLeftCell="A14" activePane="bottomLeft" state="frozen"/>
      <selection pane="bottomLeft" activeCell="F18" sqref="F18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7" width="8.5703125" style="1" customWidth="1"/>
    <col min="8" max="9" width="9.28515625" style="8" customWidth="1"/>
    <col min="10" max="10" width="13.85546875" style="8" customWidth="1"/>
    <col min="11" max="11" width="10" style="8" customWidth="1"/>
    <col min="12" max="12" width="13.42578125" style="8" customWidth="1"/>
    <col min="13" max="13" width="9.28515625" style="8" customWidth="1"/>
    <col min="14" max="16" width="9.28515625" style="11" customWidth="1"/>
    <col min="17" max="18" width="9.28515625" style="13" customWidth="1"/>
    <col min="19" max="23" width="9.28515625" style="8" customWidth="1"/>
    <col min="24" max="30" width="9.140625" style="1"/>
    <col min="31" max="31" width="9.140625" style="1" customWidth="1"/>
    <col min="32" max="16384" width="9.140625" style="1"/>
  </cols>
  <sheetData>
    <row r="1" spans="2:34" s="15" customFormat="1" ht="13.5" thickBot="1" x14ac:dyDescent="0.25">
      <c r="B1" s="23"/>
      <c r="C1" s="23"/>
      <c r="H1" s="11"/>
      <c r="I1" s="11"/>
      <c r="J1" s="11"/>
      <c r="K1" s="11"/>
      <c r="L1" s="11"/>
      <c r="M1" s="11"/>
      <c r="N1" s="11"/>
      <c r="O1" s="11">
        <v>12</v>
      </c>
      <c r="P1" s="11"/>
      <c r="Q1" s="10"/>
      <c r="R1" s="10">
        <v>6</v>
      </c>
      <c r="S1" s="11">
        <v>6</v>
      </c>
      <c r="T1" s="11">
        <v>0.04</v>
      </c>
      <c r="U1" s="11">
        <v>1.25</v>
      </c>
      <c r="V1" s="11">
        <v>1.75</v>
      </c>
      <c r="W1" s="11"/>
      <c r="Z1" s="359" t="s">
        <v>128</v>
      </c>
      <c r="AA1" s="359"/>
      <c r="AB1" s="359"/>
      <c r="AC1" s="359"/>
      <c r="AD1" s="359"/>
      <c r="AE1" s="359"/>
      <c r="AF1" s="258"/>
      <c r="AG1" s="258"/>
      <c r="AH1" s="258"/>
    </row>
    <row r="2" spans="2:34" s="16" customFormat="1" ht="12.75" customHeight="1" x14ac:dyDescent="0.2">
      <c r="B2" s="390" t="s">
        <v>1</v>
      </c>
      <c r="C2" s="391"/>
      <c r="D2" s="394" t="s">
        <v>0</v>
      </c>
      <c r="E2" s="376" t="s">
        <v>35</v>
      </c>
      <c r="F2" s="398" t="s">
        <v>39</v>
      </c>
      <c r="G2" s="376" t="s">
        <v>116</v>
      </c>
      <c r="H2" s="397" t="s">
        <v>4</v>
      </c>
      <c r="I2" s="397" t="s">
        <v>23</v>
      </c>
      <c r="J2" s="363" t="s">
        <v>17</v>
      </c>
      <c r="K2" s="363" t="s">
        <v>22</v>
      </c>
      <c r="L2" s="363" t="s">
        <v>14</v>
      </c>
      <c r="M2" s="65">
        <v>204</v>
      </c>
      <c r="N2" s="371">
        <v>206</v>
      </c>
      <c r="O2" s="372"/>
      <c r="P2" s="372"/>
      <c r="Q2" s="2">
        <v>252</v>
      </c>
      <c r="R2" s="230">
        <v>301</v>
      </c>
      <c r="S2" s="230">
        <v>304</v>
      </c>
      <c r="T2" s="2">
        <v>407</v>
      </c>
      <c r="U2" s="371">
        <v>442</v>
      </c>
      <c r="V2" s="379"/>
      <c r="W2" s="2">
        <v>452</v>
      </c>
      <c r="Z2" s="345" t="s">
        <v>110</v>
      </c>
      <c r="AA2" s="346"/>
      <c r="AB2" s="347"/>
      <c r="AC2" s="345" t="s">
        <v>109</v>
      </c>
      <c r="AD2" s="346"/>
      <c r="AE2" s="347"/>
    </row>
    <row r="3" spans="2:34" ht="12.75" customHeight="1" x14ac:dyDescent="0.2">
      <c r="B3" s="392"/>
      <c r="C3" s="393"/>
      <c r="D3" s="395"/>
      <c r="E3" s="401"/>
      <c r="F3" s="377"/>
      <c r="G3" s="377"/>
      <c r="H3" s="364"/>
      <c r="I3" s="364"/>
      <c r="J3" s="364"/>
      <c r="K3" s="364"/>
      <c r="L3" s="364"/>
      <c r="M3" s="367" t="s">
        <v>7</v>
      </c>
      <c r="N3" s="367" t="s">
        <v>18</v>
      </c>
      <c r="O3" s="366" t="s">
        <v>19</v>
      </c>
      <c r="P3" s="360" t="s">
        <v>26</v>
      </c>
      <c r="Q3" s="360" t="s">
        <v>30</v>
      </c>
      <c r="R3" s="368" t="s">
        <v>125</v>
      </c>
      <c r="S3" s="367" t="s">
        <v>9</v>
      </c>
      <c r="T3" s="368" t="s">
        <v>83</v>
      </c>
      <c r="U3" s="373" t="s">
        <v>126</v>
      </c>
      <c r="V3" s="373" t="s">
        <v>127</v>
      </c>
      <c r="W3" s="368" t="s">
        <v>43</v>
      </c>
      <c r="Z3" s="348" t="s">
        <v>113</v>
      </c>
      <c r="AA3" s="349"/>
      <c r="AB3" s="350"/>
      <c r="AC3" s="348" t="s">
        <v>112</v>
      </c>
      <c r="AD3" s="349"/>
      <c r="AE3" s="350"/>
    </row>
    <row r="4" spans="2:34" ht="12.75" customHeight="1" x14ac:dyDescent="0.2">
      <c r="B4" s="392"/>
      <c r="C4" s="393"/>
      <c r="D4" s="395"/>
      <c r="E4" s="401"/>
      <c r="F4" s="377"/>
      <c r="G4" s="377"/>
      <c r="H4" s="364"/>
      <c r="I4" s="364"/>
      <c r="J4" s="364"/>
      <c r="K4" s="364"/>
      <c r="L4" s="364"/>
      <c r="M4" s="367"/>
      <c r="N4" s="367"/>
      <c r="O4" s="361"/>
      <c r="P4" s="361"/>
      <c r="Q4" s="361"/>
      <c r="R4" s="367"/>
      <c r="S4" s="367"/>
      <c r="T4" s="367"/>
      <c r="U4" s="374"/>
      <c r="V4" s="374"/>
      <c r="W4" s="367"/>
      <c r="Z4" s="353">
        <v>3.5</v>
      </c>
      <c r="AA4" s="354"/>
      <c r="AB4" s="355"/>
      <c r="AC4" s="353">
        <v>1.25</v>
      </c>
      <c r="AD4" s="354"/>
      <c r="AE4" s="355"/>
    </row>
    <row r="5" spans="2:34" ht="12.75" customHeight="1" x14ac:dyDescent="0.2">
      <c r="B5" s="392"/>
      <c r="C5" s="393"/>
      <c r="D5" s="395"/>
      <c r="E5" s="401"/>
      <c r="F5" s="377"/>
      <c r="G5" s="377"/>
      <c r="H5" s="364"/>
      <c r="I5" s="364"/>
      <c r="J5" s="364"/>
      <c r="K5" s="364"/>
      <c r="L5" s="364"/>
      <c r="M5" s="367"/>
      <c r="N5" s="367"/>
      <c r="O5" s="361"/>
      <c r="P5" s="361"/>
      <c r="Q5" s="361"/>
      <c r="R5" s="367"/>
      <c r="S5" s="367"/>
      <c r="T5" s="367"/>
      <c r="U5" s="374"/>
      <c r="V5" s="374"/>
      <c r="W5" s="367"/>
    </row>
    <row r="6" spans="2:34" ht="12.75" customHeight="1" x14ac:dyDescent="0.2">
      <c r="B6" s="392"/>
      <c r="C6" s="393"/>
      <c r="D6" s="395"/>
      <c r="E6" s="401"/>
      <c r="F6" s="377"/>
      <c r="G6" s="377"/>
      <c r="H6" s="364"/>
      <c r="I6" s="364"/>
      <c r="J6" s="364"/>
      <c r="K6" s="364"/>
      <c r="L6" s="364"/>
      <c r="M6" s="367"/>
      <c r="N6" s="367"/>
      <c r="O6" s="361"/>
      <c r="P6" s="361"/>
      <c r="Q6" s="361"/>
      <c r="R6" s="367"/>
      <c r="S6" s="367"/>
      <c r="T6" s="367"/>
      <c r="U6" s="374"/>
      <c r="V6" s="374"/>
      <c r="W6" s="367"/>
    </row>
    <row r="7" spans="2:34" ht="12.75" customHeight="1" x14ac:dyDescent="0.2">
      <c r="B7" s="392"/>
      <c r="C7" s="393"/>
      <c r="D7" s="395"/>
      <c r="E7" s="401"/>
      <c r="F7" s="377"/>
      <c r="G7" s="377"/>
      <c r="H7" s="364"/>
      <c r="I7" s="364"/>
      <c r="J7" s="364"/>
      <c r="K7" s="364"/>
      <c r="L7" s="364"/>
      <c r="M7" s="367"/>
      <c r="N7" s="367"/>
      <c r="O7" s="361"/>
      <c r="P7" s="361"/>
      <c r="Q7" s="361"/>
      <c r="R7" s="367"/>
      <c r="S7" s="367"/>
      <c r="T7" s="367"/>
      <c r="U7" s="374"/>
      <c r="V7" s="374"/>
      <c r="W7" s="367"/>
    </row>
    <row r="8" spans="2:34" ht="12.75" customHeight="1" x14ac:dyDescent="0.2">
      <c r="B8" s="392"/>
      <c r="C8" s="393"/>
      <c r="D8" s="395"/>
      <c r="E8" s="401"/>
      <c r="F8" s="377"/>
      <c r="G8" s="377"/>
      <c r="H8" s="364"/>
      <c r="I8" s="364"/>
      <c r="J8" s="364"/>
      <c r="K8" s="364"/>
      <c r="L8" s="364"/>
      <c r="M8" s="367"/>
      <c r="N8" s="367"/>
      <c r="O8" s="361"/>
      <c r="P8" s="361"/>
      <c r="Q8" s="361"/>
      <c r="R8" s="367"/>
      <c r="S8" s="367"/>
      <c r="T8" s="367"/>
      <c r="U8" s="374"/>
      <c r="V8" s="374"/>
      <c r="W8" s="367"/>
    </row>
    <row r="9" spans="2:34" ht="12.75" customHeight="1" x14ac:dyDescent="0.2">
      <c r="B9" s="392"/>
      <c r="C9" s="393"/>
      <c r="D9" s="395"/>
      <c r="E9" s="401"/>
      <c r="F9" s="377"/>
      <c r="G9" s="377"/>
      <c r="H9" s="364"/>
      <c r="I9" s="364"/>
      <c r="J9" s="364"/>
      <c r="K9" s="364"/>
      <c r="L9" s="364"/>
      <c r="M9" s="367"/>
      <c r="N9" s="367"/>
      <c r="O9" s="361"/>
      <c r="P9" s="361"/>
      <c r="Q9" s="361"/>
      <c r="R9" s="367"/>
      <c r="S9" s="367"/>
      <c r="T9" s="367"/>
      <c r="U9" s="374"/>
      <c r="V9" s="374"/>
      <c r="W9" s="367"/>
    </row>
    <row r="10" spans="2:34" ht="12.75" customHeight="1" x14ac:dyDescent="0.2">
      <c r="B10" s="392"/>
      <c r="C10" s="393"/>
      <c r="D10" s="395"/>
      <c r="E10" s="401"/>
      <c r="F10" s="377"/>
      <c r="G10" s="377"/>
      <c r="H10" s="364"/>
      <c r="I10" s="364"/>
      <c r="J10" s="364"/>
      <c r="K10" s="364"/>
      <c r="L10" s="364"/>
      <c r="M10" s="367"/>
      <c r="N10" s="367"/>
      <c r="O10" s="361"/>
      <c r="P10" s="361"/>
      <c r="Q10" s="361"/>
      <c r="R10" s="367"/>
      <c r="S10" s="367"/>
      <c r="T10" s="367"/>
      <c r="U10" s="374"/>
      <c r="V10" s="374"/>
      <c r="W10" s="367"/>
    </row>
    <row r="11" spans="2:34" ht="12.75" customHeight="1" x14ac:dyDescent="0.2">
      <c r="B11" s="392"/>
      <c r="C11" s="393"/>
      <c r="D11" s="395"/>
      <c r="E11" s="401"/>
      <c r="F11" s="377"/>
      <c r="G11" s="377"/>
      <c r="H11" s="364"/>
      <c r="I11" s="364"/>
      <c r="J11" s="364"/>
      <c r="K11" s="364"/>
      <c r="L11" s="364"/>
      <c r="M11" s="367"/>
      <c r="N11" s="367"/>
      <c r="O11" s="361"/>
      <c r="P11" s="361"/>
      <c r="Q11" s="361"/>
      <c r="R11" s="367"/>
      <c r="S11" s="367"/>
      <c r="T11" s="367"/>
      <c r="U11" s="374"/>
      <c r="V11" s="374"/>
      <c r="W11" s="367"/>
    </row>
    <row r="12" spans="2:34" ht="12.75" customHeight="1" x14ac:dyDescent="0.2">
      <c r="B12" s="392"/>
      <c r="C12" s="393"/>
      <c r="D12" s="395"/>
      <c r="E12" s="401"/>
      <c r="F12" s="377"/>
      <c r="G12" s="377"/>
      <c r="H12" s="365"/>
      <c r="I12" s="365"/>
      <c r="J12" s="365"/>
      <c r="K12" s="365"/>
      <c r="L12" s="365"/>
      <c r="M12" s="367"/>
      <c r="N12" s="367"/>
      <c r="O12" s="362"/>
      <c r="P12" s="362"/>
      <c r="Q12" s="362"/>
      <c r="R12" s="367"/>
      <c r="S12" s="367"/>
      <c r="T12" s="367"/>
      <c r="U12" s="375"/>
      <c r="V12" s="375"/>
      <c r="W12" s="367"/>
    </row>
    <row r="13" spans="2:34" ht="12.75" customHeight="1" thickBot="1" x14ac:dyDescent="0.25">
      <c r="B13" s="24" t="s">
        <v>2</v>
      </c>
      <c r="C13" s="25" t="s">
        <v>3</v>
      </c>
      <c r="D13" s="396"/>
      <c r="E13" s="402"/>
      <c r="F13" s="5" t="s">
        <v>5</v>
      </c>
      <c r="G13" s="5" t="s">
        <v>12</v>
      </c>
      <c r="H13" s="5" t="s">
        <v>5</v>
      </c>
      <c r="I13" s="5" t="s">
        <v>5</v>
      </c>
      <c r="J13" s="5" t="s">
        <v>6</v>
      </c>
      <c r="K13" s="5" t="s">
        <v>6</v>
      </c>
      <c r="L13" s="5" t="s">
        <v>6</v>
      </c>
      <c r="M13" s="5" t="s">
        <v>11</v>
      </c>
      <c r="N13" s="5" t="s">
        <v>10</v>
      </c>
      <c r="O13" s="5" t="s">
        <v>10</v>
      </c>
      <c r="P13" s="5" t="s">
        <v>25</v>
      </c>
      <c r="Q13" s="5" t="s">
        <v>5</v>
      </c>
      <c r="R13" s="5" t="s">
        <v>12</v>
      </c>
      <c r="S13" s="5" t="s">
        <v>12</v>
      </c>
      <c r="T13" s="5" t="s">
        <v>13</v>
      </c>
      <c r="U13" s="5" t="s">
        <v>12</v>
      </c>
      <c r="V13" s="5" t="s">
        <v>12</v>
      </c>
      <c r="W13" s="9" t="s">
        <v>10</v>
      </c>
    </row>
    <row r="14" spans="2:34" ht="12.75" customHeight="1" x14ac:dyDescent="0.2">
      <c r="B14" s="357" t="s">
        <v>134</v>
      </c>
      <c r="C14" s="35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29"/>
      <c r="T14" s="29"/>
      <c r="U14" s="29"/>
      <c r="V14" s="29"/>
      <c r="W14" s="29"/>
    </row>
    <row r="15" spans="2:34" ht="12.75" customHeight="1" x14ac:dyDescent="0.2">
      <c r="B15" s="232">
        <v>5187.43</v>
      </c>
      <c r="C15" s="233">
        <v>5251.38</v>
      </c>
      <c r="D15" s="222" t="s">
        <v>38</v>
      </c>
      <c r="E15" s="222">
        <v>0</v>
      </c>
      <c r="F15" s="26">
        <f>E15*$Z$4</f>
        <v>0</v>
      </c>
      <c r="G15" s="27">
        <f>E15*$AC$4*H15/27</f>
        <v>0</v>
      </c>
      <c r="H15" s="4">
        <f t="shared" ref="H15:H24" si="0">C15-B15</f>
        <v>63.949999999999818</v>
      </c>
      <c r="I15" s="224">
        <v>27.46</v>
      </c>
      <c r="J15" s="14">
        <f t="shared" ref="J15:J27" si="1">IF(I15="","",H15*I15)</f>
        <v>1756.066999999995</v>
      </c>
      <c r="K15" s="224"/>
      <c r="L15" s="4">
        <f t="shared" ref="L15" si="2">SUM(J15:K15)</f>
        <v>1756.066999999995</v>
      </c>
      <c r="M15" s="6">
        <f t="shared" ref="M15:M27" si="3">(L15/9)/2000</f>
        <v>9.7559277777777495E-2</v>
      </c>
      <c r="N15" s="6">
        <f t="shared" ref="N15" si="4">O15</f>
        <v>195.11855555555499</v>
      </c>
      <c r="O15" s="6">
        <f>($L15+F15*$H15)/9</f>
        <v>195.11855555555499</v>
      </c>
      <c r="P15" s="6">
        <f t="shared" ref="P15" si="5">$O$1*O15*110*0.06*0.75/2000</f>
        <v>5.7950210999999836</v>
      </c>
      <c r="Q15" s="225">
        <v>99</v>
      </c>
      <c r="R15" s="34">
        <f>(L15*$R$1/12)/27</f>
        <v>32.51975925925916</v>
      </c>
      <c r="S15" s="4">
        <f t="shared" ref="S15:S26" si="6">(L15*$S$1/12)/27+G15</f>
        <v>32.51975925925916</v>
      </c>
      <c r="T15" s="6">
        <f t="shared" ref="T15:T22" si="7">($L15/9)*$T$1</f>
        <v>7.8047422222221998</v>
      </c>
      <c r="U15" s="4">
        <f t="shared" ref="U15:U22" si="8">($L15*($U$1/12))/27</f>
        <v>6.7749498456789929</v>
      </c>
      <c r="V15" s="4">
        <f t="shared" ref="V15:V22" si="9">(L15*$V$1/12)/27</f>
        <v>9.4849297839505891</v>
      </c>
      <c r="W15" s="6" t="str">
        <f t="shared" ref="W15:W25" si="10">IF(U15&lt;&gt;"","",$L15/9)</f>
        <v/>
      </c>
    </row>
    <row r="16" spans="2:34" ht="12.75" customHeight="1" x14ac:dyDescent="0.2">
      <c r="B16" s="232">
        <v>5251.38</v>
      </c>
      <c r="C16" s="233">
        <v>5328.58</v>
      </c>
      <c r="D16" s="222" t="s">
        <v>38</v>
      </c>
      <c r="E16" s="222">
        <v>1</v>
      </c>
      <c r="F16" s="26">
        <f>E16*$Z$4</f>
        <v>3.5</v>
      </c>
      <c r="G16" s="27">
        <f t="shared" ref="G16:G23" si="11">E16*$AC$4*H16/27</f>
        <v>3.5740740740740655</v>
      </c>
      <c r="H16" s="4">
        <f t="shared" si="0"/>
        <v>77.199999999999818</v>
      </c>
      <c r="I16" s="224"/>
      <c r="J16" s="14" t="str">
        <f t="shared" si="1"/>
        <v/>
      </c>
      <c r="K16" s="224">
        <v>3175.87</v>
      </c>
      <c r="L16" s="4">
        <f t="shared" ref="L16" si="12">SUM(J16:K16)</f>
        <v>3175.87</v>
      </c>
      <c r="M16" s="6">
        <f t="shared" si="3"/>
        <v>0.17643722222222219</v>
      </c>
      <c r="N16" s="6">
        <f t="shared" ref="N16" si="13">O16</f>
        <v>382.89666666666659</v>
      </c>
      <c r="O16" s="6">
        <f>($L16+F16*$H16)/9</f>
        <v>382.89666666666659</v>
      </c>
      <c r="P16" s="6">
        <f t="shared" ref="P16" si="14">$O$1*O16*110*0.06*0.75/2000</f>
        <v>11.372030999999998</v>
      </c>
      <c r="Q16" s="225">
        <v>25</v>
      </c>
      <c r="R16" s="34">
        <f t="shared" ref="R16:R22" si="15">(L16*$R$1/12)/27</f>
        <v>58.812407407407413</v>
      </c>
      <c r="S16" s="4">
        <f t="shared" si="6"/>
        <v>62.386481481481482</v>
      </c>
      <c r="T16" s="6">
        <f t="shared" si="7"/>
        <v>14.114977777777776</v>
      </c>
      <c r="U16" s="4">
        <f t="shared" si="8"/>
        <v>12.25258487654321</v>
      </c>
      <c r="V16" s="4">
        <f t="shared" si="9"/>
        <v>17.153618827160496</v>
      </c>
      <c r="W16" s="6" t="str">
        <f t="shared" si="10"/>
        <v/>
      </c>
    </row>
    <row r="17" spans="1:34" ht="12.75" customHeight="1" x14ac:dyDescent="0.2">
      <c r="B17" s="232">
        <v>5328.58</v>
      </c>
      <c r="C17" s="233">
        <v>5347.43</v>
      </c>
      <c r="D17" s="222" t="s">
        <v>38</v>
      </c>
      <c r="E17" s="222">
        <v>2</v>
      </c>
      <c r="F17" s="26">
        <f>E17*$Z$4</f>
        <v>7</v>
      </c>
      <c r="G17" s="27">
        <f t="shared" si="11"/>
        <v>1.745370370370404</v>
      </c>
      <c r="H17" s="4">
        <f t="shared" si="0"/>
        <v>18.850000000000364</v>
      </c>
      <c r="I17" s="224">
        <v>35.35</v>
      </c>
      <c r="J17" s="14">
        <f t="shared" si="1"/>
        <v>666.34750000001293</v>
      </c>
      <c r="K17" s="224"/>
      <c r="L17" s="4">
        <f t="shared" ref="L17" si="16">SUM(J17:K17)</f>
        <v>666.34750000001293</v>
      </c>
      <c r="M17" s="6">
        <f t="shared" si="3"/>
        <v>3.701930555555627E-2</v>
      </c>
      <c r="N17" s="6">
        <f t="shared" ref="N17" si="17">O17</f>
        <v>88.69972222222394</v>
      </c>
      <c r="O17" s="6">
        <f t="shared" ref="O17:O23" si="18">($L17+F17*$H17)/9</f>
        <v>88.69972222222394</v>
      </c>
      <c r="P17" s="6">
        <f t="shared" ref="P17" si="19">$O$1*O17*110*0.06*0.75/2000</f>
        <v>2.6343817500000508</v>
      </c>
      <c r="Q17" s="225"/>
      <c r="R17" s="34">
        <f t="shared" si="15"/>
        <v>12.339768518518758</v>
      </c>
      <c r="S17" s="4">
        <f t="shared" si="6"/>
        <v>14.085138888889162</v>
      </c>
      <c r="T17" s="6">
        <f t="shared" si="7"/>
        <v>2.961544444444502</v>
      </c>
      <c r="U17" s="4">
        <f t="shared" si="8"/>
        <v>2.5707851080247415</v>
      </c>
      <c r="V17" s="4">
        <f t="shared" si="9"/>
        <v>3.599099151234638</v>
      </c>
      <c r="W17" s="6" t="str">
        <f t="shared" si="10"/>
        <v/>
      </c>
    </row>
    <row r="18" spans="1:34" ht="12.75" customHeight="1" x14ac:dyDescent="0.2">
      <c r="A18" s="58"/>
      <c r="B18" s="232">
        <v>5347.43</v>
      </c>
      <c r="C18" s="233">
        <v>5418.77</v>
      </c>
      <c r="D18" s="222" t="s">
        <v>38</v>
      </c>
      <c r="E18" s="222">
        <v>2</v>
      </c>
      <c r="F18" s="26">
        <f t="shared" ref="F18:F23" si="20">E18*$Z$4</f>
        <v>7</v>
      </c>
      <c r="G18" s="27">
        <f t="shared" si="11"/>
        <v>6.6055555555555694</v>
      </c>
      <c r="H18" s="4">
        <f t="shared" si="0"/>
        <v>71.340000000000146</v>
      </c>
      <c r="I18" s="224">
        <v>36</v>
      </c>
      <c r="J18" s="14">
        <f t="shared" si="1"/>
        <v>2568.2400000000052</v>
      </c>
      <c r="K18" s="224"/>
      <c r="L18" s="4">
        <f t="shared" ref="L18:L23" si="21">SUM(J18:K18)</f>
        <v>2568.2400000000052</v>
      </c>
      <c r="M18" s="6">
        <f t="shared" si="3"/>
        <v>0.14268000000000028</v>
      </c>
      <c r="N18" s="6">
        <f t="shared" ref="N18:N23" si="22">O18</f>
        <v>340.84666666666737</v>
      </c>
      <c r="O18" s="6">
        <f t="shared" si="18"/>
        <v>340.84666666666737</v>
      </c>
      <c r="P18" s="6">
        <f t="shared" ref="P18:P23" si="23">$O$1*O18*110*0.06*0.75/2000</f>
        <v>10.123146000000022</v>
      </c>
      <c r="Q18" s="225"/>
      <c r="R18" s="34">
        <f t="shared" si="15"/>
        <v>47.560000000000095</v>
      </c>
      <c r="S18" s="4">
        <f t="shared" si="6"/>
        <v>54.165555555555663</v>
      </c>
      <c r="T18" s="6">
        <f t="shared" si="7"/>
        <v>11.414400000000024</v>
      </c>
      <c r="U18" s="4">
        <f t="shared" si="8"/>
        <v>9.9083333333333528</v>
      </c>
      <c r="V18" s="4">
        <f t="shared" si="9"/>
        <v>13.871666666666695</v>
      </c>
      <c r="W18" s="6" t="str">
        <f t="shared" si="10"/>
        <v/>
      </c>
    </row>
    <row r="19" spans="1:34" ht="12.75" customHeight="1" x14ac:dyDescent="0.2">
      <c r="A19" s="58"/>
      <c r="B19" s="232">
        <v>5418.77</v>
      </c>
      <c r="C19" s="233">
        <v>5458.6</v>
      </c>
      <c r="D19" s="222" t="s">
        <v>38</v>
      </c>
      <c r="E19" s="222">
        <v>1</v>
      </c>
      <c r="F19" s="26">
        <f t="shared" si="20"/>
        <v>3.5</v>
      </c>
      <c r="G19" s="27">
        <f t="shared" si="11"/>
        <v>1.8439814814814781</v>
      </c>
      <c r="H19" s="4">
        <f t="shared" si="0"/>
        <v>39.829999999999927</v>
      </c>
      <c r="I19" s="224">
        <v>36</v>
      </c>
      <c r="J19" s="14">
        <f t="shared" si="1"/>
        <v>1433.8799999999974</v>
      </c>
      <c r="K19" s="224"/>
      <c r="L19" s="4">
        <f t="shared" si="21"/>
        <v>1433.8799999999974</v>
      </c>
      <c r="M19" s="6">
        <f t="shared" si="3"/>
        <v>7.9659999999999856E-2</v>
      </c>
      <c r="N19" s="6">
        <f t="shared" si="22"/>
        <v>174.80944444444413</v>
      </c>
      <c r="O19" s="6">
        <f t="shared" si="18"/>
        <v>174.80944444444413</v>
      </c>
      <c r="P19" s="6">
        <f t="shared" si="23"/>
        <v>5.1918404999999899</v>
      </c>
      <c r="Q19" s="225"/>
      <c r="R19" s="12">
        <f t="shared" si="15"/>
        <v>26.553333333333285</v>
      </c>
      <c r="S19" s="4">
        <f t="shared" si="6"/>
        <v>28.397314814814763</v>
      </c>
      <c r="T19" s="4">
        <f t="shared" si="7"/>
        <v>6.3727999999999883</v>
      </c>
      <c r="U19" s="4">
        <f t="shared" si="8"/>
        <v>5.5319444444444343</v>
      </c>
      <c r="V19" s="4">
        <f t="shared" si="9"/>
        <v>7.7447222222222081</v>
      </c>
      <c r="W19" s="6" t="str">
        <f t="shared" si="10"/>
        <v/>
      </c>
    </row>
    <row r="20" spans="1:34" ht="12.75" customHeight="1" x14ac:dyDescent="0.2">
      <c r="B20" s="232">
        <v>5458.6</v>
      </c>
      <c r="C20" s="233">
        <v>5527.27</v>
      </c>
      <c r="D20" s="222" t="s">
        <v>38</v>
      </c>
      <c r="E20" s="222">
        <v>0</v>
      </c>
      <c r="F20" s="26">
        <f t="shared" si="20"/>
        <v>0</v>
      </c>
      <c r="G20" s="27">
        <f t="shared" si="11"/>
        <v>0</v>
      </c>
      <c r="H20" s="4">
        <f t="shared" si="0"/>
        <v>68.670000000000073</v>
      </c>
      <c r="I20" s="224">
        <v>36</v>
      </c>
      <c r="J20" s="14">
        <f t="shared" si="1"/>
        <v>2472.1200000000026</v>
      </c>
      <c r="K20" s="224"/>
      <c r="L20" s="4">
        <f t="shared" si="21"/>
        <v>2472.1200000000026</v>
      </c>
      <c r="M20" s="6">
        <f t="shared" si="3"/>
        <v>0.13734000000000016</v>
      </c>
      <c r="N20" s="6">
        <f t="shared" si="22"/>
        <v>274.68000000000029</v>
      </c>
      <c r="O20" s="6">
        <f t="shared" si="18"/>
        <v>274.68000000000029</v>
      </c>
      <c r="P20" s="6">
        <f t="shared" si="23"/>
        <v>8.1579960000000078</v>
      </c>
      <c r="Q20" s="225"/>
      <c r="R20" s="12">
        <f t="shared" si="15"/>
        <v>45.780000000000051</v>
      </c>
      <c r="S20" s="4">
        <f t="shared" si="6"/>
        <v>45.780000000000051</v>
      </c>
      <c r="T20" s="4">
        <f t="shared" si="7"/>
        <v>10.987200000000012</v>
      </c>
      <c r="U20" s="4">
        <f t="shared" si="8"/>
        <v>9.5375000000000103</v>
      </c>
      <c r="V20" s="4">
        <f t="shared" si="9"/>
        <v>13.352500000000013</v>
      </c>
      <c r="W20" s="6" t="str">
        <f t="shared" si="10"/>
        <v/>
      </c>
      <c r="Z20" s="359" t="s">
        <v>129</v>
      </c>
      <c r="AA20" s="359"/>
      <c r="AB20" s="359"/>
      <c r="AC20" s="359"/>
      <c r="AD20" s="359"/>
      <c r="AE20" s="359"/>
      <c r="AF20" s="359"/>
      <c r="AG20" s="359"/>
      <c r="AH20" s="359"/>
    </row>
    <row r="21" spans="1:34" ht="12.75" customHeight="1" x14ac:dyDescent="0.2">
      <c r="B21" s="232">
        <v>5527.27</v>
      </c>
      <c r="C21" s="233">
        <v>5599.21</v>
      </c>
      <c r="D21" s="222" t="s">
        <v>38</v>
      </c>
      <c r="E21" s="222">
        <v>1</v>
      </c>
      <c r="F21" s="26">
        <f t="shared" si="20"/>
        <v>3.5</v>
      </c>
      <c r="G21" s="27">
        <f t="shared" si="11"/>
        <v>3.3305555555555371</v>
      </c>
      <c r="H21" s="4">
        <f t="shared" si="0"/>
        <v>71.9399999999996</v>
      </c>
      <c r="I21" s="224">
        <v>36</v>
      </c>
      <c r="J21" s="14">
        <f t="shared" si="1"/>
        <v>2589.8399999999856</v>
      </c>
      <c r="K21" s="224"/>
      <c r="L21" s="4">
        <f t="shared" si="21"/>
        <v>2589.8399999999856</v>
      </c>
      <c r="M21" s="6">
        <f t="shared" si="3"/>
        <v>0.1438799999999992</v>
      </c>
      <c r="N21" s="6">
        <f t="shared" si="22"/>
        <v>315.73666666666492</v>
      </c>
      <c r="O21" s="6">
        <f t="shared" si="18"/>
        <v>315.73666666666492</v>
      </c>
      <c r="P21" s="6">
        <f t="shared" si="23"/>
        <v>9.3773789999999462</v>
      </c>
      <c r="Q21" s="225"/>
      <c r="R21" s="12">
        <f t="shared" si="15"/>
        <v>47.959999999999731</v>
      </c>
      <c r="S21" s="4">
        <f t="shared" si="6"/>
        <v>51.290555555555265</v>
      </c>
      <c r="T21" s="4">
        <f t="shared" si="7"/>
        <v>11.510399999999937</v>
      </c>
      <c r="U21" s="4">
        <f t="shared" si="8"/>
        <v>9.9916666666666103</v>
      </c>
      <c r="V21" s="4">
        <f t="shared" si="9"/>
        <v>13.988333333333255</v>
      </c>
      <c r="W21" s="6" t="str">
        <f t="shared" si="10"/>
        <v/>
      </c>
      <c r="Z21" s="345" t="s">
        <v>110</v>
      </c>
      <c r="AA21" s="346"/>
      <c r="AB21" s="347"/>
      <c r="AC21" s="345" t="s">
        <v>109</v>
      </c>
      <c r="AD21" s="346"/>
      <c r="AE21" s="347"/>
      <c r="AF21" s="345" t="s">
        <v>130</v>
      </c>
      <c r="AG21" s="346"/>
      <c r="AH21" s="347"/>
    </row>
    <row r="22" spans="1:34" ht="12.75" customHeight="1" x14ac:dyDescent="0.2">
      <c r="B22" s="232">
        <v>5599.21</v>
      </c>
      <c r="C22" s="233">
        <v>5825</v>
      </c>
      <c r="D22" s="222" t="s">
        <v>38</v>
      </c>
      <c r="E22" s="222">
        <v>2</v>
      </c>
      <c r="F22" s="26">
        <f t="shared" si="20"/>
        <v>7</v>
      </c>
      <c r="G22" s="27">
        <f t="shared" si="11"/>
        <v>20.906481481481478</v>
      </c>
      <c r="H22" s="4">
        <f t="shared" si="0"/>
        <v>225.78999999999996</v>
      </c>
      <c r="I22" s="224">
        <v>36</v>
      </c>
      <c r="J22" s="14">
        <f t="shared" si="1"/>
        <v>8128.4399999999987</v>
      </c>
      <c r="K22" s="224"/>
      <c r="L22" s="4">
        <f t="shared" si="21"/>
        <v>8128.4399999999987</v>
      </c>
      <c r="M22" s="6">
        <f t="shared" si="3"/>
        <v>0.45157999999999993</v>
      </c>
      <c r="N22" s="6">
        <f t="shared" si="22"/>
        <v>1078.7744444444443</v>
      </c>
      <c r="O22" s="6">
        <f t="shared" si="18"/>
        <v>1078.7744444444443</v>
      </c>
      <c r="P22" s="6">
        <f t="shared" si="23"/>
        <v>32.03960099999999</v>
      </c>
      <c r="Q22" s="225"/>
      <c r="R22" s="12">
        <f t="shared" si="15"/>
        <v>150.52666666666664</v>
      </c>
      <c r="S22" s="4">
        <f t="shared" si="6"/>
        <v>171.43314814814812</v>
      </c>
      <c r="T22" s="4">
        <f t="shared" si="7"/>
        <v>36.126399999999997</v>
      </c>
      <c r="U22" s="4">
        <f t="shared" si="8"/>
        <v>31.359722222222217</v>
      </c>
      <c r="V22" s="4">
        <f t="shared" si="9"/>
        <v>43.903611111111104</v>
      </c>
      <c r="W22" s="6" t="str">
        <f t="shared" si="10"/>
        <v/>
      </c>
      <c r="Z22" s="348" t="s">
        <v>112</v>
      </c>
      <c r="AA22" s="349"/>
      <c r="AB22" s="350"/>
      <c r="AC22" s="348" t="s">
        <v>132</v>
      </c>
      <c r="AD22" s="349"/>
      <c r="AE22" s="350"/>
      <c r="AF22" s="348" t="s">
        <v>112</v>
      </c>
      <c r="AG22" s="349"/>
      <c r="AH22" s="350"/>
    </row>
    <row r="23" spans="1:34" ht="12.75" customHeight="1" x14ac:dyDescent="0.2">
      <c r="B23" s="232">
        <v>5825</v>
      </c>
      <c r="C23" s="233">
        <v>5849.99</v>
      </c>
      <c r="D23" s="222" t="s">
        <v>38</v>
      </c>
      <c r="E23" s="222">
        <v>2</v>
      </c>
      <c r="F23" s="26">
        <f t="shared" si="20"/>
        <v>7</v>
      </c>
      <c r="G23" s="27">
        <f t="shared" si="11"/>
        <v>2.3138888888888687</v>
      </c>
      <c r="H23" s="4">
        <f t="shared" si="0"/>
        <v>24.989999999999782</v>
      </c>
      <c r="I23" s="224">
        <v>36</v>
      </c>
      <c r="J23" s="14">
        <f t="shared" si="1"/>
        <v>899.63999999999214</v>
      </c>
      <c r="K23" s="224"/>
      <c r="L23" s="4">
        <f t="shared" si="21"/>
        <v>899.63999999999214</v>
      </c>
      <c r="M23" s="6">
        <f t="shared" si="3"/>
        <v>4.9979999999999566E-2</v>
      </c>
      <c r="N23" s="6">
        <f t="shared" si="22"/>
        <v>119.39666666666562</v>
      </c>
      <c r="O23" s="6">
        <f t="shared" si="18"/>
        <v>119.39666666666562</v>
      </c>
      <c r="P23" s="6">
        <f t="shared" si="23"/>
        <v>3.5460809999999694</v>
      </c>
      <c r="Q23" s="225"/>
      <c r="R23" s="12"/>
      <c r="S23" s="4">
        <f t="shared" si="6"/>
        <v>18.973888888888723</v>
      </c>
      <c r="T23" s="4"/>
      <c r="U23" s="4"/>
      <c r="V23" s="4"/>
      <c r="W23" s="6">
        <f t="shared" si="10"/>
        <v>99.959999999999127</v>
      </c>
      <c r="Z23" s="353">
        <v>1204.53</v>
      </c>
      <c r="AA23" s="354"/>
      <c r="AB23" s="355"/>
      <c r="AC23" s="353">
        <v>460.21</v>
      </c>
      <c r="AD23" s="354"/>
      <c r="AE23" s="355"/>
      <c r="AF23" s="353">
        <v>140.16</v>
      </c>
      <c r="AG23" s="354"/>
      <c r="AH23" s="355"/>
    </row>
    <row r="24" spans="1:34" ht="12.75" customHeight="1" x14ac:dyDescent="0.2">
      <c r="B24" s="232">
        <v>5849.99</v>
      </c>
      <c r="C24" s="233">
        <v>6343.29</v>
      </c>
      <c r="D24" s="222" t="s">
        <v>38</v>
      </c>
      <c r="E24" s="222"/>
      <c r="F24" s="26"/>
      <c r="G24" s="27">
        <f>AC30</f>
        <v>1893.2499999999998</v>
      </c>
      <c r="H24" s="4">
        <f t="shared" si="0"/>
        <v>493.30000000000018</v>
      </c>
      <c r="I24" s="224"/>
      <c r="J24" s="14" t="str">
        <f t="shared" si="1"/>
        <v/>
      </c>
      <c r="K24" s="224">
        <v>27916.89</v>
      </c>
      <c r="L24" s="4">
        <f t="shared" ref="L24:L26" si="24">SUM(J24:K24)</f>
        <v>27916.89</v>
      </c>
      <c r="M24" s="6">
        <f>O24/2000</f>
        <v>1.8515161111111111</v>
      </c>
      <c r="N24" s="6">
        <f t="shared" ref="N24:N25" si="25">O24</f>
        <v>3703.0322222222221</v>
      </c>
      <c r="O24" s="6">
        <f>($L24+Z30)/9</f>
        <v>3703.0322222222221</v>
      </c>
      <c r="P24" s="6">
        <f t="shared" ref="P24:P25" si="26">$O$1*O24*110*0.06*0.75/2000</f>
        <v>109.980057</v>
      </c>
      <c r="Q24" s="225"/>
      <c r="R24" s="12"/>
      <c r="S24" s="4">
        <f t="shared" si="6"/>
        <v>2410.2294444444442</v>
      </c>
      <c r="T24" s="4"/>
      <c r="U24" s="4"/>
      <c r="V24" s="4"/>
      <c r="W24" s="6">
        <f>(L24+AF30)/9</f>
        <v>3150.7444444444445</v>
      </c>
      <c r="Z24" s="353">
        <v>619.27</v>
      </c>
      <c r="AA24" s="354"/>
      <c r="AB24" s="355"/>
      <c r="AC24" s="353">
        <v>221.61</v>
      </c>
      <c r="AD24" s="354"/>
      <c r="AE24" s="355"/>
      <c r="AF24" s="353">
        <v>217.92</v>
      </c>
      <c r="AG24" s="354"/>
      <c r="AH24" s="355"/>
    </row>
    <row r="25" spans="1:34" ht="12.75" customHeight="1" x14ac:dyDescent="0.2">
      <c r="B25" s="232">
        <v>6343.29</v>
      </c>
      <c r="C25" s="233">
        <v>6438.79</v>
      </c>
      <c r="D25" s="222" t="s">
        <v>38</v>
      </c>
      <c r="E25" s="222">
        <v>2</v>
      </c>
      <c r="F25" s="26">
        <f t="shared" ref="F25" si="27">E25*$Z$4</f>
        <v>7</v>
      </c>
      <c r="G25" s="27">
        <f t="shared" ref="G25" si="28">E25*$AC$4*H25/27</f>
        <v>8.8425925925925934</v>
      </c>
      <c r="H25" s="4">
        <f t="shared" ref="H25:H26" si="29">C25-B25</f>
        <v>95.5</v>
      </c>
      <c r="I25" s="224">
        <v>32</v>
      </c>
      <c r="J25" s="14">
        <f t="shared" si="1"/>
        <v>3056</v>
      </c>
      <c r="K25" s="224"/>
      <c r="L25" s="4">
        <f t="shared" si="24"/>
        <v>3056</v>
      </c>
      <c r="M25" s="6">
        <f t="shared" si="3"/>
        <v>0.16977777777777778</v>
      </c>
      <c r="N25" s="6">
        <f t="shared" si="25"/>
        <v>413.83333333333331</v>
      </c>
      <c r="O25" s="6">
        <f t="shared" ref="O25" si="30">($L25+F25*$H25)/9</f>
        <v>413.83333333333331</v>
      </c>
      <c r="P25" s="6">
        <f t="shared" si="26"/>
        <v>12.290849999999999</v>
      </c>
      <c r="Q25" s="225"/>
      <c r="R25" s="12"/>
      <c r="S25" s="4">
        <f t="shared" si="6"/>
        <v>65.43518518518519</v>
      </c>
      <c r="T25" s="4"/>
      <c r="U25" s="4"/>
      <c r="V25" s="4"/>
      <c r="W25" s="6">
        <f t="shared" si="10"/>
        <v>339.55555555555554</v>
      </c>
      <c r="Z25" s="353">
        <v>1052.1300000000001</v>
      </c>
      <c r="AA25" s="354"/>
      <c r="AB25" s="355"/>
      <c r="AC25" s="353">
        <v>416.38</v>
      </c>
      <c r="AD25" s="354"/>
      <c r="AE25" s="355"/>
      <c r="AF25" s="353">
        <v>81.73</v>
      </c>
      <c r="AG25" s="354"/>
      <c r="AH25" s="355"/>
    </row>
    <row r="26" spans="1:34" ht="12.75" customHeight="1" x14ac:dyDescent="0.2">
      <c r="B26" s="232">
        <v>6438.79</v>
      </c>
      <c r="C26" s="233">
        <v>6949.06</v>
      </c>
      <c r="D26" s="222" t="s">
        <v>38</v>
      </c>
      <c r="E26" s="222"/>
      <c r="F26" s="26"/>
      <c r="G26" s="27">
        <f>AC44</f>
        <v>2057.7600000000002</v>
      </c>
      <c r="H26" s="4">
        <f t="shared" si="29"/>
        <v>510.27000000000044</v>
      </c>
      <c r="I26" s="224"/>
      <c r="J26" s="14" t="str">
        <f t="shared" si="1"/>
        <v/>
      </c>
      <c r="K26" s="224">
        <v>28894.99</v>
      </c>
      <c r="L26" s="4">
        <f t="shared" si="24"/>
        <v>28894.99</v>
      </c>
      <c r="M26" s="6">
        <f>O26/2000</f>
        <v>1.9257994444444444</v>
      </c>
      <c r="N26" s="6">
        <f t="shared" ref="N26:N27" si="31">O26</f>
        <v>3851.5988888888887</v>
      </c>
      <c r="O26" s="6">
        <f>($L26+Z44)/9</f>
        <v>3851.5988888888887</v>
      </c>
      <c r="P26" s="6">
        <f t="shared" ref="P26:P27" si="32">$O$1*O26*110*0.06*0.75/2000</f>
        <v>114.39248699999996</v>
      </c>
      <c r="Q26" s="225"/>
      <c r="R26" s="12"/>
      <c r="S26" s="4">
        <f t="shared" si="6"/>
        <v>2592.8524074074076</v>
      </c>
      <c r="T26" s="4"/>
      <c r="U26" s="4"/>
      <c r="V26" s="4"/>
      <c r="W26" s="6">
        <f>(L26+AF44)/9</f>
        <v>3278.5733333333333</v>
      </c>
      <c r="Z26" s="353">
        <v>1332.22</v>
      </c>
      <c r="AA26" s="354"/>
      <c r="AB26" s="355"/>
      <c r="AC26" s="353">
        <v>490.34</v>
      </c>
      <c r="AD26" s="354"/>
      <c r="AE26" s="355"/>
    </row>
    <row r="27" spans="1:34" ht="12.75" customHeight="1" x14ac:dyDescent="0.2">
      <c r="B27" s="232">
        <v>6949.06</v>
      </c>
      <c r="C27" s="233">
        <v>7320.06</v>
      </c>
      <c r="D27" s="222" t="s">
        <v>38</v>
      </c>
      <c r="E27" s="222">
        <v>2</v>
      </c>
      <c r="F27" s="26">
        <f t="shared" ref="F27" si="33">E27*$Z$4</f>
        <v>7</v>
      </c>
      <c r="G27" s="27">
        <f t="shared" ref="G27" si="34">E27*$AC$4*H27/27</f>
        <v>41.666666666666664</v>
      </c>
      <c r="H27" s="259">
        <v>450</v>
      </c>
      <c r="I27" s="224"/>
      <c r="J27" s="14" t="str">
        <f t="shared" si="1"/>
        <v/>
      </c>
      <c r="K27" s="224">
        <v>21548.65</v>
      </c>
      <c r="L27" s="4">
        <f t="shared" ref="L27" si="35">SUM(J27:K27)</f>
        <v>21548.65</v>
      </c>
      <c r="M27" s="6">
        <f t="shared" si="3"/>
        <v>1.1971472222222224</v>
      </c>
      <c r="N27" s="6">
        <f t="shared" si="31"/>
        <v>2744.2944444444447</v>
      </c>
      <c r="O27" s="6">
        <f t="shared" ref="O27" si="36">($L27+F27*$H27)/9</f>
        <v>2744.2944444444447</v>
      </c>
      <c r="P27" s="6">
        <f t="shared" si="32"/>
        <v>81.505545000000012</v>
      </c>
      <c r="Q27" s="225"/>
      <c r="R27" s="12">
        <f t="shared" ref="R27" si="37">(L27*$R$1/12)/27</f>
        <v>399.0490740740741</v>
      </c>
      <c r="S27" s="4">
        <f t="shared" ref="S27" si="38">(L27*$S$1/12)/27+G27</f>
        <v>440.71574074074078</v>
      </c>
      <c r="T27" s="4">
        <f t="shared" ref="T27" si="39">($L27/9)*$T$1</f>
        <v>95.771777777777785</v>
      </c>
      <c r="U27" s="4">
        <f t="shared" ref="U27" si="40">($L27*($U$1/12))/27</f>
        <v>83.135223765432116</v>
      </c>
      <c r="V27" s="4">
        <f t="shared" ref="V27" si="41">(L27*$V$1/12)/27</f>
        <v>116.38931327160496</v>
      </c>
      <c r="W27" s="6" t="str">
        <f t="shared" ref="W27" si="42">IF(U27&lt;&gt;"","",$L27/9)</f>
        <v/>
      </c>
      <c r="Z27" s="353">
        <v>441.51</v>
      </c>
      <c r="AA27" s="354"/>
      <c r="AB27" s="355"/>
      <c r="AC27" s="353">
        <v>111.95</v>
      </c>
      <c r="AD27" s="354"/>
      <c r="AE27" s="355"/>
    </row>
    <row r="28" spans="1:34" ht="12.75" customHeight="1" x14ac:dyDescent="0.2">
      <c r="B28" s="351">
        <v>7320.06</v>
      </c>
      <c r="C28" s="403"/>
      <c r="D28" s="222"/>
      <c r="E28" s="222"/>
      <c r="F28" s="26"/>
      <c r="G28" s="27"/>
      <c r="H28" s="262"/>
      <c r="I28" s="260"/>
      <c r="J28" s="261"/>
      <c r="K28" s="260"/>
      <c r="L28" s="4"/>
      <c r="M28" s="6"/>
      <c r="N28" s="99"/>
      <c r="O28" s="6"/>
      <c r="P28" s="6"/>
      <c r="Q28" s="225">
        <v>190</v>
      </c>
      <c r="R28" s="12"/>
      <c r="S28" s="4"/>
      <c r="T28" s="4"/>
      <c r="U28" s="4"/>
      <c r="V28" s="4"/>
      <c r="W28" s="6"/>
      <c r="Z28" s="239"/>
      <c r="AA28" s="240"/>
      <c r="AB28" s="241"/>
      <c r="AC28" s="239"/>
      <c r="AD28" s="240"/>
      <c r="AE28" s="241"/>
    </row>
    <row r="29" spans="1:34" ht="12.75" customHeight="1" thickBot="1" x14ac:dyDescent="0.25">
      <c r="B29" s="84"/>
      <c r="C29" s="3"/>
      <c r="D29" s="32"/>
      <c r="E29" s="32"/>
      <c r="F29" s="32"/>
      <c r="G29" s="32"/>
      <c r="H29" s="26"/>
      <c r="I29" s="27"/>
      <c r="J29" s="27"/>
      <c r="K29" s="27"/>
      <c r="L29" s="4"/>
      <c r="M29" s="4"/>
      <c r="N29" s="14"/>
      <c r="O29" s="4"/>
      <c r="P29" s="4"/>
      <c r="Q29" s="6"/>
      <c r="R29" s="6"/>
      <c r="S29" s="6"/>
      <c r="T29" s="6"/>
      <c r="U29" s="7"/>
      <c r="V29" s="34"/>
      <c r="W29" s="4"/>
      <c r="Z29" s="353">
        <v>760.74</v>
      </c>
      <c r="AA29" s="354"/>
      <c r="AB29" s="355"/>
      <c r="AC29" s="353">
        <v>192.76</v>
      </c>
      <c r="AD29" s="354"/>
      <c r="AE29" s="355"/>
    </row>
    <row r="30" spans="1:34" ht="12.75" customHeight="1" x14ac:dyDescent="0.2">
      <c r="B30" s="357" t="s">
        <v>75</v>
      </c>
      <c r="C30" s="358"/>
      <c r="D30" s="28"/>
      <c r="E30" s="28"/>
      <c r="F30" s="28"/>
      <c r="G30" s="28"/>
      <c r="H30" s="28"/>
      <c r="I30" s="28"/>
      <c r="J30" s="28"/>
      <c r="K30" s="28"/>
      <c r="L30" s="29"/>
      <c r="M30" s="29"/>
      <c r="N30" s="29"/>
      <c r="O30" s="29"/>
      <c r="P30" s="29"/>
      <c r="Q30" s="29"/>
      <c r="R30" s="29"/>
      <c r="S30" s="29"/>
      <c r="T30" s="30"/>
      <c r="U30" s="30"/>
      <c r="V30" s="29"/>
      <c r="W30" s="29"/>
      <c r="Y30" s="58" t="s">
        <v>131</v>
      </c>
      <c r="Z30" s="404">
        <f>SUM(Z23:AB29)</f>
        <v>5410.4000000000005</v>
      </c>
      <c r="AA30" s="404"/>
      <c r="AB30" s="404"/>
      <c r="AC30" s="404">
        <f>SUM(AC23:AE29)</f>
        <v>1893.2499999999998</v>
      </c>
      <c r="AD30" s="404"/>
      <c r="AE30" s="404"/>
      <c r="AF30" s="404">
        <f>SUM(AF23:AH29)</f>
        <v>439.81</v>
      </c>
      <c r="AG30" s="404"/>
      <c r="AH30" s="404"/>
    </row>
    <row r="31" spans="1:34" ht="12.75" customHeight="1" x14ac:dyDescent="0.2">
      <c r="B31" s="351">
        <v>865</v>
      </c>
      <c r="C31" s="403"/>
      <c r="D31" s="222" t="s">
        <v>38</v>
      </c>
      <c r="E31" s="222"/>
      <c r="F31" s="26"/>
      <c r="G31" s="27"/>
      <c r="H31" s="4"/>
      <c r="I31" s="224"/>
      <c r="J31" s="14"/>
      <c r="K31" s="224"/>
      <c r="L31" s="4"/>
      <c r="M31" s="6"/>
      <c r="N31" s="6"/>
      <c r="O31" s="6"/>
      <c r="P31" s="6"/>
      <c r="Q31" s="225">
        <v>21</v>
      </c>
      <c r="R31" s="12"/>
      <c r="S31" s="4"/>
      <c r="T31" s="4"/>
      <c r="U31" s="4"/>
      <c r="V31" s="4"/>
      <c r="W31" s="6"/>
      <c r="Y31" s="58"/>
      <c r="Z31" s="263"/>
      <c r="AA31" s="263"/>
      <c r="AB31" s="263"/>
      <c r="AC31" s="263"/>
      <c r="AD31" s="263"/>
      <c r="AE31" s="263"/>
      <c r="AF31" s="263"/>
      <c r="AG31" s="263"/>
      <c r="AH31" s="263"/>
    </row>
    <row r="32" spans="1:34" ht="12.75" customHeight="1" x14ac:dyDescent="0.2">
      <c r="B32" s="232">
        <v>865</v>
      </c>
      <c r="C32" s="233">
        <v>900</v>
      </c>
      <c r="D32" s="222" t="s">
        <v>38</v>
      </c>
      <c r="E32" s="222">
        <v>2</v>
      </c>
      <c r="F32" s="26">
        <f t="shared" ref="F32" si="43">E32*$Z$4</f>
        <v>7</v>
      </c>
      <c r="G32" s="27">
        <f t="shared" ref="G32" si="44">E32*$AC$4*H32/27</f>
        <v>3.2407407407407409</v>
      </c>
      <c r="H32" s="4">
        <f t="shared" ref="H32" si="45">C32-B32</f>
        <v>35</v>
      </c>
      <c r="I32" s="224">
        <v>21.48</v>
      </c>
      <c r="J32" s="14">
        <f t="shared" ref="J32:J34" si="46">IF(I32="","",H32*I32)</f>
        <v>751.80000000000007</v>
      </c>
      <c r="K32" s="224"/>
      <c r="L32" s="4">
        <f t="shared" ref="L32" si="47">SUM(J32:K32)</f>
        <v>751.80000000000007</v>
      </c>
      <c r="M32" s="6">
        <f t="shared" ref="M32:M34" si="48">(L32/9)/2000</f>
        <v>4.1766666666666674E-2</v>
      </c>
      <c r="N32" s="6">
        <f t="shared" ref="N32" si="49">O32</f>
        <v>110.75555555555556</v>
      </c>
      <c r="O32" s="6">
        <f t="shared" ref="O32" si="50">($L32+F32*$H32)/9</f>
        <v>110.75555555555556</v>
      </c>
      <c r="P32" s="6">
        <f t="shared" ref="P32" si="51">$O$1*O32*110*0.06*0.75/2000</f>
        <v>3.2894399999999995</v>
      </c>
      <c r="Q32" s="225"/>
      <c r="R32" s="12">
        <f t="shared" ref="R32" si="52">(L32*$R$1/12)/27</f>
        <v>13.922222222222224</v>
      </c>
      <c r="S32" s="4">
        <f t="shared" ref="S32" si="53">(L32*$S$1/12)/27+G32</f>
        <v>17.162962962962965</v>
      </c>
      <c r="T32" s="4">
        <f t="shared" ref="T32:T34" si="54">($L32/9)*$T$1</f>
        <v>3.3413333333333339</v>
      </c>
      <c r="U32" s="4">
        <f t="shared" ref="U32:U34" si="55">($L32*($U$1/12))/27</f>
        <v>2.9004629629629637</v>
      </c>
      <c r="V32" s="4">
        <f t="shared" ref="V32" si="56">(L32*$V$1/12)/27</f>
        <v>4.0606481481481485</v>
      </c>
      <c r="W32" s="6" t="str">
        <f t="shared" ref="W32" si="57">IF(U32&lt;&gt;"","",$L32/9)</f>
        <v/>
      </c>
    </row>
    <row r="33" spans="2:34" ht="12.75" customHeight="1" x14ac:dyDescent="0.2">
      <c r="B33" s="232">
        <v>900</v>
      </c>
      <c r="C33" s="233">
        <v>915.61</v>
      </c>
      <c r="D33" s="222" t="s">
        <v>38</v>
      </c>
      <c r="E33" s="222">
        <v>2</v>
      </c>
      <c r="F33" s="26">
        <f t="shared" ref="F33" si="58">E33*$Z$4</f>
        <v>7</v>
      </c>
      <c r="G33" s="27">
        <f t="shared" ref="G33" si="59">E33*$AC$4*H33/27</f>
        <v>1.4453703703703715</v>
      </c>
      <c r="H33" s="4">
        <f t="shared" ref="H33" si="60">C33-B33</f>
        <v>15.610000000000014</v>
      </c>
      <c r="I33" s="224">
        <v>22</v>
      </c>
      <c r="J33" s="14">
        <f t="shared" si="46"/>
        <v>343.4200000000003</v>
      </c>
      <c r="K33" s="224"/>
      <c r="L33" s="4">
        <f t="shared" ref="L33" si="61">SUM(J33:K33)</f>
        <v>343.4200000000003</v>
      </c>
      <c r="M33" s="6">
        <f t="shared" si="48"/>
        <v>1.9078888888888906E-2</v>
      </c>
      <c r="N33" s="6">
        <f t="shared" ref="N33" si="62">O33</f>
        <v>50.298888888888932</v>
      </c>
      <c r="O33" s="6">
        <f t="shared" ref="O33" si="63">($L33+F33*$H33)/9</f>
        <v>50.298888888888932</v>
      </c>
      <c r="P33" s="6">
        <f t="shared" ref="P33" si="64">$O$1*O33*110*0.06*0.75/2000</f>
        <v>1.493877000000001</v>
      </c>
      <c r="Q33" s="225"/>
      <c r="R33" s="12">
        <f t="shared" ref="R33" si="65">(L33*$R$1/12)/27</f>
        <v>6.3596296296296355</v>
      </c>
      <c r="S33" s="4">
        <f t="shared" ref="S33" si="66">(L33*$S$1/12)/27+G33</f>
        <v>7.8050000000000068</v>
      </c>
      <c r="T33" s="4">
        <f t="shared" si="54"/>
        <v>1.5263111111111125</v>
      </c>
      <c r="U33" s="4">
        <f t="shared" si="55"/>
        <v>1.3249228395061741</v>
      </c>
      <c r="V33" s="4">
        <f t="shared" ref="V33" si="67">(L33*$V$1/12)/27</f>
        <v>1.8548919753086437</v>
      </c>
      <c r="W33" s="6" t="str">
        <f t="shared" ref="W33" si="68">IF(U33&lt;&gt;"","",$L33/9)</f>
        <v/>
      </c>
    </row>
    <row r="34" spans="2:34" ht="12.75" customHeight="1" x14ac:dyDescent="0.2">
      <c r="B34" s="232">
        <v>915.61</v>
      </c>
      <c r="C34" s="233">
        <v>976.85</v>
      </c>
      <c r="D34" s="222" t="s">
        <v>38</v>
      </c>
      <c r="E34" s="222">
        <v>2</v>
      </c>
      <c r="F34" s="26">
        <f t="shared" ref="F34" si="69">E34*$Z$4</f>
        <v>7</v>
      </c>
      <c r="G34" s="27">
        <f t="shared" ref="G34" si="70">E34*$AC$4*H34/27</f>
        <v>5.6703703703703709</v>
      </c>
      <c r="H34" s="4">
        <f t="shared" ref="H34" si="71">C34-B34</f>
        <v>61.240000000000009</v>
      </c>
      <c r="I34" s="224"/>
      <c r="J34" s="14" t="str">
        <f t="shared" si="46"/>
        <v/>
      </c>
      <c r="K34" s="224">
        <v>2069.39</v>
      </c>
      <c r="L34" s="4">
        <f t="shared" ref="L34" si="72">SUM(J34:K34)</f>
        <v>2069.39</v>
      </c>
      <c r="M34" s="6">
        <f t="shared" si="48"/>
        <v>0.1149661111111111</v>
      </c>
      <c r="N34" s="6">
        <f t="shared" ref="N34" si="73">O34</f>
        <v>277.56333333333328</v>
      </c>
      <c r="O34" s="6">
        <f t="shared" ref="O34" si="74">($L34+F34*$H34)/9</f>
        <v>277.56333333333328</v>
      </c>
      <c r="P34" s="6">
        <f t="shared" ref="P34" si="75">$O$1*O34*110*0.06*0.75/2000</f>
        <v>8.243630999999997</v>
      </c>
      <c r="Q34" s="225"/>
      <c r="R34" s="12">
        <f t="shared" ref="R34" si="76">(L34*$R$1/12)/27</f>
        <v>38.322037037037035</v>
      </c>
      <c r="S34" s="4">
        <f t="shared" ref="S34" si="77">(L34*$S$1/12)/27+G34</f>
        <v>43.992407407407406</v>
      </c>
      <c r="T34" s="4">
        <f t="shared" si="54"/>
        <v>9.1972888888888882</v>
      </c>
      <c r="U34" s="4">
        <f t="shared" si="55"/>
        <v>7.9837577160493822</v>
      </c>
      <c r="V34" s="4">
        <f t="shared" ref="V34" si="78">(L34*$V$1/12)/27</f>
        <v>11.177260802469137</v>
      </c>
      <c r="W34" s="6" t="str">
        <f t="shared" ref="W34" si="79">IF(U34&lt;&gt;"","",$L34/9)</f>
        <v/>
      </c>
    </row>
    <row r="35" spans="2:34" ht="12.75" customHeight="1" thickBot="1" x14ac:dyDescent="0.25">
      <c r="B35" s="84"/>
      <c r="C35" s="3"/>
      <c r="D35" s="32"/>
      <c r="E35" s="32"/>
      <c r="F35" s="32"/>
      <c r="G35" s="32"/>
      <c r="H35" s="26"/>
      <c r="I35" s="27"/>
      <c r="J35" s="27"/>
      <c r="K35" s="27"/>
      <c r="L35" s="4"/>
      <c r="M35" s="4"/>
      <c r="N35" s="14"/>
      <c r="O35" s="4"/>
      <c r="P35" s="4"/>
      <c r="Q35" s="6"/>
      <c r="R35" s="6"/>
      <c r="S35" s="6"/>
      <c r="T35" s="6"/>
      <c r="U35" s="7"/>
      <c r="V35" s="34"/>
      <c r="W35" s="4"/>
      <c r="Z35" s="359" t="s">
        <v>133</v>
      </c>
      <c r="AA35" s="359"/>
      <c r="AB35" s="359"/>
      <c r="AC35" s="359"/>
      <c r="AD35" s="359"/>
      <c r="AE35" s="359"/>
      <c r="AF35" s="359"/>
      <c r="AG35" s="359"/>
      <c r="AH35" s="359"/>
    </row>
    <row r="36" spans="2:34" ht="12.75" customHeight="1" x14ac:dyDescent="0.2">
      <c r="B36" s="357" t="s">
        <v>135</v>
      </c>
      <c r="C36" s="358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"/>
      <c r="P36" s="29"/>
      <c r="Q36" s="29"/>
      <c r="R36" s="29"/>
      <c r="S36" s="29"/>
      <c r="T36" s="30"/>
      <c r="U36" s="30"/>
      <c r="V36" s="29"/>
      <c r="W36" s="29"/>
      <c r="Z36" s="345" t="s">
        <v>110</v>
      </c>
      <c r="AA36" s="346"/>
      <c r="AB36" s="347"/>
      <c r="AC36" s="345" t="s">
        <v>109</v>
      </c>
      <c r="AD36" s="346"/>
      <c r="AE36" s="347"/>
      <c r="AF36" s="345" t="s">
        <v>130</v>
      </c>
      <c r="AG36" s="346"/>
      <c r="AH36" s="347"/>
    </row>
    <row r="37" spans="2:34" ht="12.75" customHeight="1" x14ac:dyDescent="0.2">
      <c r="B37" s="232">
        <v>1019.06</v>
      </c>
      <c r="C37" s="233">
        <v>1207.26</v>
      </c>
      <c r="D37" s="222" t="s">
        <v>38</v>
      </c>
      <c r="E37" s="222">
        <v>2</v>
      </c>
      <c r="F37" s="26">
        <f t="shared" ref="F37" si="80">E37*$Z$4</f>
        <v>7</v>
      </c>
      <c r="G37" s="27">
        <f t="shared" ref="G37" si="81">E37*$AC$4*H37/27</f>
        <v>17.425925925925931</v>
      </c>
      <c r="H37" s="4">
        <f t="shared" ref="H37" si="82">C37-B37</f>
        <v>188.20000000000005</v>
      </c>
      <c r="I37" s="224"/>
      <c r="J37" s="14" t="str">
        <f t="shared" ref="J37" si="83">IF(I37="","",H37*I37)</f>
        <v/>
      </c>
      <c r="K37" s="224">
        <v>5951.57</v>
      </c>
      <c r="L37" s="4">
        <f t="shared" ref="L37" si="84">SUM(J37:K37)</f>
        <v>5951.57</v>
      </c>
      <c r="M37" s="6">
        <f t="shared" ref="M37" si="85">(L37/9)/2000</f>
        <v>0.33064277777777779</v>
      </c>
      <c r="N37" s="6">
        <f t="shared" ref="N37" si="86">O37</f>
        <v>807.66333333333341</v>
      </c>
      <c r="O37" s="6">
        <f t="shared" ref="O37" si="87">($L37+F37*$H37)/9</f>
        <v>807.66333333333341</v>
      </c>
      <c r="P37" s="6">
        <f t="shared" ref="P37" si="88">$O$1*O37*110*0.06*0.75/2000</f>
        <v>23.987601000000002</v>
      </c>
      <c r="Q37" s="225"/>
      <c r="R37" s="12">
        <f t="shared" ref="R37" si="89">(L37*$R$1/12)/27</f>
        <v>110.21425925925925</v>
      </c>
      <c r="S37" s="4">
        <f t="shared" ref="S37" si="90">(L37*$S$1/12)/27+G37</f>
        <v>127.64018518518517</v>
      </c>
      <c r="T37" s="4">
        <f t="shared" ref="T37" si="91">($L37/9)*$T$1</f>
        <v>26.451422222222224</v>
      </c>
      <c r="U37" s="4">
        <f t="shared" ref="U37" si="92">($L37*($U$1/12))/27</f>
        <v>22.961304012345678</v>
      </c>
      <c r="V37" s="4">
        <f t="shared" ref="V37" si="93">(L37*$V$1/12)/27</f>
        <v>32.145825617283947</v>
      </c>
      <c r="W37" s="6" t="str">
        <f t="shared" ref="W37" si="94">IF(U37&lt;&gt;"","",$L37/9)</f>
        <v/>
      </c>
      <c r="Z37" s="348" t="s">
        <v>112</v>
      </c>
      <c r="AA37" s="349"/>
      <c r="AB37" s="350"/>
      <c r="AC37" s="348" t="s">
        <v>132</v>
      </c>
      <c r="AD37" s="349"/>
      <c r="AE37" s="350"/>
      <c r="AF37" s="348" t="s">
        <v>112</v>
      </c>
      <c r="AG37" s="349"/>
      <c r="AH37" s="350"/>
    </row>
    <row r="38" spans="2:34" ht="12.75" customHeight="1" x14ac:dyDescent="0.2">
      <c r="B38" s="351">
        <v>1200</v>
      </c>
      <c r="C38" s="403"/>
      <c r="D38" s="222" t="s">
        <v>38</v>
      </c>
      <c r="E38" s="222"/>
      <c r="F38" s="26"/>
      <c r="G38" s="27"/>
      <c r="H38" s="4"/>
      <c r="I38" s="224"/>
      <c r="J38" s="14"/>
      <c r="K38" s="224"/>
      <c r="L38" s="4"/>
      <c r="M38" s="6"/>
      <c r="N38" s="6"/>
      <c r="O38" s="6"/>
      <c r="P38" s="6"/>
      <c r="Q38" s="225">
        <v>20</v>
      </c>
      <c r="R38" s="12"/>
      <c r="S38" s="4"/>
      <c r="T38" s="4"/>
      <c r="U38" s="4"/>
      <c r="V38" s="4"/>
      <c r="W38" s="6"/>
      <c r="Z38" s="353">
        <v>977.45</v>
      </c>
      <c r="AA38" s="354"/>
      <c r="AB38" s="355"/>
      <c r="AC38" s="353">
        <v>384.64</v>
      </c>
      <c r="AD38" s="354"/>
      <c r="AE38" s="355"/>
      <c r="AF38" s="353">
        <v>181.52</v>
      </c>
      <c r="AG38" s="354"/>
      <c r="AH38" s="355"/>
    </row>
    <row r="39" spans="2:34" ht="12.75" customHeight="1" thickBot="1" x14ac:dyDescent="0.25">
      <c r="B39" s="84"/>
      <c r="C39" s="3"/>
      <c r="D39" s="32"/>
      <c r="F39" s="26"/>
      <c r="G39" s="27"/>
      <c r="H39" s="4"/>
      <c r="I39" s="4"/>
      <c r="J39" s="14"/>
      <c r="K39" s="4"/>
      <c r="L39" s="4"/>
      <c r="M39" s="6"/>
      <c r="N39" s="6"/>
      <c r="O39" s="6"/>
      <c r="P39" s="6"/>
      <c r="Q39" s="7"/>
      <c r="R39" s="7"/>
      <c r="S39" s="4"/>
      <c r="T39" s="4"/>
      <c r="U39" s="4"/>
      <c r="V39" s="4"/>
      <c r="W39" s="6"/>
      <c r="Z39" s="353">
        <v>1383.56</v>
      </c>
      <c r="AA39" s="354"/>
      <c r="AB39" s="355"/>
      <c r="AC39" s="353">
        <v>546.20000000000005</v>
      </c>
      <c r="AD39" s="354"/>
      <c r="AE39" s="355"/>
      <c r="AF39" s="353">
        <v>279.24</v>
      </c>
      <c r="AG39" s="354"/>
      <c r="AH39" s="355"/>
    </row>
    <row r="40" spans="2:34" ht="12.75" customHeight="1" x14ac:dyDescent="0.2">
      <c r="B40" s="380" t="s">
        <v>58</v>
      </c>
      <c r="C40" s="381"/>
      <c r="D40" s="384" t="s">
        <v>28</v>
      </c>
      <c r="E40" s="385"/>
      <c r="F40" s="385"/>
      <c r="G40" s="385"/>
      <c r="H40" s="385"/>
      <c r="I40" s="385"/>
      <c r="J40" s="385"/>
      <c r="K40" s="385"/>
      <c r="L40" s="386"/>
      <c r="M40" s="369">
        <f t="shared" ref="M40:W40" si="95">ROUND(SUM(M15:M38),0)</f>
        <v>7</v>
      </c>
      <c r="N40" s="369">
        <f t="shared" si="95"/>
        <v>14930</v>
      </c>
      <c r="O40" s="369">
        <f t="shared" si="95"/>
        <v>14930</v>
      </c>
      <c r="P40" s="369">
        <f t="shared" si="95"/>
        <v>443</v>
      </c>
      <c r="Q40" s="369">
        <f t="shared" si="95"/>
        <v>355</v>
      </c>
      <c r="R40" s="369">
        <f t="shared" si="95"/>
        <v>990</v>
      </c>
      <c r="S40" s="369">
        <f t="shared" si="95"/>
        <v>6185</v>
      </c>
      <c r="T40" s="369">
        <f t="shared" si="95"/>
        <v>238</v>
      </c>
      <c r="U40" s="369">
        <f t="shared" si="95"/>
        <v>206</v>
      </c>
      <c r="V40" s="369">
        <f t="shared" si="95"/>
        <v>289</v>
      </c>
      <c r="W40" s="369">
        <f t="shared" si="95"/>
        <v>6869</v>
      </c>
      <c r="Z40" s="353">
        <v>1568.05</v>
      </c>
      <c r="AA40" s="354"/>
      <c r="AB40" s="355"/>
      <c r="AC40" s="353">
        <v>589.27</v>
      </c>
      <c r="AD40" s="354"/>
      <c r="AE40" s="355"/>
      <c r="AF40" s="353">
        <v>151.41</v>
      </c>
      <c r="AG40" s="354"/>
      <c r="AH40" s="355"/>
    </row>
    <row r="41" spans="2:34" ht="12.75" customHeight="1" thickBot="1" x14ac:dyDescent="0.25">
      <c r="B41" s="382"/>
      <c r="C41" s="383"/>
      <c r="D41" s="387"/>
      <c r="E41" s="388"/>
      <c r="F41" s="388"/>
      <c r="G41" s="388"/>
      <c r="H41" s="388"/>
      <c r="I41" s="388"/>
      <c r="J41" s="388"/>
      <c r="K41" s="388"/>
      <c r="L41" s="389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Z41" s="353">
        <v>679.07</v>
      </c>
      <c r="AA41" s="354"/>
      <c r="AB41" s="355"/>
      <c r="AC41" s="353">
        <v>244.19</v>
      </c>
      <c r="AD41" s="354"/>
      <c r="AE41" s="355"/>
    </row>
    <row r="42" spans="2:34" ht="12.75" customHeight="1" x14ac:dyDescent="0.2">
      <c r="Z42" s="353">
        <v>766.19</v>
      </c>
      <c r="AA42" s="354"/>
      <c r="AB42" s="355"/>
      <c r="AC42" s="353">
        <v>193.12</v>
      </c>
      <c r="AD42" s="354"/>
      <c r="AE42" s="355"/>
    </row>
    <row r="43" spans="2:34" ht="12.75" customHeight="1" x14ac:dyDescent="0.2">
      <c r="Z43" s="353">
        <v>395.08</v>
      </c>
      <c r="AA43" s="354"/>
      <c r="AB43" s="355"/>
      <c r="AC43" s="353">
        <v>100.34</v>
      </c>
      <c r="AD43" s="354"/>
      <c r="AE43" s="355"/>
    </row>
    <row r="44" spans="2:34" ht="12.75" customHeight="1" x14ac:dyDescent="0.2">
      <c r="C44" s="22"/>
      <c r="Y44" s="58" t="s">
        <v>131</v>
      </c>
      <c r="Z44" s="404">
        <f>SUM(Z38:AB43)</f>
        <v>5769.4</v>
      </c>
      <c r="AA44" s="404"/>
      <c r="AB44" s="404"/>
      <c r="AC44" s="404">
        <f>SUM(AC38:AE43)</f>
        <v>2057.7600000000002</v>
      </c>
      <c r="AD44" s="404"/>
      <c r="AE44" s="404"/>
      <c r="AF44" s="404">
        <f>SUM(AF38:AH43)</f>
        <v>612.16999999999996</v>
      </c>
      <c r="AG44" s="404"/>
      <c r="AH44" s="404"/>
    </row>
    <row r="45" spans="2:34" ht="12.75" customHeight="1" x14ac:dyDescent="0.2">
      <c r="C45" s="22"/>
    </row>
    <row r="46" spans="2:34" ht="12.75" customHeight="1" x14ac:dyDescent="0.2">
      <c r="C46" s="22"/>
    </row>
    <row r="47" spans="2:34" ht="12.75" customHeight="1" x14ac:dyDescent="0.2">
      <c r="C47" s="22"/>
    </row>
    <row r="48" spans="2:34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/>
    <row r="53" spans="3:3" ht="12.75" customHeight="1" x14ac:dyDescent="0.2"/>
    <row r="54" spans="3:3" ht="12.75" customHeight="1" x14ac:dyDescent="0.2"/>
    <row r="55" spans="3:3" ht="12.75" customHeight="1" x14ac:dyDescent="0.2"/>
    <row r="56" spans="3:3" ht="12.75" customHeight="1" x14ac:dyDescent="0.2"/>
    <row r="57" spans="3:3" ht="12.75" customHeight="1" x14ac:dyDescent="0.2"/>
    <row r="58" spans="3:3" ht="12.75" customHeight="1" x14ac:dyDescent="0.2"/>
    <row r="59" spans="3:3" ht="12.75" customHeight="1" x14ac:dyDescent="0.2"/>
    <row r="60" spans="3:3" ht="12.75" customHeight="1" x14ac:dyDescent="0.2"/>
    <row r="61" spans="3:3" ht="12.75" customHeight="1" x14ac:dyDescent="0.2"/>
    <row r="62" spans="3:3" ht="12.75" customHeight="1" x14ac:dyDescent="0.2"/>
    <row r="63" spans="3:3" ht="12.75" customHeight="1" x14ac:dyDescent="0.2"/>
    <row r="64" spans="3:3" ht="12.75" customHeight="1" x14ac:dyDescent="0.2"/>
    <row r="65" spans="1:1" ht="12.75" customHeight="1" x14ac:dyDescent="0.2"/>
    <row r="66" spans="1:1" ht="12.75" customHeight="1" x14ac:dyDescent="0.2"/>
    <row r="67" spans="1:1" ht="12.75" customHeight="1" x14ac:dyDescent="0.2"/>
    <row r="68" spans="1:1" ht="12.75" customHeight="1" x14ac:dyDescent="0.2"/>
    <row r="69" spans="1:1" ht="12.75" customHeight="1" x14ac:dyDescent="0.2"/>
    <row r="70" spans="1:1" ht="12.75" customHeight="1" x14ac:dyDescent="0.2"/>
    <row r="71" spans="1:1" ht="12.75" customHeight="1" x14ac:dyDescent="0.2"/>
    <row r="72" spans="1:1" ht="12.75" customHeight="1" x14ac:dyDescent="0.2"/>
    <row r="73" spans="1:1" ht="12.75" customHeight="1" x14ac:dyDescent="0.2"/>
    <row r="74" spans="1:1" ht="12.75" customHeight="1" x14ac:dyDescent="0.2"/>
    <row r="75" spans="1:1" ht="12.75" customHeight="1" x14ac:dyDescent="0.2"/>
    <row r="76" spans="1:1" ht="12.75" customHeight="1" x14ac:dyDescent="0.2">
      <c r="A76" s="58"/>
    </row>
    <row r="77" spans="1:1" ht="12.75" customHeight="1" x14ac:dyDescent="0.2">
      <c r="A77" s="58"/>
    </row>
    <row r="78" spans="1:1" ht="12.75" customHeight="1" x14ac:dyDescent="0.2"/>
    <row r="79" spans="1:1" ht="12.75" customHeight="1" x14ac:dyDescent="0.2"/>
    <row r="80" spans="1:1" ht="12.75" customHeight="1" x14ac:dyDescent="0.2"/>
    <row r="81" spans="1:1" ht="12.75" customHeight="1" x14ac:dyDescent="0.2"/>
    <row r="82" spans="1:1" ht="12.75" customHeight="1" x14ac:dyDescent="0.2"/>
    <row r="83" spans="1:1" ht="12.75" customHeight="1" x14ac:dyDescent="0.2"/>
    <row r="84" spans="1:1" ht="12.75" customHeight="1" x14ac:dyDescent="0.2"/>
    <row r="85" spans="1:1" ht="12.75" customHeight="1" x14ac:dyDescent="0.2"/>
    <row r="86" spans="1:1" ht="12.75" customHeight="1" x14ac:dyDescent="0.2">
      <c r="A86" s="58"/>
    </row>
    <row r="87" spans="1:1" ht="12.75" customHeight="1" x14ac:dyDescent="0.2">
      <c r="A87" s="58"/>
    </row>
    <row r="88" spans="1:1" ht="12.75" customHeight="1" x14ac:dyDescent="0.2"/>
    <row r="89" spans="1:1" ht="12.75" customHeight="1" x14ac:dyDescent="0.2"/>
    <row r="90" spans="1:1" ht="12.75" customHeight="1" x14ac:dyDescent="0.2"/>
    <row r="91" spans="1:1" ht="12.75" customHeight="1" x14ac:dyDescent="0.2">
      <c r="A91" s="58"/>
    </row>
    <row r="92" spans="1:1" ht="12.75" customHeight="1" x14ac:dyDescent="0.2">
      <c r="A92" s="58"/>
    </row>
    <row r="93" spans="1:1" ht="12.75" customHeight="1" x14ac:dyDescent="0.2"/>
    <row r="94" spans="1:1" ht="12.75" customHeight="1" x14ac:dyDescent="0.2"/>
    <row r="95" spans="1:1" ht="12.75" customHeight="1" x14ac:dyDescent="0.2"/>
    <row r="96" spans="1:1" ht="12.75" customHeight="1" x14ac:dyDescent="0.2"/>
    <row r="97" spans="1:31" ht="12.75" customHeight="1" x14ac:dyDescent="0.2"/>
    <row r="98" spans="1:31" ht="12.75" customHeight="1" x14ac:dyDescent="0.2"/>
    <row r="99" spans="1:31" ht="12.75" customHeight="1" x14ac:dyDescent="0.2"/>
    <row r="100" spans="1:31" ht="12.75" customHeight="1" x14ac:dyDescent="0.2"/>
    <row r="101" spans="1:31" ht="12.75" customHeight="1" x14ac:dyDescent="0.2"/>
    <row r="102" spans="1:31" ht="12.75" customHeight="1" x14ac:dyDescent="0.2"/>
    <row r="103" spans="1:31" ht="12.75" customHeight="1" x14ac:dyDescent="0.2"/>
    <row r="104" spans="1:31" ht="12.75" customHeight="1" x14ac:dyDescent="0.2">
      <c r="AC104" s="20"/>
      <c r="AD104" s="20"/>
      <c r="AE104" s="20"/>
    </row>
    <row r="105" spans="1:31" ht="12.75" customHeight="1" x14ac:dyDescent="0.2">
      <c r="AC105" s="20"/>
      <c r="AD105" s="20"/>
      <c r="AE105" s="20"/>
    </row>
    <row r="106" spans="1:31" ht="12.75" customHeight="1" x14ac:dyDescent="0.2"/>
    <row r="107" spans="1:31" ht="12.75" customHeight="1" x14ac:dyDescent="0.2"/>
    <row r="108" spans="1:31" ht="12.75" customHeight="1" x14ac:dyDescent="0.2"/>
    <row r="109" spans="1:31" ht="12.75" customHeight="1" x14ac:dyDescent="0.2">
      <c r="A109" s="58"/>
    </row>
    <row r="110" spans="1:31" ht="12.75" customHeight="1" x14ac:dyDescent="0.2">
      <c r="A110" s="58"/>
    </row>
    <row r="111" spans="1:31" ht="12.75" customHeight="1" x14ac:dyDescent="0.2"/>
    <row r="112" spans="1:31" ht="12.75" customHeight="1" x14ac:dyDescent="0.2"/>
    <row r="113" spans="26:37" ht="12.75" customHeight="1" x14ac:dyDescent="0.2"/>
    <row r="114" spans="26:37" ht="12.75" customHeight="1" x14ac:dyDescent="0.2"/>
    <row r="115" spans="26:37" ht="12.75" customHeight="1" x14ac:dyDescent="0.2"/>
    <row r="116" spans="26:37" ht="12.75" customHeight="1" x14ac:dyDescent="0.2"/>
    <row r="117" spans="26:37" ht="12.75" customHeight="1" x14ac:dyDescent="0.2"/>
    <row r="118" spans="26:37" ht="12.75" customHeight="1" x14ac:dyDescent="0.2"/>
    <row r="119" spans="26:37" ht="12.75" customHeight="1" x14ac:dyDescent="0.2"/>
    <row r="120" spans="26:37" ht="12.75" customHeight="1" x14ac:dyDescent="0.2">
      <c r="Z120" s="20"/>
      <c r="AA120" s="20"/>
      <c r="AB120" s="20"/>
      <c r="AF120" s="20"/>
      <c r="AG120" s="20"/>
      <c r="AH120" s="20"/>
      <c r="AI120" s="20"/>
      <c r="AJ120" s="20"/>
      <c r="AK120" s="20"/>
    </row>
    <row r="121" spans="26:37" ht="12.75" customHeight="1" x14ac:dyDescent="0.2">
      <c r="Z121" s="20"/>
      <c r="AA121" s="20"/>
      <c r="AB121" s="20"/>
      <c r="AF121" s="20"/>
      <c r="AG121" s="20"/>
      <c r="AH121" s="20"/>
      <c r="AI121" s="20"/>
      <c r="AJ121" s="20"/>
      <c r="AK121" s="20"/>
    </row>
    <row r="122" spans="26:37" ht="12.75" customHeight="1" x14ac:dyDescent="0.2"/>
    <row r="123" spans="26:37" ht="12.75" customHeight="1" x14ac:dyDescent="0.2"/>
    <row r="124" spans="26:37" ht="12.75" customHeight="1" x14ac:dyDescent="0.2"/>
    <row r="125" spans="26:37" ht="12.75" customHeight="1" x14ac:dyDescent="0.2"/>
    <row r="126" spans="26:37" ht="12.75" customHeight="1" x14ac:dyDescent="0.2"/>
    <row r="127" spans="26:37" ht="12.75" customHeight="1" x14ac:dyDescent="0.2"/>
    <row r="128" spans="26:37" ht="12.75" customHeight="1" x14ac:dyDescent="0.2"/>
    <row r="129" spans="2:37" ht="12.75" customHeight="1" x14ac:dyDescent="0.2"/>
    <row r="130" spans="2:37" s="20" customFormat="1" ht="12.75" customHeight="1" x14ac:dyDescent="0.2">
      <c r="B130" s="21"/>
      <c r="C130" s="21"/>
      <c r="D130" s="1"/>
      <c r="E130" s="1"/>
      <c r="F130" s="1"/>
      <c r="G130" s="1"/>
      <c r="H130" s="8"/>
      <c r="I130" s="8"/>
      <c r="J130" s="8"/>
      <c r="K130" s="8"/>
      <c r="L130" s="8"/>
      <c r="M130" s="8"/>
      <c r="N130" s="11"/>
      <c r="O130" s="11"/>
      <c r="P130" s="11"/>
      <c r="Q130" s="13"/>
      <c r="R130" s="13"/>
      <c r="S130" s="8"/>
      <c r="T130" s="8"/>
      <c r="U130" s="8"/>
      <c r="V130" s="8"/>
      <c r="W130" s="8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2:37" s="20" customFormat="1" ht="12.75" customHeight="1" x14ac:dyDescent="0.2">
      <c r="B131" s="21"/>
      <c r="C131" s="21"/>
      <c r="D131" s="1"/>
      <c r="E131" s="1"/>
      <c r="F131" s="1"/>
      <c r="G131" s="1"/>
      <c r="H131" s="8"/>
      <c r="I131" s="8"/>
      <c r="J131" s="8"/>
      <c r="K131" s="8"/>
      <c r="L131" s="8"/>
      <c r="M131" s="8"/>
      <c r="N131" s="11"/>
      <c r="O131" s="11"/>
      <c r="P131" s="11"/>
      <c r="Q131" s="13"/>
      <c r="R131" s="13"/>
      <c r="S131" s="8"/>
      <c r="T131" s="8"/>
      <c r="U131" s="8"/>
      <c r="V131" s="8"/>
      <c r="W131" s="8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</sheetData>
  <mergeCells count="99">
    <mergeCell ref="T3:T12"/>
    <mergeCell ref="Z1:AE1"/>
    <mergeCell ref="S40:S41"/>
    <mergeCell ref="W40:W41"/>
    <mergeCell ref="Q40:Q41"/>
    <mergeCell ref="Z2:AB2"/>
    <mergeCell ref="AC2:AE2"/>
    <mergeCell ref="U2:V2"/>
    <mergeCell ref="Z21:AB21"/>
    <mergeCell ref="Z22:AB22"/>
    <mergeCell ref="Z23:AB23"/>
    <mergeCell ref="AC21:AE21"/>
    <mergeCell ref="AC22:AE22"/>
    <mergeCell ref="AC23:AE23"/>
    <mergeCell ref="AC25:AE25"/>
    <mergeCell ref="AC26:AE26"/>
    <mergeCell ref="B14:C14"/>
    <mergeCell ref="Z3:AB3"/>
    <mergeCell ref="AC3:AE3"/>
    <mergeCell ref="Z4:AB4"/>
    <mergeCell ref="AC4:AE4"/>
    <mergeCell ref="V3:V12"/>
    <mergeCell ref="Q3:Q12"/>
    <mergeCell ref="M3:M12"/>
    <mergeCell ref="N3:N12"/>
    <mergeCell ref="O3:O12"/>
    <mergeCell ref="P3:P12"/>
    <mergeCell ref="R3:R12"/>
    <mergeCell ref="S3:S12"/>
    <mergeCell ref="W3:W12"/>
    <mergeCell ref="U3:U12"/>
    <mergeCell ref="H2:H12"/>
    <mergeCell ref="I2:I12"/>
    <mergeCell ref="J2:J12"/>
    <mergeCell ref="K2:K12"/>
    <mergeCell ref="L2:L12"/>
    <mergeCell ref="N2:P2"/>
    <mergeCell ref="B2:C12"/>
    <mergeCell ref="D2:D13"/>
    <mergeCell ref="E2:E13"/>
    <mergeCell ref="F2:F12"/>
    <mergeCell ref="G2:G12"/>
    <mergeCell ref="AF21:AH21"/>
    <mergeCell ref="AF22:AH22"/>
    <mergeCell ref="AF23:AH23"/>
    <mergeCell ref="Z20:AH20"/>
    <mergeCell ref="AC24:AE24"/>
    <mergeCell ref="AC27:AE27"/>
    <mergeCell ref="AC29:AE29"/>
    <mergeCell ref="AF30:AH30"/>
    <mergeCell ref="AF24:AH24"/>
    <mergeCell ref="AF25:AH25"/>
    <mergeCell ref="AC30:AE30"/>
    <mergeCell ref="Z30:AB30"/>
    <mergeCell ref="Z24:AB24"/>
    <mergeCell ref="Z25:AB25"/>
    <mergeCell ref="Z26:AB26"/>
    <mergeCell ref="Z27:AB27"/>
    <mergeCell ref="Z29:AB29"/>
    <mergeCell ref="Z35:AH35"/>
    <mergeCell ref="Z36:AB36"/>
    <mergeCell ref="AC36:AE36"/>
    <mergeCell ref="AF36:AH36"/>
    <mergeCell ref="Z37:AB37"/>
    <mergeCell ref="AC37:AE37"/>
    <mergeCell ref="AF37:AH37"/>
    <mergeCell ref="Z38:AB38"/>
    <mergeCell ref="AC38:AE38"/>
    <mergeCell ref="AF38:AH38"/>
    <mergeCell ref="Z39:AB39"/>
    <mergeCell ref="AC39:AE39"/>
    <mergeCell ref="AF39:AH39"/>
    <mergeCell ref="AF44:AH44"/>
    <mergeCell ref="B30:C30"/>
    <mergeCell ref="B28:C28"/>
    <mergeCell ref="B31:C31"/>
    <mergeCell ref="B36:C36"/>
    <mergeCell ref="Z42:AB42"/>
    <mergeCell ref="AC42:AE42"/>
    <mergeCell ref="Z43:AB43"/>
    <mergeCell ref="AC43:AE43"/>
    <mergeCell ref="Z44:AB44"/>
    <mergeCell ref="AC44:AE44"/>
    <mergeCell ref="Z40:AB40"/>
    <mergeCell ref="AC40:AE40"/>
    <mergeCell ref="AF40:AH40"/>
    <mergeCell ref="Z41:AB41"/>
    <mergeCell ref="AC41:AE41"/>
    <mergeCell ref="B38:C38"/>
    <mergeCell ref="R40:R41"/>
    <mergeCell ref="T40:T41"/>
    <mergeCell ref="U40:U41"/>
    <mergeCell ref="V40:V41"/>
    <mergeCell ref="M40:M41"/>
    <mergeCell ref="N40:N41"/>
    <mergeCell ref="O40:O41"/>
    <mergeCell ref="P40:P41"/>
    <mergeCell ref="B40:C41"/>
    <mergeCell ref="D40:L41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zoomScaleNormal="100" zoomScaleSheetLayoutView="100" workbookViewId="0">
      <pane ySplit="13" topLeftCell="A44" activePane="bottomLeft" state="frozen"/>
      <selection pane="bottomLeft" activeCell="X2" sqref="X2:Z4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hidden="1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9" t="s">
        <v>111</v>
      </c>
      <c r="Y1" s="359"/>
      <c r="Z1" s="359"/>
      <c r="AA1" s="359"/>
      <c r="AB1" s="359"/>
      <c r="AC1" s="359"/>
      <c r="AD1" s="359"/>
      <c r="AE1" s="359"/>
      <c r="AF1" s="359"/>
    </row>
    <row r="2" spans="2:35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76" t="s">
        <v>116</v>
      </c>
      <c r="J2" s="397" t="s">
        <v>4</v>
      </c>
      <c r="K2" s="397" t="s">
        <v>23</v>
      </c>
      <c r="L2" s="363" t="s">
        <v>17</v>
      </c>
      <c r="M2" s="363" t="s">
        <v>22</v>
      </c>
      <c r="N2" s="363" t="s">
        <v>14</v>
      </c>
      <c r="O2" s="65">
        <v>204</v>
      </c>
      <c r="P2" s="371">
        <v>206</v>
      </c>
      <c r="Q2" s="372"/>
      <c r="R2" s="372"/>
      <c r="S2" s="2">
        <v>252</v>
      </c>
      <c r="T2" s="230">
        <v>304</v>
      </c>
      <c r="U2" s="2">
        <v>452</v>
      </c>
      <c r="X2" s="345" t="s">
        <v>110</v>
      </c>
      <c r="Y2" s="346"/>
      <c r="Z2" s="347"/>
      <c r="AA2" s="345" t="s">
        <v>108</v>
      </c>
      <c r="AB2" s="346"/>
      <c r="AC2" s="347"/>
      <c r="AD2" s="345" t="s">
        <v>109</v>
      </c>
      <c r="AE2" s="346"/>
      <c r="AF2" s="347"/>
    </row>
    <row r="3" spans="2:35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64"/>
      <c r="K3" s="364"/>
      <c r="L3" s="364"/>
      <c r="M3" s="364"/>
      <c r="N3" s="364"/>
      <c r="O3" s="367" t="s">
        <v>7</v>
      </c>
      <c r="P3" s="367" t="s">
        <v>18</v>
      </c>
      <c r="Q3" s="366" t="s">
        <v>19</v>
      </c>
      <c r="R3" s="360" t="s">
        <v>26</v>
      </c>
      <c r="S3" s="360" t="s">
        <v>30</v>
      </c>
      <c r="T3" s="367" t="s">
        <v>9</v>
      </c>
      <c r="U3" s="373" t="s">
        <v>37</v>
      </c>
      <c r="X3" s="348" t="s">
        <v>113</v>
      </c>
      <c r="Y3" s="349"/>
      <c r="Z3" s="350"/>
      <c r="AA3" s="348" t="s">
        <v>112</v>
      </c>
      <c r="AB3" s="349"/>
      <c r="AC3" s="350"/>
      <c r="AD3" s="348" t="s">
        <v>112</v>
      </c>
      <c r="AE3" s="349"/>
      <c r="AF3" s="350"/>
    </row>
    <row r="4" spans="2:35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64"/>
      <c r="K4" s="364"/>
      <c r="L4" s="364"/>
      <c r="M4" s="364"/>
      <c r="N4" s="364"/>
      <c r="O4" s="367"/>
      <c r="P4" s="367"/>
      <c r="Q4" s="361"/>
      <c r="R4" s="361"/>
      <c r="S4" s="361"/>
      <c r="T4" s="367"/>
      <c r="U4" s="374"/>
      <c r="X4" s="353">
        <v>1.5</v>
      </c>
      <c r="Y4" s="354"/>
      <c r="Z4" s="355"/>
      <c r="AA4" s="353">
        <v>0.56999999999999995</v>
      </c>
      <c r="AB4" s="354"/>
      <c r="AC4" s="355"/>
      <c r="AD4" s="353">
        <v>0.67</v>
      </c>
      <c r="AE4" s="354"/>
      <c r="AF4" s="355"/>
    </row>
    <row r="5" spans="2:35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64"/>
      <c r="K5" s="364"/>
      <c r="L5" s="364"/>
      <c r="M5" s="364"/>
      <c r="N5" s="364"/>
      <c r="O5" s="367"/>
      <c r="P5" s="367"/>
      <c r="Q5" s="361"/>
      <c r="R5" s="361"/>
      <c r="S5" s="361"/>
      <c r="T5" s="367"/>
      <c r="U5" s="374"/>
    </row>
    <row r="6" spans="2:35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64"/>
      <c r="K6" s="364"/>
      <c r="L6" s="364"/>
      <c r="M6" s="364"/>
      <c r="N6" s="364"/>
      <c r="O6" s="367"/>
      <c r="P6" s="367"/>
      <c r="Q6" s="361"/>
      <c r="R6" s="361"/>
      <c r="S6" s="361"/>
      <c r="T6" s="367"/>
      <c r="U6" s="374"/>
    </row>
    <row r="7" spans="2:35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64"/>
      <c r="K7" s="364"/>
      <c r="L7" s="364"/>
      <c r="M7" s="364"/>
      <c r="N7" s="364"/>
      <c r="O7" s="367"/>
      <c r="P7" s="367"/>
      <c r="Q7" s="361"/>
      <c r="R7" s="361"/>
      <c r="S7" s="361"/>
      <c r="T7" s="367"/>
      <c r="U7" s="374"/>
      <c r="AA7" s="359" t="s">
        <v>114</v>
      </c>
      <c r="AB7" s="359"/>
      <c r="AC7" s="359"/>
      <c r="AD7" s="359"/>
      <c r="AE7" s="359"/>
      <c r="AF7" s="359"/>
    </row>
    <row r="8" spans="2:35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64"/>
      <c r="K8" s="364"/>
      <c r="L8" s="364"/>
      <c r="M8" s="364"/>
      <c r="N8" s="364"/>
      <c r="O8" s="367"/>
      <c r="P8" s="367"/>
      <c r="Q8" s="361"/>
      <c r="R8" s="361"/>
      <c r="S8" s="361"/>
      <c r="T8" s="367"/>
      <c r="U8" s="374"/>
      <c r="AA8" s="345" t="s">
        <v>110</v>
      </c>
      <c r="AB8" s="346"/>
      <c r="AC8" s="347"/>
      <c r="AD8" s="345" t="s">
        <v>109</v>
      </c>
      <c r="AE8" s="346"/>
      <c r="AF8" s="347"/>
    </row>
    <row r="9" spans="2:35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64"/>
      <c r="K9" s="364"/>
      <c r="L9" s="364"/>
      <c r="M9" s="364"/>
      <c r="N9" s="364"/>
      <c r="O9" s="367"/>
      <c r="P9" s="367"/>
      <c r="Q9" s="361"/>
      <c r="R9" s="361"/>
      <c r="S9" s="361"/>
      <c r="T9" s="367"/>
      <c r="U9" s="374"/>
      <c r="AA9" s="348" t="s">
        <v>113</v>
      </c>
      <c r="AB9" s="349"/>
      <c r="AC9" s="350"/>
      <c r="AD9" s="348" t="s">
        <v>112</v>
      </c>
      <c r="AE9" s="349"/>
      <c r="AF9" s="350"/>
    </row>
    <row r="10" spans="2:35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64"/>
      <c r="K10" s="364"/>
      <c r="L10" s="364"/>
      <c r="M10" s="364"/>
      <c r="N10" s="364"/>
      <c r="O10" s="367"/>
      <c r="P10" s="367"/>
      <c r="Q10" s="361"/>
      <c r="R10" s="361"/>
      <c r="S10" s="361"/>
      <c r="T10" s="367"/>
      <c r="U10" s="374"/>
      <c r="AA10" s="353">
        <v>2</v>
      </c>
      <c r="AB10" s="354"/>
      <c r="AC10" s="355"/>
      <c r="AD10" s="353">
        <v>0.5</v>
      </c>
      <c r="AE10" s="354"/>
      <c r="AF10" s="355"/>
    </row>
    <row r="11" spans="2:35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64"/>
      <c r="K11" s="364"/>
      <c r="L11" s="364"/>
      <c r="M11" s="364"/>
      <c r="N11" s="364"/>
      <c r="O11" s="367"/>
      <c r="P11" s="367"/>
      <c r="Q11" s="361"/>
      <c r="R11" s="361"/>
      <c r="S11" s="361"/>
      <c r="T11" s="367"/>
      <c r="U11" s="374"/>
    </row>
    <row r="12" spans="2:35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65"/>
      <c r="K12" s="365"/>
      <c r="L12" s="365"/>
      <c r="M12" s="365"/>
      <c r="N12" s="365"/>
      <c r="O12" s="367"/>
      <c r="P12" s="367"/>
      <c r="Q12" s="362"/>
      <c r="R12" s="362"/>
      <c r="S12" s="362"/>
      <c r="T12" s="367"/>
      <c r="U12" s="375"/>
    </row>
    <row r="13" spans="2:35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9" t="s">
        <v>118</v>
      </c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</row>
    <row r="14" spans="2:35" ht="12.75" customHeight="1" x14ac:dyDescent="0.2">
      <c r="B14" s="357" t="s">
        <v>138</v>
      </c>
      <c r="C14" s="35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5" t="s">
        <v>110</v>
      </c>
      <c r="Y14" s="346"/>
      <c r="Z14" s="347"/>
      <c r="AA14" s="345" t="s">
        <v>108</v>
      </c>
      <c r="AB14" s="346"/>
      <c r="AC14" s="347"/>
      <c r="AD14" s="345" t="s">
        <v>109</v>
      </c>
      <c r="AE14" s="346"/>
      <c r="AF14" s="347"/>
      <c r="AG14" s="345" t="s">
        <v>119</v>
      </c>
      <c r="AH14" s="346"/>
      <c r="AI14" s="347"/>
    </row>
    <row r="15" spans="2:35" ht="12.75" customHeight="1" x14ac:dyDescent="0.2">
      <c r="B15" s="232">
        <v>75050</v>
      </c>
      <c r="C15" s="233">
        <v>75100</v>
      </c>
      <c r="D15" s="222" t="s">
        <v>38</v>
      </c>
      <c r="E15" s="222">
        <v>1</v>
      </c>
      <c r="F15" s="223">
        <v>0</v>
      </c>
      <c r="G15" s="223">
        <v>0</v>
      </c>
      <c r="H15" s="26">
        <f t="shared" ref="H15:H22" si="0">IF(E15=2,$X$4*2,IF(F15=2,$AA$10*2,IF(G15=2,$X$16*2,IF(AND(E15=1,F15=1),$X$4+$AA$10,IF(AND(E15=1,F15=0,G15=0),$X$4,IF(AND(E15=1,G15=1),$X$4+$X$16,IF(AND(E15=0,F15=1,G15=0),$AA$10,IF(AND(F15=1,G15=1),$AA$10+$X$16,IF(AND(E15=0,F15=0,G15=1),$X$16,0)))))))))</f>
        <v>1.5</v>
      </c>
      <c r="I15" s="27">
        <f t="shared" ref="I15:I22" si="1">IF(E15=2,$AA$26*2*J15/27,IF(F15=2,$AA$32*2*J15/27,IF(G15=2,$AA$38*2*J15/27,IF(AND(E15=1,F15=1),($AA$26*J15+$AA$32*J15)/27,IF(AND(E15=1,F15=0,G15=0),$AA$26*J15/27,IF(AND(E15=1,G15=1),($AA$26*J15+$AA$38*J15)/27,IF(AND(E15=0,F15=1,G15=0),$AA$32*J15/27,IF(AND(F15=1,G15=1),($AA$32*J15+$AA$38*J15)/27,IF(AND(E15=0,F15=0,G15=1),$AA$38*J15/27,0)))))))))</f>
        <v>0.92592592592592593</v>
      </c>
      <c r="J15" s="4">
        <f t="shared" ref="J15:J22" si="2">C15-B15</f>
        <v>50</v>
      </c>
      <c r="K15" s="224">
        <v>32</v>
      </c>
      <c r="L15" s="14">
        <f t="shared" ref="L15:L22" si="3">IF(K15="","",J15*K15)</f>
        <v>1600</v>
      </c>
      <c r="M15" s="224"/>
      <c r="N15" s="4">
        <f t="shared" ref="N15" si="4">SUM(L15:M15)</f>
        <v>1600</v>
      </c>
      <c r="O15" s="6">
        <f t="shared" ref="O15" si="5">(Q15)/2000</f>
        <v>9.3055555555555558E-2</v>
      </c>
      <c r="P15" s="6">
        <f t="shared" ref="P15" si="6">Q15</f>
        <v>186.11111111111111</v>
      </c>
      <c r="Q15" s="6">
        <f t="shared" ref="Q15:Q22" si="7">($N15+H15*$J15)/9</f>
        <v>186.11111111111111</v>
      </c>
      <c r="R15" s="6">
        <f t="shared" ref="R15" si="8">$Q$1*Q15*110*0.06*0.75/2000</f>
        <v>5.5274999999999999</v>
      </c>
      <c r="S15" s="225"/>
      <c r="T15" s="4">
        <f t="shared" ref="T15:T22" si="9">(N15*$T$1/12)/27+I15</f>
        <v>30.555555555555557</v>
      </c>
      <c r="U15" s="95">
        <f t="shared" ref="U15:U22" si="10">N15/9</f>
        <v>177.77777777777777</v>
      </c>
      <c r="X15" s="348" t="s">
        <v>113</v>
      </c>
      <c r="Y15" s="349"/>
      <c r="Z15" s="350"/>
      <c r="AA15" s="348" t="s">
        <v>112</v>
      </c>
      <c r="AB15" s="349"/>
      <c r="AC15" s="350"/>
      <c r="AD15" s="348" t="s">
        <v>112</v>
      </c>
      <c r="AE15" s="349"/>
      <c r="AF15" s="350"/>
      <c r="AG15" s="348" t="s">
        <v>112</v>
      </c>
      <c r="AH15" s="349"/>
      <c r="AI15" s="350"/>
    </row>
    <row r="16" spans="2:35" ht="12.75" customHeight="1" x14ac:dyDescent="0.2">
      <c r="B16" s="232">
        <v>75100</v>
      </c>
      <c r="C16" s="233">
        <v>75150</v>
      </c>
      <c r="D16" s="222" t="s">
        <v>38</v>
      </c>
      <c r="E16" s="222">
        <v>1</v>
      </c>
      <c r="F16" s="223">
        <v>0</v>
      </c>
      <c r="G16" s="223">
        <v>0</v>
      </c>
      <c r="H16" s="26">
        <f t="shared" si="0"/>
        <v>1.5</v>
      </c>
      <c r="I16" s="27">
        <f t="shared" si="1"/>
        <v>0.92592592592592593</v>
      </c>
      <c r="J16" s="4">
        <f t="shared" si="2"/>
        <v>50</v>
      </c>
      <c r="K16" s="224">
        <v>31</v>
      </c>
      <c r="L16" s="14">
        <f t="shared" si="3"/>
        <v>1550</v>
      </c>
      <c r="M16" s="224"/>
      <c r="N16" s="4">
        <f t="shared" ref="N16" si="11">SUM(L16:M16)</f>
        <v>1550</v>
      </c>
      <c r="O16" s="6">
        <f t="shared" ref="O16" si="12">(Q16)/2000</f>
        <v>9.0277777777777776E-2</v>
      </c>
      <c r="P16" s="6">
        <f t="shared" ref="P16" si="13">Q16</f>
        <v>180.55555555555554</v>
      </c>
      <c r="Q16" s="6">
        <f t="shared" si="7"/>
        <v>180.55555555555554</v>
      </c>
      <c r="R16" s="6">
        <f t="shared" ref="R16" si="14">$Q$1*Q16*110*0.06*0.75/2000</f>
        <v>5.3624999999999989</v>
      </c>
      <c r="S16" s="225"/>
      <c r="T16" s="4">
        <f t="shared" si="9"/>
        <v>29.62962962962963</v>
      </c>
      <c r="U16" s="95">
        <f t="shared" si="10"/>
        <v>172.22222222222223</v>
      </c>
      <c r="X16" s="353">
        <v>2</v>
      </c>
      <c r="Y16" s="354"/>
      <c r="Z16" s="355"/>
      <c r="AA16" s="353">
        <v>1.05</v>
      </c>
      <c r="AB16" s="354"/>
      <c r="AC16" s="355"/>
      <c r="AD16" s="353">
        <v>0.92</v>
      </c>
      <c r="AE16" s="354"/>
      <c r="AF16" s="355"/>
      <c r="AG16" s="353">
        <v>7.0000000000000007E-2</v>
      </c>
      <c r="AH16" s="354"/>
      <c r="AI16" s="355"/>
    </row>
    <row r="17" spans="1:33" ht="12.75" customHeight="1" x14ac:dyDescent="0.2">
      <c r="B17" s="232">
        <v>75150</v>
      </c>
      <c r="C17" s="233">
        <v>75658.649999999994</v>
      </c>
      <c r="D17" s="222" t="s">
        <v>38</v>
      </c>
      <c r="E17" s="222">
        <v>1</v>
      </c>
      <c r="F17" s="223">
        <v>0</v>
      </c>
      <c r="G17" s="223">
        <v>0</v>
      </c>
      <c r="H17" s="26">
        <f t="shared" si="0"/>
        <v>1.5</v>
      </c>
      <c r="I17" s="27">
        <f t="shared" si="1"/>
        <v>9.4194444444443359</v>
      </c>
      <c r="J17" s="4">
        <f t="shared" si="2"/>
        <v>508.64999999999418</v>
      </c>
      <c r="K17" s="224">
        <v>28.54</v>
      </c>
      <c r="L17" s="14">
        <f t="shared" si="3"/>
        <v>14516.870999999834</v>
      </c>
      <c r="M17" s="224"/>
      <c r="N17" s="4">
        <f t="shared" ref="N17" si="15">SUM(L17:M17)</f>
        <v>14516.870999999834</v>
      </c>
      <c r="O17" s="6">
        <f t="shared" ref="O17" si="16">(Q17)/2000</f>
        <v>0.84888033333332358</v>
      </c>
      <c r="P17" s="6">
        <f t="shared" ref="P17" si="17">Q17</f>
        <v>1697.7606666666472</v>
      </c>
      <c r="Q17" s="6">
        <f t="shared" si="7"/>
        <v>1697.7606666666472</v>
      </c>
      <c r="R17" s="6">
        <f t="shared" ref="R17" si="18">$Q$1*Q17*110*0.06*0.75/2000</f>
        <v>50.423491799999418</v>
      </c>
      <c r="S17" s="225"/>
      <c r="T17" s="4">
        <f t="shared" si="9"/>
        <v>278.25038888888565</v>
      </c>
      <c r="U17" s="95">
        <f t="shared" si="10"/>
        <v>1612.9856666666483</v>
      </c>
    </row>
    <row r="18" spans="1:33" ht="12.75" customHeight="1" x14ac:dyDescent="0.2">
      <c r="A18" s="58"/>
      <c r="B18" s="232">
        <v>75658.649999999994</v>
      </c>
      <c r="C18" s="233">
        <v>75682.59</v>
      </c>
      <c r="D18" s="222" t="s">
        <v>38</v>
      </c>
      <c r="E18" s="222">
        <v>1</v>
      </c>
      <c r="F18" s="223">
        <v>1</v>
      </c>
      <c r="G18" s="223">
        <v>0</v>
      </c>
      <c r="H18" s="26">
        <f t="shared" si="0"/>
        <v>3.5</v>
      </c>
      <c r="I18" s="27">
        <f t="shared" si="1"/>
        <v>0.88666666666675287</v>
      </c>
      <c r="J18" s="4">
        <f t="shared" si="2"/>
        <v>23.940000000002328</v>
      </c>
      <c r="K18" s="224">
        <v>26.87</v>
      </c>
      <c r="L18" s="14">
        <f t="shared" si="3"/>
        <v>643.26780000006261</v>
      </c>
      <c r="M18" s="224"/>
      <c r="N18" s="4">
        <f t="shared" ref="N18:N21" si="19">SUM(L18:M18)</f>
        <v>643.26780000006261</v>
      </c>
      <c r="O18" s="6">
        <f t="shared" ref="O18:O21" si="20">(Q18)/2000</f>
        <v>4.0392100000003928E-2</v>
      </c>
      <c r="P18" s="6">
        <f t="shared" ref="P18:P21" si="21">Q18</f>
        <v>80.784200000007857</v>
      </c>
      <c r="Q18" s="6">
        <f t="shared" si="7"/>
        <v>80.784200000007857</v>
      </c>
      <c r="R18" s="6">
        <f t="shared" ref="R18:R21" si="22">$Q$1*Q18*110*0.06*0.75/2000</f>
        <v>2.3992907400002332</v>
      </c>
      <c r="S18" s="225"/>
      <c r="T18" s="4">
        <f t="shared" si="9"/>
        <v>12.799033333334577</v>
      </c>
      <c r="U18" s="95">
        <f t="shared" si="10"/>
        <v>71.474200000006959</v>
      </c>
    </row>
    <row r="19" spans="1:33" ht="12.75" customHeight="1" x14ac:dyDescent="0.2">
      <c r="A19" s="58"/>
      <c r="B19" s="232">
        <v>75682.59</v>
      </c>
      <c r="C19" s="233">
        <v>75706.52</v>
      </c>
      <c r="D19" s="222" t="s">
        <v>38</v>
      </c>
      <c r="E19" s="222">
        <v>1</v>
      </c>
      <c r="F19" s="223">
        <v>1</v>
      </c>
      <c r="G19" s="223">
        <v>0</v>
      </c>
      <c r="H19" s="26">
        <f t="shared" si="0"/>
        <v>3.5</v>
      </c>
      <c r="I19" s="27">
        <f t="shared" si="1"/>
        <v>0.88629629629657658</v>
      </c>
      <c r="J19" s="4">
        <f t="shared" si="2"/>
        <v>23.930000000007567</v>
      </c>
      <c r="K19" s="224">
        <v>26.44</v>
      </c>
      <c r="L19" s="14">
        <f t="shared" si="3"/>
        <v>632.7092000002001</v>
      </c>
      <c r="M19" s="224"/>
      <c r="N19" s="4">
        <f t="shared" si="19"/>
        <v>632.7092000002001</v>
      </c>
      <c r="O19" s="6">
        <f t="shared" si="20"/>
        <v>3.9803566666679252E-2</v>
      </c>
      <c r="P19" s="6">
        <f t="shared" si="21"/>
        <v>79.607133333358505</v>
      </c>
      <c r="Q19" s="6">
        <f t="shared" si="7"/>
        <v>79.607133333358505</v>
      </c>
      <c r="R19" s="6">
        <f t="shared" si="22"/>
        <v>2.3643318600007479</v>
      </c>
      <c r="S19" s="225"/>
      <c r="T19" s="4">
        <f t="shared" si="9"/>
        <v>12.603133333337318</v>
      </c>
      <c r="U19" s="95">
        <f t="shared" si="10"/>
        <v>70.301022222244455</v>
      </c>
    </row>
    <row r="20" spans="1:33" ht="12.75" customHeight="1" x14ac:dyDescent="0.2">
      <c r="B20" s="232">
        <v>75706.52</v>
      </c>
      <c r="C20" s="233">
        <v>75761.75</v>
      </c>
      <c r="D20" s="222" t="s">
        <v>38</v>
      </c>
      <c r="E20" s="222">
        <v>1</v>
      </c>
      <c r="F20" s="223">
        <v>1</v>
      </c>
      <c r="G20" s="223">
        <v>0</v>
      </c>
      <c r="H20" s="26">
        <f t="shared" si="0"/>
        <v>3.5</v>
      </c>
      <c r="I20" s="27">
        <f t="shared" si="1"/>
        <v>2.0455555555554046</v>
      </c>
      <c r="J20" s="4">
        <f t="shared" si="2"/>
        <v>55.229999999995925</v>
      </c>
      <c r="K20" s="224">
        <v>26</v>
      </c>
      <c r="L20" s="14">
        <f t="shared" si="3"/>
        <v>1435.9799999998941</v>
      </c>
      <c r="M20" s="224"/>
      <c r="N20" s="4">
        <f t="shared" si="19"/>
        <v>1435.9799999998941</v>
      </c>
      <c r="O20" s="6">
        <f t="shared" si="20"/>
        <v>9.0515833333326648E-2</v>
      </c>
      <c r="P20" s="6">
        <f t="shared" si="21"/>
        <v>181.03166666665331</v>
      </c>
      <c r="Q20" s="6">
        <f t="shared" si="7"/>
        <v>181.03166666665331</v>
      </c>
      <c r="R20" s="6">
        <f t="shared" si="22"/>
        <v>5.3766404999996027</v>
      </c>
      <c r="S20" s="225"/>
      <c r="T20" s="4">
        <f t="shared" si="9"/>
        <v>28.637777777775668</v>
      </c>
      <c r="U20" s="95">
        <f t="shared" si="10"/>
        <v>159.55333333332158</v>
      </c>
    </row>
    <row r="21" spans="1:33" ht="12.75" customHeight="1" x14ac:dyDescent="0.2">
      <c r="B21" s="232">
        <v>75761.75</v>
      </c>
      <c r="C21" s="233">
        <v>75873.490000000005</v>
      </c>
      <c r="D21" s="222" t="s">
        <v>38</v>
      </c>
      <c r="E21" s="222">
        <v>0</v>
      </c>
      <c r="F21" s="223">
        <v>2</v>
      </c>
      <c r="G21" s="223">
        <v>0</v>
      </c>
      <c r="H21" s="26">
        <f t="shared" si="0"/>
        <v>4</v>
      </c>
      <c r="I21" s="27">
        <f t="shared" si="1"/>
        <v>4.1385185185187128</v>
      </c>
      <c r="J21" s="4">
        <f t="shared" si="2"/>
        <v>111.74000000000524</v>
      </c>
      <c r="K21" s="224">
        <v>26</v>
      </c>
      <c r="L21" s="14">
        <f t="shared" si="3"/>
        <v>2905.2400000001362</v>
      </c>
      <c r="M21" s="224"/>
      <c r="N21" s="4">
        <f t="shared" si="19"/>
        <v>2905.2400000001362</v>
      </c>
      <c r="O21" s="6">
        <f t="shared" si="20"/>
        <v>0.18623333333334208</v>
      </c>
      <c r="P21" s="6">
        <f t="shared" si="21"/>
        <v>372.46666666668415</v>
      </c>
      <c r="Q21" s="6">
        <f t="shared" si="7"/>
        <v>372.46666666668415</v>
      </c>
      <c r="R21" s="6">
        <f t="shared" si="22"/>
        <v>11.062260000000519</v>
      </c>
      <c r="S21" s="225"/>
      <c r="T21" s="4">
        <f t="shared" si="9"/>
        <v>57.939259259261981</v>
      </c>
      <c r="U21" s="95">
        <f t="shared" si="10"/>
        <v>322.80444444445959</v>
      </c>
      <c r="AA21" s="359" t="s">
        <v>143</v>
      </c>
      <c r="AB21" s="359"/>
      <c r="AC21" s="359"/>
      <c r="AE21" s="359" t="s">
        <v>141</v>
      </c>
      <c r="AF21" s="359"/>
      <c r="AG21" s="359"/>
    </row>
    <row r="22" spans="1:33" ht="12.75" customHeight="1" x14ac:dyDescent="0.2">
      <c r="B22" s="232">
        <v>75873.490000000005</v>
      </c>
      <c r="C22" s="233">
        <v>75889.179999999993</v>
      </c>
      <c r="D22" s="222" t="s">
        <v>38</v>
      </c>
      <c r="E22" s="222">
        <v>0</v>
      </c>
      <c r="F22" s="223">
        <v>2</v>
      </c>
      <c r="G22" s="223">
        <v>0</v>
      </c>
      <c r="H22" s="26">
        <f t="shared" si="0"/>
        <v>4</v>
      </c>
      <c r="I22" s="27">
        <f t="shared" si="1"/>
        <v>0.58111111111065838</v>
      </c>
      <c r="J22" s="4">
        <f t="shared" si="2"/>
        <v>15.689999999987776</v>
      </c>
      <c r="K22" s="224"/>
      <c r="L22" s="14" t="str">
        <f t="shared" si="3"/>
        <v/>
      </c>
      <c r="M22" s="224">
        <v>442.47</v>
      </c>
      <c r="N22" s="4">
        <f t="shared" ref="N22" si="23">SUM(L22:M22)</f>
        <v>442.47</v>
      </c>
      <c r="O22" s="6">
        <f t="shared" ref="O22" si="24">(Q22)/2000</f>
        <v>2.8068333333330617E-2</v>
      </c>
      <c r="P22" s="6">
        <f t="shared" ref="P22" si="25">Q22</f>
        <v>56.136666666661235</v>
      </c>
      <c r="Q22" s="6">
        <f t="shared" si="7"/>
        <v>56.136666666661235</v>
      </c>
      <c r="R22" s="6">
        <f t="shared" ref="R22" si="26">$Q$1*Q22*110*0.06*0.75/2000</f>
        <v>1.6672589999998388</v>
      </c>
      <c r="S22" s="225"/>
      <c r="T22" s="4">
        <f t="shared" si="9"/>
        <v>8.7749999999995474</v>
      </c>
      <c r="U22" s="95">
        <f t="shared" si="10"/>
        <v>49.163333333333334</v>
      </c>
    </row>
    <row r="23" spans="1:33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9" t="s">
        <v>121</v>
      </c>
      <c r="AB23" s="359"/>
      <c r="AC23" s="359"/>
    </row>
    <row r="24" spans="1:33" ht="12.75" customHeight="1" x14ac:dyDescent="0.2">
      <c r="B24" s="357" t="s">
        <v>139</v>
      </c>
      <c r="C24" s="35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  <c r="Z24" s="356" t="s">
        <v>145</v>
      </c>
      <c r="AA24" s="345" t="s">
        <v>109</v>
      </c>
      <c r="AB24" s="346"/>
      <c r="AC24" s="347"/>
    </row>
    <row r="25" spans="1:33" ht="12.75" customHeight="1" x14ac:dyDescent="0.2">
      <c r="B25" s="232">
        <v>75038.41</v>
      </c>
      <c r="C25" s="233">
        <v>75088.479999999996</v>
      </c>
      <c r="D25" s="222" t="s">
        <v>38</v>
      </c>
      <c r="E25" s="222">
        <v>2</v>
      </c>
      <c r="F25" s="223">
        <v>0</v>
      </c>
      <c r="G25" s="223">
        <v>0</v>
      </c>
      <c r="H25" s="26">
        <f>IF(E25=2,$X$4*2,IF(F25=2,$AA$10*2,IF(G25=2,$X$16*2,IF(AND(E25=1,F25=1),$X$4+$AA$10,IF(AND(E25=1,F25=0,G25=0),$X$4,IF(AND(E25=1,G25=1),$X$4+$X$16,IF(AND(E25=0,F25=1,G25=0),$AA$10,IF(AND(F25=1,G25=1),$AA$10+$X$16,IF(AND(E25=0,F25=0,G25=1),$X$16,0)))))))))</f>
        <v>3</v>
      </c>
      <c r="I25" s="27">
        <f>IF(E25=2,$AA$26*2*J25/27,IF(F25=2,$AA$32*2*J25/27,IF(G25=2,$AA$38*2*J25/27,IF(AND(E25=1,F25=1),($AA$26*J25+$AA$32*J25)/27,IF(AND(E25=1,F25=0,G25=0),$AA$26*J25/27,IF(AND(E25=1,G25=1),($AA$26*J25+$AA$38*J25)/27,IF(AND(E25=0,F25=1,G25=0),$AA$32*J25/27,IF(AND(F25=1,G25=1),($AA$32*J25+$AA$38*J25)/27,IF(AND(E25=0,F25=0,G25=1),$AA$38*J25/27,0)))))))))</f>
        <v>1.8544444444441641</v>
      </c>
      <c r="J25" s="4">
        <f>C25-B25</f>
        <v>50.069999999992433</v>
      </c>
      <c r="K25" s="224">
        <v>26</v>
      </c>
      <c r="L25" s="14">
        <f t="shared" ref="L25:L29" si="27">IF(K25="","",J25*K25)</f>
        <v>1301.8199999998033</v>
      </c>
      <c r="M25" s="224"/>
      <c r="N25" s="4">
        <f t="shared" ref="N25" si="28">SUM(L25:M25)</f>
        <v>1301.8199999998033</v>
      </c>
      <c r="O25" s="6">
        <f t="shared" ref="O25" si="29">(Q25)/2000</f>
        <v>8.0668333333321143E-2</v>
      </c>
      <c r="P25" s="6">
        <f t="shared" ref="P25" si="30">Q25</f>
        <v>161.33666666664229</v>
      </c>
      <c r="Q25" s="6">
        <f>($N25+H25*$J25)/9</f>
        <v>161.33666666664229</v>
      </c>
      <c r="R25" s="6">
        <f t="shared" ref="R25" si="31">$Q$1*Q25*110*0.06*0.75/2000</f>
        <v>4.7916989999992765</v>
      </c>
      <c r="S25" s="225"/>
      <c r="T25" s="4">
        <f>(N25*$T$1/12)/27+I25</f>
        <v>25.962222222218301</v>
      </c>
      <c r="U25" s="95">
        <f>N25/9</f>
        <v>144.64666666664482</v>
      </c>
      <c r="Z25" s="356"/>
      <c r="AA25" s="348" t="s">
        <v>112</v>
      </c>
      <c r="AB25" s="349"/>
      <c r="AC25" s="350"/>
    </row>
    <row r="26" spans="1:33" ht="12.75" customHeight="1" x14ac:dyDescent="0.2">
      <c r="B26" s="232">
        <v>75088.479999999996</v>
      </c>
      <c r="C26" s="233">
        <v>75613.69</v>
      </c>
      <c r="D26" s="222" t="s">
        <v>38</v>
      </c>
      <c r="E26" s="222">
        <v>2</v>
      </c>
      <c r="F26" s="223">
        <v>0</v>
      </c>
      <c r="G26" s="223">
        <v>0</v>
      </c>
      <c r="H26" s="26">
        <f>IF(E26=2,$X$4*2,IF(F26=2,$AA$10*2,IF(G26=2,$X$16*2,IF(AND(E26=1,F26=1),$X$4+$AA$10,IF(AND(E26=1,F26=0,G26=0),$X$4,IF(AND(E26=1,G26=1),$X$4+$X$16,IF(AND(E26=0,F26=1,G26=0),$AA$10,IF(AND(F26=1,G26=1),$AA$10+$X$16,IF(AND(E26=0,F26=0,G26=1),$X$16,0)))))))))</f>
        <v>3</v>
      </c>
      <c r="I26" s="27">
        <f t="shared" ref="I26:I28" si="32">IF(E26=2,$AA$26*2*J26/27,IF(F26=2,$AA$32*2*J26/27,IF(G26=2,$AA$38*2*J26/27,IF(AND(E26=1,F26=1),($AA$26*J26+$AA$32*J26)/27,IF(AND(E26=1,F26=0,G26=0),$AA$26*J26/27,IF(AND(E26=1,G26=1),($AA$26*J26+$AA$38*J26)/27,IF(AND(E26=0,F26=1,G26=0),$AA$32*J26/27,IF(AND(F26=1,G26=1),($AA$32*J26+$AA$38*J26)/27,IF(AND(E26=0,F26=0,G26=1),$AA$38*J26/27,0)))))))))</f>
        <v>19.45222222222246</v>
      </c>
      <c r="J26" s="4">
        <f>C26-B26</f>
        <v>525.2100000000064</v>
      </c>
      <c r="K26" s="224">
        <v>25</v>
      </c>
      <c r="L26" s="14">
        <f t="shared" si="27"/>
        <v>13130.25000000016</v>
      </c>
      <c r="M26" s="224"/>
      <c r="N26" s="4">
        <f t="shared" ref="N26" si="33">SUM(L26:M26)</f>
        <v>13130.25000000016</v>
      </c>
      <c r="O26" s="6">
        <f t="shared" ref="O26" si="34">(Q26)/2000</f>
        <v>0.81699333333334334</v>
      </c>
      <c r="P26" s="6">
        <f t="shared" ref="P26" si="35">Q26</f>
        <v>1633.9866666666867</v>
      </c>
      <c r="Q26" s="6">
        <f>($N26+H26*$J26)/9</f>
        <v>1633.9866666666867</v>
      </c>
      <c r="R26" s="6">
        <f t="shared" ref="R26" si="36">$Q$1*Q26*110*0.06*0.75/2000</f>
        <v>48.529404000000589</v>
      </c>
      <c r="S26" s="225"/>
      <c r="T26" s="4">
        <f>(N26*$T$1/12)/27+I26</f>
        <v>262.6050000000032</v>
      </c>
      <c r="U26" s="95">
        <f>N26/9</f>
        <v>1458.9166666666845</v>
      </c>
      <c r="Z26" s="356"/>
      <c r="AA26" s="353">
        <v>0.5</v>
      </c>
      <c r="AB26" s="354"/>
      <c r="AC26" s="355"/>
    </row>
    <row r="27" spans="1:33" ht="12.75" customHeight="1" x14ac:dyDescent="0.2">
      <c r="B27" s="232">
        <v>75613.69</v>
      </c>
      <c r="C27" s="233">
        <v>75635.69</v>
      </c>
      <c r="D27" s="222" t="s">
        <v>38</v>
      </c>
      <c r="E27" s="222">
        <v>1</v>
      </c>
      <c r="F27" s="223">
        <v>1</v>
      </c>
      <c r="G27" s="223">
        <v>0</v>
      </c>
      <c r="H27" s="26">
        <f>IF(E27=2,$X$4*2,IF(F27=2,$AA$10*2,IF(G27=2,$X$16*2,IF(AND(E27=1,F27=1),$X$4+$AA$10,IF(AND(E27=1,F27=0,G27=0),$X$4,IF(AND(E27=1,G27=1),$X$4+$X$16,IF(AND(E27=0,F27=1,G27=0),$AA$10,IF(AND(F27=1,G27=1),$AA$10+$X$16,IF(AND(E27=0,F27=0,G27=1),$X$16,0)))))))))</f>
        <v>3.5</v>
      </c>
      <c r="I27" s="27">
        <f t="shared" si="32"/>
        <v>0.81481481481481477</v>
      </c>
      <c r="J27" s="4">
        <f>C27-B27</f>
        <v>22</v>
      </c>
      <c r="K27" s="224"/>
      <c r="L27" s="14" t="str">
        <f t="shared" si="27"/>
        <v/>
      </c>
      <c r="M27" s="224">
        <v>569.54999999999995</v>
      </c>
      <c r="N27" s="4">
        <f t="shared" ref="N27" si="37">SUM(L27:M27)</f>
        <v>569.54999999999995</v>
      </c>
      <c r="O27" s="6">
        <f t="shared" ref="O27" si="38">(Q27)/2000</f>
        <v>3.5919444444444441E-2</v>
      </c>
      <c r="P27" s="6">
        <f t="shared" ref="P27" si="39">Q27</f>
        <v>71.838888888888889</v>
      </c>
      <c r="Q27" s="6">
        <f>($N27+H27*$J27)/9</f>
        <v>71.838888888888889</v>
      </c>
      <c r="R27" s="6">
        <f t="shared" ref="R27" si="40">$Q$1*Q27*110*0.06*0.75/2000</f>
        <v>2.1336149999999998</v>
      </c>
      <c r="S27" s="225"/>
      <c r="T27" s="4">
        <f>(N27*$T$1/12)/27+I27</f>
        <v>11.362037037037036</v>
      </c>
      <c r="U27" s="95">
        <f>N27/9</f>
        <v>63.283333333333331</v>
      </c>
      <c r="Z27" s="356"/>
    </row>
    <row r="28" spans="1:33" ht="12.75" customHeight="1" x14ac:dyDescent="0.2">
      <c r="B28" s="232">
        <v>75635.69</v>
      </c>
      <c r="C28" s="233">
        <v>75644.62</v>
      </c>
      <c r="D28" s="222" t="s">
        <v>38</v>
      </c>
      <c r="E28" s="222">
        <v>0</v>
      </c>
      <c r="F28" s="223">
        <v>2</v>
      </c>
      <c r="G28" s="223">
        <v>0</v>
      </c>
      <c r="H28" s="26">
        <f>IF(E28=2,$X$4*2,IF(F28=2,$AA$10*2,IF(G28=2,$X$16*2,IF(AND(E28=1,F28=1),$X$4+$AA$10,IF(AND(E28=1,F28=0,G28=0),$X$4,IF(AND(E28=1,G28=1),$X$4+$X$16,IF(AND(E28=0,F28=1,G28=0),$AA$10,IF(AND(F28=1,G28=1),$AA$10+$X$16,IF(AND(E28=0,F28=0,G28=1),$X$16,0)))))))))</f>
        <v>4</v>
      </c>
      <c r="I28" s="27">
        <f t="shared" si="32"/>
        <v>0.33074074074048204</v>
      </c>
      <c r="J28" s="4">
        <f>C28-B28</f>
        <v>8.9299999999930151</v>
      </c>
      <c r="K28" s="224">
        <v>20.38</v>
      </c>
      <c r="L28" s="14">
        <f t="shared" si="27"/>
        <v>181.99339999985764</v>
      </c>
      <c r="M28" s="224"/>
      <c r="N28" s="4">
        <f t="shared" ref="N28" si="41">SUM(L28:M28)</f>
        <v>181.99339999985764</v>
      </c>
      <c r="O28" s="6">
        <f t="shared" ref="O28" si="42">(Q28)/2000</f>
        <v>1.2095188888879426E-2</v>
      </c>
      <c r="P28" s="6">
        <f t="shared" ref="P28" si="43">Q28</f>
        <v>24.190377777758854</v>
      </c>
      <c r="Q28" s="6">
        <f>($N28+H28*$J28)/9</f>
        <v>24.190377777758854</v>
      </c>
      <c r="R28" s="6">
        <f t="shared" ref="R28" si="44">$Q$1*Q28*110*0.06*0.75/2000</f>
        <v>0.71845421999943793</v>
      </c>
      <c r="S28" s="225"/>
      <c r="T28" s="4">
        <f>(N28*$T$1/12)/27+I28</f>
        <v>3.7009888888859939</v>
      </c>
      <c r="U28" s="95">
        <f>N28/9</f>
        <v>20.221488888873072</v>
      </c>
      <c r="Z28" s="356"/>
    </row>
    <row r="29" spans="1:33" ht="12.75" customHeight="1" x14ac:dyDescent="0.2">
      <c r="B29" s="232">
        <v>75644.62</v>
      </c>
      <c r="C29" s="233">
        <v>75739.05</v>
      </c>
      <c r="D29" s="222" t="s">
        <v>38</v>
      </c>
      <c r="E29" s="222">
        <v>0</v>
      </c>
      <c r="F29" s="223">
        <v>2</v>
      </c>
      <c r="G29" s="223">
        <v>0</v>
      </c>
      <c r="H29" s="26">
        <f>IF(E29=2,$X$4*2,IF(F29=2,$AA$10*2,IF(G29=2,$X$16*2,IF(AND(E29=1,F29=1),$X$4+$AA$10,IF(AND(E29=1,F29=0,G29=0),$X$4,IF(AND(E29=1,G29=1),$X$4+$X$16,IF(AND(E29=0,F29=1,G29=0),$AA$10,IF(AND(F29=1,G29=1),$AA$10+$X$16,IF(AND(E29=0,F29=0,G29=1),$X$16,0)))))))))</f>
        <v>4</v>
      </c>
      <c r="I29" s="27">
        <f t="shared" ref="I29" si="45">IF(E29=2,$AA$26*2*J29/27,IF(F29=2,$AE$32*2*J29/27,IF(G29=2,$AA$38*2*J29/27,IF(AND(E29=1,F29=1),($AA$26*J29+$AE$32*J29)/27,IF(AND(E29=1,F29=0,G29=0),$AA$26*J29/27,IF(AND(E29=1,G29=1),($AA$26*J29+$AA$38*J29)/27,IF(AND(E29=0,F29=1,G29=0),$AE$32*J29/27,IF(AND(F29=1,G29=1),($AE$32*J29+$AA$38*J29)/27,IF(AND(E29=0,F29=0,G29=1),$AA$38*J29/27,0)))))))))</f>
        <v>8.7435185185192186</v>
      </c>
      <c r="J29" s="4">
        <f>C29-B29</f>
        <v>94.430000000007567</v>
      </c>
      <c r="K29" s="224"/>
      <c r="L29" s="14" t="str">
        <f t="shared" si="27"/>
        <v/>
      </c>
      <c r="M29" s="224">
        <v>1835.55</v>
      </c>
      <c r="N29" s="4">
        <f t="shared" ref="N29" si="46">SUM(L29:M29)</f>
        <v>1835.55</v>
      </c>
      <c r="O29" s="6">
        <f t="shared" ref="O29" si="47">(Q29)/2000</f>
        <v>0.12295944444444613</v>
      </c>
      <c r="P29" s="6">
        <f t="shared" ref="P29" si="48">Q29</f>
        <v>245.91888888889227</v>
      </c>
      <c r="Q29" s="6">
        <f>($N29+H29*$J29)/9</f>
        <v>245.91888888889227</v>
      </c>
      <c r="R29" s="6">
        <f t="shared" ref="R29" si="49">$Q$1*Q29*110*0.06*0.75/2000</f>
        <v>7.3037910000000998</v>
      </c>
      <c r="S29" s="225"/>
      <c r="T29" s="4">
        <f>(N29*$T$1/12)/27+I29</f>
        <v>42.735185185185884</v>
      </c>
      <c r="U29" s="95">
        <f>N29/9</f>
        <v>203.95</v>
      </c>
      <c r="Z29" s="356"/>
      <c r="AA29" s="359" t="s">
        <v>114</v>
      </c>
      <c r="AB29" s="359"/>
      <c r="AC29" s="359"/>
      <c r="AE29" s="359" t="s">
        <v>140</v>
      </c>
      <c r="AF29" s="359"/>
      <c r="AG29" s="359"/>
    </row>
    <row r="30" spans="1:33" ht="12.75" customHeight="1" thickBot="1" x14ac:dyDescent="0.25">
      <c r="A30" s="243"/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6"/>
      <c r="AA30" s="345" t="s">
        <v>109</v>
      </c>
      <c r="AB30" s="346"/>
      <c r="AC30" s="347"/>
      <c r="AE30" s="345" t="s">
        <v>109</v>
      </c>
      <c r="AF30" s="346"/>
      <c r="AG30" s="347"/>
    </row>
    <row r="31" spans="1:33" ht="12.75" customHeight="1" x14ac:dyDescent="0.2">
      <c r="A31" s="243"/>
      <c r="B31" s="357" t="s">
        <v>142</v>
      </c>
      <c r="C31" s="35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6"/>
      <c r="AA31" s="348" t="s">
        <v>112</v>
      </c>
      <c r="AB31" s="349"/>
      <c r="AC31" s="350"/>
      <c r="AE31" s="348" t="s">
        <v>112</v>
      </c>
      <c r="AF31" s="349"/>
      <c r="AG31" s="350"/>
    </row>
    <row r="32" spans="1:33" s="58" customFormat="1" ht="12.75" customHeight="1" x14ac:dyDescent="0.2">
      <c r="B32" s="232">
        <v>77795.009999999995</v>
      </c>
      <c r="C32" s="233">
        <v>77850.45</v>
      </c>
      <c r="D32" s="222" t="s">
        <v>38</v>
      </c>
      <c r="E32" s="222">
        <v>0</v>
      </c>
      <c r="F32" s="223">
        <v>2</v>
      </c>
      <c r="G32" s="223">
        <v>0</v>
      </c>
      <c r="H32" s="26">
        <f t="shared" ref="H32:H37" si="50">IF(E32=2,$X$4*2,IF(F32=2,$AA$10*2,IF(G32=2,$X$16*2,IF(AND(E32=1,F32=1),$X$4+$AA$10,IF(AND(E32=1,F32=0,G32=0),$X$4,IF(AND(E32=1,G32=1),$X$4+$X$16,IF(AND(E32=0,F32=1,G32=0),$AA$10,IF(AND(F32=1,G32=1),$AA$10+$X$16,IF(AND(E32=0,F32=0,G32=1),$X$16,0)))))))))</f>
        <v>4</v>
      </c>
      <c r="I32" s="27">
        <f t="shared" ref="I32" si="51">IF(E32=2,$AA$26*2*J32/27,IF(F32=2,$AE$32*2*J32/27,IF(G32=2,$AA$38*2*J32/27,IF(AND(E32=1,F32=1),($AA$26*J32+$AE$32*J32)/27,IF(AND(E32=1,F32=0,G32=0),$AA$26*J32/27,IF(AND(E32=1,G32=1),($AA$26*J32+$AA$38*J32)/27,IF(AND(E32=0,F32=1,G32=0),$AE$32*J32/27,IF(AND(F32=1,G32=1),($AE$32*J32+$AA$38*J32)/27,IF(AND(E32=0,F32=0,G32=1),$AA$38*J32/27,0)))))))))</f>
        <v>5.1333333333335487</v>
      </c>
      <c r="J32" s="4">
        <f t="shared" ref="J32:J37" si="52">C32-B32</f>
        <v>55.440000000002328</v>
      </c>
      <c r="K32" s="224"/>
      <c r="L32" s="14" t="str">
        <f t="shared" ref="L32:L37" si="53">IF(K32="","",J32*K32)</f>
        <v/>
      </c>
      <c r="M32" s="224">
        <v>1121.8900000000001</v>
      </c>
      <c r="N32" s="4">
        <f t="shared" ref="N32" si="54">SUM(L32:M32)</f>
        <v>1121.8900000000001</v>
      </c>
      <c r="O32" s="6">
        <f t="shared" ref="O32" si="55">(Q32)/2000</f>
        <v>7.4647222222222753E-2</v>
      </c>
      <c r="P32" s="6">
        <f t="shared" ref="P32" si="56">Q32</f>
        <v>149.2944444444455</v>
      </c>
      <c r="Q32" s="6">
        <f t="shared" ref="Q32:Q37" si="57">($N32+H32*$J32)/9</f>
        <v>149.2944444444455</v>
      </c>
      <c r="R32" s="6">
        <f t="shared" ref="R32" si="58">$Q$1*Q32*110*0.06*0.75/2000</f>
        <v>4.4340450000000313</v>
      </c>
      <c r="S32" s="224"/>
      <c r="T32" s="4">
        <f t="shared" ref="T32:T37" si="59">(N32*$T$1/12)/27+I32</f>
        <v>25.909074074074294</v>
      </c>
      <c r="U32" s="95">
        <f t="shared" ref="U32:U37" si="60">N32/9</f>
        <v>124.65444444444445</v>
      </c>
      <c r="Z32" s="356"/>
      <c r="AA32" s="353">
        <v>0.5</v>
      </c>
      <c r="AB32" s="354"/>
      <c r="AC32" s="355"/>
      <c r="AE32" s="353">
        <v>1.25</v>
      </c>
      <c r="AF32" s="354"/>
      <c r="AG32" s="355"/>
    </row>
    <row r="33" spans="1:29" ht="12.75" customHeight="1" x14ac:dyDescent="0.2">
      <c r="B33" s="232">
        <v>77850.45</v>
      </c>
      <c r="C33" s="233">
        <v>77859.27</v>
      </c>
      <c r="D33" s="222" t="s">
        <v>38</v>
      </c>
      <c r="E33" s="222">
        <v>0</v>
      </c>
      <c r="F33" s="223">
        <v>2</v>
      </c>
      <c r="G33" s="223">
        <v>0</v>
      </c>
      <c r="H33" s="26">
        <f t="shared" si="50"/>
        <v>4</v>
      </c>
      <c r="I33" s="27">
        <f t="shared" ref="I33" si="61">IF(E33=2,$AA$26*2*J33/27,IF(F33=2,$AA$32*2*J33/27,IF(G33=2,$AA$38*2*J33/27,IF(AND(E33=1,F33=1),($AA$26*J33+$AA$32*J33)/27,IF(AND(E33=1,F33=0,G33=0),$AA$26*J33/27,IF(AND(E33=1,G33=1),($AA$26*J33+$AA$38*J33)/27,IF(AND(E33=0,F33=1,G33=0),$AA$32*J33/27,IF(AND(F33=1,G33=1),($AA$32*J33+$AA$38*J33)/27,IF(AND(E33=0,F33=0,G33=1),$AA$38*J33/27,0)))))))))</f>
        <v>0.32666666666692534</v>
      </c>
      <c r="J33" s="4">
        <f t="shared" si="52"/>
        <v>8.8200000000069849</v>
      </c>
      <c r="K33" s="224">
        <v>21.54</v>
      </c>
      <c r="L33" s="14">
        <f t="shared" si="53"/>
        <v>189.98280000015043</v>
      </c>
      <c r="M33" s="224"/>
      <c r="N33" s="4">
        <f t="shared" ref="N33" si="62">SUM(L33:M33)</f>
        <v>189.98280000015043</v>
      </c>
      <c r="O33" s="6">
        <f t="shared" ref="O33" si="63">(Q33)/2000</f>
        <v>1.2514600000009909E-2</v>
      </c>
      <c r="P33" s="6">
        <f t="shared" ref="P33" si="64">Q33</f>
        <v>25.02920000001982</v>
      </c>
      <c r="Q33" s="6">
        <f t="shared" si="57"/>
        <v>25.02920000001982</v>
      </c>
      <c r="R33" s="6">
        <f t="shared" ref="R33" si="65">$Q$1*Q33*110*0.06*0.75/2000</f>
        <v>0.74336724000058874</v>
      </c>
      <c r="S33" s="225"/>
      <c r="T33" s="4">
        <f t="shared" si="59"/>
        <v>3.8448666666697111</v>
      </c>
      <c r="U33" s="95">
        <f t="shared" si="60"/>
        <v>21.109200000016713</v>
      </c>
      <c r="Z33" s="356"/>
    </row>
    <row r="34" spans="1:29" ht="12.75" customHeight="1" x14ac:dyDescent="0.2">
      <c r="B34" s="232">
        <v>77859.27</v>
      </c>
      <c r="C34" s="233">
        <v>77872.95</v>
      </c>
      <c r="D34" s="222" t="s">
        <v>38</v>
      </c>
      <c r="E34" s="222">
        <v>1</v>
      </c>
      <c r="F34" s="223">
        <v>1</v>
      </c>
      <c r="G34" s="223">
        <v>0</v>
      </c>
      <c r="H34" s="26">
        <f t="shared" si="50"/>
        <v>3.5</v>
      </c>
      <c r="I34" s="27">
        <f t="shared" ref="I34" si="66">IF(E34=2,$AA$26*2*J34/27,IF(F34=2,$AA$32*2*J34/27,IF(G34=2,$AA$38*2*J34/27,IF(AND(E34=1,F34=1),($AA$26*J34+$AA$32*J34)/27,IF(AND(E34=1,F34=0,G34=0),$AA$26*J34/27,IF(AND(E34=1,G34=1),($AA$26*J34+$AA$38*J34)/27,IF(AND(E34=0,F34=1,G34=0),$AA$32*J34/27,IF(AND(F34=1,G34=1),($AA$32*J34+$AA$38*J34)/27,IF(AND(E34=0,F34=0,G34=1),$AA$38*J34/27,0)))))))))</f>
        <v>0.50666666666640792</v>
      </c>
      <c r="J34" s="4">
        <f t="shared" si="52"/>
        <v>13.679999999993015</v>
      </c>
      <c r="K34" s="224">
        <v>25.93</v>
      </c>
      <c r="L34" s="14">
        <f t="shared" si="53"/>
        <v>354.72239999981889</v>
      </c>
      <c r="M34" s="224"/>
      <c r="N34" s="4">
        <f t="shared" ref="N34" si="67">SUM(L34:M34)</f>
        <v>354.72239999981889</v>
      </c>
      <c r="O34" s="6">
        <f t="shared" ref="O34" si="68">(Q34)/2000</f>
        <v>2.2366799999988578E-2</v>
      </c>
      <c r="P34" s="6">
        <f t="shared" ref="P34" si="69">Q34</f>
        <v>44.733599999977159</v>
      </c>
      <c r="Q34" s="6">
        <f t="shared" si="57"/>
        <v>44.733599999977159</v>
      </c>
      <c r="R34" s="6">
        <f t="shared" ref="R34" si="70">$Q$1*Q34*110*0.06*0.75/2000</f>
        <v>1.3285879199993211</v>
      </c>
      <c r="S34" s="225"/>
      <c r="T34" s="4">
        <f t="shared" si="59"/>
        <v>7.0755999999963866</v>
      </c>
      <c r="U34" s="95">
        <f t="shared" si="60"/>
        <v>39.41359999997988</v>
      </c>
      <c r="Z34" s="356"/>
    </row>
    <row r="35" spans="1:29" ht="12.75" customHeight="1" x14ac:dyDescent="0.2">
      <c r="B35" s="232">
        <v>77872.95</v>
      </c>
      <c r="C35" s="233">
        <v>78624.31</v>
      </c>
      <c r="D35" s="222" t="s">
        <v>38</v>
      </c>
      <c r="E35" s="222">
        <v>2</v>
      </c>
      <c r="F35" s="223">
        <v>0</v>
      </c>
      <c r="G35" s="223">
        <v>0</v>
      </c>
      <c r="H35" s="26">
        <f t="shared" si="50"/>
        <v>3</v>
      </c>
      <c r="I35" s="27">
        <f t="shared" ref="I35" si="71">IF(E35=2,$AA$26*2*J35/27,IF(F35=2,$AA$32*2*J35/27,IF(G35=2,$AA$38*2*J35/27,IF(AND(E35=1,F35=1),($AA$26*J35+$AA$32*J35)/27,IF(AND(E35=1,F35=0,G35=0),$AA$26*J35/27,IF(AND(E35=1,G35=1),($AA$26*J35+$AA$38*J35)/27,IF(AND(E35=0,F35=1,G35=0),$AA$32*J35/27,IF(AND(F35=1,G35=1),($AA$32*J35+$AA$38*J35)/27,IF(AND(E35=0,F35=0,G35=1),$AA$38*J35/27,0)))))))))</f>
        <v>27.82814814814817</v>
      </c>
      <c r="J35" s="4">
        <f t="shared" si="52"/>
        <v>751.36000000000058</v>
      </c>
      <c r="K35" s="224"/>
      <c r="L35" s="14" t="str">
        <f t="shared" si="53"/>
        <v/>
      </c>
      <c r="M35" s="224">
        <v>27838.78</v>
      </c>
      <c r="N35" s="4">
        <f t="shared" ref="N35" si="72">SUM(L35:M35)</f>
        <v>27838.78</v>
      </c>
      <c r="O35" s="6">
        <f t="shared" ref="O35" si="73">(Q35)/2000</f>
        <v>1.6718255555555557</v>
      </c>
      <c r="P35" s="6">
        <f t="shared" ref="P35" si="74">Q35</f>
        <v>3343.6511111111113</v>
      </c>
      <c r="Q35" s="6">
        <f t="shared" si="57"/>
        <v>3343.6511111111113</v>
      </c>
      <c r="R35" s="6">
        <f t="shared" ref="R35" si="75">$Q$1*Q35*110*0.06*0.75/2000</f>
        <v>99.306438000000028</v>
      </c>
      <c r="S35" s="225"/>
      <c r="T35" s="4">
        <f t="shared" si="59"/>
        <v>543.3611111111112</v>
      </c>
      <c r="U35" s="95">
        <f t="shared" si="60"/>
        <v>3093.1977777777774</v>
      </c>
      <c r="Z35" s="356"/>
      <c r="AA35" s="359" t="s">
        <v>122</v>
      </c>
      <c r="AB35" s="359"/>
      <c r="AC35" s="359"/>
    </row>
    <row r="36" spans="1:29" ht="12.75" customHeight="1" x14ac:dyDescent="0.2">
      <c r="B36" s="232">
        <v>78624.31</v>
      </c>
      <c r="C36" s="233">
        <v>79077.73</v>
      </c>
      <c r="D36" s="222" t="s">
        <v>38</v>
      </c>
      <c r="E36" s="222">
        <v>2</v>
      </c>
      <c r="F36" s="223">
        <v>0</v>
      </c>
      <c r="G36" s="223">
        <v>0</v>
      </c>
      <c r="H36" s="26">
        <f t="shared" si="50"/>
        <v>3</v>
      </c>
      <c r="I36" s="27">
        <f t="shared" ref="I36:I37" si="76">IF(E36=2,$AA$26*2*J36/27,IF(F36=2,$AA$32*2*J36/27,IF(G36=2,$AA$38*2*J36/27,IF(AND(E36=1,F36=1),($AA$26*J36+$AA$32*J36)/27,IF(AND(E36=1,F36=0,G36=0),$AA$26*J36/27,IF(AND(E36=1,G36=1),($AA$26*J36+$AA$38*J36)/27,IF(AND(E36=0,F36=1,G36=0),$AA$32*J36/27,IF(AND(F36=1,G36=1),($AA$32*J36+$AA$38*J36)/27,IF(AND(E36=0,F36=0,G36=1),$AA$38*J36/27,0)))))))))</f>
        <v>16.793333333333269</v>
      </c>
      <c r="J36" s="4">
        <f t="shared" si="52"/>
        <v>453.41999999999825</v>
      </c>
      <c r="K36" s="224">
        <v>25</v>
      </c>
      <c r="L36" s="14">
        <f t="shared" si="53"/>
        <v>11335.499999999956</v>
      </c>
      <c r="M36" s="224"/>
      <c r="N36" s="4">
        <f t="shared" ref="N36:N37" si="77">SUM(L36:M36)</f>
        <v>11335.499999999956</v>
      </c>
      <c r="O36" s="6">
        <f t="shared" ref="O36:O37" si="78">(Q36)/2000</f>
        <v>0.70531999999999728</v>
      </c>
      <c r="P36" s="6">
        <f t="shared" ref="P36:P37" si="79">Q36</f>
        <v>1410.6399999999946</v>
      </c>
      <c r="Q36" s="6">
        <f t="shared" si="57"/>
        <v>1410.6399999999946</v>
      </c>
      <c r="R36" s="6">
        <f t="shared" ref="R36:R37" si="80">$Q$1*Q36*110*0.06*0.75/2000</f>
        <v>41.896007999999838</v>
      </c>
      <c r="S36" s="225"/>
      <c r="T36" s="4">
        <f t="shared" si="59"/>
        <v>226.70999999999913</v>
      </c>
      <c r="U36" s="95">
        <f t="shared" si="60"/>
        <v>1259.4999999999952</v>
      </c>
      <c r="Z36" s="356"/>
      <c r="AA36" s="345" t="s">
        <v>109</v>
      </c>
      <c r="AB36" s="346"/>
      <c r="AC36" s="347"/>
    </row>
    <row r="37" spans="1:29" ht="12.75" customHeight="1" x14ac:dyDescent="0.2">
      <c r="B37" s="232">
        <v>79077.73</v>
      </c>
      <c r="C37" s="233">
        <v>79174.91</v>
      </c>
      <c r="D37" s="222" t="s">
        <v>38</v>
      </c>
      <c r="E37" s="222">
        <v>1</v>
      </c>
      <c r="F37" s="223">
        <v>1</v>
      </c>
      <c r="G37" s="223">
        <v>0</v>
      </c>
      <c r="H37" s="26">
        <f t="shared" si="50"/>
        <v>3.5</v>
      </c>
      <c r="I37" s="27">
        <f t="shared" si="76"/>
        <v>3.5992592592595396</v>
      </c>
      <c r="J37" s="4">
        <f t="shared" si="52"/>
        <v>97.180000000007567</v>
      </c>
      <c r="K37" s="224">
        <v>27</v>
      </c>
      <c r="L37" s="14">
        <f t="shared" si="53"/>
        <v>2623.8600000002043</v>
      </c>
      <c r="M37" s="224"/>
      <c r="N37" s="4">
        <f t="shared" si="77"/>
        <v>2623.8600000002043</v>
      </c>
      <c r="O37" s="6">
        <f t="shared" si="78"/>
        <v>0.16466611111112395</v>
      </c>
      <c r="P37" s="6">
        <f t="shared" si="79"/>
        <v>329.33222222224788</v>
      </c>
      <c r="Q37" s="6">
        <f t="shared" si="57"/>
        <v>329.33222222224788</v>
      </c>
      <c r="R37" s="6">
        <f t="shared" si="80"/>
        <v>9.781167000000762</v>
      </c>
      <c r="S37" s="225"/>
      <c r="T37" s="4">
        <f t="shared" si="59"/>
        <v>52.189259259263324</v>
      </c>
      <c r="U37" s="95">
        <f t="shared" si="60"/>
        <v>291.5400000000227</v>
      </c>
      <c r="Z37" s="356"/>
      <c r="AA37" s="348" t="s">
        <v>112</v>
      </c>
      <c r="AB37" s="349"/>
      <c r="AC37" s="350"/>
    </row>
    <row r="38" spans="1:29" ht="12.75" customHeight="1" thickBot="1" x14ac:dyDescent="0.25">
      <c r="B38" s="84"/>
      <c r="C38" s="3"/>
      <c r="D38" s="32"/>
      <c r="E38" s="32"/>
      <c r="F38" s="32"/>
      <c r="G38" s="32"/>
      <c r="H38" s="26"/>
      <c r="I38" s="27"/>
      <c r="J38" s="4"/>
      <c r="K38" s="4"/>
      <c r="L38" s="14"/>
      <c r="M38" s="4"/>
      <c r="N38" s="4"/>
      <c r="O38" s="6"/>
      <c r="P38" s="6"/>
      <c r="Q38" s="6"/>
      <c r="R38" s="6"/>
      <c r="S38" s="7"/>
      <c r="T38" s="4"/>
      <c r="U38" s="19"/>
      <c r="Z38" s="356"/>
      <c r="AA38" s="353">
        <v>0.5</v>
      </c>
      <c r="AB38" s="354"/>
      <c r="AC38" s="355"/>
    </row>
    <row r="39" spans="1:29" ht="12.75" customHeight="1" x14ac:dyDescent="0.2">
      <c r="B39" s="357" t="s">
        <v>144</v>
      </c>
      <c r="C39" s="358"/>
      <c r="D39" s="28"/>
      <c r="E39" s="28"/>
      <c r="F39" s="28"/>
      <c r="G39" s="28"/>
      <c r="H39" s="28"/>
      <c r="I39" s="28"/>
      <c r="J39" s="29"/>
      <c r="K39" s="29"/>
      <c r="L39" s="29"/>
      <c r="M39" s="29"/>
      <c r="N39" s="29"/>
      <c r="O39" s="29"/>
      <c r="P39" s="29"/>
      <c r="Q39" s="29"/>
      <c r="R39" s="30"/>
      <c r="S39" s="30"/>
      <c r="T39" s="29"/>
      <c r="U39" s="242"/>
    </row>
    <row r="40" spans="1:29" ht="12.75" customHeight="1" x14ac:dyDescent="0.2">
      <c r="B40" s="232">
        <v>79818.55</v>
      </c>
      <c r="C40" s="233">
        <v>79873.05</v>
      </c>
      <c r="D40" s="222" t="s">
        <v>38</v>
      </c>
      <c r="E40" s="222">
        <v>2</v>
      </c>
      <c r="F40" s="223">
        <v>0</v>
      </c>
      <c r="G40" s="223">
        <v>0</v>
      </c>
      <c r="H40" s="26">
        <f>IF(E40=2,$X$4*2,IF(F40=2,$AA$10*2,IF(G40=2,$X$16*2,IF(AND(E40=1,F40=1),$X$4+$AA$10,IF(AND(E40=1,F40=0,G40=0),$X$4,IF(AND(E40=1,G40=1),$X$4+$X$16,IF(AND(E40=0,F40=1,G40=0),$AA$10,IF(AND(F40=1,G40=1),$AA$10+$X$16,IF(AND(E40=0,F40=0,G40=1),$X$16,0)))))))))</f>
        <v>3</v>
      </c>
      <c r="I40" s="27">
        <f t="shared" ref="I40" si="81">IF(E40=2,$AA$26*2*J40/27,IF(F40=2,$AA$32*2*J40/27,IF(G40=2,$AA$38*2*J40/27,IF(AND(E40=1,F40=1),($AA$26*J40+$AA$32*J40)/27,IF(AND(E40=1,F40=0,G40=0),$AA$26*J40/27,IF(AND(E40=1,G40=1),($AA$26*J40+$AA$38*J40)/27,IF(AND(E40=0,F40=1,G40=0),$AA$32*J40/27,IF(AND(F40=1,G40=1),($AA$32*J40+$AA$38*J40)/27,IF(AND(E40=0,F40=0,G40=1),$AA$38*J40/27,0)))))))))</f>
        <v>2.0185185185185186</v>
      </c>
      <c r="J40" s="4">
        <f>C40-B40</f>
        <v>54.5</v>
      </c>
      <c r="K40" s="224">
        <v>26</v>
      </c>
      <c r="L40" s="14">
        <f t="shared" ref="L40:L43" si="82">IF(K40="","",J40*K40)</f>
        <v>1417</v>
      </c>
      <c r="M40" s="224"/>
      <c r="N40" s="4">
        <f t="shared" ref="N40" si="83">SUM(L40:M40)</f>
        <v>1417</v>
      </c>
      <c r="O40" s="6">
        <f t="shared" ref="O40" si="84">(Q40)/2000</f>
        <v>8.7805555555555553E-2</v>
      </c>
      <c r="P40" s="6">
        <f t="shared" ref="P40" si="85">Q40</f>
        <v>175.61111111111111</v>
      </c>
      <c r="Q40" s="6">
        <f>($N40+H40*$J40)/9</f>
        <v>175.61111111111111</v>
      </c>
      <c r="R40" s="6">
        <f t="shared" ref="R40" si="86">$Q$1*Q40*110*0.06*0.75/2000</f>
        <v>5.2156500000000001</v>
      </c>
      <c r="S40" s="225"/>
      <c r="T40" s="4">
        <f>(N40*$T$1/12)/27+I40</f>
        <v>28.25925925925926</v>
      </c>
      <c r="U40" s="95">
        <f>N40/9</f>
        <v>157.44444444444446</v>
      </c>
    </row>
    <row r="41" spans="1:29" ht="12.75" customHeight="1" x14ac:dyDescent="0.2">
      <c r="B41" s="232">
        <v>79873.05</v>
      </c>
      <c r="C41" s="233">
        <v>80139.91</v>
      </c>
      <c r="D41" s="222" t="s">
        <v>38</v>
      </c>
      <c r="E41" s="222">
        <v>2</v>
      </c>
      <c r="F41" s="223">
        <v>0</v>
      </c>
      <c r="G41" s="223">
        <v>0</v>
      </c>
      <c r="H41" s="26">
        <f>IF(E41=2,$X$4*2,IF(F41=2,$AA$10*2,IF(G41=2,$X$16*2,IF(AND(E41=1,F41=1),$X$4+$AA$10,IF(AND(E41=1,F41=0,G41=0),$X$4,IF(AND(E41=1,G41=1),$X$4+$X$16,IF(AND(E41=0,F41=1,G41=0),$AA$10,IF(AND(F41=1,G41=1),$AA$10+$X$16,IF(AND(E41=0,F41=0,G41=1),$X$16,0)))))))))</f>
        <v>3</v>
      </c>
      <c r="I41" s="27">
        <f t="shared" ref="I41" si="87">IF(E41=2,$AA$26*2*J41/27,IF(F41=2,$AA$32*2*J41/27,IF(G41=2,$AA$38*2*J41/27,IF(AND(E41=1,F41=1),($AA$26*J41+$AA$32*J41)/27,IF(AND(E41=1,F41=0,G41=0),$AA$26*J41/27,IF(AND(E41=1,G41=1),($AA$26*J41+$AA$38*J41)/27,IF(AND(E41=0,F41=1,G41=0),$AA$32*J41/27,IF(AND(F41=1,G41=1),($AA$32*J41+$AA$38*J41)/27,IF(AND(E41=0,F41=0,G41=1),$AA$38*J41/27,0)))))))))</f>
        <v>9.8837037037037252</v>
      </c>
      <c r="J41" s="4">
        <f>C41-B41</f>
        <v>266.86000000000058</v>
      </c>
      <c r="K41" s="224">
        <v>25</v>
      </c>
      <c r="L41" s="14">
        <f t="shared" si="82"/>
        <v>6671.5000000000146</v>
      </c>
      <c r="M41" s="224"/>
      <c r="N41" s="4">
        <f t="shared" ref="N41" si="88">SUM(L41:M41)</f>
        <v>6671.5000000000146</v>
      </c>
      <c r="O41" s="6">
        <f t="shared" ref="O41" si="89">(Q41)/2000</f>
        <v>0.41511555555555646</v>
      </c>
      <c r="P41" s="6">
        <f t="shared" ref="P41" si="90">Q41</f>
        <v>830.23111111111291</v>
      </c>
      <c r="Q41" s="6">
        <f>($N41+H41*$J41)/9</f>
        <v>830.23111111111291</v>
      </c>
      <c r="R41" s="6">
        <f t="shared" ref="R41" si="91">$Q$1*Q41*110*0.06*0.75/2000</f>
        <v>24.657864000000053</v>
      </c>
      <c r="S41" s="225"/>
      <c r="T41" s="4">
        <f>(N41*$T$1/12)/27+I41</f>
        <v>133.43000000000029</v>
      </c>
      <c r="U41" s="95">
        <f>N41/9</f>
        <v>741.27777777777942</v>
      </c>
    </row>
    <row r="42" spans="1:29" ht="12.75" customHeight="1" x14ac:dyDescent="0.2">
      <c r="B42" s="232">
        <v>80139.91</v>
      </c>
      <c r="C42" s="233">
        <v>81094.539999999994</v>
      </c>
      <c r="D42" s="222" t="s">
        <v>38</v>
      </c>
      <c r="E42" s="222">
        <v>1</v>
      </c>
      <c r="F42" s="223">
        <v>1</v>
      </c>
      <c r="G42" s="223">
        <v>0</v>
      </c>
      <c r="H42" s="26">
        <f>IF(E42=2,$X$4*2,IF(F42=2,$AA$10*2,IF(G42=2,$X$16*2,IF(AND(E42=1,F42=1),$X$4+$AA$10,IF(AND(E42=1,F42=0,G42=0),$X$4,IF(AND(E42=1,G42=1),$X$4+$X$16,IF(AND(E42=0,F42=1,G42=0),$AA$10,IF(AND(F42=1,G42=1),$AA$10+$X$16,IF(AND(E42=0,F42=0,G42=1),$X$16,0)))))))))</f>
        <v>3.5</v>
      </c>
      <c r="I42" s="27">
        <f t="shared" ref="I42" si="92">IF(E42=2,$AA$26*2*J42/27,IF(F42=2,$AA$32*2*J42/27,IF(G42=2,$AA$38*2*J42/27,IF(AND(E42=1,F42=1),($AA$26*J42+$AA$32*J42)/27,IF(AND(E42=1,F42=0,G42=0),$AA$26*J42/27,IF(AND(E42=1,G42=1),($AA$26*J42+$AA$38*J42)/27,IF(AND(E42=0,F42=1,G42=0),$AA$32*J42/27,IF(AND(F42=1,G42=1),($AA$32*J42+$AA$38*J42)/27,IF(AND(E42=0,F42=0,G42=1),$AA$38*J42/27,0)))))))))</f>
        <v>35.3566666666663</v>
      </c>
      <c r="J42" s="4">
        <f>C42-B42</f>
        <v>954.6299999999901</v>
      </c>
      <c r="K42" s="224">
        <v>27</v>
      </c>
      <c r="L42" s="14">
        <f t="shared" si="82"/>
        <v>25775.009999999733</v>
      </c>
      <c r="M42" s="224"/>
      <c r="N42" s="4">
        <f t="shared" ref="N42" si="93">SUM(L42:M42)</f>
        <v>25775.009999999733</v>
      </c>
      <c r="O42" s="6">
        <f t="shared" ref="O42" si="94">(Q42)/2000</f>
        <v>1.6175674999999834</v>
      </c>
      <c r="P42" s="6">
        <f t="shared" ref="P42" si="95">Q42</f>
        <v>3235.1349999999666</v>
      </c>
      <c r="Q42" s="6">
        <f>($N42+H42*$J42)/9</f>
        <v>3235.1349999999666</v>
      </c>
      <c r="R42" s="6">
        <f t="shared" ref="R42" si="96">$Q$1*Q42*110*0.06*0.75/2000</f>
        <v>96.08350949999901</v>
      </c>
      <c r="S42" s="225"/>
      <c r="T42" s="4">
        <f>(N42*$T$1/12)/27+I42</f>
        <v>512.67166666666139</v>
      </c>
      <c r="U42" s="95">
        <f>N42/9</f>
        <v>2863.8899999999703</v>
      </c>
    </row>
    <row r="43" spans="1:29" ht="12.75" customHeight="1" x14ac:dyDescent="0.2">
      <c r="B43" s="232">
        <v>81094.539999999994</v>
      </c>
      <c r="C43" s="233">
        <v>81185.17</v>
      </c>
      <c r="D43" s="222" t="s">
        <v>38</v>
      </c>
      <c r="E43" s="222">
        <v>2</v>
      </c>
      <c r="F43" s="223">
        <v>0</v>
      </c>
      <c r="G43" s="223">
        <v>0</v>
      </c>
      <c r="H43" s="26">
        <f>IF(E43=2,$X$4*2,IF(F43=2,$AA$10*2,IF(G43=2,$X$16*2,IF(AND(E43=1,F43=1),$X$4+$AA$10,IF(AND(E43=1,F43=0,G43=0),$X$4,IF(AND(E43=1,G43=1),$X$4+$X$16,IF(AND(E43=0,F43=1,G43=0),$AA$10,IF(AND(F43=1,G43=1),$AA$10+$X$16,IF(AND(E43=0,F43=0,G43=1),$X$16,0)))))))))</f>
        <v>3</v>
      </c>
      <c r="I43" s="27">
        <f t="shared" ref="I43" si="97">IF(E43=2,$AA$26*2*J43/27,IF(F43=2,$AA$32*2*J43/27,IF(G43=2,$AA$38*2*J43/27,IF(AND(E43=1,F43=1),($AA$26*J43+$AA$32*J43)/27,IF(AND(E43=1,F43=0,G43=0),$AA$26*J43/27,IF(AND(E43=1,G43=1),($AA$26*J43+$AA$38*J43)/27,IF(AND(E43=0,F43=1,G43=0),$AA$32*J43/27,IF(AND(F43=1,G43=1),($AA$32*J43+$AA$38*J43)/27,IF(AND(E43=0,F43=0,G43=1),$AA$38*J43/27,0)))))))))</f>
        <v>3.3566666666668392</v>
      </c>
      <c r="J43" s="4">
        <f>C43-B43</f>
        <v>90.630000000004657</v>
      </c>
      <c r="K43" s="224">
        <v>25</v>
      </c>
      <c r="L43" s="14">
        <f t="shared" si="82"/>
        <v>2265.7500000001164</v>
      </c>
      <c r="M43" s="224"/>
      <c r="N43" s="4">
        <f t="shared" ref="N43" si="98">SUM(L43:M43)</f>
        <v>2265.7500000001164</v>
      </c>
      <c r="O43" s="6">
        <f t="shared" ref="O43" si="99">(Q43)/2000</f>
        <v>0.14098000000000724</v>
      </c>
      <c r="P43" s="6">
        <f t="shared" ref="P43" si="100">Q43</f>
        <v>281.96000000001447</v>
      </c>
      <c r="Q43" s="6">
        <f>($N43+H43*$J43)/9</f>
        <v>281.96000000001447</v>
      </c>
      <c r="R43" s="6">
        <f t="shared" ref="R43" si="101">$Q$1*Q43*110*0.06*0.75/2000</f>
        <v>8.3742120000004281</v>
      </c>
      <c r="S43" s="225"/>
      <c r="T43" s="4">
        <f>(N43*$T$1/12)/27+I43</f>
        <v>45.315000000002328</v>
      </c>
      <c r="U43" s="95">
        <f>N43/9</f>
        <v>251.75000000001293</v>
      </c>
    </row>
    <row r="44" spans="1:29" ht="12.75" customHeight="1" thickBot="1" x14ac:dyDescent="0.25">
      <c r="B44" s="84"/>
      <c r="C44" s="3"/>
      <c r="D44" s="32"/>
      <c r="E44" s="32"/>
      <c r="F44" s="32"/>
      <c r="G44" s="32"/>
      <c r="H44" s="26"/>
      <c r="I44" s="27"/>
      <c r="J44" s="4"/>
      <c r="K44" s="4"/>
      <c r="L44" s="14"/>
      <c r="M44" s="4"/>
      <c r="N44" s="4"/>
      <c r="O44" s="6"/>
      <c r="P44" s="6"/>
      <c r="Q44" s="6"/>
      <c r="R44" s="6"/>
      <c r="S44" s="7"/>
      <c r="T44" s="4"/>
      <c r="U44" s="19"/>
    </row>
    <row r="45" spans="1:29" ht="12.75" customHeight="1" x14ac:dyDescent="0.2">
      <c r="B45" s="357" t="s">
        <v>146</v>
      </c>
      <c r="C45" s="358"/>
      <c r="D45" s="28"/>
      <c r="E45" s="28"/>
      <c r="F45" s="28"/>
      <c r="G45" s="28"/>
      <c r="H45" s="28"/>
      <c r="I45" s="28"/>
      <c r="J45" s="29"/>
      <c r="K45" s="29"/>
      <c r="L45" s="29"/>
      <c r="M45" s="29"/>
      <c r="N45" s="29"/>
      <c r="O45" s="29"/>
      <c r="P45" s="29"/>
      <c r="Q45" s="29"/>
      <c r="R45" s="30"/>
      <c r="S45" s="30"/>
      <c r="T45" s="29"/>
      <c r="U45" s="242"/>
    </row>
    <row r="46" spans="1:29" ht="12.75" customHeight="1" x14ac:dyDescent="0.2">
      <c r="A46" s="58"/>
      <c r="B46" s="232">
        <v>78962.710000000006</v>
      </c>
      <c r="C46" s="233">
        <v>79126.149999999994</v>
      </c>
      <c r="D46" s="222" t="s">
        <v>38</v>
      </c>
      <c r="E46" s="222">
        <v>0</v>
      </c>
      <c r="F46" s="223">
        <v>2</v>
      </c>
      <c r="G46" s="223">
        <v>0</v>
      </c>
      <c r="H46" s="26">
        <f t="shared" ref="H46:H51" si="102">IF(E46=2,$X$4*2,IF(F46=2,$AA$10*2,IF(G46=2,$X$16*2,IF(AND(E46=1,F46=1),$X$4+$AA$10,IF(AND(E46=1,F46=0,G46=0),$X$4,IF(AND(E46=1,G46=1),$X$4+$X$16,IF(AND(E46=0,F46=1,G46=0),$AA$10,IF(AND(F46=1,G46=1),$AA$10+$X$16,IF(AND(E46=0,F46=0,G46=1),$X$16,0)))))))))</f>
        <v>4</v>
      </c>
      <c r="I46" s="27">
        <f t="shared" ref="I46" si="103">IF(E46=2,$AA$26*2*J46/27,IF(F46=2,$AE$32*2*J46/27,IF(G46=2,$AA$38*2*J46/27,IF(AND(E46=1,F46=1),($AA$26*J46+$AE$32*J46)/27,IF(AND(E46=1,F46=0,G46=0),$AA$26*J46/27,IF(AND(E46=1,G46=1),($AA$26*J46+$AA$38*J46)/27,IF(AND(E46=0,F46=1,G46=0),$AE$32*J46/27,IF(AND(F46=1,G46=1),($AE$32*J46+$AA$38*J46)/27,IF(AND(E46=0,F46=0,G46=1),$AA$38*J46/27,0)))))))))</f>
        <v>15.133333333332201</v>
      </c>
      <c r="J46" s="4">
        <f t="shared" ref="J46:J51" si="104">C46-B46</f>
        <v>163.43999999998778</v>
      </c>
      <c r="K46" s="224"/>
      <c r="L46" s="14" t="str">
        <f t="shared" ref="L46:L51" si="105">IF(K46="","",J46*K46)</f>
        <v/>
      </c>
      <c r="M46" s="224">
        <v>2881.34</v>
      </c>
      <c r="N46" s="4">
        <f t="shared" ref="N46" si="106">SUM(L46:M46)</f>
        <v>2881.34</v>
      </c>
      <c r="O46" s="6">
        <f t="shared" ref="O46" si="107">(Q46)/2000</f>
        <v>0.19639444444444173</v>
      </c>
      <c r="P46" s="6">
        <f t="shared" ref="P46" si="108">Q46</f>
        <v>392.78888888888349</v>
      </c>
      <c r="Q46" s="6">
        <f t="shared" ref="Q46:Q51" si="109">($N46+H46*$J46)/9</f>
        <v>392.78888888888349</v>
      </c>
      <c r="R46" s="6">
        <f t="shared" ref="R46" si="110">$Q$1*Q46*110*0.06*0.75/2000</f>
        <v>11.665829999999838</v>
      </c>
      <c r="S46" s="225"/>
      <c r="T46" s="4">
        <f t="shared" ref="T46:T51" si="111">(N46*$T$1/12)/27+I46</f>
        <v>68.491481481480349</v>
      </c>
      <c r="U46" s="95">
        <f t="shared" ref="U46:U51" si="112">N46/9</f>
        <v>320.14888888888891</v>
      </c>
    </row>
    <row r="47" spans="1:29" ht="12.75" customHeight="1" x14ac:dyDescent="0.2">
      <c r="A47" s="58"/>
      <c r="B47" s="232">
        <v>79126.149999999994</v>
      </c>
      <c r="C47" s="233">
        <v>79219.09</v>
      </c>
      <c r="D47" s="222" t="s">
        <v>38</v>
      </c>
      <c r="E47" s="222">
        <v>1</v>
      </c>
      <c r="F47" s="223">
        <v>1</v>
      </c>
      <c r="G47" s="223">
        <v>0</v>
      </c>
      <c r="H47" s="26">
        <f t="shared" si="102"/>
        <v>3.5</v>
      </c>
      <c r="I47" s="27">
        <f t="shared" ref="I47" si="113">IF(E47=2,$AA$26*2*J47/27,IF(F47=2,$AE$32*2*J47/27,IF(G47=2,$AA$38*2*J47/27,IF(AND(E47=1,F47=1),($AA$26*J47+$AE$32*J47)/27,IF(AND(E47=1,F47=0,G47=0),$AA$26*J47/27,IF(AND(E47=1,G47=1),($AA$26*J47+$AA$38*J47)/27,IF(AND(E47=0,F47=1,G47=0),$AE$32*J47/27,IF(AND(F47=1,G47=1),($AE$32*J47+$AA$38*J47)/27,IF(AND(E47=0,F47=0,G47=1),$AA$38*J47/27,0)))))))))</f>
        <v>6.0238888888890401</v>
      </c>
      <c r="J47" s="4">
        <f t="shared" si="104"/>
        <v>92.940000000002328</v>
      </c>
      <c r="K47" s="224"/>
      <c r="L47" s="14" t="str">
        <f t="shared" si="105"/>
        <v/>
      </c>
      <c r="M47" s="224">
        <v>2657.48</v>
      </c>
      <c r="N47" s="4">
        <f t="shared" ref="N47" si="114">SUM(L47:M47)</f>
        <v>2657.48</v>
      </c>
      <c r="O47" s="6">
        <f t="shared" ref="O47" si="115">(Q47)/2000</f>
        <v>0.16570944444444491</v>
      </c>
      <c r="P47" s="6">
        <f t="shared" ref="P47" si="116">Q47</f>
        <v>331.4188888888898</v>
      </c>
      <c r="Q47" s="6">
        <f t="shared" si="109"/>
        <v>331.4188888888898</v>
      </c>
      <c r="R47" s="6">
        <f t="shared" ref="R47" si="117">$Q$1*Q47*110*0.06*0.75/2000</f>
        <v>9.8431410000000259</v>
      </c>
      <c r="S47" s="225"/>
      <c r="T47" s="4">
        <f t="shared" si="111"/>
        <v>55.236481481481633</v>
      </c>
      <c r="U47" s="95">
        <f t="shared" si="112"/>
        <v>295.27555555555557</v>
      </c>
    </row>
    <row r="48" spans="1:29" ht="12.75" customHeight="1" x14ac:dyDescent="0.2">
      <c r="B48" s="232">
        <v>79219.09</v>
      </c>
      <c r="C48" s="233">
        <v>79432.759999999995</v>
      </c>
      <c r="D48" s="222" t="s">
        <v>38</v>
      </c>
      <c r="E48" s="222">
        <v>2</v>
      </c>
      <c r="F48" s="223">
        <v>0</v>
      </c>
      <c r="G48" s="223">
        <v>0</v>
      </c>
      <c r="H48" s="26">
        <f t="shared" si="102"/>
        <v>3</v>
      </c>
      <c r="I48" s="27">
        <f t="shared" ref="I48" si="118">IF(E48=2,$AA$26*2*J48/27,IF(F48=2,$AA$32*2*J48/27,IF(G48=2,$AA$38*2*J48/27,IF(AND(E48=1,F48=1),($AA$26*J48+$AA$32*J48)/27,IF(AND(E48=1,F48=0,G48=0),$AA$26*J48/27,IF(AND(E48=1,G48=1),($AA$26*J48+$AA$38*J48)/27,IF(AND(E48=0,F48=1,G48=0),$AA$32*J48/27,IF(AND(F48=1,G48=1),($AA$32*J48+$AA$38*J48)/27,IF(AND(E48=0,F48=0,G48=1),$AA$38*J48/27,0)))))))))</f>
        <v>7.9137037037036393</v>
      </c>
      <c r="J48" s="4">
        <f t="shared" si="104"/>
        <v>213.66999999999825</v>
      </c>
      <c r="K48" s="224">
        <v>25</v>
      </c>
      <c r="L48" s="14">
        <f t="shared" si="105"/>
        <v>5341.7499999999563</v>
      </c>
      <c r="M48" s="224"/>
      <c r="N48" s="4">
        <f t="shared" ref="N48" si="119">SUM(L48:M48)</f>
        <v>5341.7499999999563</v>
      </c>
      <c r="O48" s="6">
        <f t="shared" ref="O48" si="120">(Q48)/2000</f>
        <v>0.33237555555555287</v>
      </c>
      <c r="P48" s="6">
        <f t="shared" ref="P48" si="121">Q48</f>
        <v>664.75111111110573</v>
      </c>
      <c r="Q48" s="6">
        <f t="shared" si="109"/>
        <v>664.75111111110573</v>
      </c>
      <c r="R48" s="6">
        <f t="shared" ref="R48" si="122">$Q$1*Q48*110*0.06*0.75/2000</f>
        <v>19.74310799999984</v>
      </c>
      <c r="S48" s="225"/>
      <c r="T48" s="4">
        <f t="shared" si="111"/>
        <v>106.83499999999913</v>
      </c>
      <c r="U48" s="95">
        <f t="shared" si="112"/>
        <v>593.52777777777294</v>
      </c>
    </row>
    <row r="49" spans="1:21" ht="12.75" customHeight="1" x14ac:dyDescent="0.2">
      <c r="B49" s="232">
        <v>79432.759999999995</v>
      </c>
      <c r="C49" s="233">
        <v>79804.87</v>
      </c>
      <c r="D49" s="222" t="s">
        <v>38</v>
      </c>
      <c r="E49" s="222">
        <v>2</v>
      </c>
      <c r="F49" s="223">
        <v>0</v>
      </c>
      <c r="G49" s="223">
        <v>0</v>
      </c>
      <c r="H49" s="26">
        <f t="shared" si="102"/>
        <v>3</v>
      </c>
      <c r="I49" s="27">
        <f t="shared" ref="I49" si="123">IF(E49=2,$AA$26*2*J49/27,IF(F49=2,$AA$32*2*J49/27,IF(G49=2,$AA$38*2*J49/27,IF(AND(E49=1,F49=1),($AA$26*J49+$AA$32*J49)/27,IF(AND(E49=1,F49=0,G49=0),$AA$26*J49/27,IF(AND(E49=1,G49=1),($AA$26*J49+$AA$38*J49)/27,IF(AND(E49=0,F49=1,G49=0),$AA$32*J49/27,IF(AND(F49=1,G49=1),($AA$32*J49+$AA$38*J49)/27,IF(AND(E49=0,F49=0,G49=1),$AA$38*J49/27,0)))))))))</f>
        <v>13.781851851851874</v>
      </c>
      <c r="J49" s="4">
        <f t="shared" si="104"/>
        <v>372.11000000000058</v>
      </c>
      <c r="K49" s="224"/>
      <c r="L49" s="14" t="str">
        <f t="shared" si="105"/>
        <v/>
      </c>
      <c r="M49" s="224">
        <v>13838.2</v>
      </c>
      <c r="N49" s="4">
        <f t="shared" ref="N49" si="124">SUM(L49:M49)</f>
        <v>13838.2</v>
      </c>
      <c r="O49" s="6">
        <f t="shared" ref="O49" si="125">(Q49)/2000</f>
        <v>0.83080722222222236</v>
      </c>
      <c r="P49" s="6">
        <f t="shared" ref="P49" si="126">Q49</f>
        <v>1661.6144444444446</v>
      </c>
      <c r="Q49" s="6">
        <f t="shared" si="109"/>
        <v>1661.6144444444446</v>
      </c>
      <c r="R49" s="6">
        <f t="shared" ref="R49" si="127">$Q$1*Q49*110*0.06*0.75/2000</f>
        <v>49.349949000000002</v>
      </c>
      <c r="S49" s="225"/>
      <c r="T49" s="4">
        <f t="shared" si="111"/>
        <v>270.04481481481486</v>
      </c>
      <c r="U49" s="95">
        <f t="shared" si="112"/>
        <v>1537.5777777777778</v>
      </c>
    </row>
    <row r="50" spans="1:21" ht="12.75" customHeight="1" x14ac:dyDescent="0.2">
      <c r="B50" s="232">
        <v>79804.87</v>
      </c>
      <c r="C50" s="233">
        <v>80203.42</v>
      </c>
      <c r="D50" s="222" t="s">
        <v>38</v>
      </c>
      <c r="E50" s="222">
        <v>2</v>
      </c>
      <c r="F50" s="223">
        <v>0</v>
      </c>
      <c r="G50" s="223">
        <v>0</v>
      </c>
      <c r="H50" s="26">
        <f t="shared" si="102"/>
        <v>3</v>
      </c>
      <c r="I50" s="27">
        <f t="shared" ref="I50:I51" si="128">IF(E50=2,$AA$26*2*J50/27,IF(F50=2,$AA$32*2*J50/27,IF(G50=2,$AA$38*2*J50/27,IF(AND(E50=1,F50=1),($AA$26*J50+$AA$32*J50)/27,IF(AND(E50=1,F50=0,G50=0),$AA$26*J50/27,IF(AND(E50=1,G50=1),($AA$26*J50+$AA$38*J50)/27,IF(AND(E50=0,F50=1,G50=0),$AA$32*J50/27,IF(AND(F50=1,G50=1),($AA$32*J50+$AA$38*J50)/27,IF(AND(E50=0,F50=0,G50=1),$AA$38*J50/27,0)))))))))</f>
        <v>14.761111111111219</v>
      </c>
      <c r="J50" s="4">
        <f t="shared" si="104"/>
        <v>398.55000000000291</v>
      </c>
      <c r="K50" s="224">
        <v>25</v>
      </c>
      <c r="L50" s="14">
        <f t="shared" si="105"/>
        <v>9963.7500000000728</v>
      </c>
      <c r="M50" s="224"/>
      <c r="N50" s="4">
        <f t="shared" ref="N50" si="129">SUM(L50:M50)</f>
        <v>9963.7500000000728</v>
      </c>
      <c r="O50" s="6">
        <f t="shared" ref="O50" si="130">(Q50)/2000</f>
        <v>0.61996666666667122</v>
      </c>
      <c r="P50" s="6">
        <f t="shared" ref="P50" si="131">Q50</f>
        <v>1239.9333333333425</v>
      </c>
      <c r="Q50" s="6">
        <f t="shared" si="109"/>
        <v>1239.9333333333425</v>
      </c>
      <c r="R50" s="6">
        <f t="shared" ref="R50" si="132">$Q$1*Q50*110*0.06*0.75/2000</f>
        <v>36.82602000000027</v>
      </c>
      <c r="S50" s="225"/>
      <c r="T50" s="4">
        <f t="shared" si="111"/>
        <v>199.27500000000146</v>
      </c>
      <c r="U50" s="95">
        <f t="shared" si="112"/>
        <v>1107.0833333333414</v>
      </c>
    </row>
    <row r="51" spans="1:21" ht="12.75" customHeight="1" x14ac:dyDescent="0.2">
      <c r="B51" s="232">
        <v>80203.42</v>
      </c>
      <c r="C51" s="233">
        <v>80257.89</v>
      </c>
      <c r="D51" s="222" t="s">
        <v>38</v>
      </c>
      <c r="E51" s="222">
        <v>1</v>
      </c>
      <c r="F51" s="223">
        <v>1</v>
      </c>
      <c r="G51" s="223">
        <v>0</v>
      </c>
      <c r="H51" s="26">
        <f t="shared" si="102"/>
        <v>3.5</v>
      </c>
      <c r="I51" s="27">
        <f t="shared" si="128"/>
        <v>2.0174074074074504</v>
      </c>
      <c r="J51" s="4">
        <f t="shared" si="104"/>
        <v>54.470000000001164</v>
      </c>
      <c r="K51" s="224">
        <v>27</v>
      </c>
      <c r="L51" s="14">
        <f t="shared" si="105"/>
        <v>1470.6900000000314</v>
      </c>
      <c r="M51" s="224"/>
      <c r="N51" s="4">
        <f t="shared" ref="N51" si="133">SUM(L51:M51)</f>
        <v>1470.6900000000314</v>
      </c>
      <c r="O51" s="6">
        <f t="shared" ref="O51" si="134">(Q51)/2000</f>
        <v>9.2296388888890857E-2</v>
      </c>
      <c r="P51" s="6">
        <f t="shared" ref="P51" si="135">Q51</f>
        <v>184.59277777778172</v>
      </c>
      <c r="Q51" s="6">
        <f t="shared" si="109"/>
        <v>184.59277777778172</v>
      </c>
      <c r="R51" s="6">
        <f t="shared" ref="R51" si="136">$Q$1*Q51*110*0.06*0.75/2000</f>
        <v>5.4824055000001159</v>
      </c>
      <c r="S51" s="225"/>
      <c r="T51" s="4">
        <f t="shared" si="111"/>
        <v>29.252407407408032</v>
      </c>
      <c r="U51" s="95">
        <f t="shared" si="112"/>
        <v>163.41000000000349</v>
      </c>
    </row>
    <row r="52" spans="1:21" ht="12.75" customHeight="1" thickBot="1" x14ac:dyDescent="0.25">
      <c r="A52" s="58"/>
      <c r="B52" s="84"/>
      <c r="C52" s="3"/>
      <c r="D52" s="32"/>
      <c r="E52" s="32"/>
      <c r="F52" s="32"/>
      <c r="G52" s="32"/>
      <c r="H52" s="26"/>
      <c r="I52" s="27"/>
      <c r="J52" s="4"/>
      <c r="K52" s="4"/>
      <c r="L52" s="14"/>
      <c r="M52" s="4"/>
      <c r="N52" s="4"/>
      <c r="O52" s="6"/>
      <c r="P52" s="6"/>
      <c r="Q52" s="6"/>
      <c r="R52" s="6"/>
      <c r="S52" s="7"/>
      <c r="T52" s="4"/>
      <c r="U52" s="19"/>
    </row>
    <row r="53" spans="1:21" ht="12.75" customHeight="1" x14ac:dyDescent="0.2">
      <c r="B53" s="357" t="s">
        <v>148</v>
      </c>
      <c r="C53" s="358"/>
      <c r="D53" s="28"/>
      <c r="E53" s="28"/>
      <c r="F53" s="28"/>
      <c r="G53" s="28"/>
      <c r="H53" s="28"/>
      <c r="I53" s="28"/>
      <c r="J53" s="29"/>
      <c r="K53" s="29"/>
      <c r="L53" s="29"/>
      <c r="M53" s="29"/>
      <c r="N53" s="29"/>
      <c r="O53" s="29"/>
      <c r="P53" s="29"/>
      <c r="Q53" s="29"/>
      <c r="R53" s="30"/>
      <c r="S53" s="30"/>
      <c r="T53" s="29"/>
      <c r="U53" s="242"/>
    </row>
    <row r="54" spans="1:21" ht="12.75" customHeight="1" x14ac:dyDescent="0.2">
      <c r="B54" s="232">
        <v>6424.72</v>
      </c>
      <c r="C54" s="233">
        <v>6505.35</v>
      </c>
      <c r="D54" s="222" t="s">
        <v>38</v>
      </c>
      <c r="E54" s="222">
        <v>0</v>
      </c>
      <c r="F54" s="223">
        <v>2</v>
      </c>
      <c r="G54" s="223">
        <v>0</v>
      </c>
      <c r="H54" s="26">
        <f>IF(E54=2,$X$4*2,IF(F54=2,$AA$10*2,IF(G54=2,$X$16*2,IF(AND(E54=1,F54=1),$X$4+$AA$10,IF(AND(E54=1,F54=0,G54=0),$X$4,IF(AND(E54=1,G54=1),$X$4+$X$16,IF(AND(E54=0,F54=1,G54=0),$AA$10,IF(AND(F54=1,G54=1),$AA$10+$X$16,IF(AND(E54=0,F54=0,G54=1),$X$16,0)))))))))</f>
        <v>4</v>
      </c>
      <c r="I54" s="27">
        <f t="shared" ref="I54" si="137">IF(E54=2,$AA$26*2*J54/27,IF(F54=2,$AE$32*2*J54/27,IF(G54=2,$AA$38*2*J54/27,IF(AND(E54=1,F54=1),($AA$26*J54+$AE$32*J54)/27,IF(AND(E54=1,F54=0,G54=0),$AA$26*J54/27,IF(AND(E54=1,G54=1),($AA$26*J54+$AA$38*J54)/27,IF(AND(E54=0,F54=1,G54=0),$AE$32*J54/27,IF(AND(F54=1,G54=1),($AE$32*J54+$AA$38*J54)/27,IF(AND(E54=0,F54=0,G54=1),$AA$38*J54/27,0)))))))))</f>
        <v>7.4657407407407508</v>
      </c>
      <c r="J54" s="4">
        <f>C54-B54</f>
        <v>80.630000000000109</v>
      </c>
      <c r="K54" s="224"/>
      <c r="L54" s="14" t="str">
        <f t="shared" ref="L54:L55" si="138">IF(K54="","",J54*K54)</f>
        <v/>
      </c>
      <c r="M54" s="224">
        <v>1474.55</v>
      </c>
      <c r="N54" s="4">
        <f t="shared" ref="N54" si="139">SUM(L54:M54)</f>
        <v>1474.55</v>
      </c>
      <c r="O54" s="6">
        <f t="shared" ref="O54" si="140">(Q54)/2000</f>
        <v>9.9837222222222244E-2</v>
      </c>
      <c r="P54" s="6">
        <f t="shared" ref="P54" si="141">Q54</f>
        <v>199.67444444444448</v>
      </c>
      <c r="Q54" s="6">
        <f>($N54+H54*$J54)/9</f>
        <v>199.67444444444448</v>
      </c>
      <c r="R54" s="6">
        <f t="shared" ref="R54" si="142">$Q$1*Q54*110*0.06*0.75/2000</f>
        <v>5.9303310000000007</v>
      </c>
      <c r="S54" s="225"/>
      <c r="T54" s="4">
        <f>(N54*$T$1/12)/27+I54</f>
        <v>34.772222222222233</v>
      </c>
      <c r="U54" s="95">
        <f>N54/9</f>
        <v>163.83888888888887</v>
      </c>
    </row>
    <row r="55" spans="1:21" ht="12.75" customHeight="1" x14ac:dyDescent="0.2">
      <c r="B55" s="232">
        <v>6505.35</v>
      </c>
      <c r="C55" s="233">
        <v>6957.32</v>
      </c>
      <c r="D55" s="222" t="s">
        <v>38</v>
      </c>
      <c r="E55" s="222">
        <v>0</v>
      </c>
      <c r="F55" s="223">
        <v>2</v>
      </c>
      <c r="G55" s="223">
        <v>0</v>
      </c>
      <c r="H55" s="26">
        <f>IF(E55=2,$X$4*2,IF(F55=2,$AA$10*2,IF(G55=2,$X$16*2,IF(AND(E55=1,F55=1),$X$4+$AA$10,IF(AND(E55=1,F55=0,G55=0),$X$4,IF(AND(E55=1,G55=1),$X$4+$X$16,IF(AND(E55=0,F55=1,G55=0),$AA$10,IF(AND(F55=1,G55=1),$AA$10+$X$16,IF(AND(E55=0,F55=0,G55=1),$X$16,0)))))))))</f>
        <v>4</v>
      </c>
      <c r="I55" s="27">
        <f t="shared" ref="I55" si="143">IF(E55=2,$AA$26*2*J55/27,IF(F55=2,$AE$32*2*J55/27,IF(G55=2,$AA$38*2*J55/27,IF(AND(E55=1,F55=1),($AA$26*J55+$AE$32*J55)/27,IF(AND(E55=1,F55=0,G55=0),$AA$26*J55/27,IF(AND(E55=1,G55=1),($AA$26*J55+$AA$38*J55)/27,IF(AND(E55=0,F55=1,G55=0),$AE$32*J55/27,IF(AND(F55=1,G55=1),($AE$32*J55+$AA$38*J55)/27,IF(AND(E55=0,F55=0,G55=1),$AA$38*J55/27,0)))))))))</f>
        <v>41.849074074074011</v>
      </c>
      <c r="J55" s="4">
        <f>C55-B55</f>
        <v>451.96999999999935</v>
      </c>
      <c r="K55" s="224">
        <v>16</v>
      </c>
      <c r="L55" s="14">
        <f t="shared" si="138"/>
        <v>7231.5199999999895</v>
      </c>
      <c r="M55" s="224"/>
      <c r="N55" s="4">
        <f t="shared" ref="N55" si="144">SUM(L55:M55)</f>
        <v>7231.5199999999895</v>
      </c>
      <c r="O55" s="6">
        <f t="shared" ref="O55" si="145">(Q55)/2000</f>
        <v>0.50218888888888824</v>
      </c>
      <c r="P55" s="6">
        <f t="shared" ref="P55" si="146">Q55</f>
        <v>1004.3777777777764</v>
      </c>
      <c r="Q55" s="6">
        <f>($N55+H55*$J55)/9</f>
        <v>1004.3777777777764</v>
      </c>
      <c r="R55" s="6">
        <f t="shared" ref="R55" si="147">$Q$1*Q55*110*0.06*0.75/2000</f>
        <v>29.830019999999958</v>
      </c>
      <c r="S55" s="225"/>
      <c r="T55" s="4">
        <f>(N55*$T$1/12)/27+I55</f>
        <v>175.76611111111083</v>
      </c>
      <c r="U55" s="95">
        <f>N55/9</f>
        <v>803.50222222222101</v>
      </c>
    </row>
    <row r="56" spans="1:21" ht="12.75" customHeight="1" thickBot="1" x14ac:dyDescent="0.25">
      <c r="B56" s="84"/>
      <c r="C56" s="3"/>
      <c r="D56" s="32"/>
      <c r="E56" s="32"/>
      <c r="F56" s="32"/>
      <c r="G56" s="32"/>
      <c r="H56" s="26"/>
      <c r="I56" s="27"/>
      <c r="J56" s="4"/>
      <c r="K56" s="4"/>
      <c r="L56" s="14"/>
      <c r="M56" s="4"/>
      <c r="N56" s="4"/>
      <c r="O56" s="6"/>
      <c r="P56" s="6"/>
      <c r="Q56" s="6"/>
      <c r="R56" s="6"/>
      <c r="S56" s="7"/>
      <c r="T56" s="4"/>
      <c r="U56" s="19"/>
    </row>
    <row r="57" spans="1:21" ht="12.75" customHeight="1" x14ac:dyDescent="0.2">
      <c r="B57" s="357" t="s">
        <v>149</v>
      </c>
      <c r="C57" s="358"/>
      <c r="D57" s="28"/>
      <c r="E57" s="28"/>
      <c r="F57" s="28"/>
      <c r="G57" s="28"/>
      <c r="H57" s="28"/>
      <c r="I57" s="28"/>
      <c r="J57" s="29"/>
      <c r="K57" s="29"/>
      <c r="L57" s="29"/>
      <c r="M57" s="29"/>
      <c r="N57" s="29"/>
      <c r="O57" s="29"/>
      <c r="P57" s="29"/>
      <c r="Q57" s="29"/>
      <c r="R57" s="30"/>
      <c r="S57" s="30"/>
      <c r="T57" s="29"/>
      <c r="U57" s="242"/>
    </row>
    <row r="58" spans="1:21" ht="12.75" customHeight="1" x14ac:dyDescent="0.2">
      <c r="B58" s="232">
        <v>79800.570000000007</v>
      </c>
      <c r="C58" s="233">
        <v>81039.33</v>
      </c>
      <c r="D58" s="222" t="s">
        <v>38</v>
      </c>
      <c r="E58" s="222">
        <v>2</v>
      </c>
      <c r="F58" s="223">
        <v>0</v>
      </c>
      <c r="G58" s="223">
        <v>0</v>
      </c>
      <c r="H58" s="26">
        <f>IF(E58=2,$X$4*2,IF(F58=2,$AA$10*2,IF(G58=2,$X$16*2,IF(AND(E58=1,F58=1),$X$4+$AA$10,IF(AND(E58=1,F58=0,G58=0),$X$4,IF(AND(E58=1,G58=1),$X$4+$X$16,IF(AND(E58=0,F58=1,G58=0),$AA$10,IF(AND(F58=1,G58=1),$AA$10+$X$16,IF(AND(E58=0,F58=0,G58=1),$X$16,0)))))))))</f>
        <v>3</v>
      </c>
      <c r="I58" s="27">
        <f t="shared" ref="I58" si="148">IF(E58=2,$AA$26*2*J58/27,IF(F58=2,$AA$32*2*J58/27,IF(G58=2,$AA$38*2*J58/27,IF(AND(E58=1,F58=1),($AA$26*J58+$AA$32*J58)/27,IF(AND(E58=1,F58=0,G58=0),$AA$26*J58/27,IF(AND(E58=1,G58=1),($AA$26*J58+$AA$38*J58)/27,IF(AND(E58=0,F58=1,G58=0),$AA$32*J58/27,IF(AND(F58=1,G58=1),($AA$32*J58+$AA$38*J58)/27,IF(AND(E58=0,F58=0,G58=1),$AA$38*J58/27,0)))))))))</f>
        <v>45.879999999999804</v>
      </c>
      <c r="J58" s="4">
        <f>C58-B58</f>
        <v>1238.7599999999948</v>
      </c>
      <c r="K58" s="224">
        <v>25</v>
      </c>
      <c r="L58" s="14">
        <f t="shared" ref="L58" si="149">IF(K58="","",J58*K58)</f>
        <v>30968.999999999869</v>
      </c>
      <c r="M58" s="224"/>
      <c r="N58" s="4">
        <f t="shared" ref="N58" si="150">SUM(L58:M58)</f>
        <v>30968.999999999869</v>
      </c>
      <c r="O58" s="6">
        <f t="shared" ref="O58" si="151">(Q58)/2000</f>
        <v>1.9269599999999918</v>
      </c>
      <c r="P58" s="6">
        <f t="shared" ref="P58" si="152">Q58</f>
        <v>3853.9199999999837</v>
      </c>
      <c r="Q58" s="6">
        <f>($N58+H58*$J58)/9</f>
        <v>3853.9199999999837</v>
      </c>
      <c r="R58" s="6">
        <f t="shared" ref="R58" si="153">$Q$1*Q58*110*0.06*0.75/2000</f>
        <v>114.46142399999951</v>
      </c>
      <c r="S58" s="225"/>
      <c r="T58" s="4">
        <f>(N58*$T$1/12)/27+I58</f>
        <v>619.37999999999738</v>
      </c>
      <c r="U58" s="95">
        <f>N58/9</f>
        <v>3440.9999999999854</v>
      </c>
    </row>
    <row r="59" spans="1:21" ht="12.75" customHeight="1" thickBot="1" x14ac:dyDescent="0.25">
      <c r="B59" s="84"/>
      <c r="C59" s="3"/>
      <c r="D59" s="32"/>
      <c r="E59" s="32"/>
      <c r="F59" s="32"/>
      <c r="G59" s="32"/>
      <c r="H59" s="26"/>
      <c r="I59" s="27"/>
      <c r="J59" s="4"/>
      <c r="K59" s="4"/>
      <c r="L59" s="14"/>
      <c r="M59" s="4"/>
      <c r="N59" s="4"/>
      <c r="O59" s="6"/>
      <c r="P59" s="6"/>
      <c r="Q59" s="6"/>
      <c r="R59" s="6"/>
      <c r="S59" s="7"/>
      <c r="T59" s="4"/>
      <c r="U59" s="19"/>
    </row>
    <row r="60" spans="1:21" s="20" customFormat="1" ht="12.75" customHeight="1" x14ac:dyDescent="0.2">
      <c r="B60" s="380" t="s">
        <v>147</v>
      </c>
      <c r="C60" s="381"/>
      <c r="D60" s="384" t="s">
        <v>28</v>
      </c>
      <c r="E60" s="385"/>
      <c r="F60" s="385"/>
      <c r="G60" s="385"/>
      <c r="H60" s="385"/>
      <c r="I60" s="385"/>
      <c r="J60" s="385"/>
      <c r="K60" s="385"/>
      <c r="L60" s="385"/>
      <c r="M60" s="385"/>
      <c r="N60" s="386"/>
      <c r="O60" s="369">
        <f>ROUND(SUM(O15:O58),0)</f>
        <v>12</v>
      </c>
      <c r="P60" s="369">
        <f t="shared" ref="P60:U60" si="154">ROUND(SUM(P15:P58),0)</f>
        <v>24330</v>
      </c>
      <c r="Q60" s="369">
        <f t="shared" si="154"/>
        <v>24330</v>
      </c>
      <c r="R60" s="369">
        <f t="shared" si="154"/>
        <v>723</v>
      </c>
      <c r="S60" s="369">
        <f t="shared" si="154"/>
        <v>0</v>
      </c>
      <c r="T60" s="369">
        <f t="shared" si="154"/>
        <v>3943</v>
      </c>
      <c r="U60" s="369">
        <f t="shared" si="154"/>
        <v>21796</v>
      </c>
    </row>
    <row r="61" spans="1:21" s="20" customFormat="1" ht="12.75" customHeight="1" thickBot="1" x14ac:dyDescent="0.25">
      <c r="B61" s="382"/>
      <c r="C61" s="383"/>
      <c r="D61" s="387"/>
      <c r="E61" s="388"/>
      <c r="F61" s="388"/>
      <c r="G61" s="388"/>
      <c r="H61" s="388"/>
      <c r="I61" s="388"/>
      <c r="J61" s="388"/>
      <c r="K61" s="388"/>
      <c r="L61" s="388"/>
      <c r="M61" s="388"/>
      <c r="N61" s="389"/>
      <c r="O61" s="370"/>
      <c r="P61" s="370"/>
      <c r="Q61" s="370"/>
      <c r="R61" s="370"/>
      <c r="S61" s="370"/>
      <c r="T61" s="370"/>
      <c r="U61" s="370"/>
    </row>
    <row r="64" spans="1:21" x14ac:dyDescent="0.2">
      <c r="C64" s="22"/>
    </row>
    <row r="65" spans="3:3" x14ac:dyDescent="0.2">
      <c r="C65" s="22"/>
    </row>
    <row r="66" spans="3:3" x14ac:dyDescent="0.2">
      <c r="C66" s="22"/>
    </row>
    <row r="67" spans="3:3" x14ac:dyDescent="0.2">
      <c r="C67" s="22"/>
    </row>
    <row r="68" spans="3:3" x14ac:dyDescent="0.2">
      <c r="C68" s="22"/>
    </row>
    <row r="69" spans="3:3" x14ac:dyDescent="0.2">
      <c r="C69" s="22"/>
    </row>
    <row r="70" spans="3:3" x14ac:dyDescent="0.2">
      <c r="C70" s="22"/>
    </row>
    <row r="71" spans="3:3" x14ac:dyDescent="0.2">
      <c r="C71" s="22"/>
    </row>
  </sheetData>
  <mergeCells count="85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L2:L12"/>
    <mergeCell ref="M2:M12"/>
    <mergeCell ref="N2:N12"/>
    <mergeCell ref="AD2:AF2"/>
    <mergeCell ref="O3:O12"/>
    <mergeCell ref="P3:P12"/>
    <mergeCell ref="AA2:AC2"/>
    <mergeCell ref="P2:R2"/>
    <mergeCell ref="U3:U12"/>
    <mergeCell ref="X3:Z3"/>
    <mergeCell ref="AA3:AC3"/>
    <mergeCell ref="AA8:AC8"/>
    <mergeCell ref="Q3:Q12"/>
    <mergeCell ref="R3:R12"/>
    <mergeCell ref="S3:S12"/>
    <mergeCell ref="T3:T12"/>
    <mergeCell ref="X2:Z2"/>
    <mergeCell ref="AD3:AF3"/>
    <mergeCell ref="X4:Z4"/>
    <mergeCell ref="AA4:AC4"/>
    <mergeCell ref="AD4:AF4"/>
    <mergeCell ref="AA7:AF7"/>
    <mergeCell ref="AD8:AF8"/>
    <mergeCell ref="AA9:AC9"/>
    <mergeCell ref="AD9:AF9"/>
    <mergeCell ref="AA10:AC10"/>
    <mergeCell ref="AD10:AF10"/>
    <mergeCell ref="X13:AI13"/>
    <mergeCell ref="B14:C14"/>
    <mergeCell ref="X14:Z14"/>
    <mergeCell ref="AA14:AC14"/>
    <mergeCell ref="AD14:AF14"/>
    <mergeCell ref="AG14:AI14"/>
    <mergeCell ref="AD15:AF15"/>
    <mergeCell ref="AG15:AI15"/>
    <mergeCell ref="X16:Z16"/>
    <mergeCell ref="AA16:AC16"/>
    <mergeCell ref="AD16:AF16"/>
    <mergeCell ref="AG16:AI16"/>
    <mergeCell ref="AA23:AC23"/>
    <mergeCell ref="AA24:AC24"/>
    <mergeCell ref="AA25:AC25"/>
    <mergeCell ref="AA26:AC26"/>
    <mergeCell ref="X15:Z15"/>
    <mergeCell ref="AA15:AC15"/>
    <mergeCell ref="Q60:Q61"/>
    <mergeCell ref="R60:R61"/>
    <mergeCell ref="S60:S61"/>
    <mergeCell ref="AA29:AC29"/>
    <mergeCell ref="AA30:AC30"/>
    <mergeCell ref="AA31:AC31"/>
    <mergeCell ref="AA32:AC32"/>
    <mergeCell ref="AA35:AC35"/>
    <mergeCell ref="AA36:AC36"/>
    <mergeCell ref="B31:C31"/>
    <mergeCell ref="Z24:Z38"/>
    <mergeCell ref="U60:U61"/>
    <mergeCell ref="B24:C24"/>
    <mergeCell ref="AA21:AC21"/>
    <mergeCell ref="B45:C45"/>
    <mergeCell ref="B53:C53"/>
    <mergeCell ref="B57:C57"/>
    <mergeCell ref="T60:T61"/>
    <mergeCell ref="AA37:AC37"/>
    <mergeCell ref="AA38:AC38"/>
    <mergeCell ref="B39:C39"/>
    <mergeCell ref="B60:C61"/>
    <mergeCell ref="D60:N61"/>
    <mergeCell ref="O60:O61"/>
    <mergeCell ref="P60:P61"/>
    <mergeCell ref="AE21:AG21"/>
    <mergeCell ref="AE29:AG29"/>
    <mergeCell ref="AE30:AG30"/>
    <mergeCell ref="AE31:AG31"/>
    <mergeCell ref="AE32:AG32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C1" zoomScaleNormal="100" zoomScaleSheetLayoutView="100" workbookViewId="0">
      <pane ySplit="13" topLeftCell="A14" activePane="bottomLeft" state="frozen"/>
      <selection activeCell="E39" sqref="E39"/>
      <selection pane="bottomLeft" activeCell="E21" sqref="E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5" width="8.5703125" style="1" customWidth="1"/>
    <col min="6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9" t="s">
        <v>111</v>
      </c>
      <c r="Y1" s="359"/>
      <c r="Z1" s="359"/>
      <c r="AA1" s="359"/>
      <c r="AB1" s="359"/>
      <c r="AC1" s="359"/>
      <c r="AD1" s="359"/>
      <c r="AE1" s="359"/>
      <c r="AF1" s="359"/>
    </row>
    <row r="2" spans="2:35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76" t="s">
        <v>116</v>
      </c>
      <c r="J2" s="397" t="s">
        <v>4</v>
      </c>
      <c r="K2" s="397" t="s">
        <v>23</v>
      </c>
      <c r="L2" s="363" t="s">
        <v>17</v>
      </c>
      <c r="M2" s="363" t="s">
        <v>22</v>
      </c>
      <c r="N2" s="363" t="s">
        <v>14</v>
      </c>
      <c r="O2" s="65">
        <v>204</v>
      </c>
      <c r="P2" s="371">
        <v>206</v>
      </c>
      <c r="Q2" s="372"/>
      <c r="R2" s="372"/>
      <c r="S2" s="2">
        <v>252</v>
      </c>
      <c r="T2" s="230">
        <v>304</v>
      </c>
      <c r="U2" s="2">
        <v>452</v>
      </c>
      <c r="X2" s="345" t="s">
        <v>110</v>
      </c>
      <c r="Y2" s="346"/>
      <c r="Z2" s="347"/>
      <c r="AA2" s="345" t="s">
        <v>108</v>
      </c>
      <c r="AB2" s="346"/>
      <c r="AC2" s="347"/>
      <c r="AD2" s="345" t="s">
        <v>109</v>
      </c>
      <c r="AE2" s="346"/>
      <c r="AF2" s="347"/>
    </row>
    <row r="3" spans="2:35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64"/>
      <c r="K3" s="364"/>
      <c r="L3" s="364"/>
      <c r="M3" s="364"/>
      <c r="N3" s="364"/>
      <c r="O3" s="367" t="s">
        <v>7</v>
      </c>
      <c r="P3" s="367" t="s">
        <v>18</v>
      </c>
      <c r="Q3" s="366" t="s">
        <v>19</v>
      </c>
      <c r="R3" s="360" t="s">
        <v>26</v>
      </c>
      <c r="S3" s="360" t="s">
        <v>30</v>
      </c>
      <c r="T3" s="367" t="s">
        <v>9</v>
      </c>
      <c r="U3" s="373" t="s">
        <v>37</v>
      </c>
      <c r="X3" s="348" t="s">
        <v>113</v>
      </c>
      <c r="Y3" s="349"/>
      <c r="Z3" s="350"/>
      <c r="AA3" s="348" t="s">
        <v>112</v>
      </c>
      <c r="AB3" s="349"/>
      <c r="AC3" s="350"/>
      <c r="AD3" s="348" t="s">
        <v>112</v>
      </c>
      <c r="AE3" s="349"/>
      <c r="AF3" s="350"/>
    </row>
    <row r="4" spans="2:35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64"/>
      <c r="K4" s="364"/>
      <c r="L4" s="364"/>
      <c r="M4" s="364"/>
      <c r="N4" s="364"/>
      <c r="O4" s="367"/>
      <c r="P4" s="367"/>
      <c r="Q4" s="361"/>
      <c r="R4" s="361"/>
      <c r="S4" s="361"/>
      <c r="T4" s="367"/>
      <c r="U4" s="374"/>
      <c r="X4" s="353">
        <v>1.5</v>
      </c>
      <c r="Y4" s="354"/>
      <c r="Z4" s="355"/>
      <c r="AA4" s="353">
        <v>0.56999999999999995</v>
      </c>
      <c r="AB4" s="354"/>
      <c r="AC4" s="355"/>
      <c r="AD4" s="353">
        <v>0.67</v>
      </c>
      <c r="AE4" s="354"/>
      <c r="AF4" s="355"/>
    </row>
    <row r="5" spans="2:35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64"/>
      <c r="K5" s="364"/>
      <c r="L5" s="364"/>
      <c r="M5" s="364"/>
      <c r="N5" s="364"/>
      <c r="O5" s="367"/>
      <c r="P5" s="367"/>
      <c r="Q5" s="361"/>
      <c r="R5" s="361"/>
      <c r="S5" s="361"/>
      <c r="T5" s="367"/>
      <c r="U5" s="374"/>
    </row>
    <row r="6" spans="2:35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64"/>
      <c r="K6" s="364"/>
      <c r="L6" s="364"/>
      <c r="M6" s="364"/>
      <c r="N6" s="364"/>
      <c r="O6" s="367"/>
      <c r="P6" s="367"/>
      <c r="Q6" s="361"/>
      <c r="R6" s="361"/>
      <c r="S6" s="361"/>
      <c r="T6" s="367"/>
      <c r="U6" s="374"/>
    </row>
    <row r="7" spans="2:35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64"/>
      <c r="K7" s="364"/>
      <c r="L7" s="364"/>
      <c r="M7" s="364"/>
      <c r="N7" s="364"/>
      <c r="O7" s="367"/>
      <c r="P7" s="367"/>
      <c r="Q7" s="361"/>
      <c r="R7" s="361"/>
      <c r="S7" s="361"/>
      <c r="T7" s="367"/>
      <c r="U7" s="374"/>
      <c r="AA7" s="359" t="s">
        <v>114</v>
      </c>
      <c r="AB7" s="359"/>
      <c r="AC7" s="359"/>
      <c r="AD7" s="359"/>
      <c r="AE7" s="359"/>
      <c r="AF7" s="359"/>
    </row>
    <row r="8" spans="2:35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64"/>
      <c r="K8" s="364"/>
      <c r="L8" s="364"/>
      <c r="M8" s="364"/>
      <c r="N8" s="364"/>
      <c r="O8" s="367"/>
      <c r="P8" s="367"/>
      <c r="Q8" s="361"/>
      <c r="R8" s="361"/>
      <c r="S8" s="361"/>
      <c r="T8" s="367"/>
      <c r="U8" s="374"/>
      <c r="AA8" s="345" t="s">
        <v>110</v>
      </c>
      <c r="AB8" s="346"/>
      <c r="AC8" s="347"/>
      <c r="AD8" s="345" t="s">
        <v>109</v>
      </c>
      <c r="AE8" s="346"/>
      <c r="AF8" s="347"/>
    </row>
    <row r="9" spans="2:35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64"/>
      <c r="K9" s="364"/>
      <c r="L9" s="364"/>
      <c r="M9" s="364"/>
      <c r="N9" s="364"/>
      <c r="O9" s="367"/>
      <c r="P9" s="367"/>
      <c r="Q9" s="361"/>
      <c r="R9" s="361"/>
      <c r="S9" s="361"/>
      <c r="T9" s="367"/>
      <c r="U9" s="374"/>
      <c r="AA9" s="348" t="s">
        <v>113</v>
      </c>
      <c r="AB9" s="349"/>
      <c r="AC9" s="350"/>
      <c r="AD9" s="348" t="s">
        <v>112</v>
      </c>
      <c r="AE9" s="349"/>
      <c r="AF9" s="350"/>
    </row>
    <row r="10" spans="2:35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64"/>
      <c r="K10" s="364"/>
      <c r="L10" s="364"/>
      <c r="M10" s="364"/>
      <c r="N10" s="364"/>
      <c r="O10" s="367"/>
      <c r="P10" s="367"/>
      <c r="Q10" s="361"/>
      <c r="R10" s="361"/>
      <c r="S10" s="361"/>
      <c r="T10" s="367"/>
      <c r="U10" s="374"/>
      <c r="AA10" s="353">
        <v>2</v>
      </c>
      <c r="AB10" s="354"/>
      <c r="AC10" s="355"/>
      <c r="AD10" s="353">
        <v>0.5</v>
      </c>
      <c r="AE10" s="354"/>
      <c r="AF10" s="355"/>
    </row>
    <row r="11" spans="2:35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64"/>
      <c r="K11" s="364"/>
      <c r="L11" s="364"/>
      <c r="M11" s="364"/>
      <c r="N11" s="364"/>
      <c r="O11" s="367"/>
      <c r="P11" s="367"/>
      <c r="Q11" s="361"/>
      <c r="R11" s="361"/>
      <c r="S11" s="361"/>
      <c r="T11" s="367"/>
      <c r="U11" s="374"/>
    </row>
    <row r="12" spans="2:35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65"/>
      <c r="K12" s="365"/>
      <c r="L12" s="365"/>
      <c r="M12" s="365"/>
      <c r="N12" s="365"/>
      <c r="O12" s="367"/>
      <c r="P12" s="367"/>
      <c r="Q12" s="362"/>
      <c r="R12" s="362"/>
      <c r="S12" s="362"/>
      <c r="T12" s="367"/>
      <c r="U12" s="375"/>
    </row>
    <row r="13" spans="2:35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9" t="s">
        <v>118</v>
      </c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</row>
    <row r="14" spans="2:35" ht="12.75" customHeight="1" x14ac:dyDescent="0.2">
      <c r="B14" s="357" t="s">
        <v>150</v>
      </c>
      <c r="C14" s="35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5" t="s">
        <v>110</v>
      </c>
      <c r="Y14" s="346"/>
      <c r="Z14" s="347"/>
      <c r="AA14" s="345" t="s">
        <v>108</v>
      </c>
      <c r="AB14" s="346"/>
      <c r="AC14" s="347"/>
      <c r="AD14" s="345" t="s">
        <v>109</v>
      </c>
      <c r="AE14" s="346"/>
      <c r="AF14" s="347"/>
      <c r="AG14" s="345" t="s">
        <v>119</v>
      </c>
      <c r="AH14" s="346"/>
      <c r="AI14" s="347"/>
    </row>
    <row r="15" spans="2:35" ht="12.75" customHeight="1" x14ac:dyDescent="0.2">
      <c r="B15" s="232">
        <v>85534.63</v>
      </c>
      <c r="C15" s="233">
        <v>86043.89</v>
      </c>
      <c r="D15" s="222" t="s">
        <v>38</v>
      </c>
      <c r="E15" s="222">
        <v>2</v>
      </c>
      <c r="F15" s="223">
        <v>0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18.861481481481288</v>
      </c>
      <c r="J15" s="4">
        <f>C15-B15</f>
        <v>509.25999999999476</v>
      </c>
      <c r="K15" s="224">
        <v>25</v>
      </c>
      <c r="L15" s="14">
        <f>IF(K15="","",J15*K15)</f>
        <v>12731.499999999869</v>
      </c>
      <c r="M15" s="224"/>
      <c r="N15" s="4">
        <f t="shared" ref="N15" si="0">SUM(L15:M15)</f>
        <v>12731.499999999869</v>
      </c>
      <c r="O15" s="6">
        <f t="shared" ref="O15" si="1">(Q15)/2000</f>
        <v>0.79218222222221402</v>
      </c>
      <c r="P15" s="6">
        <f t="shared" ref="P15" si="2">Q15</f>
        <v>1584.364444444428</v>
      </c>
      <c r="Q15" s="6">
        <f>($N15+H15*$J15)/9</f>
        <v>1584.364444444428</v>
      </c>
      <c r="R15" s="6">
        <f t="shared" ref="R15" si="3">$Q$1*Q15*110*0.06*0.75/2000</f>
        <v>47.055623999999511</v>
      </c>
      <c r="S15" s="225"/>
      <c r="T15" s="4">
        <f>(N15*$T$1/12)/27+I15</f>
        <v>254.62999999999738</v>
      </c>
      <c r="U15" s="95">
        <f>N15/9</f>
        <v>1414.6111111110965</v>
      </c>
      <c r="X15" s="348" t="s">
        <v>113</v>
      </c>
      <c r="Y15" s="349"/>
      <c r="Z15" s="350"/>
      <c r="AA15" s="348" t="s">
        <v>112</v>
      </c>
      <c r="AB15" s="349"/>
      <c r="AC15" s="350"/>
      <c r="AD15" s="348" t="s">
        <v>112</v>
      </c>
      <c r="AE15" s="349"/>
      <c r="AF15" s="350"/>
      <c r="AG15" s="348" t="s">
        <v>112</v>
      </c>
      <c r="AH15" s="349"/>
      <c r="AI15" s="350"/>
    </row>
    <row r="16" spans="2:35" ht="12.75" customHeight="1" x14ac:dyDescent="0.2">
      <c r="B16" s="351">
        <v>86043.89</v>
      </c>
      <c r="C16" s="403"/>
      <c r="D16" s="222"/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25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53">
        <v>2</v>
      </c>
      <c r="Y17" s="354"/>
      <c r="Z17" s="355"/>
      <c r="AA17" s="353">
        <v>1.05</v>
      </c>
      <c r="AB17" s="354"/>
      <c r="AC17" s="355"/>
      <c r="AD17" s="353">
        <v>0.92</v>
      </c>
      <c r="AE17" s="354"/>
      <c r="AF17" s="355"/>
      <c r="AG17" s="353">
        <v>7.0000000000000007E-2</v>
      </c>
      <c r="AH17" s="354"/>
      <c r="AI17" s="355"/>
    </row>
    <row r="18" spans="1:35" ht="12.75" customHeight="1" x14ac:dyDescent="0.2">
      <c r="B18" s="357" t="s">
        <v>158</v>
      </c>
      <c r="C18" s="358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85417.8</v>
      </c>
      <c r="C19" s="233">
        <v>85467.8</v>
      </c>
      <c r="D19" s="222" t="s">
        <v>38</v>
      </c>
      <c r="E19" s="222">
        <v>2</v>
      </c>
      <c r="F19" s="223">
        <v>0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1.8518518518518519</v>
      </c>
      <c r="J19" s="4">
        <f>C19-B19</f>
        <v>50</v>
      </c>
      <c r="K19" s="224">
        <v>26</v>
      </c>
      <c r="L19" s="14">
        <f t="shared" ref="L19:L21" si="4">IF(K19="","",J19*K19)</f>
        <v>1300</v>
      </c>
      <c r="M19" s="224"/>
      <c r="N19" s="4">
        <f t="shared" ref="N19" si="5">SUM(L19:M19)</f>
        <v>1300</v>
      </c>
      <c r="O19" s="6">
        <f t="shared" ref="O19" si="6">(Q19)/2000</f>
        <v>8.0555555555555561E-2</v>
      </c>
      <c r="P19" s="6">
        <f t="shared" ref="P19" si="7">Q19</f>
        <v>161.11111111111111</v>
      </c>
      <c r="Q19" s="6">
        <f>($N19+H19*$J19)/9</f>
        <v>161.11111111111111</v>
      </c>
      <c r="R19" s="6">
        <f t="shared" ref="R19" si="8">$Q$1*Q19*110*0.06*0.75/2000</f>
        <v>4.7850000000000001</v>
      </c>
      <c r="S19" s="225"/>
      <c r="T19" s="4">
        <f>(N19*$T$1/12)/27+I19</f>
        <v>25.925925925925924</v>
      </c>
      <c r="U19" s="95">
        <f>N19/9</f>
        <v>144.44444444444446</v>
      </c>
    </row>
    <row r="20" spans="1:35" ht="12.75" customHeight="1" x14ac:dyDescent="0.2">
      <c r="A20" s="58"/>
      <c r="B20" s="232">
        <v>85467.8</v>
      </c>
      <c r="C20" s="233">
        <v>85799.52</v>
      </c>
      <c r="D20" s="222" t="s">
        <v>38</v>
      </c>
      <c r="E20" s="222">
        <v>2</v>
      </c>
      <c r="F20" s="223">
        <v>0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12.285925925925969</v>
      </c>
      <c r="J20" s="4">
        <f>C20-B20</f>
        <v>331.72000000000116</v>
      </c>
      <c r="K20" s="224">
        <v>25</v>
      </c>
      <c r="L20" s="14">
        <f t="shared" si="4"/>
        <v>8293.0000000000291</v>
      </c>
      <c r="M20" s="224"/>
      <c r="N20" s="4">
        <f t="shared" ref="N20" si="9">SUM(L20:M20)</f>
        <v>8293.0000000000291</v>
      </c>
      <c r="O20" s="6">
        <f t="shared" ref="O20" si="10">(Q20)/2000</f>
        <v>0.51600888888889074</v>
      </c>
      <c r="P20" s="6">
        <f t="shared" ref="P20" si="11">Q20</f>
        <v>1032.0177777777815</v>
      </c>
      <c r="Q20" s="6">
        <f>($N20+H20*$J20)/9</f>
        <v>1032.0177777777815</v>
      </c>
      <c r="R20" s="6">
        <f t="shared" ref="R20" si="12">$Q$1*Q20*110*0.06*0.75/2000</f>
        <v>30.650928000000107</v>
      </c>
      <c r="S20" s="225"/>
      <c r="T20" s="4">
        <f>(N20*$T$1/12)/27+I20</f>
        <v>165.86000000000058</v>
      </c>
      <c r="U20" s="95">
        <f>N20/9</f>
        <v>921.44444444444764</v>
      </c>
    </row>
    <row r="21" spans="1:35" ht="12.75" customHeight="1" x14ac:dyDescent="0.2">
      <c r="B21" s="232">
        <v>85799.52</v>
      </c>
      <c r="C21" s="233">
        <v>86000.33</v>
      </c>
      <c r="D21" s="222" t="s">
        <v>38</v>
      </c>
      <c r="E21" s="222">
        <v>2</v>
      </c>
      <c r="F21" s="223">
        <v>0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7.4374074074073215</v>
      </c>
      <c r="J21" s="4">
        <f>C21-B21</f>
        <v>200.80999999999767</v>
      </c>
      <c r="K21" s="224">
        <v>28.97</v>
      </c>
      <c r="L21" s="14">
        <f t="shared" si="4"/>
        <v>5817.4656999999324</v>
      </c>
      <c r="M21" s="224"/>
      <c r="N21" s="4">
        <f t="shared" ref="N21" si="13">SUM(L21:M21)</f>
        <v>5817.4656999999324</v>
      </c>
      <c r="O21" s="6">
        <f t="shared" ref="O21" si="14">(Q21)/2000</f>
        <v>0.35666087222221809</v>
      </c>
      <c r="P21" s="6">
        <f t="shared" ref="P21" si="15">Q21</f>
        <v>713.32174444443615</v>
      </c>
      <c r="Q21" s="6">
        <f>($N21+H21*$J21)/9</f>
        <v>713.32174444443615</v>
      </c>
      <c r="R21" s="6">
        <f t="shared" ref="R21" si="16">$Q$1*Q21*110*0.06*0.75/2000</f>
        <v>21.185655809999748</v>
      </c>
      <c r="S21" s="225"/>
      <c r="T21" s="4">
        <f>(N21*$T$1/12)/27+I21</f>
        <v>115.16825370370236</v>
      </c>
      <c r="U21" s="95">
        <f>N21/9</f>
        <v>646.38507777777022</v>
      </c>
    </row>
    <row r="22" spans="1:35" ht="12.75" customHeight="1" x14ac:dyDescent="0.2">
      <c r="B22" s="351">
        <v>86000.33</v>
      </c>
      <c r="C22" s="403"/>
      <c r="D22" s="222"/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33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9" t="s">
        <v>143</v>
      </c>
      <c r="AB23" s="359"/>
      <c r="AC23" s="359"/>
      <c r="AE23" s="359" t="s">
        <v>141</v>
      </c>
      <c r="AF23" s="359"/>
      <c r="AG23" s="359"/>
    </row>
    <row r="24" spans="1:35" ht="12.75" customHeight="1" x14ac:dyDescent="0.2">
      <c r="B24" s="357" t="s">
        <v>159</v>
      </c>
      <c r="C24" s="35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51">
        <v>86300</v>
      </c>
      <c r="C25" s="403"/>
      <c r="D25" s="222" t="s">
        <v>38</v>
      </c>
      <c r="E25" s="222">
        <v>2</v>
      </c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33</v>
      </c>
      <c r="T25" s="4"/>
      <c r="U25" s="95"/>
      <c r="AA25" s="359" t="s">
        <v>121</v>
      </c>
      <c r="AB25" s="359"/>
      <c r="AC25" s="359"/>
    </row>
    <row r="26" spans="1:35" ht="12.75" customHeight="1" x14ac:dyDescent="0.2">
      <c r="B26" s="232">
        <v>86300</v>
      </c>
      <c r="C26" s="233">
        <v>86449.64</v>
      </c>
      <c r="D26" s="222" t="s">
        <v>38</v>
      </c>
      <c r="E26" s="222">
        <v>2</v>
      </c>
      <c r="F26" s="223"/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5.5422222222222004</v>
      </c>
      <c r="J26" s="4">
        <f>C26-B26</f>
        <v>149.63999999999942</v>
      </c>
      <c r="K26" s="224">
        <v>33</v>
      </c>
      <c r="L26" s="14">
        <f t="shared" ref="L26:L29" si="17">IF(K26="","",J26*K26)</f>
        <v>4938.1199999999808</v>
      </c>
      <c r="M26" s="224"/>
      <c r="N26" s="4">
        <f t="shared" ref="N26" si="18">SUM(L26:M26)</f>
        <v>4938.1199999999808</v>
      </c>
      <c r="O26" s="6">
        <f t="shared" ref="O26" si="19">(Q26)/2000</f>
        <v>0.29927999999999882</v>
      </c>
      <c r="P26" s="6">
        <f t="shared" ref="P26" si="20">Q26</f>
        <v>598.55999999999767</v>
      </c>
      <c r="Q26" s="6">
        <f>($N26+H26*$J26)/9</f>
        <v>598.55999999999767</v>
      </c>
      <c r="R26" s="6">
        <f t="shared" ref="R26" si="21">$Q$1*Q26*110*0.06*0.75/2000</f>
        <v>17.77723199999993</v>
      </c>
      <c r="S26" s="225"/>
      <c r="T26" s="4">
        <f>(N26*$T$1/12)/27+I26</f>
        <v>96.988888888888511</v>
      </c>
      <c r="U26" s="95">
        <f>N26/9</f>
        <v>548.6799999999979</v>
      </c>
      <c r="Z26" s="356" t="s">
        <v>145</v>
      </c>
      <c r="AA26" s="345" t="s">
        <v>109</v>
      </c>
      <c r="AB26" s="346"/>
      <c r="AC26" s="347"/>
    </row>
    <row r="27" spans="1:35" ht="12.75" customHeight="1" x14ac:dyDescent="0.2">
      <c r="B27" s="232">
        <v>86449.64</v>
      </c>
      <c r="C27" s="233">
        <v>86499.64</v>
      </c>
      <c r="D27" s="222" t="s">
        <v>38</v>
      </c>
      <c r="E27" s="222">
        <v>2</v>
      </c>
      <c r="F27" s="223"/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1.8518518518518519</v>
      </c>
      <c r="J27" s="4">
        <f>C27-B27</f>
        <v>50</v>
      </c>
      <c r="K27" s="224">
        <v>29</v>
      </c>
      <c r="L27" s="14">
        <f t="shared" si="17"/>
        <v>1450</v>
      </c>
      <c r="M27" s="224"/>
      <c r="N27" s="4">
        <f t="shared" ref="N27" si="22">SUM(L27:M27)</f>
        <v>1450</v>
      </c>
      <c r="O27" s="6">
        <f t="shared" ref="O27" si="23">(Q27)/2000</f>
        <v>8.8888888888888892E-2</v>
      </c>
      <c r="P27" s="6">
        <f t="shared" ref="P27" si="24">Q27</f>
        <v>177.77777777777777</v>
      </c>
      <c r="Q27" s="6">
        <f>($N27+H27*$J27)/9</f>
        <v>177.77777777777777</v>
      </c>
      <c r="R27" s="6">
        <f t="shared" ref="R27" si="25">$Q$1*Q27*110*0.06*0.75/2000</f>
        <v>5.2799999999999985</v>
      </c>
      <c r="S27" s="225"/>
      <c r="T27" s="4">
        <f>(N27*$T$1/12)/27+I27</f>
        <v>28.703703703703702</v>
      </c>
      <c r="U27" s="95">
        <f>N27/9</f>
        <v>161.11111111111111</v>
      </c>
      <c r="Z27" s="356"/>
      <c r="AA27" s="348" t="s">
        <v>112</v>
      </c>
      <c r="AB27" s="349"/>
      <c r="AC27" s="350"/>
    </row>
    <row r="28" spans="1:35" ht="12.75" customHeight="1" x14ac:dyDescent="0.2">
      <c r="B28" s="232">
        <v>86499.64</v>
      </c>
      <c r="C28" s="233">
        <v>86826.03</v>
      </c>
      <c r="D28" s="222" t="s">
        <v>38</v>
      </c>
      <c r="E28" s="222">
        <v>2</v>
      </c>
      <c r="F28" s="223"/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12.088518518518496</v>
      </c>
      <c r="J28" s="4">
        <f>C28-B28</f>
        <v>326.38999999999942</v>
      </c>
      <c r="K28" s="224">
        <v>25</v>
      </c>
      <c r="L28" s="14">
        <f t="shared" si="17"/>
        <v>8159.7499999999854</v>
      </c>
      <c r="M28" s="224"/>
      <c r="N28" s="4">
        <f t="shared" ref="N28" si="26">SUM(L28:M28)</f>
        <v>8159.7499999999854</v>
      </c>
      <c r="O28" s="6">
        <f t="shared" ref="O28" si="27">(Q28)/2000</f>
        <v>0.50771777777777682</v>
      </c>
      <c r="P28" s="6">
        <f t="shared" ref="P28" si="28">Q28</f>
        <v>1015.4355555555537</v>
      </c>
      <c r="Q28" s="6">
        <f>($N28+H28*$J28)/9</f>
        <v>1015.4355555555537</v>
      </c>
      <c r="R28" s="6">
        <f t="shared" ref="R28" si="29">$Q$1*Q28*110*0.06*0.75/2000</f>
        <v>30.158435999999941</v>
      </c>
      <c r="S28" s="225"/>
      <c r="T28" s="4">
        <f>(N28*$T$1/12)/27+I28</f>
        <v>163.19499999999971</v>
      </c>
      <c r="U28" s="95">
        <f>N28/9</f>
        <v>906.63888888888732</v>
      </c>
      <c r="Z28" s="356"/>
      <c r="AA28" s="353">
        <v>0.5</v>
      </c>
      <c r="AB28" s="354"/>
      <c r="AC28" s="355"/>
    </row>
    <row r="29" spans="1:35" ht="12.75" customHeight="1" x14ac:dyDescent="0.2">
      <c r="B29" s="232">
        <v>86826.03</v>
      </c>
      <c r="C29" s="233">
        <v>86876.03</v>
      </c>
      <c r="D29" s="222" t="s">
        <v>38</v>
      </c>
      <c r="E29" s="222">
        <v>2</v>
      </c>
      <c r="F29" s="223"/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7"/>
        <v>1300</v>
      </c>
      <c r="M29" s="224"/>
      <c r="N29" s="4">
        <f t="shared" ref="N29" si="30">SUM(L29:M29)</f>
        <v>1300</v>
      </c>
      <c r="O29" s="6">
        <f t="shared" ref="O29" si="31">(Q29)/2000</f>
        <v>8.0555555555555561E-2</v>
      </c>
      <c r="P29" s="6">
        <f t="shared" ref="P29" si="32">Q29</f>
        <v>161.11111111111111</v>
      </c>
      <c r="Q29" s="6">
        <f>($N29+H29*$J29)/9</f>
        <v>161.11111111111111</v>
      </c>
      <c r="R29" s="6">
        <f t="shared" ref="R29" si="33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356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6"/>
    </row>
    <row r="31" spans="1:35" ht="12.75" customHeight="1" x14ac:dyDescent="0.2">
      <c r="B31" s="357" t="s">
        <v>160</v>
      </c>
      <c r="C31" s="35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6"/>
      <c r="AA31" s="359" t="s">
        <v>114</v>
      </c>
      <c r="AB31" s="359"/>
      <c r="AC31" s="359"/>
      <c r="AE31" s="359" t="s">
        <v>140</v>
      </c>
      <c r="AF31" s="359"/>
      <c r="AG31" s="359"/>
    </row>
    <row r="32" spans="1:35" ht="12.75" customHeight="1" x14ac:dyDescent="0.2">
      <c r="A32" s="243"/>
      <c r="B32" s="351">
        <v>86171.37</v>
      </c>
      <c r="C32" s="403"/>
      <c r="D32" s="222"/>
      <c r="E32" s="222"/>
      <c r="F32" s="223"/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356"/>
      <c r="AA32" s="345" t="s">
        <v>109</v>
      </c>
      <c r="AB32" s="346"/>
      <c r="AC32" s="347"/>
      <c r="AE32" s="345" t="s">
        <v>109</v>
      </c>
      <c r="AF32" s="346"/>
      <c r="AG32" s="347"/>
    </row>
    <row r="33" spans="1:33" ht="12.75" customHeight="1" x14ac:dyDescent="0.2">
      <c r="A33" s="243"/>
      <c r="B33" s="232">
        <v>86171.37</v>
      </c>
      <c r="C33" s="233">
        <v>86937.47</v>
      </c>
      <c r="D33" s="222" t="s">
        <v>38</v>
      </c>
      <c r="E33" s="222">
        <v>2</v>
      </c>
      <c r="F33" s="223"/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28.37407407407429</v>
      </c>
      <c r="J33" s="4">
        <f>C33-B33</f>
        <v>766.10000000000582</v>
      </c>
      <c r="K33" s="224">
        <v>25</v>
      </c>
      <c r="L33" s="14">
        <f t="shared" ref="L33" si="34">IF(K33="","",J33*K33)</f>
        <v>19152.500000000146</v>
      </c>
      <c r="M33" s="224"/>
      <c r="N33" s="4">
        <f t="shared" ref="N33" si="35">SUM(L33:M33)</f>
        <v>19152.500000000146</v>
      </c>
      <c r="O33" s="6">
        <f t="shared" ref="O33" si="36">(Q33)/2000</f>
        <v>1.19171111111112</v>
      </c>
      <c r="P33" s="6">
        <f t="shared" ref="P33" si="37">Q33</f>
        <v>2383.4222222222402</v>
      </c>
      <c r="Q33" s="6">
        <f>($N33+H33*$J33)/9</f>
        <v>2383.4222222222402</v>
      </c>
      <c r="R33" s="6">
        <f t="shared" ref="R33" si="38">$Q$1*Q33*110*0.06*0.75/2000</f>
        <v>70.787640000000536</v>
      </c>
      <c r="S33" s="225"/>
      <c r="T33" s="4">
        <f>(N33*$T$1/12)/27+I33</f>
        <v>383.05000000000291</v>
      </c>
      <c r="U33" s="95">
        <f>N33/9</f>
        <v>2128.0555555555716</v>
      </c>
      <c r="Z33" s="356"/>
      <c r="AA33" s="348" t="s">
        <v>112</v>
      </c>
      <c r="AB33" s="349"/>
      <c r="AC33" s="350"/>
      <c r="AE33" s="348" t="s">
        <v>112</v>
      </c>
      <c r="AF33" s="349"/>
      <c r="AG33" s="350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356"/>
      <c r="AA34" s="353">
        <v>0.5</v>
      </c>
      <c r="AB34" s="354"/>
      <c r="AC34" s="355"/>
      <c r="AE34" s="353">
        <v>1.25</v>
      </c>
      <c r="AF34" s="354"/>
      <c r="AG34" s="355"/>
    </row>
    <row r="35" spans="1:33" ht="12.75" customHeight="1" x14ac:dyDescent="0.2">
      <c r="B35" s="380" t="s">
        <v>46</v>
      </c>
      <c r="C35" s="381"/>
      <c r="D35" s="384" t="s">
        <v>28</v>
      </c>
      <c r="E35" s="385"/>
      <c r="F35" s="385"/>
      <c r="G35" s="385"/>
      <c r="H35" s="385"/>
      <c r="I35" s="385"/>
      <c r="J35" s="385"/>
      <c r="K35" s="385"/>
      <c r="L35" s="385"/>
      <c r="M35" s="385"/>
      <c r="N35" s="386"/>
      <c r="O35" s="369">
        <f t="shared" ref="O35:U35" si="39">ROUND(SUM(O15:O33),0)</f>
        <v>4</v>
      </c>
      <c r="P35" s="369">
        <f t="shared" si="39"/>
        <v>7827</v>
      </c>
      <c r="Q35" s="369">
        <f t="shared" si="39"/>
        <v>7827</v>
      </c>
      <c r="R35" s="369">
        <f t="shared" si="39"/>
        <v>232</v>
      </c>
      <c r="S35" s="369">
        <f t="shared" si="39"/>
        <v>116</v>
      </c>
      <c r="T35" s="369">
        <f t="shared" si="39"/>
        <v>1259</v>
      </c>
      <c r="U35" s="369">
        <f t="shared" si="39"/>
        <v>7016</v>
      </c>
      <c r="Z35" s="356"/>
    </row>
    <row r="36" spans="1:33" ht="12.75" customHeight="1" thickBot="1" x14ac:dyDescent="0.25">
      <c r="B36" s="382"/>
      <c r="C36" s="383"/>
      <c r="D36" s="387"/>
      <c r="E36" s="388"/>
      <c r="F36" s="388"/>
      <c r="G36" s="388"/>
      <c r="H36" s="388"/>
      <c r="I36" s="388"/>
      <c r="J36" s="388"/>
      <c r="K36" s="388"/>
      <c r="L36" s="388"/>
      <c r="M36" s="388"/>
      <c r="N36" s="389"/>
      <c r="O36" s="370"/>
      <c r="P36" s="370"/>
      <c r="Q36" s="370"/>
      <c r="R36" s="370"/>
      <c r="S36" s="370"/>
      <c r="T36" s="370"/>
      <c r="U36" s="370"/>
      <c r="Z36" s="356"/>
    </row>
    <row r="37" spans="1:33" ht="12.75" customHeight="1" x14ac:dyDescent="0.2">
      <c r="Z37" s="356"/>
      <c r="AA37" s="359" t="s">
        <v>122</v>
      </c>
      <c r="AB37" s="359"/>
      <c r="AC37" s="359"/>
    </row>
    <row r="38" spans="1:33" ht="12.75" customHeight="1" x14ac:dyDescent="0.2">
      <c r="Z38" s="356"/>
      <c r="AA38" s="345" t="s">
        <v>109</v>
      </c>
      <c r="AB38" s="346"/>
      <c r="AC38" s="347"/>
    </row>
    <row r="39" spans="1:33" ht="12.75" customHeight="1" x14ac:dyDescent="0.2">
      <c r="C39" s="22"/>
      <c r="Z39" s="356"/>
      <c r="AA39" s="348" t="s">
        <v>112</v>
      </c>
      <c r="AB39" s="349"/>
      <c r="AC39" s="350"/>
    </row>
    <row r="40" spans="1:33" ht="12.75" customHeight="1" x14ac:dyDescent="0.2">
      <c r="C40" s="22"/>
      <c r="Z40" s="356"/>
      <c r="AA40" s="353">
        <v>0.5</v>
      </c>
      <c r="AB40" s="354"/>
      <c r="AC40" s="355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  <mergeCell ref="T3:T12"/>
    <mergeCell ref="U3:U12"/>
    <mergeCell ref="X3:Z3"/>
    <mergeCell ref="AA7:AF7"/>
    <mergeCell ref="AA3:AC3"/>
    <mergeCell ref="X13:AI13"/>
    <mergeCell ref="B14:C14"/>
    <mergeCell ref="X14:Z14"/>
    <mergeCell ref="AA14:AC14"/>
    <mergeCell ref="AD14:AF14"/>
    <mergeCell ref="AG14:AI14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X15:Z15"/>
    <mergeCell ref="AA15:AC15"/>
    <mergeCell ref="AD15:AF15"/>
    <mergeCell ref="AG15:AI15"/>
    <mergeCell ref="X17:Z17"/>
    <mergeCell ref="AA17:AC17"/>
    <mergeCell ref="AD17:AF17"/>
    <mergeCell ref="AG17:AI17"/>
    <mergeCell ref="AA23:AC23"/>
    <mergeCell ref="AE23:AG23"/>
    <mergeCell ref="AA25:AC25"/>
    <mergeCell ref="B18:C18"/>
    <mergeCell ref="Z26:Z40"/>
    <mergeCell ref="AA26:AC26"/>
    <mergeCell ref="AA27:AC27"/>
    <mergeCell ref="AA28:AC28"/>
    <mergeCell ref="AA31:AC31"/>
    <mergeCell ref="AE31:AG31"/>
    <mergeCell ref="AA38:AC38"/>
    <mergeCell ref="AA39:AC39"/>
    <mergeCell ref="AA40:AC40"/>
    <mergeCell ref="AA32:AC32"/>
    <mergeCell ref="AE32:AG32"/>
    <mergeCell ref="AA33:AC33"/>
    <mergeCell ref="AE33:AG33"/>
    <mergeCell ref="AA34:AC34"/>
    <mergeCell ref="AE34:AG34"/>
    <mergeCell ref="B35:C36"/>
    <mergeCell ref="D35:N36"/>
    <mergeCell ref="O35:O36"/>
    <mergeCell ref="P35:P36"/>
    <mergeCell ref="AA37:AC37"/>
    <mergeCell ref="Q35:Q36"/>
    <mergeCell ref="R35:R36"/>
    <mergeCell ref="S35:S36"/>
    <mergeCell ref="T35:T36"/>
    <mergeCell ref="U35:U36"/>
    <mergeCell ref="B16:C16"/>
    <mergeCell ref="B22:C22"/>
    <mergeCell ref="B25:C25"/>
    <mergeCell ref="B31:C31"/>
    <mergeCell ref="B32:C32"/>
    <mergeCell ref="B24:C24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3"/>
  <sheetViews>
    <sheetView topLeftCell="L1" zoomScaleNormal="100" zoomScaleSheetLayoutView="100" workbookViewId="0">
      <pane ySplit="13" topLeftCell="A14" activePane="bottomLeft" state="frozen"/>
      <selection activeCell="E39" sqref="E39"/>
      <selection pane="bottomLeft" activeCell="N21" sqref="N21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6" width="8.5703125" style="1" customWidth="1"/>
    <col min="7" max="7" width="8.5703125" style="1" hidden="1" customWidth="1"/>
    <col min="8" max="9" width="8.5703125" style="1" customWidth="1"/>
    <col min="10" max="11" width="9.28515625" style="8" customWidth="1"/>
    <col min="12" max="12" width="13.85546875" style="8" customWidth="1"/>
    <col min="13" max="13" width="10" style="8" customWidth="1"/>
    <col min="14" max="14" width="13.42578125" style="8" customWidth="1"/>
    <col min="15" max="15" width="9.28515625" style="8" customWidth="1"/>
    <col min="16" max="18" width="9.28515625" style="11" customWidth="1"/>
    <col min="19" max="19" width="9.28515625" style="13" customWidth="1"/>
    <col min="20" max="20" width="9.28515625" style="8" customWidth="1"/>
    <col min="21" max="21" width="10.28515625" style="1" bestFit="1" customWidth="1"/>
    <col min="22" max="28" width="9.140625" style="1"/>
    <col min="29" max="29" width="9.140625" style="1" customWidth="1"/>
    <col min="30" max="16384" width="9.140625" style="1"/>
  </cols>
  <sheetData>
    <row r="1" spans="2:35" s="15" customFormat="1" ht="13.5" thickBot="1" x14ac:dyDescent="0.25">
      <c r="B1" s="23"/>
      <c r="C1" s="23"/>
      <c r="J1" s="11"/>
      <c r="K1" s="11"/>
      <c r="L1" s="11"/>
      <c r="M1" s="11"/>
      <c r="N1" s="11"/>
      <c r="O1" s="11"/>
      <c r="P1" s="11"/>
      <c r="Q1" s="11">
        <v>12</v>
      </c>
      <c r="R1" s="11"/>
      <c r="S1" s="10"/>
      <c r="T1" s="11">
        <v>6</v>
      </c>
      <c r="X1" s="359" t="s">
        <v>111</v>
      </c>
      <c r="Y1" s="359"/>
      <c r="Z1" s="359"/>
      <c r="AA1" s="359"/>
      <c r="AB1" s="359"/>
      <c r="AC1" s="359"/>
      <c r="AD1" s="359"/>
      <c r="AE1" s="359"/>
      <c r="AF1" s="359"/>
    </row>
    <row r="2" spans="2:35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98" t="s">
        <v>35</v>
      </c>
      <c r="G2" s="376" t="s">
        <v>115</v>
      </c>
      <c r="H2" s="398" t="s">
        <v>39</v>
      </c>
      <c r="I2" s="376" t="s">
        <v>116</v>
      </c>
      <c r="J2" s="397" t="s">
        <v>4</v>
      </c>
      <c r="K2" s="397" t="s">
        <v>23</v>
      </c>
      <c r="L2" s="363" t="s">
        <v>17</v>
      </c>
      <c r="M2" s="363" t="s">
        <v>22</v>
      </c>
      <c r="N2" s="363" t="s">
        <v>14</v>
      </c>
      <c r="O2" s="65">
        <v>204</v>
      </c>
      <c r="P2" s="371">
        <v>206</v>
      </c>
      <c r="Q2" s="372"/>
      <c r="R2" s="372"/>
      <c r="S2" s="2">
        <v>252</v>
      </c>
      <c r="T2" s="230">
        <v>304</v>
      </c>
      <c r="U2" s="2">
        <v>452</v>
      </c>
      <c r="X2" s="345" t="s">
        <v>110</v>
      </c>
      <c r="Y2" s="346"/>
      <c r="Z2" s="347"/>
      <c r="AA2" s="345" t="s">
        <v>108</v>
      </c>
      <c r="AB2" s="346"/>
      <c r="AC2" s="347"/>
      <c r="AD2" s="345" t="s">
        <v>109</v>
      </c>
      <c r="AE2" s="346"/>
      <c r="AF2" s="347"/>
    </row>
    <row r="3" spans="2:35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64"/>
      <c r="K3" s="364"/>
      <c r="L3" s="364"/>
      <c r="M3" s="364"/>
      <c r="N3" s="364"/>
      <c r="O3" s="367" t="s">
        <v>7</v>
      </c>
      <c r="P3" s="367" t="s">
        <v>18</v>
      </c>
      <c r="Q3" s="366" t="s">
        <v>19</v>
      </c>
      <c r="R3" s="360" t="s">
        <v>26</v>
      </c>
      <c r="S3" s="360" t="s">
        <v>30</v>
      </c>
      <c r="T3" s="367" t="s">
        <v>9</v>
      </c>
      <c r="U3" s="373" t="s">
        <v>37</v>
      </c>
      <c r="X3" s="348" t="s">
        <v>113</v>
      </c>
      <c r="Y3" s="349"/>
      <c r="Z3" s="350"/>
      <c r="AA3" s="348" t="s">
        <v>112</v>
      </c>
      <c r="AB3" s="349"/>
      <c r="AC3" s="350"/>
      <c r="AD3" s="348" t="s">
        <v>112</v>
      </c>
      <c r="AE3" s="349"/>
      <c r="AF3" s="350"/>
    </row>
    <row r="4" spans="2:35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64"/>
      <c r="K4" s="364"/>
      <c r="L4" s="364"/>
      <c r="M4" s="364"/>
      <c r="N4" s="364"/>
      <c r="O4" s="367"/>
      <c r="P4" s="367"/>
      <c r="Q4" s="361"/>
      <c r="R4" s="361"/>
      <c r="S4" s="361"/>
      <c r="T4" s="367"/>
      <c r="U4" s="374"/>
      <c r="X4" s="353">
        <v>1.5</v>
      </c>
      <c r="Y4" s="354"/>
      <c r="Z4" s="355"/>
      <c r="AA4" s="353">
        <v>0.56999999999999995</v>
      </c>
      <c r="AB4" s="354"/>
      <c r="AC4" s="355"/>
      <c r="AD4" s="353">
        <v>0.67</v>
      </c>
      <c r="AE4" s="354"/>
      <c r="AF4" s="355"/>
    </row>
    <row r="5" spans="2:35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64"/>
      <c r="K5" s="364"/>
      <c r="L5" s="364"/>
      <c r="M5" s="364"/>
      <c r="N5" s="364"/>
      <c r="O5" s="367"/>
      <c r="P5" s="367"/>
      <c r="Q5" s="361"/>
      <c r="R5" s="361"/>
      <c r="S5" s="361"/>
      <c r="T5" s="367"/>
      <c r="U5" s="374"/>
    </row>
    <row r="6" spans="2:35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64"/>
      <c r="K6" s="364"/>
      <c r="L6" s="364"/>
      <c r="M6" s="364"/>
      <c r="N6" s="364"/>
      <c r="O6" s="367"/>
      <c r="P6" s="367"/>
      <c r="Q6" s="361"/>
      <c r="R6" s="361"/>
      <c r="S6" s="361"/>
      <c r="T6" s="367"/>
      <c r="U6" s="374"/>
    </row>
    <row r="7" spans="2:35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64"/>
      <c r="K7" s="364"/>
      <c r="L7" s="364"/>
      <c r="M7" s="364"/>
      <c r="N7" s="364"/>
      <c r="O7" s="367"/>
      <c r="P7" s="367"/>
      <c r="Q7" s="361"/>
      <c r="R7" s="361"/>
      <c r="S7" s="361"/>
      <c r="T7" s="367"/>
      <c r="U7" s="374"/>
      <c r="AA7" s="359" t="s">
        <v>114</v>
      </c>
      <c r="AB7" s="359"/>
      <c r="AC7" s="359"/>
      <c r="AD7" s="359"/>
      <c r="AE7" s="359"/>
      <c r="AF7" s="359"/>
    </row>
    <row r="8" spans="2:35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64"/>
      <c r="K8" s="364"/>
      <c r="L8" s="364"/>
      <c r="M8" s="364"/>
      <c r="N8" s="364"/>
      <c r="O8" s="367"/>
      <c r="P8" s="367"/>
      <c r="Q8" s="361"/>
      <c r="R8" s="361"/>
      <c r="S8" s="361"/>
      <c r="T8" s="367"/>
      <c r="U8" s="374"/>
      <c r="AA8" s="345" t="s">
        <v>110</v>
      </c>
      <c r="AB8" s="346"/>
      <c r="AC8" s="347"/>
      <c r="AD8" s="345" t="s">
        <v>109</v>
      </c>
      <c r="AE8" s="346"/>
      <c r="AF8" s="347"/>
    </row>
    <row r="9" spans="2:35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64"/>
      <c r="K9" s="364"/>
      <c r="L9" s="364"/>
      <c r="M9" s="364"/>
      <c r="N9" s="364"/>
      <c r="O9" s="367"/>
      <c r="P9" s="367"/>
      <c r="Q9" s="361"/>
      <c r="R9" s="361"/>
      <c r="S9" s="361"/>
      <c r="T9" s="367"/>
      <c r="U9" s="374"/>
      <c r="AA9" s="348" t="s">
        <v>113</v>
      </c>
      <c r="AB9" s="349"/>
      <c r="AC9" s="350"/>
      <c r="AD9" s="348" t="s">
        <v>112</v>
      </c>
      <c r="AE9" s="349"/>
      <c r="AF9" s="350"/>
    </row>
    <row r="10" spans="2:35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64"/>
      <c r="K10" s="364"/>
      <c r="L10" s="364"/>
      <c r="M10" s="364"/>
      <c r="N10" s="364"/>
      <c r="O10" s="367"/>
      <c r="P10" s="367"/>
      <c r="Q10" s="361"/>
      <c r="R10" s="361"/>
      <c r="S10" s="361"/>
      <c r="T10" s="367"/>
      <c r="U10" s="374"/>
      <c r="AA10" s="353">
        <v>2</v>
      </c>
      <c r="AB10" s="354"/>
      <c r="AC10" s="355"/>
      <c r="AD10" s="353">
        <v>0.5</v>
      </c>
      <c r="AE10" s="354"/>
      <c r="AF10" s="355"/>
    </row>
    <row r="11" spans="2:35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64"/>
      <c r="K11" s="364"/>
      <c r="L11" s="364"/>
      <c r="M11" s="364"/>
      <c r="N11" s="364"/>
      <c r="O11" s="367"/>
      <c r="P11" s="367"/>
      <c r="Q11" s="361"/>
      <c r="R11" s="361"/>
      <c r="S11" s="361"/>
      <c r="T11" s="367"/>
      <c r="U11" s="374"/>
    </row>
    <row r="12" spans="2:35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65"/>
      <c r="K12" s="365"/>
      <c r="L12" s="365"/>
      <c r="M12" s="365"/>
      <c r="N12" s="365"/>
      <c r="O12" s="367"/>
      <c r="P12" s="367"/>
      <c r="Q12" s="362"/>
      <c r="R12" s="362"/>
      <c r="S12" s="362"/>
      <c r="T12" s="367"/>
      <c r="U12" s="375"/>
    </row>
    <row r="13" spans="2:35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5" t="s">
        <v>5</v>
      </c>
      <c r="I13" s="5" t="s">
        <v>12</v>
      </c>
      <c r="J13" s="5" t="s">
        <v>5</v>
      </c>
      <c r="K13" s="5" t="s">
        <v>5</v>
      </c>
      <c r="L13" s="5" t="s">
        <v>6</v>
      </c>
      <c r="M13" s="5" t="s">
        <v>6</v>
      </c>
      <c r="N13" s="5" t="s">
        <v>6</v>
      </c>
      <c r="O13" s="5" t="s">
        <v>11</v>
      </c>
      <c r="P13" s="5" t="s">
        <v>10</v>
      </c>
      <c r="Q13" s="5" t="s">
        <v>10</v>
      </c>
      <c r="R13" s="5" t="s">
        <v>25</v>
      </c>
      <c r="S13" s="5" t="s">
        <v>5</v>
      </c>
      <c r="T13" s="5" t="s">
        <v>12</v>
      </c>
      <c r="U13" s="86" t="s">
        <v>10</v>
      </c>
      <c r="X13" s="359" t="s">
        <v>118</v>
      </c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</row>
    <row r="14" spans="2:35" ht="12.75" customHeight="1" x14ac:dyDescent="0.2">
      <c r="B14" s="357" t="s">
        <v>161</v>
      </c>
      <c r="C14" s="35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  <c r="Q14" s="29"/>
      <c r="R14" s="30"/>
      <c r="S14" s="30"/>
      <c r="T14" s="29"/>
      <c r="U14" s="89"/>
      <c r="X14" s="345" t="s">
        <v>110</v>
      </c>
      <c r="Y14" s="346"/>
      <c r="Z14" s="347"/>
      <c r="AA14" s="345" t="s">
        <v>108</v>
      </c>
      <c r="AB14" s="346"/>
      <c r="AC14" s="347"/>
      <c r="AD14" s="345" t="s">
        <v>109</v>
      </c>
      <c r="AE14" s="346"/>
      <c r="AF14" s="347"/>
      <c r="AG14" s="345" t="s">
        <v>119</v>
      </c>
      <c r="AH14" s="346"/>
      <c r="AI14" s="347"/>
    </row>
    <row r="15" spans="2:35" ht="12.75" customHeight="1" x14ac:dyDescent="0.2">
      <c r="B15" s="232">
        <v>91744.72</v>
      </c>
      <c r="C15" s="233">
        <v>92200</v>
      </c>
      <c r="D15" s="222" t="s">
        <v>38</v>
      </c>
      <c r="E15" s="222">
        <v>1</v>
      </c>
      <c r="F15" s="223">
        <v>1</v>
      </c>
      <c r="G15" s="223">
        <v>0</v>
      </c>
      <c r="H15" s="26">
        <f>IF(E15=2,$X$4*2,IF(F15=2,$AA$10*2,IF(G15=2,$X$17*2,IF(AND(E15=1,F15=1),$X$4+$AA$10,IF(AND(E15=1,F15=0,G15=0),$X$4,IF(AND(E15=1,G15=1),$X$4+$X$17,IF(AND(E15=0,F15=1,G15=0),$AA$10,IF(AND(F15=1,G15=1),$AA$10+$X$17,IF(AND(E15=0,F15=0,G15=1),$X$17,0)))))))))</f>
        <v>3.5</v>
      </c>
      <c r="I15" s="27">
        <f>IF(E15=2,$AA$28*2*J15/27,IF(F15=2,$AA$34*2*J15/27,IF(G15=2,$AA$40*2*J15/27,IF(AND(E15=1,F15=1),($AA$28*J15+$AA$34*J15)/27,IF(AND(E15=1,F15=0,G15=0),$AA$28*J15/27,IF(AND(E15=1,G15=1),($AA$28*J15+$AA$40*J15)/27,IF(AND(E15=0,F15=1,G15=0),$AA$34*J15/27,IF(AND(F15=1,G15=1),($AA$34*J15+$AA$40*J15)/27,IF(AND(E15=0,F15=0,G15=1),$AA$40*J15/27,0)))))))))</f>
        <v>16.862222222222179</v>
      </c>
      <c r="J15" s="4">
        <f>C15-B15</f>
        <v>455.27999999999884</v>
      </c>
      <c r="K15" s="224">
        <v>27</v>
      </c>
      <c r="L15" s="14">
        <f t="shared" ref="L15" si="0">IF(K15="","",J15*K15)</f>
        <v>12292.559999999969</v>
      </c>
      <c r="M15" s="224"/>
      <c r="N15" s="4">
        <f t="shared" ref="N15" si="1">SUM(L15:M15)</f>
        <v>12292.559999999969</v>
      </c>
      <c r="O15" s="6">
        <f t="shared" ref="O15" si="2">(Q15)/2000</f>
        <v>0.77144666666666462</v>
      </c>
      <c r="P15" s="6">
        <f t="shared" ref="P15" si="3">Q15</f>
        <v>1542.8933333333293</v>
      </c>
      <c r="Q15" s="6">
        <f>($N15+H15*$J15)/9</f>
        <v>1542.8933333333293</v>
      </c>
      <c r="R15" s="6">
        <f t="shared" ref="R15" si="4">$Q$1*Q15*110*0.06*0.75/2000</f>
        <v>45.823931999999878</v>
      </c>
      <c r="S15" s="225"/>
      <c r="T15" s="4">
        <f>(N15*$T$1/12)/27+I15</f>
        <v>244.5022222222216</v>
      </c>
      <c r="U15" s="95">
        <f>N15/9</f>
        <v>1365.8399999999965</v>
      </c>
      <c r="X15" s="348" t="s">
        <v>113</v>
      </c>
      <c r="Y15" s="349"/>
      <c r="Z15" s="350"/>
      <c r="AA15" s="348" t="s">
        <v>112</v>
      </c>
      <c r="AB15" s="349"/>
      <c r="AC15" s="350"/>
      <c r="AD15" s="348" t="s">
        <v>112</v>
      </c>
      <c r="AE15" s="349"/>
      <c r="AF15" s="350"/>
      <c r="AG15" s="348" t="s">
        <v>112</v>
      </c>
      <c r="AH15" s="349"/>
      <c r="AI15" s="350"/>
    </row>
    <row r="16" spans="2:35" ht="12.75" customHeight="1" x14ac:dyDescent="0.2">
      <c r="B16" s="351">
        <v>92200</v>
      </c>
      <c r="C16" s="403"/>
      <c r="D16" s="222" t="s">
        <v>38</v>
      </c>
      <c r="E16" s="222"/>
      <c r="F16" s="223"/>
      <c r="G16" s="223"/>
      <c r="H16" s="26"/>
      <c r="I16" s="27"/>
      <c r="J16" s="4"/>
      <c r="K16" s="224"/>
      <c r="L16" s="14"/>
      <c r="M16" s="224"/>
      <c r="N16" s="4"/>
      <c r="O16" s="6"/>
      <c r="P16" s="6"/>
      <c r="Q16" s="6"/>
      <c r="R16" s="6"/>
      <c r="S16" s="225">
        <v>27</v>
      </c>
      <c r="T16" s="4"/>
      <c r="U16" s="265"/>
      <c r="X16" s="236"/>
      <c r="Y16" s="237"/>
      <c r="Z16" s="238"/>
      <c r="AA16" s="236"/>
      <c r="AB16" s="237"/>
      <c r="AC16" s="238"/>
      <c r="AD16" s="236"/>
      <c r="AE16" s="237"/>
      <c r="AF16" s="238"/>
      <c r="AG16" s="236"/>
      <c r="AH16" s="237"/>
      <c r="AI16" s="238"/>
    </row>
    <row r="17" spans="1:35" ht="12.75" customHeight="1" thickBot="1" x14ac:dyDescent="0.25">
      <c r="B17" s="84"/>
      <c r="C17" s="3"/>
      <c r="D17" s="32"/>
      <c r="E17" s="32"/>
      <c r="F17" s="32"/>
      <c r="G17" s="32"/>
      <c r="H17" s="26"/>
      <c r="I17" s="27"/>
      <c r="J17" s="4"/>
      <c r="K17" s="4"/>
      <c r="L17" s="14"/>
      <c r="M17" s="4"/>
      <c r="N17" s="4"/>
      <c r="O17" s="6"/>
      <c r="P17" s="6"/>
      <c r="Q17" s="6"/>
      <c r="R17" s="6"/>
      <c r="S17" s="7"/>
      <c r="T17" s="4"/>
      <c r="U17" s="19"/>
      <c r="X17" s="353">
        <v>2</v>
      </c>
      <c r="Y17" s="354"/>
      <c r="Z17" s="355"/>
      <c r="AA17" s="353">
        <v>1.05</v>
      </c>
      <c r="AB17" s="354"/>
      <c r="AC17" s="355"/>
      <c r="AD17" s="353">
        <v>0.92</v>
      </c>
      <c r="AE17" s="354"/>
      <c r="AF17" s="355"/>
      <c r="AG17" s="353">
        <v>7.0000000000000007E-2</v>
      </c>
      <c r="AH17" s="354"/>
      <c r="AI17" s="355"/>
    </row>
    <row r="18" spans="1:35" ht="12.75" customHeight="1" x14ac:dyDescent="0.2">
      <c r="B18" s="357" t="s">
        <v>162</v>
      </c>
      <c r="C18" s="358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  <c r="Q18" s="29"/>
      <c r="R18" s="30"/>
      <c r="S18" s="30"/>
      <c r="T18" s="29"/>
      <c r="U18" s="242"/>
    </row>
    <row r="19" spans="1:35" ht="12.75" customHeight="1" x14ac:dyDescent="0.2">
      <c r="A19" s="58"/>
      <c r="B19" s="232">
        <v>91676.03</v>
      </c>
      <c r="C19" s="233">
        <v>91814.59</v>
      </c>
      <c r="D19" s="222" t="s">
        <v>38</v>
      </c>
      <c r="E19" s="222">
        <v>1</v>
      </c>
      <c r="F19" s="223">
        <v>1</v>
      </c>
      <c r="G19" s="223"/>
      <c r="H19" s="26">
        <f>IF(E19=2,$X$4*2,IF(F19=2,$AA$10*2,IF(G19=2,$X$17*2,IF(AND(E19=1,F19=1),$X$4+$AA$10,IF(AND(E19=1,F19=0,G19=0),$X$4,IF(AND(E19=1,G19=1),$X$4+$X$17,IF(AND(E19=0,F19=1,G19=0),$AA$10,IF(AND(F19=1,G19=1),$AA$10+$X$17,IF(AND(E19=0,F19=0,G19=1),$X$17,0)))))))))</f>
        <v>3.5</v>
      </c>
      <c r="I19" s="27">
        <f>IF(E19=2,$AA$28*2*J19/27,IF(F19=2,$AA$34*2*J19/27,IF(G19=2,$AA$40*2*J19/27,IF(AND(E19=1,F19=1),($AA$28*J19+$AA$34*J19)/27,IF(AND(E19=1,F19=0,G19=0),$AA$28*J19/27,IF(AND(E19=1,G19=1),($AA$28*J19+$AA$40*J19)/27,IF(AND(E19=0,F19=1,G19=0),$AA$34*J19/27,IF(AND(F19=1,G19=1),($AA$34*J19+$AA$40*J19)/27,IF(AND(E19=0,F19=0,G19=1),$AA$40*J19/27,0)))))))))</f>
        <v>5.1318518518517653</v>
      </c>
      <c r="J19" s="4">
        <f>C19-B19</f>
        <v>138.55999999999767</v>
      </c>
      <c r="K19" s="224">
        <v>29</v>
      </c>
      <c r="L19" s="14">
        <f t="shared" ref="L19:L21" si="5">IF(K19="","",J19*K19)</f>
        <v>4018.2399999999325</v>
      </c>
      <c r="M19" s="224"/>
      <c r="N19" s="4">
        <f>SUM(L19:M19)</f>
        <v>4018.2399999999325</v>
      </c>
      <c r="O19" s="6">
        <f t="shared" ref="O19" si="6">(Q19)/2000</f>
        <v>0.25017777777777356</v>
      </c>
      <c r="P19" s="6">
        <f t="shared" ref="P19" si="7">Q19</f>
        <v>500.35555555554714</v>
      </c>
      <c r="Q19" s="6">
        <f>($N19+H19*$J19)/9</f>
        <v>500.35555555554714</v>
      </c>
      <c r="R19" s="6">
        <f t="shared" ref="R19" si="8">$Q$1*Q19*110*0.06*0.75/2000</f>
        <v>14.860559999999747</v>
      </c>
      <c r="S19" s="225"/>
      <c r="T19" s="4">
        <f>(N19*$T$1/12)/27+I19</f>
        <v>79.543703703702363</v>
      </c>
      <c r="U19" s="95">
        <f>N19/9</f>
        <v>446.4711111111036</v>
      </c>
    </row>
    <row r="20" spans="1:35" ht="12.75" customHeight="1" x14ac:dyDescent="0.2">
      <c r="A20" s="58"/>
      <c r="B20" s="232">
        <v>91814.59</v>
      </c>
      <c r="C20" s="233">
        <v>91864.59</v>
      </c>
      <c r="D20" s="222" t="s">
        <v>38</v>
      </c>
      <c r="E20" s="222">
        <v>1</v>
      </c>
      <c r="F20" s="223">
        <v>1</v>
      </c>
      <c r="G20" s="223"/>
      <c r="H20" s="26">
        <f>IF(E20=2,$X$4*2,IF(F20=2,$AA$10*2,IF(G20=2,$X$17*2,IF(AND(E20=1,F20=1),$X$4+$AA$10,IF(AND(E20=1,F20=0,G20=0),$X$4,IF(AND(E20=1,G20=1),$X$4+$X$17,IF(AND(E20=0,F20=1,G20=0),$AA$10,IF(AND(F20=1,G20=1),$AA$10+$X$17,IF(AND(E20=0,F20=0,G20=1),$X$17,0)))))))))</f>
        <v>3.5</v>
      </c>
      <c r="I20" s="27">
        <f>IF(E20=2,$AA$28*2*J20/27,IF(F20=2,$AA$34*2*J20/27,IF(G20=2,$AA$40*2*J20/27,IF(AND(E20=1,F20=1),($AA$28*J20+$AA$34*J20)/27,IF(AND(E20=1,F20=0,G20=0),$AA$28*J20/27,IF(AND(E20=1,G20=1),($AA$28*J20+$AA$40*J20)/27,IF(AND(E20=0,F20=1,G20=0),$AA$34*J20/27,IF(AND(F20=1,G20=1),($AA$34*J20+$AA$40*J20)/27,IF(AND(E20=0,F20=0,G20=1),$AA$40*J20/27,0)))))))))</f>
        <v>1.8518518518518519</v>
      </c>
      <c r="J20" s="4">
        <f>C20-B20</f>
        <v>50</v>
      </c>
      <c r="K20" s="224">
        <v>38</v>
      </c>
      <c r="L20" s="14">
        <f t="shared" si="5"/>
        <v>1900</v>
      </c>
      <c r="M20" s="224"/>
      <c r="N20" s="4">
        <f>SUM(L20:M20)</f>
        <v>1900</v>
      </c>
      <c r="O20" s="6">
        <f t="shared" ref="O20" si="9">(Q20)/2000</f>
        <v>0.11527777777777777</v>
      </c>
      <c r="P20" s="6">
        <f t="shared" ref="P20" si="10">Q20</f>
        <v>230.55555555555554</v>
      </c>
      <c r="Q20" s="6">
        <f>($N20+H20*$J20)/9</f>
        <v>230.55555555555554</v>
      </c>
      <c r="R20" s="6">
        <f t="shared" ref="R20" si="11">$Q$1*Q20*110*0.06*0.75/2000</f>
        <v>6.8474999999999984</v>
      </c>
      <c r="S20" s="225"/>
      <c r="T20" s="4">
        <f>(N20*$T$1/12)/27+I20</f>
        <v>37.037037037037038</v>
      </c>
      <c r="U20" s="95">
        <f>N20/9</f>
        <v>211.11111111111111</v>
      </c>
    </row>
    <row r="21" spans="1:35" ht="12.75" customHeight="1" x14ac:dyDescent="0.2">
      <c r="B21" s="232">
        <v>91864.59</v>
      </c>
      <c r="C21" s="233">
        <v>92367.96</v>
      </c>
      <c r="D21" s="222" t="s">
        <v>38</v>
      </c>
      <c r="E21" s="222">
        <v>1</v>
      </c>
      <c r="F21" s="223">
        <v>1</v>
      </c>
      <c r="G21" s="223"/>
      <c r="H21" s="26">
        <f>IF(E21=2,$X$4*2,IF(F21=2,$AA$10*2,IF(G21=2,$X$17*2,IF(AND(E21=1,F21=1),$X$4+$AA$10,IF(AND(E21=1,F21=0,G21=0),$X$4,IF(AND(E21=1,G21=1),$X$4+$X$17,IF(AND(E21=0,F21=1,G21=0),$AA$10,IF(AND(F21=1,G21=1),$AA$10+$X$17,IF(AND(E21=0,F21=0,G21=1),$X$17,0)))))))))</f>
        <v>3.5</v>
      </c>
      <c r="I21" s="27">
        <f>IF(E21=2,$AA$28*2*J21/27,IF(F21=2,$AA$34*2*J21/27,IF(G21=2,$AA$40*2*J21/27,IF(AND(E21=1,F21=1),($AA$28*J21+$AA$34*J21)/27,IF(AND(E21=1,F21=0,G21=0),$AA$28*J21/27,IF(AND(E21=1,G21=1),($AA$28*J21+$AA$40*J21)/27,IF(AND(E21=0,F21=1,G21=0),$AA$34*J21/27,IF(AND(F21=1,G21=1),($AA$34*J21+$AA$40*J21)/27,IF(AND(E21=0,F21=0,G21=1),$AA$40*J21/27,0)))))))))</f>
        <v>18.6433333333337</v>
      </c>
      <c r="J21" s="4">
        <f>C21-B21</f>
        <v>503.3700000000099</v>
      </c>
      <c r="K21" s="224">
        <v>47</v>
      </c>
      <c r="L21" s="14">
        <f t="shared" si="5"/>
        <v>23658.390000000465</v>
      </c>
      <c r="M21" s="224"/>
      <c r="N21" s="4">
        <f t="shared" ref="N21" si="12">SUM(L21:M21)</f>
        <v>23658.390000000465</v>
      </c>
      <c r="O21" s="6">
        <f t="shared" ref="O21" si="13">(Q21)/2000</f>
        <v>1.4122325000000278</v>
      </c>
      <c r="P21" s="6">
        <f t="shared" ref="P21" si="14">Q21</f>
        <v>2824.4650000000556</v>
      </c>
      <c r="Q21" s="6">
        <f>($N21+H21*$J21)/9</f>
        <v>2824.4650000000556</v>
      </c>
      <c r="R21" s="6">
        <f t="shared" ref="R21" si="15">$Q$1*Q21*110*0.06*0.75/2000</f>
        <v>83.886610500001652</v>
      </c>
      <c r="S21" s="225"/>
      <c r="T21" s="4">
        <f>(N21*$T$1/12)/27+I21</f>
        <v>456.76166666667564</v>
      </c>
      <c r="U21" s="95">
        <f>N21/9</f>
        <v>2628.7100000000519</v>
      </c>
    </row>
    <row r="22" spans="1:35" ht="12.75" customHeight="1" x14ac:dyDescent="0.2">
      <c r="B22" s="351">
        <v>92367.96</v>
      </c>
      <c r="C22" s="403"/>
      <c r="D22" s="222" t="s">
        <v>38</v>
      </c>
      <c r="E22" s="222"/>
      <c r="F22" s="223"/>
      <c r="G22" s="223"/>
      <c r="H22" s="26"/>
      <c r="I22" s="27"/>
      <c r="J22" s="4"/>
      <c r="K22" s="224"/>
      <c r="L22" s="14"/>
      <c r="M22" s="224"/>
      <c r="N22" s="4"/>
      <c r="O22" s="6"/>
      <c r="P22" s="6"/>
      <c r="Q22" s="6"/>
      <c r="R22" s="6"/>
      <c r="S22" s="225">
        <v>47</v>
      </c>
      <c r="T22" s="4"/>
      <c r="U22" s="265"/>
    </row>
    <row r="23" spans="1:35" ht="12.75" customHeight="1" thickBot="1" x14ac:dyDescent="0.25">
      <c r="B23" s="84"/>
      <c r="C23" s="3"/>
      <c r="D23" s="32"/>
      <c r="E23" s="32"/>
      <c r="F23" s="32"/>
      <c r="G23" s="32"/>
      <c r="H23" s="26"/>
      <c r="I23" s="27"/>
      <c r="J23" s="4"/>
      <c r="K23" s="4"/>
      <c r="L23" s="14"/>
      <c r="M23" s="4"/>
      <c r="N23" s="4"/>
      <c r="O23" s="6"/>
      <c r="P23" s="6"/>
      <c r="Q23" s="6"/>
      <c r="R23" s="6"/>
      <c r="S23" s="7"/>
      <c r="T23" s="4"/>
      <c r="U23" s="19"/>
      <c r="AA23" s="359" t="s">
        <v>143</v>
      </c>
      <c r="AB23" s="359"/>
      <c r="AC23" s="359"/>
      <c r="AE23" s="359" t="s">
        <v>141</v>
      </c>
      <c r="AF23" s="359"/>
      <c r="AG23" s="359"/>
    </row>
    <row r="24" spans="1:35" ht="12.75" customHeight="1" x14ac:dyDescent="0.2">
      <c r="B24" s="357" t="s">
        <v>163</v>
      </c>
      <c r="C24" s="35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  <c r="Q24" s="29"/>
      <c r="R24" s="30"/>
      <c r="S24" s="30"/>
      <c r="T24" s="29"/>
      <c r="U24" s="242"/>
    </row>
    <row r="25" spans="1:35" ht="12.75" customHeight="1" x14ac:dyDescent="0.2">
      <c r="B25" s="351">
        <v>93025.84</v>
      </c>
      <c r="C25" s="403"/>
      <c r="D25" s="222" t="s">
        <v>38</v>
      </c>
      <c r="E25" s="222"/>
      <c r="F25" s="223"/>
      <c r="G25" s="223"/>
      <c r="H25" s="26"/>
      <c r="I25" s="27"/>
      <c r="J25" s="4"/>
      <c r="K25" s="224"/>
      <c r="L25" s="14"/>
      <c r="M25" s="224"/>
      <c r="N25" s="4"/>
      <c r="O25" s="6"/>
      <c r="P25" s="6"/>
      <c r="Q25" s="6"/>
      <c r="R25" s="6"/>
      <c r="S25" s="225">
        <v>35</v>
      </c>
      <c r="T25" s="4"/>
      <c r="U25" s="95"/>
      <c r="AA25" s="359" t="s">
        <v>121</v>
      </c>
      <c r="AB25" s="359"/>
      <c r="AC25" s="359"/>
    </row>
    <row r="26" spans="1:35" ht="12.75" customHeight="1" x14ac:dyDescent="0.2">
      <c r="B26" s="232">
        <v>93025.84</v>
      </c>
      <c r="C26" s="233">
        <v>93093.38</v>
      </c>
      <c r="D26" s="222" t="s">
        <v>38</v>
      </c>
      <c r="E26" s="222">
        <v>2</v>
      </c>
      <c r="F26" s="223">
        <v>0</v>
      </c>
      <c r="G26" s="223"/>
      <c r="H26" s="26">
        <f>IF(E26=2,$X$4*2,IF(F26=2,$AA$10*2,IF(G26=2,$X$17*2,IF(AND(E26=1,F26=1),$X$4+$AA$10,IF(AND(E26=1,F26=0,G26=0),$X$4,IF(AND(E26=1,G26=1),$X$4+$X$17,IF(AND(E26=0,F26=1,G26=0),$AA$10,IF(AND(F26=1,G26=1),$AA$10+$X$17,IF(AND(E26=0,F26=0,G26=1),$X$17,0)))))))))</f>
        <v>3</v>
      </c>
      <c r="I26" s="27">
        <f>IF(E26=2,$AA$28*2*J26/27,IF(F26=2,$AA$34*2*J26/27,IF(G26=2,$AA$40*2*J26/27,IF(AND(E26=1,F26=1),($AA$28*J26+$AA$34*J26)/27,IF(AND(E26=1,F26=0,G26=0),$AA$28*J26/27,IF(AND(E26=1,G26=1),($AA$28*J26+$AA$40*J26)/27,IF(AND(E26=0,F26=1,G26=0),$AA$34*J26/27,IF(AND(F26=1,G26=1),($AA$34*J26+$AA$40*J26)/27,IF(AND(E26=0,F26=0,G26=1),$AA$40*J26/27,0)))))))))</f>
        <v>2.5014814814817834</v>
      </c>
      <c r="J26" s="4">
        <f>C26-B26</f>
        <v>67.540000000008149</v>
      </c>
      <c r="K26" s="224">
        <v>35</v>
      </c>
      <c r="L26" s="14">
        <f t="shared" ref="L26:L29" si="16">IF(K26="","",J26*K26)</f>
        <v>2363.9000000002852</v>
      </c>
      <c r="M26" s="224"/>
      <c r="N26" s="4">
        <f t="shared" ref="N26" si="17">SUM(L26:M26)</f>
        <v>2363.9000000002852</v>
      </c>
      <c r="O26" s="6">
        <f t="shared" ref="O26" si="18">(Q26)/2000</f>
        <v>0.14258444444446164</v>
      </c>
      <c r="P26" s="6">
        <f t="shared" ref="P26" si="19">Q26</f>
        <v>285.16888888892328</v>
      </c>
      <c r="Q26" s="6">
        <f>($N26+H26*$J26)/9</f>
        <v>285.16888888892328</v>
      </c>
      <c r="R26" s="6">
        <f t="shared" ref="R26" si="20">$Q$1*Q26*110*0.06*0.75/2000</f>
        <v>8.4695160000010219</v>
      </c>
      <c r="S26" s="225"/>
      <c r="T26" s="4">
        <f>(N26*$T$1/12)/27+I26</f>
        <v>46.277407407412987</v>
      </c>
      <c r="U26" s="95">
        <f>N26/9</f>
        <v>262.65555555558723</v>
      </c>
      <c r="Z26" s="356" t="s">
        <v>145</v>
      </c>
      <c r="AA26" s="345" t="s">
        <v>109</v>
      </c>
      <c r="AB26" s="346"/>
      <c r="AC26" s="347"/>
    </row>
    <row r="27" spans="1:35" ht="12.75" customHeight="1" x14ac:dyDescent="0.2">
      <c r="B27" s="232">
        <v>93093.38</v>
      </c>
      <c r="C27" s="233">
        <v>93143.1</v>
      </c>
      <c r="D27" s="222" t="s">
        <v>38</v>
      </c>
      <c r="E27" s="222">
        <v>2</v>
      </c>
      <c r="F27" s="223">
        <v>0</v>
      </c>
      <c r="G27" s="223"/>
      <c r="H27" s="26">
        <f>IF(E27=2,$X$4*2,IF(F27=2,$AA$10*2,IF(G27=2,$X$17*2,IF(AND(E27=1,F27=1),$X$4+$AA$10,IF(AND(E27=1,F27=0,G27=0),$X$4,IF(AND(E27=1,G27=1),$X$4+$X$17,IF(AND(E27=0,F27=1,G27=0),$AA$10,IF(AND(F27=1,G27=1),$AA$10+$X$17,IF(AND(E27=0,F27=0,G27=1),$X$17,0)))))))))</f>
        <v>3</v>
      </c>
      <c r="I27" s="27">
        <f>IF(E27=2,$AA$28*2*J27/27,IF(F27=2,$AA$34*2*J27/27,IF(G27=2,$AA$40*2*J27/27,IF(AND(E27=1,F27=1),($AA$28*J27+$AA$34*J27)/27,IF(AND(E27=1,F27=0,G27=0),$AA$28*J27/27,IF(AND(E27=1,G27=1),($AA$28*J27+$AA$40*J27)/27,IF(AND(E27=0,F27=1,G27=0),$AA$34*J27/27,IF(AND(F27=1,G27=1),($AA$34*J27+$AA$40*J27)/27,IF(AND(E27=0,F27=0,G27=1),$AA$40*J27/27,0)))))))))</f>
        <v>1.8414814814815246</v>
      </c>
      <c r="J27" s="4">
        <f>C27-B27</f>
        <v>49.720000000001164</v>
      </c>
      <c r="K27" s="224">
        <v>30</v>
      </c>
      <c r="L27" s="14">
        <f t="shared" si="16"/>
        <v>1491.6000000000349</v>
      </c>
      <c r="M27" s="224"/>
      <c r="N27" s="4">
        <f>SUM(L27:M27)</f>
        <v>1491.6000000000349</v>
      </c>
      <c r="O27" s="6">
        <f t="shared" ref="O27" si="21">(Q27)/2000</f>
        <v>9.1153333333335473E-2</v>
      </c>
      <c r="P27" s="6">
        <f t="shared" ref="P27" si="22">Q27</f>
        <v>182.30666666667094</v>
      </c>
      <c r="Q27" s="6">
        <f>($N27+H27*$J27)/9</f>
        <v>182.30666666667094</v>
      </c>
      <c r="R27" s="6">
        <f t="shared" ref="R27" si="23">$Q$1*Q27*110*0.06*0.75/2000</f>
        <v>5.4145080000001276</v>
      </c>
      <c r="S27" s="225"/>
      <c r="T27" s="4">
        <f>(N27*$T$1/12)/27+I27</f>
        <v>29.463703703704393</v>
      </c>
      <c r="U27" s="95">
        <f>N27/9</f>
        <v>165.73333333333721</v>
      </c>
      <c r="Z27" s="356"/>
      <c r="AA27" s="348" t="s">
        <v>112</v>
      </c>
      <c r="AB27" s="349"/>
      <c r="AC27" s="350"/>
    </row>
    <row r="28" spans="1:35" ht="12.75" customHeight="1" x14ac:dyDescent="0.2">
      <c r="B28" s="232">
        <v>93143.1</v>
      </c>
      <c r="C28" s="233">
        <v>93209.63</v>
      </c>
      <c r="D28" s="222" t="s">
        <v>38</v>
      </c>
      <c r="E28" s="222">
        <v>2</v>
      </c>
      <c r="F28" s="223">
        <v>0</v>
      </c>
      <c r="G28" s="223"/>
      <c r="H28" s="26">
        <f>IF(E28=2,$X$4*2,IF(F28=2,$AA$10*2,IF(G28=2,$X$17*2,IF(AND(E28=1,F28=1),$X$4+$AA$10,IF(AND(E28=1,F28=0,G28=0),$X$4,IF(AND(E28=1,G28=1),$X$4+$X$17,IF(AND(E28=0,F28=1,G28=0),$AA$10,IF(AND(F28=1,G28=1),$AA$10+$X$17,IF(AND(E28=0,F28=0,G28=1),$X$17,0)))))))))</f>
        <v>3</v>
      </c>
      <c r="I28" s="27">
        <f>IF(E28=2,$AA$28*2*J28/27,IF(F28=2,$AA$34*2*J28/27,IF(G28=2,$AA$40*2*J28/27,IF(AND(E28=1,F28=1),($AA$28*J28+$AA$34*J28)/27,IF(AND(E28=1,F28=0,G28=0),$AA$28*J28/27,IF(AND(E28=1,G28=1),($AA$28*J28+$AA$40*J28)/27,IF(AND(E28=0,F28=1,G28=0),$AA$34*J28/27,IF(AND(F28=1,G28=1),($AA$34*J28+$AA$40*J28)/27,IF(AND(E28=0,F28=0,G28=1),$AA$40*J28/27,0)))))))))</f>
        <v>2.464074074074031</v>
      </c>
      <c r="J28" s="4">
        <f>C28-B28</f>
        <v>66.529999999998836</v>
      </c>
      <c r="K28" s="224">
        <v>25</v>
      </c>
      <c r="L28" s="14">
        <f t="shared" si="16"/>
        <v>1663.2499999999709</v>
      </c>
      <c r="M28" s="224"/>
      <c r="N28" s="4">
        <f>SUM(L28:M28)</f>
        <v>1663.2499999999709</v>
      </c>
      <c r="O28" s="6">
        <f t="shared" ref="O28" si="24">(Q28)/2000</f>
        <v>0.1034911111111093</v>
      </c>
      <c r="P28" s="6">
        <f t="shared" ref="P28" si="25">Q28</f>
        <v>206.98222222221861</v>
      </c>
      <c r="Q28" s="6">
        <f>($N28+H28*$J28)/9</f>
        <v>206.98222222221861</v>
      </c>
      <c r="R28" s="6">
        <f t="shared" ref="R28" si="26">$Q$1*Q28*110*0.06*0.75/2000</f>
        <v>6.1473719999998924</v>
      </c>
      <c r="S28" s="225"/>
      <c r="T28" s="4">
        <f>(N28*$T$1/12)/27+I28</f>
        <v>33.264999999999418</v>
      </c>
      <c r="U28" s="95">
        <f>N28/9</f>
        <v>184.80555555555233</v>
      </c>
      <c r="Z28" s="356"/>
      <c r="AA28" s="353">
        <v>0.5</v>
      </c>
      <c r="AB28" s="354"/>
      <c r="AC28" s="355"/>
    </row>
    <row r="29" spans="1:35" ht="12.75" customHeight="1" x14ac:dyDescent="0.2">
      <c r="B29" s="232">
        <v>93209.63</v>
      </c>
      <c r="C29" s="233">
        <v>93259.63</v>
      </c>
      <c r="D29" s="222" t="s">
        <v>38</v>
      </c>
      <c r="E29" s="222">
        <v>2</v>
      </c>
      <c r="F29" s="223">
        <v>0</v>
      </c>
      <c r="G29" s="223"/>
      <c r="H29" s="26">
        <f>IF(E29=2,$X$4*2,IF(F29=2,$AA$10*2,IF(G29=2,$X$17*2,IF(AND(E29=1,F29=1),$X$4+$AA$10,IF(AND(E29=1,F29=0,G29=0),$X$4,IF(AND(E29=1,G29=1),$X$4+$X$17,IF(AND(E29=0,F29=1,G29=0),$AA$10,IF(AND(F29=1,G29=1),$AA$10+$X$17,IF(AND(E29=0,F29=0,G29=1),$X$17,0)))))))))</f>
        <v>3</v>
      </c>
      <c r="I29" s="27">
        <f>IF(E29=2,$AA$28*2*J29/27,IF(F29=2,$AA$34*2*J29/27,IF(G29=2,$AA$40*2*J29/27,IF(AND(E29=1,F29=1),($AA$28*J29+$AA$34*J29)/27,IF(AND(E29=1,F29=0,G29=0),$AA$28*J29/27,IF(AND(E29=1,G29=1),($AA$28*J29+$AA$40*J29)/27,IF(AND(E29=0,F29=1,G29=0),$AA$34*J29/27,IF(AND(F29=1,G29=1),($AA$34*J29+$AA$40*J29)/27,IF(AND(E29=0,F29=0,G29=1),$AA$40*J29/27,0)))))))))</f>
        <v>1.8518518518518519</v>
      </c>
      <c r="J29" s="4">
        <f>C29-B29</f>
        <v>50</v>
      </c>
      <c r="K29" s="224">
        <v>26</v>
      </c>
      <c r="L29" s="14">
        <f t="shared" si="16"/>
        <v>1300</v>
      </c>
      <c r="M29" s="224"/>
      <c r="N29" s="4">
        <f>SUM(L29:M29)</f>
        <v>1300</v>
      </c>
      <c r="O29" s="6">
        <f t="shared" ref="O29" si="27">(Q29)/2000</f>
        <v>8.0555555555555561E-2</v>
      </c>
      <c r="P29" s="6">
        <f t="shared" ref="P29" si="28">Q29</f>
        <v>161.11111111111111</v>
      </c>
      <c r="Q29" s="6">
        <f>($N29+H29*$J29)/9</f>
        <v>161.11111111111111</v>
      </c>
      <c r="R29" s="6">
        <f t="shared" ref="R29" si="29">$Q$1*Q29*110*0.06*0.75/2000</f>
        <v>4.7850000000000001</v>
      </c>
      <c r="S29" s="225"/>
      <c r="T29" s="4">
        <f>(N29*$T$1/12)/27+I29</f>
        <v>25.925925925925924</v>
      </c>
      <c r="U29" s="95">
        <f>N29/9</f>
        <v>144.44444444444446</v>
      </c>
      <c r="Z29" s="356"/>
    </row>
    <row r="30" spans="1:35" ht="12.75" customHeight="1" thickBot="1" x14ac:dyDescent="0.25">
      <c r="B30" s="84"/>
      <c r="C30" s="3"/>
      <c r="D30" s="32"/>
      <c r="E30" s="32"/>
      <c r="F30" s="32"/>
      <c r="G30" s="32"/>
      <c r="H30" s="26"/>
      <c r="I30" s="27"/>
      <c r="J30" s="4"/>
      <c r="K30" s="4"/>
      <c r="L30" s="14"/>
      <c r="M30" s="4"/>
      <c r="N30" s="4"/>
      <c r="O30" s="6"/>
      <c r="P30" s="6"/>
      <c r="Q30" s="6"/>
      <c r="R30" s="6"/>
      <c r="S30" s="7"/>
      <c r="T30" s="4"/>
      <c r="U30" s="19"/>
      <c r="Z30" s="356"/>
    </row>
    <row r="31" spans="1:35" ht="12.75" customHeight="1" x14ac:dyDescent="0.2">
      <c r="B31" s="357" t="s">
        <v>164</v>
      </c>
      <c r="C31" s="35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  <c r="Q31" s="29"/>
      <c r="R31" s="30"/>
      <c r="S31" s="30"/>
      <c r="T31" s="29"/>
      <c r="U31" s="242"/>
      <c r="Z31" s="356"/>
      <c r="AA31" s="359" t="s">
        <v>114</v>
      </c>
      <c r="AB31" s="359"/>
      <c r="AC31" s="359"/>
      <c r="AE31" s="359" t="s">
        <v>140</v>
      </c>
      <c r="AF31" s="359"/>
      <c r="AG31" s="359"/>
    </row>
    <row r="32" spans="1:35" ht="12.75" customHeight="1" x14ac:dyDescent="0.2">
      <c r="A32" s="243"/>
      <c r="B32" s="351">
        <v>92900</v>
      </c>
      <c r="C32" s="403"/>
      <c r="D32" s="222" t="s">
        <v>38</v>
      </c>
      <c r="E32" s="222">
        <v>2</v>
      </c>
      <c r="F32" s="223">
        <v>0</v>
      </c>
      <c r="G32" s="223"/>
      <c r="H32" s="26"/>
      <c r="I32" s="27"/>
      <c r="J32" s="4"/>
      <c r="K32" s="224"/>
      <c r="L32" s="14"/>
      <c r="M32" s="224"/>
      <c r="N32" s="4"/>
      <c r="O32" s="6"/>
      <c r="P32" s="6"/>
      <c r="Q32" s="6"/>
      <c r="R32" s="6"/>
      <c r="S32" s="225">
        <v>25</v>
      </c>
      <c r="T32" s="4"/>
      <c r="U32" s="95"/>
      <c r="Z32" s="356"/>
      <c r="AA32" s="345" t="s">
        <v>109</v>
      </c>
      <c r="AB32" s="346"/>
      <c r="AC32" s="347"/>
      <c r="AE32" s="345" t="s">
        <v>109</v>
      </c>
      <c r="AF32" s="346"/>
      <c r="AG32" s="347"/>
    </row>
    <row r="33" spans="1:33" ht="12.75" customHeight="1" x14ac:dyDescent="0.2">
      <c r="A33" s="243"/>
      <c r="B33" s="232">
        <v>92900</v>
      </c>
      <c r="C33" s="233">
        <v>93267.61</v>
      </c>
      <c r="D33" s="222" t="s">
        <v>38</v>
      </c>
      <c r="E33" s="222">
        <v>2</v>
      </c>
      <c r="F33" s="223">
        <v>0</v>
      </c>
      <c r="G33" s="223"/>
      <c r="H33" s="26">
        <f>IF(E33=2,$X$4*2,IF(F33=2,$AA$10*2,IF(G33=2,$X$17*2,IF(AND(E33=1,F33=1),$X$4+$AA$10,IF(AND(E33=1,F33=0,G33=0),$X$4,IF(AND(E33=1,G33=1),$X$4+$X$17,IF(AND(E33=0,F33=1,G33=0),$AA$10,IF(AND(F33=1,G33=1),$AA$10+$X$17,IF(AND(E33=0,F33=0,G33=1),$X$17,0)))))))))</f>
        <v>3</v>
      </c>
      <c r="I33" s="27">
        <f>IF(E33=2,$AA$28*2*J33/27,IF(F33=2,$AA$34*2*J33/27,IF(G33=2,$AA$40*2*J33/27,IF(AND(E33=1,F33=1),($AA$28*J33+$AA$34*J33)/27,IF(AND(E33=1,F33=0,G33=0),$AA$28*J33/27,IF(AND(E33=1,G33=1),($AA$28*J33+$AA$40*J33)/27,IF(AND(E33=0,F33=1,G33=0),$AA$34*J33/27,IF(AND(F33=1,G33=1),($AA$34*J33+$AA$40*J33)/27,IF(AND(E33=0,F33=0,G33=1),$AA$40*J33/27,0)))))))))</f>
        <v>13.615185185185206</v>
      </c>
      <c r="J33" s="4">
        <f>C33-B33</f>
        <v>367.61000000000058</v>
      </c>
      <c r="K33" s="224">
        <v>25</v>
      </c>
      <c r="L33" s="14">
        <f t="shared" ref="L33" si="30">IF(K33="","",J33*K33)</f>
        <v>9190.2500000000146</v>
      </c>
      <c r="M33" s="224"/>
      <c r="N33" s="4">
        <f>SUM(L33:M33)</f>
        <v>9190.2500000000146</v>
      </c>
      <c r="O33" s="6">
        <f t="shared" ref="O33" si="31">(Q33)/2000</f>
        <v>0.57183777777777867</v>
      </c>
      <c r="P33" s="6">
        <f t="shared" ref="P33" si="32">Q33</f>
        <v>1143.6755555555574</v>
      </c>
      <c r="Q33" s="6">
        <f>($N33+H33*$J33)/9</f>
        <v>1143.6755555555574</v>
      </c>
      <c r="R33" s="6">
        <f t="shared" ref="R33" si="33">$Q$1*Q33*110*0.06*0.75/2000</f>
        <v>33.967164000000047</v>
      </c>
      <c r="S33" s="225"/>
      <c r="T33" s="4">
        <f>(N33*$T$1/12)/27+I33</f>
        <v>183.80500000000029</v>
      </c>
      <c r="U33" s="95">
        <f>N33/9</f>
        <v>1021.1388888888905</v>
      </c>
      <c r="Z33" s="356"/>
      <c r="AA33" s="348" t="s">
        <v>112</v>
      </c>
      <c r="AB33" s="349"/>
      <c r="AC33" s="350"/>
      <c r="AE33" s="348" t="s">
        <v>112</v>
      </c>
      <c r="AF33" s="349"/>
      <c r="AG33" s="350"/>
    </row>
    <row r="34" spans="1:33" s="58" customFormat="1" ht="12.75" customHeight="1" thickBot="1" x14ac:dyDescent="0.25">
      <c r="B34" s="84"/>
      <c r="C34" s="3"/>
      <c r="D34" s="32"/>
      <c r="E34" s="32"/>
      <c r="F34" s="32"/>
      <c r="G34" s="32"/>
      <c r="H34" s="26"/>
      <c r="I34" s="27"/>
      <c r="J34" s="4"/>
      <c r="K34" s="4"/>
      <c r="L34" s="14"/>
      <c r="M34" s="4"/>
      <c r="N34" s="4"/>
      <c r="O34" s="6"/>
      <c r="P34" s="6"/>
      <c r="Q34" s="6"/>
      <c r="R34" s="6"/>
      <c r="S34" s="7"/>
      <c r="T34" s="4"/>
      <c r="U34" s="19"/>
      <c r="Z34" s="356"/>
      <c r="AA34" s="353">
        <v>0.5</v>
      </c>
      <c r="AB34" s="354"/>
      <c r="AC34" s="355"/>
      <c r="AE34" s="353">
        <v>1.25</v>
      </c>
      <c r="AF34" s="354"/>
      <c r="AG34" s="355"/>
    </row>
    <row r="35" spans="1:33" ht="12.75" customHeight="1" x14ac:dyDescent="0.2">
      <c r="B35" s="380" t="s">
        <v>165</v>
      </c>
      <c r="C35" s="381"/>
      <c r="D35" s="384" t="s">
        <v>28</v>
      </c>
      <c r="E35" s="385"/>
      <c r="F35" s="385"/>
      <c r="G35" s="385"/>
      <c r="H35" s="385"/>
      <c r="I35" s="385"/>
      <c r="J35" s="385"/>
      <c r="K35" s="385"/>
      <c r="L35" s="385"/>
      <c r="M35" s="385"/>
      <c r="N35" s="386"/>
      <c r="O35" s="369">
        <f t="shared" ref="O35:U35" si="34">ROUND(SUM(O15:O33),0)</f>
        <v>4</v>
      </c>
      <c r="P35" s="369">
        <f t="shared" si="34"/>
        <v>7078</v>
      </c>
      <c r="Q35" s="369">
        <f t="shared" si="34"/>
        <v>7078</v>
      </c>
      <c r="R35" s="369">
        <f t="shared" si="34"/>
        <v>210</v>
      </c>
      <c r="S35" s="369">
        <f t="shared" si="34"/>
        <v>134</v>
      </c>
      <c r="T35" s="369">
        <f t="shared" si="34"/>
        <v>1137</v>
      </c>
      <c r="U35" s="369">
        <f t="shared" si="34"/>
        <v>6431</v>
      </c>
      <c r="Z35" s="356"/>
    </row>
    <row r="36" spans="1:33" ht="12.75" customHeight="1" thickBot="1" x14ac:dyDescent="0.25">
      <c r="B36" s="382"/>
      <c r="C36" s="383"/>
      <c r="D36" s="387"/>
      <c r="E36" s="388"/>
      <c r="F36" s="388"/>
      <c r="G36" s="388"/>
      <c r="H36" s="388"/>
      <c r="I36" s="388"/>
      <c r="J36" s="388"/>
      <c r="K36" s="388"/>
      <c r="L36" s="388"/>
      <c r="M36" s="388"/>
      <c r="N36" s="389"/>
      <c r="O36" s="370"/>
      <c r="P36" s="370"/>
      <c r="Q36" s="370"/>
      <c r="R36" s="370"/>
      <c r="S36" s="370"/>
      <c r="T36" s="370"/>
      <c r="U36" s="370"/>
      <c r="Z36" s="356"/>
    </row>
    <row r="37" spans="1:33" ht="12.75" customHeight="1" x14ac:dyDescent="0.2">
      <c r="Z37" s="356"/>
      <c r="AA37" s="359" t="s">
        <v>122</v>
      </c>
      <c r="AB37" s="359"/>
      <c r="AC37" s="359"/>
    </row>
    <row r="38" spans="1:33" ht="12.75" customHeight="1" x14ac:dyDescent="0.2">
      <c r="Z38" s="356"/>
      <c r="AA38" s="345" t="s">
        <v>109</v>
      </c>
      <c r="AB38" s="346"/>
      <c r="AC38" s="347"/>
    </row>
    <row r="39" spans="1:33" ht="12.75" customHeight="1" x14ac:dyDescent="0.2">
      <c r="C39" s="22"/>
      <c r="Z39" s="356"/>
      <c r="AA39" s="348" t="s">
        <v>112</v>
      </c>
      <c r="AB39" s="349"/>
      <c r="AC39" s="350"/>
    </row>
    <row r="40" spans="1:33" ht="12.75" customHeight="1" x14ac:dyDescent="0.2">
      <c r="C40" s="22"/>
      <c r="Z40" s="356"/>
      <c r="AA40" s="353">
        <v>0.5</v>
      </c>
      <c r="AB40" s="354"/>
      <c r="AC40" s="355"/>
    </row>
    <row r="41" spans="1:33" ht="12.75" customHeight="1" x14ac:dyDescent="0.2">
      <c r="C41" s="22"/>
    </row>
    <row r="42" spans="1:33" ht="12.75" customHeight="1" x14ac:dyDescent="0.2">
      <c r="C42" s="22"/>
    </row>
    <row r="43" spans="1:33" ht="12.75" customHeight="1" x14ac:dyDescent="0.2">
      <c r="C43" s="22"/>
    </row>
    <row r="44" spans="1:33" ht="12.75" customHeight="1" x14ac:dyDescent="0.2">
      <c r="C44" s="22"/>
    </row>
    <row r="45" spans="1:33" ht="12.75" customHeight="1" x14ac:dyDescent="0.2">
      <c r="C45" s="22"/>
    </row>
    <row r="46" spans="1:33" ht="12.75" customHeight="1" x14ac:dyDescent="0.2">
      <c r="C46" s="22"/>
    </row>
    <row r="47" spans="1:33" ht="12.75" customHeight="1" x14ac:dyDescent="0.2"/>
    <row r="48" spans="1:33" ht="12.75" customHeight="1" x14ac:dyDescent="0.2">
      <c r="A48" s="58"/>
    </row>
    <row r="49" spans="1:21" ht="12.75" customHeight="1" x14ac:dyDescent="0.2">
      <c r="A49" s="58"/>
    </row>
    <row r="50" spans="1:21" ht="12.75" customHeight="1" x14ac:dyDescent="0.2"/>
    <row r="51" spans="1:21" ht="12.75" customHeight="1" x14ac:dyDescent="0.2"/>
    <row r="52" spans="1:21" ht="12.75" customHeight="1" x14ac:dyDescent="0.2"/>
    <row r="53" spans="1:21" ht="12.75" customHeight="1" x14ac:dyDescent="0.2"/>
    <row r="54" spans="1:21" ht="12.75" customHeight="1" x14ac:dyDescent="0.2">
      <c r="A54" s="58"/>
    </row>
    <row r="55" spans="1:21" ht="12.75" customHeight="1" x14ac:dyDescent="0.2"/>
    <row r="56" spans="1:21" ht="12.75" customHeight="1" x14ac:dyDescent="0.2"/>
    <row r="57" spans="1:21" ht="12.75" customHeight="1" x14ac:dyDescent="0.2"/>
    <row r="58" spans="1:21" ht="12.75" customHeight="1" x14ac:dyDescent="0.2"/>
    <row r="59" spans="1:21" ht="12.75" customHeight="1" x14ac:dyDescent="0.2"/>
    <row r="60" spans="1:21" ht="12.75" customHeight="1" x14ac:dyDescent="0.2"/>
    <row r="61" spans="1:21" ht="12.75" customHeight="1" x14ac:dyDescent="0.2"/>
    <row r="62" spans="1:21" s="20" customFormat="1" ht="12.75" customHeight="1" x14ac:dyDescent="0.2">
      <c r="B62" s="21"/>
      <c r="C62" s="21"/>
      <c r="D62" s="1"/>
      <c r="E62" s="1"/>
      <c r="F62" s="1"/>
      <c r="G62" s="1"/>
      <c r="H62" s="1"/>
      <c r="I62" s="1"/>
      <c r="J62" s="8"/>
      <c r="K62" s="8"/>
      <c r="L62" s="8"/>
      <c r="M62" s="8"/>
      <c r="N62" s="8"/>
      <c r="O62" s="8"/>
      <c r="P62" s="11"/>
      <c r="Q62" s="11"/>
      <c r="R62" s="11"/>
      <c r="S62" s="13"/>
      <c r="T62" s="8"/>
      <c r="U62" s="1"/>
    </row>
    <row r="63" spans="1:21" s="20" customFormat="1" ht="12.75" customHeight="1" x14ac:dyDescent="0.2">
      <c r="B63" s="21"/>
      <c r="C63" s="21"/>
      <c r="D63" s="1"/>
      <c r="E63" s="1"/>
      <c r="F63" s="1"/>
      <c r="G63" s="1"/>
      <c r="H63" s="1"/>
      <c r="I63" s="1"/>
      <c r="J63" s="8"/>
      <c r="K63" s="8"/>
      <c r="L63" s="8"/>
      <c r="M63" s="8"/>
      <c r="N63" s="8"/>
      <c r="O63" s="8"/>
      <c r="P63" s="11"/>
      <c r="Q63" s="11"/>
      <c r="R63" s="11"/>
      <c r="S63" s="13"/>
      <c r="T63" s="8"/>
      <c r="U63" s="1"/>
    </row>
  </sheetData>
  <mergeCells count="86">
    <mergeCell ref="X1:AF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A8:AC8"/>
    <mergeCell ref="AD8:AF8"/>
    <mergeCell ref="AD2:AF2"/>
    <mergeCell ref="O3:O12"/>
    <mergeCell ref="P3:P12"/>
    <mergeCell ref="Q3:Q12"/>
    <mergeCell ref="T3:T12"/>
    <mergeCell ref="U3:U12"/>
    <mergeCell ref="X3:Z3"/>
    <mergeCell ref="AA7:AF7"/>
    <mergeCell ref="AA3:AC3"/>
    <mergeCell ref="X13:AI13"/>
    <mergeCell ref="B14:C14"/>
    <mergeCell ref="X14:Z14"/>
    <mergeCell ref="AA14:AC14"/>
    <mergeCell ref="AD14:AF14"/>
    <mergeCell ref="AG14:AI14"/>
    <mergeCell ref="L2:L12"/>
    <mergeCell ref="M2:M12"/>
    <mergeCell ref="N2:N12"/>
    <mergeCell ref="AD3:AF3"/>
    <mergeCell ref="X4:Z4"/>
    <mergeCell ref="AA4:AC4"/>
    <mergeCell ref="AD4:AF4"/>
    <mergeCell ref="P2:R2"/>
    <mergeCell ref="X2:Z2"/>
    <mergeCell ref="AA2:AC2"/>
    <mergeCell ref="AD9:AF9"/>
    <mergeCell ref="AA10:AC10"/>
    <mergeCell ref="AD10:AF10"/>
    <mergeCell ref="AA9:AC9"/>
    <mergeCell ref="R3:R12"/>
    <mergeCell ref="S3:S12"/>
    <mergeCell ref="B25:C25"/>
    <mergeCell ref="AA25:AC25"/>
    <mergeCell ref="X15:Z15"/>
    <mergeCell ref="AA15:AC15"/>
    <mergeCell ref="AD15:AF15"/>
    <mergeCell ref="B18:C18"/>
    <mergeCell ref="B22:C22"/>
    <mergeCell ref="AA23:AC23"/>
    <mergeCell ref="AE23:AG23"/>
    <mergeCell ref="B24:C24"/>
    <mergeCell ref="AG15:AI15"/>
    <mergeCell ref="B16:C16"/>
    <mergeCell ref="X17:Z17"/>
    <mergeCell ref="AA17:AC17"/>
    <mergeCell ref="AD17:AF17"/>
    <mergeCell ref="AG17:AI17"/>
    <mergeCell ref="AE31:AG31"/>
    <mergeCell ref="B32:C32"/>
    <mergeCell ref="AA32:AC32"/>
    <mergeCell ref="AE32:AG32"/>
    <mergeCell ref="AA33:AC33"/>
    <mergeCell ref="AE33:AG33"/>
    <mergeCell ref="Z26:Z40"/>
    <mergeCell ref="AA26:AC26"/>
    <mergeCell ref="AA27:AC27"/>
    <mergeCell ref="AA28:AC28"/>
    <mergeCell ref="B31:C31"/>
    <mergeCell ref="AA31:AC31"/>
    <mergeCell ref="AA34:AC34"/>
    <mergeCell ref="AA37:AC37"/>
    <mergeCell ref="AA38:AC38"/>
    <mergeCell ref="AA39:AC39"/>
    <mergeCell ref="AA40:AC40"/>
    <mergeCell ref="AE34:AG34"/>
    <mergeCell ref="B35:C36"/>
    <mergeCell ref="D35:N36"/>
    <mergeCell ref="O35:O36"/>
    <mergeCell ref="P35:P36"/>
    <mergeCell ref="Q35:Q36"/>
    <mergeCell ref="R35:R36"/>
    <mergeCell ref="S35:S36"/>
    <mergeCell ref="T35:T36"/>
    <mergeCell ref="U35:U36"/>
  </mergeCells>
  <printOptions horizontalCentered="1" verticalCentered="1"/>
  <pageMargins left="0.73" right="0.75" top="0.66" bottom="0.4" header="0.65" footer="0.25"/>
  <pageSetup paperSize="17" scale="63" orientation="landscape" r:id="rId1"/>
  <headerFooter alignWithMargins="0">
    <oddFooter>&amp;L&amp;D&amp;R&amp;F, 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N60"/>
  <sheetViews>
    <sheetView tabSelected="1" zoomScale="90" zoomScaleNormal="90" zoomScaleSheetLayoutView="100" workbookViewId="0">
      <pane ySplit="13" topLeftCell="A14" activePane="bottomLeft" state="frozen"/>
      <selection pane="bottomLeft" activeCell="X26" sqref="X26:X40"/>
    </sheetView>
  </sheetViews>
  <sheetFormatPr defaultColWidth="9.140625" defaultRowHeight="12.75" x14ac:dyDescent="0.2"/>
  <cols>
    <col min="1" max="1" width="10.42578125" style="1" bestFit="1" customWidth="1"/>
    <col min="2" max="3" width="17.7109375" style="21" customWidth="1"/>
    <col min="4" max="11" width="8.5703125" style="1" customWidth="1"/>
    <col min="12" max="13" width="9.28515625" style="8" customWidth="1"/>
    <col min="14" max="14" width="13.85546875" style="8" customWidth="1"/>
    <col min="15" max="15" width="10" style="8" customWidth="1"/>
    <col min="16" max="16" width="13.42578125" style="8" customWidth="1"/>
    <col min="17" max="17" width="9.28515625" style="8" customWidth="1"/>
    <col min="18" max="19" width="9.28515625" style="13" customWidth="1"/>
    <col min="20" max="26" width="9.28515625" style="8" customWidth="1"/>
    <col min="27" max="33" width="9.140625" style="1"/>
    <col min="34" max="34" width="9.140625" style="1" customWidth="1"/>
    <col min="35" max="16384" width="9.140625" style="1"/>
  </cols>
  <sheetData>
    <row r="1" spans="2:40" s="15" customFormat="1" ht="13.5" thickBot="1" x14ac:dyDescent="0.25">
      <c r="B1" s="23"/>
      <c r="C1" s="23"/>
      <c r="L1" s="11"/>
      <c r="M1" s="11"/>
      <c r="N1" s="11"/>
      <c r="O1" s="11"/>
      <c r="P1" s="11"/>
      <c r="Q1" s="11"/>
      <c r="R1" s="10"/>
      <c r="S1" s="10"/>
      <c r="T1" s="11"/>
      <c r="U1" s="11">
        <v>3</v>
      </c>
      <c r="V1" s="11">
        <v>6</v>
      </c>
      <c r="W1" s="11">
        <v>6</v>
      </c>
      <c r="X1" s="31">
        <v>5.5E-2</v>
      </c>
      <c r="Y1" s="11">
        <v>1.25</v>
      </c>
      <c r="Z1" s="11">
        <v>1.75</v>
      </c>
      <c r="AC1" s="359" t="s">
        <v>174</v>
      </c>
      <c r="AD1" s="359"/>
      <c r="AE1" s="359"/>
      <c r="AF1" s="359"/>
      <c r="AG1" s="359"/>
      <c r="AH1" s="359"/>
      <c r="AI1" s="359"/>
      <c r="AJ1" s="359"/>
      <c r="AK1" s="359"/>
    </row>
    <row r="2" spans="2:40" s="16" customFormat="1" ht="12.75" customHeight="1" x14ac:dyDescent="0.2">
      <c r="B2" s="390" t="s">
        <v>1</v>
      </c>
      <c r="C2" s="391"/>
      <c r="D2" s="394" t="s">
        <v>0</v>
      </c>
      <c r="E2" s="398" t="s">
        <v>31</v>
      </c>
      <c r="F2" s="376" t="s">
        <v>35</v>
      </c>
      <c r="G2" s="412" t="s">
        <v>168</v>
      </c>
      <c r="H2" s="376" t="s">
        <v>180</v>
      </c>
      <c r="I2" s="398" t="s">
        <v>40</v>
      </c>
      <c r="J2" s="376" t="s">
        <v>116</v>
      </c>
      <c r="K2" s="376" t="s">
        <v>117</v>
      </c>
      <c r="L2" s="397" t="s">
        <v>4</v>
      </c>
      <c r="M2" s="397" t="s">
        <v>23</v>
      </c>
      <c r="N2" s="363" t="s">
        <v>17</v>
      </c>
      <c r="O2" s="363" t="s">
        <v>22</v>
      </c>
      <c r="P2" s="363" t="s">
        <v>14</v>
      </c>
      <c r="Q2" s="65">
        <v>204</v>
      </c>
      <c r="R2" s="2">
        <v>204</v>
      </c>
      <c r="S2" s="2">
        <v>252</v>
      </c>
      <c r="T2" s="230"/>
      <c r="U2" s="410">
        <v>301</v>
      </c>
      <c r="V2" s="411"/>
      <c r="W2" s="230">
        <v>304</v>
      </c>
      <c r="X2" s="2">
        <v>407</v>
      </c>
      <c r="Y2" s="371">
        <v>441</v>
      </c>
      <c r="Z2" s="379"/>
      <c r="AB2" s="17"/>
      <c r="AC2" s="345" t="s">
        <v>170</v>
      </c>
      <c r="AD2" s="346"/>
      <c r="AE2" s="347"/>
      <c r="AF2" s="345" t="s">
        <v>169</v>
      </c>
      <c r="AG2" s="346"/>
      <c r="AH2" s="347"/>
      <c r="AI2" s="345" t="s">
        <v>109</v>
      </c>
      <c r="AJ2" s="346"/>
      <c r="AK2" s="347"/>
    </row>
    <row r="3" spans="2:40" ht="12.75" customHeight="1" x14ac:dyDescent="0.2">
      <c r="B3" s="392"/>
      <c r="C3" s="393"/>
      <c r="D3" s="395"/>
      <c r="E3" s="401"/>
      <c r="F3" s="399"/>
      <c r="G3" s="399"/>
      <c r="H3" s="377"/>
      <c r="I3" s="377"/>
      <c r="J3" s="377"/>
      <c r="K3" s="413"/>
      <c r="L3" s="364"/>
      <c r="M3" s="364"/>
      <c r="N3" s="364"/>
      <c r="O3" s="364"/>
      <c r="P3" s="364"/>
      <c r="Q3" s="367" t="s">
        <v>7</v>
      </c>
      <c r="R3" s="366" t="s">
        <v>8</v>
      </c>
      <c r="S3" s="360" t="s">
        <v>30</v>
      </c>
      <c r="T3" s="368"/>
      <c r="U3" s="368" t="s">
        <v>47</v>
      </c>
      <c r="V3" s="368" t="s">
        <v>171</v>
      </c>
      <c r="W3" s="368" t="s">
        <v>172</v>
      </c>
      <c r="X3" s="368" t="s">
        <v>181</v>
      </c>
      <c r="Y3" s="373" t="s">
        <v>178</v>
      </c>
      <c r="Z3" s="373" t="s">
        <v>179</v>
      </c>
      <c r="AB3" s="18"/>
      <c r="AC3" s="348" t="s">
        <v>113</v>
      </c>
      <c r="AD3" s="349"/>
      <c r="AE3" s="350"/>
      <c r="AF3" s="348" t="s">
        <v>112</v>
      </c>
      <c r="AG3" s="349"/>
      <c r="AH3" s="350"/>
      <c r="AI3" s="348" t="s">
        <v>112</v>
      </c>
      <c r="AJ3" s="349"/>
      <c r="AK3" s="350"/>
    </row>
    <row r="4" spans="2:40" ht="12.75" customHeight="1" x14ac:dyDescent="0.2">
      <c r="B4" s="392"/>
      <c r="C4" s="393"/>
      <c r="D4" s="395"/>
      <c r="E4" s="401"/>
      <c r="F4" s="399"/>
      <c r="G4" s="399"/>
      <c r="H4" s="377"/>
      <c r="I4" s="377"/>
      <c r="J4" s="377"/>
      <c r="K4" s="413"/>
      <c r="L4" s="364"/>
      <c r="M4" s="364"/>
      <c r="N4" s="364"/>
      <c r="O4" s="364"/>
      <c r="P4" s="364"/>
      <c r="Q4" s="367"/>
      <c r="R4" s="361"/>
      <c r="S4" s="361"/>
      <c r="T4" s="367"/>
      <c r="U4" s="367"/>
      <c r="V4" s="367"/>
      <c r="W4" s="367"/>
      <c r="X4" s="367"/>
      <c r="Y4" s="374"/>
      <c r="Z4" s="374"/>
      <c r="AB4" s="18"/>
      <c r="AC4" s="353">
        <v>2.33</v>
      </c>
      <c r="AD4" s="354"/>
      <c r="AE4" s="355"/>
      <c r="AF4" s="353">
        <v>8.3299999999999999E-2</v>
      </c>
      <c r="AG4" s="354"/>
      <c r="AH4" s="355"/>
      <c r="AI4" s="353">
        <v>0.41670000000000001</v>
      </c>
      <c r="AJ4" s="354"/>
      <c r="AK4" s="355"/>
    </row>
    <row r="5" spans="2:40" ht="12.75" customHeight="1" x14ac:dyDescent="0.2">
      <c r="B5" s="392"/>
      <c r="C5" s="393"/>
      <c r="D5" s="395"/>
      <c r="E5" s="401"/>
      <c r="F5" s="399"/>
      <c r="G5" s="399"/>
      <c r="H5" s="377"/>
      <c r="I5" s="377"/>
      <c r="J5" s="377"/>
      <c r="K5" s="413"/>
      <c r="L5" s="364"/>
      <c r="M5" s="364"/>
      <c r="N5" s="364"/>
      <c r="O5" s="364"/>
      <c r="P5" s="364"/>
      <c r="Q5" s="367"/>
      <c r="R5" s="361"/>
      <c r="S5" s="361"/>
      <c r="T5" s="367"/>
      <c r="U5" s="367"/>
      <c r="V5" s="367"/>
      <c r="W5" s="367"/>
      <c r="X5" s="367"/>
      <c r="Y5" s="374"/>
      <c r="Z5" s="374"/>
    </row>
    <row r="6" spans="2:40" ht="12.75" customHeight="1" x14ac:dyDescent="0.2">
      <c r="B6" s="392"/>
      <c r="C6" s="393"/>
      <c r="D6" s="395"/>
      <c r="E6" s="401"/>
      <c r="F6" s="399"/>
      <c r="G6" s="399"/>
      <c r="H6" s="377"/>
      <c r="I6" s="377"/>
      <c r="J6" s="377"/>
      <c r="K6" s="413"/>
      <c r="L6" s="364"/>
      <c r="M6" s="364"/>
      <c r="N6" s="364"/>
      <c r="O6" s="364"/>
      <c r="P6" s="364"/>
      <c r="Q6" s="367"/>
      <c r="R6" s="361"/>
      <c r="S6" s="361"/>
      <c r="T6" s="367"/>
      <c r="U6" s="367"/>
      <c r="V6" s="367"/>
      <c r="W6" s="367"/>
      <c r="X6" s="367"/>
      <c r="Y6" s="374"/>
      <c r="Z6" s="374"/>
    </row>
    <row r="7" spans="2:40" ht="12.75" customHeight="1" x14ac:dyDescent="0.2">
      <c r="B7" s="392"/>
      <c r="C7" s="393"/>
      <c r="D7" s="395"/>
      <c r="E7" s="401"/>
      <c r="F7" s="399"/>
      <c r="G7" s="399"/>
      <c r="H7" s="377"/>
      <c r="I7" s="377"/>
      <c r="J7" s="377"/>
      <c r="K7" s="413"/>
      <c r="L7" s="364"/>
      <c r="M7" s="364"/>
      <c r="N7" s="364"/>
      <c r="O7" s="364"/>
      <c r="P7" s="364"/>
      <c r="Q7" s="367"/>
      <c r="R7" s="361"/>
      <c r="S7" s="361"/>
      <c r="T7" s="367"/>
      <c r="U7" s="367"/>
      <c r="V7" s="367"/>
      <c r="W7" s="367"/>
      <c r="X7" s="367"/>
      <c r="Y7" s="374"/>
      <c r="Z7" s="374"/>
      <c r="AC7" s="359" t="s">
        <v>176</v>
      </c>
      <c r="AD7" s="359"/>
      <c r="AE7" s="359"/>
      <c r="AF7" s="359"/>
      <c r="AG7" s="359"/>
      <c r="AH7" s="359"/>
      <c r="AI7" s="359"/>
      <c r="AJ7" s="359"/>
      <c r="AK7" s="359"/>
    </row>
    <row r="8" spans="2:40" ht="12.75" customHeight="1" x14ac:dyDescent="0.2">
      <c r="B8" s="392"/>
      <c r="C8" s="393"/>
      <c r="D8" s="395"/>
      <c r="E8" s="401"/>
      <c r="F8" s="399"/>
      <c r="G8" s="399"/>
      <c r="H8" s="377"/>
      <c r="I8" s="377"/>
      <c r="J8" s="377"/>
      <c r="K8" s="413"/>
      <c r="L8" s="364"/>
      <c r="M8" s="364"/>
      <c r="N8" s="364"/>
      <c r="O8" s="364"/>
      <c r="P8" s="364"/>
      <c r="Q8" s="367"/>
      <c r="R8" s="361"/>
      <c r="S8" s="361"/>
      <c r="T8" s="367"/>
      <c r="U8" s="367"/>
      <c r="V8" s="367"/>
      <c r="W8" s="367"/>
      <c r="X8" s="367"/>
      <c r="Y8" s="374"/>
      <c r="Z8" s="374"/>
      <c r="AC8" s="345" t="s">
        <v>170</v>
      </c>
      <c r="AD8" s="346"/>
      <c r="AE8" s="347"/>
      <c r="AF8" s="345" t="s">
        <v>169</v>
      </c>
      <c r="AG8" s="346"/>
      <c r="AH8" s="347"/>
      <c r="AI8" s="345" t="s">
        <v>109</v>
      </c>
      <c r="AJ8" s="346"/>
      <c r="AK8" s="347"/>
    </row>
    <row r="9" spans="2:40" ht="12.75" customHeight="1" x14ac:dyDescent="0.2">
      <c r="B9" s="392"/>
      <c r="C9" s="393"/>
      <c r="D9" s="395"/>
      <c r="E9" s="401"/>
      <c r="F9" s="399"/>
      <c r="G9" s="399"/>
      <c r="H9" s="377"/>
      <c r="I9" s="377"/>
      <c r="J9" s="377"/>
      <c r="K9" s="413"/>
      <c r="L9" s="364"/>
      <c r="M9" s="364"/>
      <c r="N9" s="364"/>
      <c r="O9" s="364"/>
      <c r="P9" s="364"/>
      <c r="Q9" s="367"/>
      <c r="R9" s="361"/>
      <c r="S9" s="361"/>
      <c r="T9" s="367"/>
      <c r="U9" s="367"/>
      <c r="V9" s="367"/>
      <c r="W9" s="367"/>
      <c r="X9" s="367"/>
      <c r="Y9" s="374"/>
      <c r="Z9" s="374"/>
      <c r="AC9" s="348" t="s">
        <v>113</v>
      </c>
      <c r="AD9" s="349"/>
      <c r="AE9" s="350"/>
      <c r="AF9" s="348" t="s">
        <v>112</v>
      </c>
      <c r="AG9" s="349"/>
      <c r="AH9" s="350"/>
      <c r="AI9" s="348" t="s">
        <v>112</v>
      </c>
      <c r="AJ9" s="349"/>
      <c r="AK9" s="350"/>
    </row>
    <row r="10" spans="2:40" ht="12.75" customHeight="1" x14ac:dyDescent="0.2">
      <c r="B10" s="392"/>
      <c r="C10" s="393"/>
      <c r="D10" s="395"/>
      <c r="E10" s="401"/>
      <c r="F10" s="399"/>
      <c r="G10" s="399"/>
      <c r="H10" s="377"/>
      <c r="I10" s="377"/>
      <c r="J10" s="377"/>
      <c r="K10" s="413"/>
      <c r="L10" s="364"/>
      <c r="M10" s="364"/>
      <c r="N10" s="364"/>
      <c r="O10" s="364"/>
      <c r="P10" s="364"/>
      <c r="Q10" s="367"/>
      <c r="R10" s="361"/>
      <c r="S10" s="361"/>
      <c r="T10" s="367"/>
      <c r="U10" s="367"/>
      <c r="V10" s="367"/>
      <c r="W10" s="367"/>
      <c r="X10" s="367"/>
      <c r="Y10" s="374"/>
      <c r="Z10" s="374"/>
      <c r="AC10" s="353">
        <v>2.5</v>
      </c>
      <c r="AD10" s="354"/>
      <c r="AE10" s="355"/>
      <c r="AF10" s="353">
        <v>0</v>
      </c>
      <c r="AG10" s="354"/>
      <c r="AH10" s="355"/>
      <c r="AI10" s="353">
        <v>0.75</v>
      </c>
      <c r="AJ10" s="354"/>
      <c r="AK10" s="355"/>
    </row>
    <row r="11" spans="2:40" ht="12.75" customHeight="1" x14ac:dyDescent="0.2">
      <c r="B11" s="392"/>
      <c r="C11" s="393"/>
      <c r="D11" s="395"/>
      <c r="E11" s="401"/>
      <c r="F11" s="399"/>
      <c r="G11" s="399"/>
      <c r="H11" s="377"/>
      <c r="I11" s="377"/>
      <c r="J11" s="377"/>
      <c r="K11" s="413"/>
      <c r="L11" s="364"/>
      <c r="M11" s="364"/>
      <c r="N11" s="364"/>
      <c r="O11" s="364"/>
      <c r="P11" s="364"/>
      <c r="Q11" s="367"/>
      <c r="R11" s="361"/>
      <c r="S11" s="361"/>
      <c r="T11" s="367"/>
      <c r="U11" s="367"/>
      <c r="V11" s="367"/>
      <c r="W11" s="367"/>
      <c r="X11" s="367"/>
      <c r="Y11" s="374"/>
      <c r="Z11" s="374"/>
    </row>
    <row r="12" spans="2:40" ht="12.75" customHeight="1" x14ac:dyDescent="0.2">
      <c r="B12" s="392"/>
      <c r="C12" s="393"/>
      <c r="D12" s="395"/>
      <c r="E12" s="401"/>
      <c r="F12" s="399"/>
      <c r="G12" s="399"/>
      <c r="H12" s="377"/>
      <c r="I12" s="377"/>
      <c r="J12" s="377"/>
      <c r="K12" s="414"/>
      <c r="L12" s="365"/>
      <c r="M12" s="365"/>
      <c r="N12" s="365"/>
      <c r="O12" s="365"/>
      <c r="P12" s="365"/>
      <c r="Q12" s="367"/>
      <c r="R12" s="362"/>
      <c r="S12" s="362"/>
      <c r="T12" s="367"/>
      <c r="U12" s="367"/>
      <c r="V12" s="367"/>
      <c r="W12" s="367"/>
      <c r="X12" s="367"/>
      <c r="Y12" s="375"/>
      <c r="Z12" s="375"/>
    </row>
    <row r="13" spans="2:40" ht="12.75" customHeight="1" thickBot="1" x14ac:dyDescent="0.25">
      <c r="B13" s="24" t="s">
        <v>2</v>
      </c>
      <c r="C13" s="25" t="s">
        <v>3</v>
      </c>
      <c r="D13" s="396"/>
      <c r="E13" s="402"/>
      <c r="F13" s="400"/>
      <c r="G13" s="400"/>
      <c r="H13" s="9" t="s">
        <v>5</v>
      </c>
      <c r="I13" s="5" t="s">
        <v>12</v>
      </c>
      <c r="J13" s="5" t="s">
        <v>12</v>
      </c>
      <c r="K13" s="9" t="s">
        <v>12</v>
      </c>
      <c r="L13" s="5" t="s">
        <v>5</v>
      </c>
      <c r="M13" s="5" t="s">
        <v>5</v>
      </c>
      <c r="N13" s="5" t="s">
        <v>6</v>
      </c>
      <c r="O13" s="5" t="s">
        <v>6</v>
      </c>
      <c r="P13" s="5" t="s">
        <v>6</v>
      </c>
      <c r="Q13" s="5" t="s">
        <v>11</v>
      </c>
      <c r="R13" s="9" t="s">
        <v>10</v>
      </c>
      <c r="S13" s="5" t="s">
        <v>5</v>
      </c>
      <c r="T13" s="5"/>
      <c r="U13" s="5" t="s">
        <v>12</v>
      </c>
      <c r="V13" s="5" t="s">
        <v>12</v>
      </c>
      <c r="W13" s="5" t="s">
        <v>12</v>
      </c>
      <c r="X13" s="5" t="s">
        <v>13</v>
      </c>
      <c r="Y13" s="5" t="s">
        <v>12</v>
      </c>
      <c r="Z13" s="5" t="s">
        <v>12</v>
      </c>
      <c r="AB13" s="18"/>
      <c r="AC13" s="359" t="s">
        <v>177</v>
      </c>
      <c r="AD13" s="359"/>
      <c r="AE13" s="359"/>
      <c r="AF13" s="359"/>
      <c r="AG13" s="359"/>
      <c r="AH13" s="359"/>
      <c r="AI13" s="359"/>
      <c r="AJ13" s="359"/>
      <c r="AK13" s="359"/>
      <c r="AL13" s="258"/>
      <c r="AM13" s="258"/>
      <c r="AN13" s="258"/>
    </row>
    <row r="14" spans="2:40" ht="12.75" customHeight="1" x14ac:dyDescent="0.2">
      <c r="B14" s="357" t="s">
        <v>166</v>
      </c>
      <c r="C14" s="358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  <c r="P14" s="29"/>
      <c r="Q14" s="29"/>
      <c r="R14" s="30"/>
      <c r="S14" s="30"/>
      <c r="T14" s="29"/>
      <c r="U14" s="29"/>
      <c r="V14" s="29"/>
      <c r="W14" s="29"/>
      <c r="X14" s="29"/>
      <c r="Y14" s="29"/>
      <c r="Z14" s="29"/>
      <c r="AA14" s="266"/>
      <c r="AB14" s="18"/>
      <c r="AC14" s="345" t="s">
        <v>170</v>
      </c>
      <c r="AD14" s="346"/>
      <c r="AE14" s="347"/>
      <c r="AF14" s="345" t="s">
        <v>169</v>
      </c>
      <c r="AG14" s="346"/>
      <c r="AH14" s="347"/>
      <c r="AI14" s="345" t="s">
        <v>109</v>
      </c>
      <c r="AJ14" s="346"/>
      <c r="AK14" s="347"/>
      <c r="AL14" s="269"/>
      <c r="AM14" s="267"/>
      <c r="AN14" s="267"/>
    </row>
    <row r="15" spans="2:40" ht="12.75" customHeight="1" x14ac:dyDescent="0.2">
      <c r="B15" s="277">
        <v>10450</v>
      </c>
      <c r="C15" s="278">
        <v>10460</v>
      </c>
      <c r="D15" s="222" t="s">
        <v>38</v>
      </c>
      <c r="E15" s="222">
        <v>0</v>
      </c>
      <c r="F15" s="223">
        <v>2</v>
      </c>
      <c r="G15" s="223">
        <v>0</v>
      </c>
      <c r="H15" s="274">
        <f>IF(E15=2,$AC$4*2,IF(F15=2,$AC$10*2,IF(G15=2,$AC$16*2,IF(AND(E15=1,F15=1),$AC$4+$AC$10,IF(AND(E15=1,F15=0,G15=0),$AC$4,IF(AND(E15=1,G15=1),$AC$4+$AC$16,IF(AND(E15=0,F15=1,G15=0),$AC$10,IF(AND(F15=1,G15=1),$AC$10+$AC$16,IF(AND(E15=0,F15=0,G15=1),$AC$16,0)))))))))</f>
        <v>5</v>
      </c>
      <c r="I15" s="274">
        <f t="shared" ref="I15:I23" si="0">IF(E15=2,$AF$4*2*L15/27,IF(F15=2,$AF$10*2*L15/27,IF(G15=2,$AF$16*2*L15/27,IF(AND(E15=1,F15=1),($AF$4*L15+$AF$10*L15)/27,IF(AND(E15=1,F15=0,G15=0),$AF$4*L15/27,IF(AND(E15=1,G15=1),($AF$4*L15+$AF$16*L15)/27,IF(AND(E15=0,F15=1,G15=0),$AF$10*L15/27,IF(AND(F15=1,G15=1),($AF$10*L15+$AF$16*L15)/27,IF(AND(E15=0,F15=0,G15=1),$AF$16*L15/27,0)))))))))</f>
        <v>0</v>
      </c>
      <c r="J15" s="274">
        <f t="shared" ref="J15:J23" si="1">IF(E15=2,$AI$4*2*L15/27,IF(F15=2,$AI$10*2*L15/27,IF(G15=2,$AI$16*2*L15/27,IF(AND(E15=1,F15=1),($AI$4*L15+$AI$10*L15)/27,IF(AND(E15=1,F15=0,G15=0),$AI$4*L15/27,IF(AND(E15=1,G15=1),($AI$4*L15+$AI$16*L15)/27,IF(AND(E15=0,F15=1,G15=0),$AI$10*L15/27,IF(AND(F15=1,G15=1),($AI$10*L15+$AI$16*L15)/27,IF(AND(E15=0,F15=0,G15=1),$AI$16*L15/27,0)))))))))</f>
        <v>0.55555555555555558</v>
      </c>
      <c r="K15" s="274">
        <v>0</v>
      </c>
      <c r="L15" s="259">
        <f t="shared" ref="L15:L23" si="2">C15-B15</f>
        <v>10</v>
      </c>
      <c r="M15" s="224">
        <v>29</v>
      </c>
      <c r="N15" s="224">
        <f>IF(M15="","",L15*M15)</f>
        <v>290</v>
      </c>
      <c r="O15" s="224"/>
      <c r="P15" s="259">
        <f>SUM(N15:O15)</f>
        <v>290</v>
      </c>
      <c r="Q15" s="272">
        <f>(R15)/2000</f>
        <v>1.8888888888888889E-2</v>
      </c>
      <c r="R15" s="225">
        <f>($P15+L15*$H15)/9</f>
        <v>37.777777777777779</v>
      </c>
      <c r="S15" s="225">
        <v>29</v>
      </c>
      <c r="T15" s="259"/>
      <c r="U15" s="259">
        <f>(P15*$U$1/12)/27+I15</f>
        <v>2.6851851851851851</v>
      </c>
      <c r="V15" s="259"/>
      <c r="W15" s="259">
        <f t="shared" ref="W15:W23" si="3">(P15*$W$1/12)/27+J15</f>
        <v>5.9259259259259256</v>
      </c>
      <c r="X15" s="272">
        <f>($P15/9)*$X$1</f>
        <v>1.7722222222222221</v>
      </c>
      <c r="Y15" s="259">
        <f>($P15*($Y$1/12))/27</f>
        <v>1.1188271604938274</v>
      </c>
      <c r="Z15" s="259">
        <f>(P15*$Z$1/12)/27+K15</f>
        <v>1.566358024691358</v>
      </c>
      <c r="AB15" s="18"/>
      <c r="AC15" s="348" t="s">
        <v>113</v>
      </c>
      <c r="AD15" s="349"/>
      <c r="AE15" s="350"/>
      <c r="AF15" s="348" t="s">
        <v>112</v>
      </c>
      <c r="AG15" s="349"/>
      <c r="AH15" s="350"/>
      <c r="AI15" s="348" t="s">
        <v>112</v>
      </c>
      <c r="AJ15" s="349"/>
      <c r="AK15" s="350"/>
      <c r="AL15" s="270"/>
      <c r="AM15" s="267"/>
      <c r="AN15" s="267"/>
    </row>
    <row r="16" spans="2:40" ht="12.75" customHeight="1" x14ac:dyDescent="0.2">
      <c r="B16" s="279">
        <v>10460</v>
      </c>
      <c r="C16" s="280">
        <v>10531.16</v>
      </c>
      <c r="D16" s="222" t="s">
        <v>38</v>
      </c>
      <c r="E16" s="222">
        <v>0</v>
      </c>
      <c r="F16" s="223">
        <v>2</v>
      </c>
      <c r="G16" s="223">
        <v>0</v>
      </c>
      <c r="H16" s="274">
        <f>IF(E16=2,$AC$4*2,IF(F16=2,$AC$10*2,IF(G16=2,$AC$16*2,IF(AND(E16=1,F16=1),$AC$4+$AC$10,IF(AND(E16=1,F16=0,G16=0),$AC$4,IF(AND(E16=1,G16=1),$AC$4+$AC$16,IF(AND(E16=0,F16=1,G16=0),$AC$10,IF(AND(F16=1,G16=1),$AC$10+$AC$16,IF(AND(E16=0,F16=0,G16=1),$AC$16,0)))))))))</f>
        <v>5</v>
      </c>
      <c r="I16" s="274">
        <f t="shared" si="0"/>
        <v>0</v>
      </c>
      <c r="J16" s="274">
        <f t="shared" si="1"/>
        <v>3.9533333333333252</v>
      </c>
      <c r="K16" s="274">
        <v>0</v>
      </c>
      <c r="L16" s="259">
        <f t="shared" si="2"/>
        <v>71.159999999999854</v>
      </c>
      <c r="M16" s="224">
        <v>28</v>
      </c>
      <c r="N16" s="224">
        <f t="shared" ref="N16:N21" si="4">IF(M16="","",L16*M16)</f>
        <v>1992.4799999999959</v>
      </c>
      <c r="O16" s="224"/>
      <c r="P16" s="259">
        <f t="shared" ref="P16:P23" si="5">SUM(N16:O16)</f>
        <v>1992.4799999999959</v>
      </c>
      <c r="Q16" s="272">
        <f t="shared" ref="Q16:Q23" si="6">(R16)/2000</f>
        <v>0.13045999999999972</v>
      </c>
      <c r="R16" s="225">
        <f t="shared" ref="R16:R22" si="7">($P16+L16*$H16)/9</f>
        <v>260.91999999999945</v>
      </c>
      <c r="S16" s="225"/>
      <c r="T16" s="259"/>
      <c r="U16" s="259">
        <f>(P16*$U$1/12)/27+I16</f>
        <v>18.448888888888852</v>
      </c>
      <c r="V16" s="259"/>
      <c r="W16" s="259">
        <f t="shared" si="3"/>
        <v>40.851111111111031</v>
      </c>
      <c r="X16" s="272">
        <f t="shared" ref="X16:X21" si="8">($P16/9)*$X$1</f>
        <v>12.176266666666642</v>
      </c>
      <c r="Y16" s="259">
        <f t="shared" ref="Y16:Y21" si="9">($P16*($Y$1/12))/27</f>
        <v>7.6870370370370216</v>
      </c>
      <c r="Z16" s="259">
        <f>(P16*$Z$1/12)/27+K16</f>
        <v>10.76185185185183</v>
      </c>
      <c r="AB16" s="18"/>
      <c r="AC16" s="353">
        <v>4.5</v>
      </c>
      <c r="AD16" s="354"/>
      <c r="AE16" s="355"/>
      <c r="AF16" s="353">
        <v>0</v>
      </c>
      <c r="AG16" s="354"/>
      <c r="AH16" s="355"/>
      <c r="AI16" s="353">
        <v>1.5</v>
      </c>
      <c r="AJ16" s="354"/>
      <c r="AK16" s="355"/>
      <c r="AL16" s="271"/>
      <c r="AM16" s="268"/>
      <c r="AN16" s="268"/>
    </row>
    <row r="17" spans="1:37" ht="12.75" customHeight="1" x14ac:dyDescent="0.2">
      <c r="A17" s="243" t="s">
        <v>36</v>
      </c>
      <c r="B17" s="281">
        <v>10531.16</v>
      </c>
      <c r="C17" s="282">
        <v>10561.16</v>
      </c>
      <c r="D17" s="246" t="s">
        <v>38</v>
      </c>
      <c r="E17" s="246">
        <v>0</v>
      </c>
      <c r="F17" s="247">
        <v>2</v>
      </c>
      <c r="G17" s="247">
        <v>0</v>
      </c>
      <c r="H17" s="275">
        <v>6</v>
      </c>
      <c r="I17" s="275">
        <f t="shared" si="0"/>
        <v>0</v>
      </c>
      <c r="J17" s="275">
        <f t="shared" si="1"/>
        <v>1.6666666666666667</v>
      </c>
      <c r="K17" s="275">
        <v>0</v>
      </c>
      <c r="L17" s="276">
        <f t="shared" si="2"/>
        <v>30</v>
      </c>
      <c r="M17" s="251">
        <v>36.5</v>
      </c>
      <c r="N17" s="251">
        <f t="shared" si="4"/>
        <v>1095</v>
      </c>
      <c r="O17" s="251"/>
      <c r="P17" s="276">
        <f t="shared" si="5"/>
        <v>1095</v>
      </c>
      <c r="Q17" s="273">
        <f t="shared" si="6"/>
        <v>7.0833333333333331E-2</v>
      </c>
      <c r="R17" s="251">
        <f t="shared" si="7"/>
        <v>141.66666666666666</v>
      </c>
      <c r="S17" s="251"/>
      <c r="T17" s="276"/>
      <c r="U17" s="276"/>
      <c r="V17" s="276"/>
      <c r="W17" s="276">
        <f t="shared" si="3"/>
        <v>21.944444444444446</v>
      </c>
      <c r="X17" s="273"/>
      <c r="Y17" s="276"/>
      <c r="Z17" s="276"/>
      <c r="AC17" s="18"/>
      <c r="AD17" s="18"/>
      <c r="AE17" s="18"/>
    </row>
    <row r="18" spans="1:37" ht="12.75" customHeight="1" x14ac:dyDescent="0.2">
      <c r="A18" s="243" t="s">
        <v>36</v>
      </c>
      <c r="B18" s="281">
        <v>11039.66</v>
      </c>
      <c r="C18" s="282">
        <v>11069.66</v>
      </c>
      <c r="D18" s="246" t="s">
        <v>38</v>
      </c>
      <c r="E18" s="246">
        <v>0</v>
      </c>
      <c r="F18" s="247">
        <v>2</v>
      </c>
      <c r="G18" s="247">
        <v>0</v>
      </c>
      <c r="H18" s="275">
        <v>6</v>
      </c>
      <c r="I18" s="275">
        <f t="shared" si="0"/>
        <v>0</v>
      </c>
      <c r="J18" s="275">
        <f t="shared" si="1"/>
        <v>1.6666666666666667</v>
      </c>
      <c r="K18" s="275">
        <v>0</v>
      </c>
      <c r="L18" s="276">
        <f t="shared" si="2"/>
        <v>30</v>
      </c>
      <c r="M18" s="251">
        <v>36.5</v>
      </c>
      <c r="N18" s="251">
        <f t="shared" si="4"/>
        <v>1095</v>
      </c>
      <c r="O18" s="251"/>
      <c r="P18" s="276">
        <f t="shared" si="5"/>
        <v>1095</v>
      </c>
      <c r="Q18" s="273">
        <f t="shared" si="6"/>
        <v>7.0833333333333331E-2</v>
      </c>
      <c r="R18" s="251">
        <f t="shared" si="7"/>
        <v>141.66666666666666</v>
      </c>
      <c r="S18" s="251"/>
      <c r="T18" s="276"/>
      <c r="U18" s="276"/>
      <c r="V18" s="276"/>
      <c r="W18" s="276">
        <f t="shared" si="3"/>
        <v>21.944444444444446</v>
      </c>
      <c r="X18" s="273"/>
      <c r="Y18" s="276"/>
      <c r="Z18" s="276"/>
    </row>
    <row r="19" spans="1:37" ht="12.75" customHeight="1" x14ac:dyDescent="0.2">
      <c r="A19" s="58"/>
      <c r="B19" s="279">
        <v>11069.66</v>
      </c>
      <c r="C19" s="280">
        <v>11200</v>
      </c>
      <c r="D19" s="222" t="s">
        <v>38</v>
      </c>
      <c r="E19" s="222">
        <v>0</v>
      </c>
      <c r="F19" s="223">
        <v>2</v>
      </c>
      <c r="G19" s="223">
        <v>0</v>
      </c>
      <c r="H19" s="274">
        <f>IF(E19=2,$AC$4*2,IF(F19=2,$AC$10*2,IF(G19=2,$AC$16*2,IF(AND(E19=1,F19=1),$AC$4+$AC$10,IF(AND(E19=1,F19=0,G19=0),$AC$4,IF(AND(E19=1,G19=1),$AC$4+$AC$16,IF(AND(E19=0,F19=1,G19=0),$AC$10,IF(AND(F19=1,G19=1),$AC$10+$AC$16,IF(AND(E19=0,F19=0,G19=1),$AC$16,0)))))))))</f>
        <v>5</v>
      </c>
      <c r="I19" s="274">
        <f t="shared" si="0"/>
        <v>0</v>
      </c>
      <c r="J19" s="274">
        <f t="shared" si="1"/>
        <v>7.2411111111111195</v>
      </c>
      <c r="K19" s="274">
        <v>0</v>
      </c>
      <c r="L19" s="259">
        <f t="shared" si="2"/>
        <v>130.34000000000015</v>
      </c>
      <c r="M19" s="224">
        <v>28</v>
      </c>
      <c r="N19" s="224">
        <f>IF(M19="","",L19*M19)</f>
        <v>3649.5200000000041</v>
      </c>
      <c r="O19" s="224"/>
      <c r="P19" s="259">
        <f>SUM(N19:O19)</f>
        <v>3649.5200000000041</v>
      </c>
      <c r="Q19" s="272">
        <f t="shared" si="6"/>
        <v>0.23895666666666693</v>
      </c>
      <c r="R19" s="225">
        <f t="shared" si="7"/>
        <v>477.91333333333387</v>
      </c>
      <c r="S19" s="225"/>
      <c r="T19" s="259"/>
      <c r="U19" s="259">
        <f>(P19*$U$1/12)/27+I19</f>
        <v>33.791851851851888</v>
      </c>
      <c r="V19" s="259"/>
      <c r="W19" s="259">
        <f t="shared" si="3"/>
        <v>74.8248148148149</v>
      </c>
      <c r="X19" s="272">
        <f>($P19/9)*$X$1</f>
        <v>22.302622222222247</v>
      </c>
      <c r="Y19" s="259">
        <f t="shared" si="9"/>
        <v>14.079938271604954</v>
      </c>
      <c r="Z19" s="259">
        <f>(P19*$Z$1/12)/27+K19</f>
        <v>19.711913580246936</v>
      </c>
      <c r="AC19" s="359" t="s">
        <v>175</v>
      </c>
      <c r="AD19" s="359"/>
      <c r="AE19" s="359"/>
      <c r="AF19" s="359"/>
      <c r="AG19" s="359"/>
      <c r="AH19" s="359"/>
      <c r="AI19" s="359"/>
      <c r="AJ19" s="359"/>
      <c r="AK19" s="359"/>
    </row>
    <row r="20" spans="1:37" ht="12.75" customHeight="1" x14ac:dyDescent="0.2">
      <c r="A20" s="58"/>
      <c r="B20" s="279">
        <v>11200</v>
      </c>
      <c r="C20" s="280">
        <v>11202</v>
      </c>
      <c r="D20" s="222" t="s">
        <v>15</v>
      </c>
      <c r="E20" s="222">
        <v>0</v>
      </c>
      <c r="F20" s="223">
        <v>1</v>
      </c>
      <c r="G20" s="223">
        <v>0</v>
      </c>
      <c r="H20" s="274">
        <f>IF(E20=2,$AC$4*2,IF(F20=2,$AC$10*2,IF(G20=2,$AC$16*2,IF(AND(E20=1,F20=1),$AC$4+$AC$10,IF(AND(E20=1,F20=0,G20=0),$AC$4,IF(AND(E20=1,G20=1),$AC$4+$AC$16,IF(AND(E20=0,F20=1,G20=0),$AC$10,IF(AND(F20=1,G20=1),$AC$10+$AC$16,IF(AND(E20=0,F20=0,G20=1),$AC$16,0)))))))))</f>
        <v>2.5</v>
      </c>
      <c r="I20" s="274">
        <f t="shared" ref="I20" si="10">IF(E20=2,$AF$4*2*L20/27,IF(F20=2,$AF$10*2*L20/27,IF(G20=2,$AF$16*2*L20/27,IF(AND(E20=1,F20=1),($AF$4*L20+$AF$10*L20)/27,IF(AND(E20=1,F20=0,G20=0),$AF$4*L20/27,IF(AND(E20=1,G20=1),($AF$4*L20+$AF$16*L20)/27,IF(AND(E20=0,F20=1,G20=0),$AF$10*L20/27,IF(AND(F20=1,G20=1),($AF$10*L20+$AF$16*L20)/27,IF(AND(E20=0,F20=0,G20=1),$AF$16*L20/27,0)))))))))</f>
        <v>0</v>
      </c>
      <c r="J20" s="274">
        <f>IF(E20=2,$AI$4*2*L20/27,IF(F20=2,$AI$10*2*L20/27,IF(G20=2,$AI$16*2*L20/27,IF(AND(E20=1,F20=1),($AI$4*L20+$AI$10*L20)/27,IF(AND(E20=1,F20=0,G20=0),$AI$4*L20/27,IF(AND(E20=1,G20=1),($AI$4*L20+$AI$16*L20)/27,IF(AND(E20=0,F20=1,G20=0),$AI$10*L20/27,IF(AND(F20=1,G20=1),($AI$10*L20+$AI$16*L20)/27,IF(AND(E20=0,F20=0,G20=1),$AI$16*L20/27,0)))))))))</f>
        <v>5.5555555555555552E-2</v>
      </c>
      <c r="K20" s="274">
        <v>0</v>
      </c>
      <c r="L20" s="259">
        <f t="shared" ref="L20" si="11">C20-B20</f>
        <v>2</v>
      </c>
      <c r="M20" s="224">
        <v>13</v>
      </c>
      <c r="N20" s="224">
        <f>IF(M20="","",L20*M20)</f>
        <v>26</v>
      </c>
      <c r="O20" s="224"/>
      <c r="P20" s="259">
        <f>SUM(N20:O20)</f>
        <v>26</v>
      </c>
      <c r="Q20" s="272">
        <f t="shared" ref="Q20" si="12">(R20)/2000</f>
        <v>1.7222222222222224E-3</v>
      </c>
      <c r="R20" s="225">
        <f>($P20+L20*$H20)/9</f>
        <v>3.4444444444444446</v>
      </c>
      <c r="S20" s="225"/>
      <c r="T20" s="259"/>
      <c r="U20" s="259">
        <f>(P20*$U$1/12)/27+I20</f>
        <v>0.24074074074074073</v>
      </c>
      <c r="V20" s="259"/>
      <c r="W20" s="259">
        <f t="shared" ref="W20" si="13">(P20*$W$1/12)/27+J20</f>
        <v>0.53703703703703698</v>
      </c>
      <c r="X20" s="272">
        <f t="shared" si="8"/>
        <v>0.15888888888888889</v>
      </c>
      <c r="Y20" s="259">
        <f t="shared" si="9"/>
        <v>0.10030864197530864</v>
      </c>
      <c r="Z20" s="259">
        <f>(P20*$Z$1/12)/27+K20</f>
        <v>0.14043209876543208</v>
      </c>
      <c r="AC20" s="293"/>
      <c r="AD20" s="293"/>
      <c r="AE20" s="293"/>
      <c r="AF20" s="293"/>
      <c r="AG20" s="293"/>
      <c r="AH20" s="293"/>
      <c r="AI20" s="293"/>
      <c r="AJ20" s="293"/>
      <c r="AK20" s="293"/>
    </row>
    <row r="21" spans="1:37" ht="12.75" customHeight="1" x14ac:dyDescent="0.2">
      <c r="B21" s="279">
        <v>11202</v>
      </c>
      <c r="C21" s="280">
        <v>11212</v>
      </c>
      <c r="D21" s="222" t="s">
        <v>15</v>
      </c>
      <c r="E21" s="222">
        <v>0</v>
      </c>
      <c r="F21" s="223">
        <v>1</v>
      </c>
      <c r="G21" s="223">
        <v>0</v>
      </c>
      <c r="H21" s="274">
        <f>IF(E21=2,$AC$4*2,IF(F21=2,$AC$10*2,IF(G21=2,$AC$16*2,IF(AND(E21=1,F21=1),$AC$4+$AC$10,IF(AND(E21=1,F21=0,G21=0),$AC$4,IF(AND(E21=1,G21=1),$AC$4+$AC$16,IF(AND(E21=0,F21=1,G21=0),$AC$10,IF(AND(F21=1,G21=1),$AC$10+$AC$16,IF(AND(E21=0,F21=0,G21=1),$AC$16,0)))))))))</f>
        <v>2.5</v>
      </c>
      <c r="I21" s="274">
        <f t="shared" si="0"/>
        <v>0</v>
      </c>
      <c r="J21" s="274">
        <f>IF(E21=2,$AI$4*2*L21/27,IF(F21=2,$AI$10*2*L21/27,IF(G21=2,$AI$16*2*L21/27,IF(AND(E21=1,F21=1),($AI$4*L21+$AI$10*L21)/27,IF(AND(E21=1,F21=0,G21=0),$AI$4*L21/27,IF(AND(E21=1,G21=1),($AI$4*L21+$AI$16*L21)/27,IF(AND(E21=0,F21=1,G21=0),$AI$10*L21/27,IF(AND(F21=1,G21=1),($AI$10*L21+$AI$16*L21)/27,IF(AND(E21=0,F21=0,G21=1),$AI$16*L21/27,0)))))))))</f>
        <v>0.27777777777777779</v>
      </c>
      <c r="K21" s="274">
        <v>0</v>
      </c>
      <c r="L21" s="259">
        <f t="shared" si="2"/>
        <v>10</v>
      </c>
      <c r="M21" s="224">
        <v>14</v>
      </c>
      <c r="N21" s="224">
        <f t="shared" si="4"/>
        <v>140</v>
      </c>
      <c r="O21" s="224"/>
      <c r="P21" s="259">
        <f t="shared" si="5"/>
        <v>140</v>
      </c>
      <c r="Q21" s="272">
        <f t="shared" si="6"/>
        <v>9.1666666666666667E-3</v>
      </c>
      <c r="R21" s="225">
        <f t="shared" si="7"/>
        <v>18.333333333333332</v>
      </c>
      <c r="S21" s="225"/>
      <c r="T21" s="259"/>
      <c r="U21" s="259">
        <f>(P21*$U$1/12)/27+I21</f>
        <v>1.2962962962962963</v>
      </c>
      <c r="V21" s="259"/>
      <c r="W21" s="259">
        <f t="shared" si="3"/>
        <v>2.8703703703703702</v>
      </c>
      <c r="X21" s="272">
        <f t="shared" si="8"/>
        <v>0.85555555555555551</v>
      </c>
      <c r="Y21" s="259">
        <f t="shared" si="9"/>
        <v>0.54012345679012352</v>
      </c>
      <c r="Z21" s="259">
        <f>(P21*$Z$1/12)/27+K21</f>
        <v>0.75617283950617287</v>
      </c>
      <c r="AC21" s="345" t="s">
        <v>170</v>
      </c>
      <c r="AD21" s="346"/>
      <c r="AE21" s="347"/>
      <c r="AF21" s="345" t="s">
        <v>169</v>
      </c>
      <c r="AG21" s="346"/>
      <c r="AH21" s="347"/>
      <c r="AI21" s="345" t="s">
        <v>109</v>
      </c>
      <c r="AJ21" s="346"/>
      <c r="AK21" s="347"/>
    </row>
    <row r="22" spans="1:37" ht="12.75" customHeight="1" x14ac:dyDescent="0.2">
      <c r="B22" s="279">
        <v>11200</v>
      </c>
      <c r="C22" s="280">
        <v>11212</v>
      </c>
      <c r="D22" s="222" t="s">
        <v>16</v>
      </c>
      <c r="E22" s="222">
        <v>1</v>
      </c>
      <c r="F22" s="223">
        <v>0</v>
      </c>
      <c r="G22" s="223">
        <v>0</v>
      </c>
      <c r="H22" s="274">
        <f>IF(E22=2,$AC$4*2,IF(F22=2,$AC$10*2,IF(G22=2,$AC$16*2,IF(AND(E22=1,F22=1),$AC$4+$AC$10,IF(AND(E22=1,F22=0,G22=0),$AC$4,IF(AND(E22=1,G22=1),$AC$4+$AC$16,IF(AND(E22=0,F22=1,G22=0),$AC$10,IF(AND(F22=1,G22=1),$AC$10+$AC$16,IF(AND(E22=0,F22=0,G22=1),$AC$16,0)))))))))</f>
        <v>2.33</v>
      </c>
      <c r="I22" s="274">
        <f t="shared" si="0"/>
        <v>3.7022222222222227E-2</v>
      </c>
      <c r="J22" s="274">
        <f t="shared" si="1"/>
        <v>0.1852</v>
      </c>
      <c r="K22" s="274">
        <v>0</v>
      </c>
      <c r="L22" s="259">
        <f t="shared" si="2"/>
        <v>12</v>
      </c>
      <c r="M22" s="224">
        <v>15</v>
      </c>
      <c r="N22" s="224">
        <f t="shared" ref="N22:N23" si="14">IF(M22="","",L22*M22)</f>
        <v>180</v>
      </c>
      <c r="O22" s="224"/>
      <c r="P22" s="259">
        <f t="shared" si="5"/>
        <v>180</v>
      </c>
      <c r="Q22" s="272">
        <f t="shared" si="6"/>
        <v>1.1553333333333334E-2</v>
      </c>
      <c r="R22" s="225">
        <f t="shared" si="7"/>
        <v>23.106666666666669</v>
      </c>
      <c r="S22" s="225"/>
      <c r="T22" s="259"/>
      <c r="U22" s="259">
        <f>(P22*$U$1/12)/27+I22</f>
        <v>1.703688888888889</v>
      </c>
      <c r="V22" s="259"/>
      <c r="W22" s="259">
        <f t="shared" si="3"/>
        <v>3.5185333333333335</v>
      </c>
      <c r="X22" s="272">
        <f>($P22/9)*$X$1</f>
        <v>1.1000000000000001</v>
      </c>
      <c r="Y22" s="259">
        <f>($P22*($Y$1/12))/27</f>
        <v>0.69444444444444442</v>
      </c>
      <c r="Z22" s="259">
        <f>(P22*$Z$1/12)/27+K22</f>
        <v>0.97222222222222221</v>
      </c>
      <c r="AC22" s="348" t="s">
        <v>113</v>
      </c>
      <c r="AD22" s="349"/>
      <c r="AE22" s="350"/>
      <c r="AF22" s="348" t="s">
        <v>112</v>
      </c>
      <c r="AG22" s="349"/>
      <c r="AH22" s="350"/>
      <c r="AI22" s="348" t="s">
        <v>112</v>
      </c>
      <c r="AJ22" s="349"/>
      <c r="AK22" s="350"/>
    </row>
    <row r="23" spans="1:37" ht="12.75" customHeight="1" x14ac:dyDescent="0.2">
      <c r="B23" s="279">
        <v>11212</v>
      </c>
      <c r="C23" s="280">
        <v>11250</v>
      </c>
      <c r="D23" s="222" t="s">
        <v>38</v>
      </c>
      <c r="E23" s="222">
        <v>2</v>
      </c>
      <c r="F23" s="223">
        <v>0</v>
      </c>
      <c r="G23" s="223">
        <v>0</v>
      </c>
      <c r="H23" s="274">
        <f>IF(E23=2,$AC$4*2,IF(F23=2,$AC$10*2,IF(G23=2,$AC$16*2,IF(AND(E23=1,F23=1),$AC$4+$AC$10,IF(AND(E23=1,F23=0,G23=0),$AC$4,IF(AND(E23=1,G23=1),$AC$4+$AC$16,IF(AND(E23=0,F23=1,G23=0),$AC$10,IF(AND(F23=1,G23=1),$AC$10+$AC$16,IF(AND(E23=0,F23=0,G23=1),$AC$16,0)))))))))</f>
        <v>4.66</v>
      </c>
      <c r="I23" s="274">
        <f t="shared" si="0"/>
        <v>0.23447407407407408</v>
      </c>
      <c r="J23" s="274">
        <f t="shared" si="1"/>
        <v>1.1729333333333334</v>
      </c>
      <c r="K23" s="274">
        <v>0</v>
      </c>
      <c r="L23" s="259">
        <f t="shared" si="2"/>
        <v>38</v>
      </c>
      <c r="M23" s="224">
        <v>30</v>
      </c>
      <c r="N23" s="224">
        <f t="shared" si="14"/>
        <v>1140</v>
      </c>
      <c r="O23" s="224"/>
      <c r="P23" s="259">
        <f t="shared" si="5"/>
        <v>1140</v>
      </c>
      <c r="Q23" s="272">
        <f t="shared" si="6"/>
        <v>7.3171111111111103E-2</v>
      </c>
      <c r="R23" s="225">
        <f>($P23+L23*$H23)/9</f>
        <v>146.3422222222222</v>
      </c>
      <c r="S23" s="225">
        <v>30</v>
      </c>
      <c r="T23" s="259"/>
      <c r="U23" s="259">
        <f>(P23*$U$1/12)/27+I23</f>
        <v>10.790029629629629</v>
      </c>
      <c r="V23" s="259"/>
      <c r="W23" s="259">
        <f t="shared" si="3"/>
        <v>22.284044444444444</v>
      </c>
      <c r="X23" s="272">
        <f>($P23/9)*$X$1</f>
        <v>6.9666666666666668</v>
      </c>
      <c r="Y23" s="259">
        <f>($P23*($Y$1/12))/27</f>
        <v>4.3981481481481479</v>
      </c>
      <c r="Z23" s="259">
        <f>(P23*$Z$1/12)/27+K23</f>
        <v>6.1574074074074074</v>
      </c>
      <c r="AC23" s="353">
        <v>2.33</v>
      </c>
      <c r="AD23" s="354"/>
      <c r="AE23" s="355"/>
      <c r="AF23" s="353">
        <v>0.16700000000000001</v>
      </c>
      <c r="AG23" s="354"/>
      <c r="AH23" s="355"/>
      <c r="AI23" s="353">
        <v>0.41670000000000001</v>
      </c>
      <c r="AJ23" s="354"/>
      <c r="AK23" s="355"/>
    </row>
    <row r="24" spans="1:37" ht="12.75" customHeight="1" thickBot="1" x14ac:dyDescent="0.25">
      <c r="B24" s="84"/>
      <c r="C24" s="3"/>
      <c r="D24" s="32"/>
      <c r="E24" s="32"/>
      <c r="F24" s="32"/>
      <c r="G24" s="32"/>
      <c r="H24" s="27"/>
      <c r="I24" s="27"/>
      <c r="J24" s="27"/>
      <c r="K24" s="27"/>
      <c r="L24" s="4"/>
      <c r="M24" s="4"/>
      <c r="N24" s="14"/>
      <c r="O24" s="4"/>
      <c r="P24" s="4"/>
      <c r="Q24" s="6"/>
      <c r="R24" s="7"/>
      <c r="S24" s="7"/>
      <c r="T24" s="4"/>
      <c r="U24" s="4"/>
      <c r="V24" s="4"/>
      <c r="W24" s="4"/>
      <c r="X24" s="6"/>
      <c r="Y24" s="4"/>
      <c r="Z24" s="4"/>
      <c r="AE24" s="264"/>
      <c r="AF24" s="268"/>
      <c r="AG24" s="268"/>
      <c r="AH24" s="268"/>
    </row>
    <row r="25" spans="1:37" ht="12.75" customHeight="1" x14ac:dyDescent="0.2">
      <c r="B25" s="357" t="s">
        <v>167</v>
      </c>
      <c r="C25" s="358"/>
      <c r="D25" s="97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P25" s="29"/>
      <c r="Q25" s="29"/>
      <c r="R25" s="30"/>
      <c r="S25" s="30"/>
      <c r="T25" s="29"/>
      <c r="U25" s="29"/>
      <c r="V25" s="29"/>
      <c r="W25" s="29"/>
      <c r="X25" s="29"/>
      <c r="Y25" s="29"/>
      <c r="Z25" s="29"/>
    </row>
    <row r="26" spans="1:37" ht="12.75" customHeight="1" x14ac:dyDescent="0.2">
      <c r="B26" s="289">
        <v>80</v>
      </c>
      <c r="C26" s="290">
        <v>135.34</v>
      </c>
      <c r="D26" s="285" t="s">
        <v>38</v>
      </c>
      <c r="E26" s="222">
        <v>0</v>
      </c>
      <c r="F26" s="222">
        <v>0</v>
      </c>
      <c r="G26" s="223">
        <v>1</v>
      </c>
      <c r="H26" s="274">
        <f t="shared" ref="H26:H40" si="15">IF(E26=2,$AC$23*2,IF(F26=2,$AC$10*2,IF(G26=2,$AC$16*2,IF(AND(E26=1,F26=1),$AC$23+$AC$10,IF(AND(E26=1,F26=0,G26=0),$AC$23,IF(AND(E26=1,G26=1),$AC$23+$AC$16,IF(AND(E26=0,F26=1,G26=0),$AC$10,IF(AND(F26=1,G26=1),$AC$10+$AC$16,IF(AND(E26=0,F26=0,G26=1),$AC$16,0)))))))))</f>
        <v>4.5</v>
      </c>
      <c r="I26" s="274">
        <f t="shared" ref="I26:I40" si="16">IF(E26=2,$AF$23*2*L26/27,IF(F26=2,$AF$10*2*L26/27,IF(G26=2,$AF$16*2*L26/27,IF(AND(E26=1,F26=1),($AF$23*L26+$AF$10*L26)/27,IF(AND(E26=1,F26=0,G26=0),$AF$23*L26/27,IF(AND(E26=1,G26=1),($AF$23*L26+$AF$16*L26)/27,IF(AND(E26=0,F26=1,G26=0),$AF$10*L26/27,IF(AND(F26=1,G26=1),($AF$10*L26+$AF$16*L26)/27,IF(AND(E26=0,F26=0,G26=1),$AF$16*L26/27,0)))))))))</f>
        <v>0</v>
      </c>
      <c r="J26" s="274">
        <f t="shared" ref="J26:J40" si="17">IF(E26=2,$AI$23*2*L26/27,IF(F26=2,$AI$10*2*L26/27,IF(G26=2,$AI$16*2*L26/27,IF(AND(E26=1,F26=1),($AI$23*L26+$AI$10*L26)/27,IF(AND(E26=1,F26=0,G26=0),$AI$23*L26/27,IF(AND(E26=1,G26=1),($AI$23*L26+$AI$16*L26)/27,IF(AND(E26=0,F26=1,G26=0),$AI$10*L26/27,IF(AND(F26=1,G26=1),($AI$10*L26+$AI$16*L26)/27,IF(AND(E26=0,F26=0,G26=1),$AI$16*L26/27,0)))))))))</f>
        <v>16.097222222222221</v>
      </c>
      <c r="K26" s="274">
        <v>0</v>
      </c>
      <c r="L26" s="259">
        <v>289.75</v>
      </c>
      <c r="M26" s="224"/>
      <c r="N26" s="224" t="str">
        <f t="shared" ref="N26:N40" si="18">IF(M26="","",L26*M26)</f>
        <v/>
      </c>
      <c r="O26" s="224">
        <v>2474.7800000000002</v>
      </c>
      <c r="P26" s="259">
        <f>SUM(N26:O26)</f>
        <v>2474.7800000000002</v>
      </c>
      <c r="Q26" s="272">
        <f>(R26)/2000</f>
        <v>0.20992527777777778</v>
      </c>
      <c r="R26" s="225">
        <f>($P26+L26*$H26)/9</f>
        <v>419.85055555555556</v>
      </c>
      <c r="S26" s="225"/>
      <c r="T26" s="259"/>
      <c r="U26" s="259"/>
      <c r="V26" s="259">
        <f t="shared" ref="V26:V40" si="19">(P26*$V$1/12)/27+I26</f>
        <v>45.82925925925926</v>
      </c>
      <c r="W26" s="259">
        <f t="shared" ref="W26:W40" si="20">(P26*$W$1/12)/27+J26</f>
        <v>61.926481481481481</v>
      </c>
      <c r="X26" s="272">
        <f t="shared" ref="X26:X40" si="21">($P26/9)*$X$1</f>
        <v>15.123655555555557</v>
      </c>
      <c r="Y26" s="259">
        <f t="shared" ref="Y26:Y40" si="22">($P26*($Y$1/12))/27</f>
        <v>9.5477623456790148</v>
      </c>
      <c r="Z26" s="259">
        <f t="shared" ref="Z26:Z40" si="23">(P26*$Z$1/12)/27+K26</f>
        <v>13.366867283950619</v>
      </c>
    </row>
    <row r="27" spans="1:37" ht="12.75" customHeight="1" x14ac:dyDescent="0.2">
      <c r="B27" s="291">
        <v>135.34</v>
      </c>
      <c r="C27" s="292">
        <v>291.83</v>
      </c>
      <c r="D27" s="285" t="s">
        <v>38</v>
      </c>
      <c r="E27" s="222">
        <v>0</v>
      </c>
      <c r="F27" s="222">
        <v>0</v>
      </c>
      <c r="G27" s="223">
        <v>2</v>
      </c>
      <c r="H27" s="274">
        <f t="shared" si="15"/>
        <v>9</v>
      </c>
      <c r="I27" s="274">
        <f t="shared" si="16"/>
        <v>0</v>
      </c>
      <c r="J27" s="274">
        <f t="shared" si="17"/>
        <v>17.387777777777774</v>
      </c>
      <c r="K27" s="274">
        <v>0</v>
      </c>
      <c r="L27" s="259">
        <f t="shared" ref="L27:L37" si="24">C27-B27</f>
        <v>156.48999999999998</v>
      </c>
      <c r="M27" s="224">
        <v>35.64</v>
      </c>
      <c r="N27" s="224">
        <f t="shared" si="18"/>
        <v>5577.3035999999993</v>
      </c>
      <c r="O27" s="224"/>
      <c r="P27" s="259">
        <f>SUM(N27:O27)</f>
        <v>5577.3035999999993</v>
      </c>
      <c r="Q27" s="272">
        <f t="shared" ref="Q27:Q40" si="25">(R27)/2000</f>
        <v>0.38809519999999997</v>
      </c>
      <c r="R27" s="225">
        <f t="shared" ref="R27:R39" si="26">($P27+L27*$H27)/9</f>
        <v>776.19039999999995</v>
      </c>
      <c r="S27" s="225"/>
      <c r="T27" s="259"/>
      <c r="U27" s="259"/>
      <c r="V27" s="259">
        <f t="shared" si="19"/>
        <v>103.28339999999999</v>
      </c>
      <c r="W27" s="259">
        <f t="shared" si="20"/>
        <v>120.67117777777776</v>
      </c>
      <c r="X27" s="272">
        <f t="shared" si="21"/>
        <v>34.083521999999995</v>
      </c>
      <c r="Y27" s="259">
        <f t="shared" si="22"/>
        <v>21.517374999999998</v>
      </c>
      <c r="Z27" s="259">
        <f t="shared" si="23"/>
        <v>30.124324999999995</v>
      </c>
    </row>
    <row r="28" spans="1:37" ht="12.75" customHeight="1" x14ac:dyDescent="0.2">
      <c r="B28" s="291">
        <v>291.83</v>
      </c>
      <c r="C28" s="292">
        <v>559.47</v>
      </c>
      <c r="D28" s="285" t="s">
        <v>38</v>
      </c>
      <c r="E28" s="222">
        <v>0</v>
      </c>
      <c r="F28" s="222">
        <v>0</v>
      </c>
      <c r="G28" s="223">
        <v>2</v>
      </c>
      <c r="H28" s="274">
        <f t="shared" si="15"/>
        <v>9</v>
      </c>
      <c r="I28" s="274">
        <f t="shared" si="16"/>
        <v>0</v>
      </c>
      <c r="J28" s="274">
        <f t="shared" si="17"/>
        <v>29.737777777777779</v>
      </c>
      <c r="K28" s="274">
        <v>0</v>
      </c>
      <c r="L28" s="259">
        <f t="shared" si="24"/>
        <v>267.64000000000004</v>
      </c>
      <c r="M28" s="224">
        <v>29</v>
      </c>
      <c r="N28" s="224">
        <f t="shared" si="18"/>
        <v>7761.5600000000013</v>
      </c>
      <c r="O28" s="224"/>
      <c r="P28" s="259">
        <f t="shared" ref="P28:P35" si="27">SUM(N28:O28)</f>
        <v>7761.5600000000013</v>
      </c>
      <c r="Q28" s="272">
        <f t="shared" si="25"/>
        <v>0.56501777777777784</v>
      </c>
      <c r="R28" s="225">
        <f t="shared" si="26"/>
        <v>1130.0355555555557</v>
      </c>
      <c r="S28" s="225"/>
      <c r="T28" s="259"/>
      <c r="U28" s="259"/>
      <c r="V28" s="259">
        <f t="shared" si="19"/>
        <v>143.73259259259262</v>
      </c>
      <c r="W28" s="259">
        <f t="shared" si="20"/>
        <v>173.4703703703704</v>
      </c>
      <c r="X28" s="272">
        <f t="shared" si="21"/>
        <v>47.431755555555561</v>
      </c>
      <c r="Y28" s="259">
        <f t="shared" si="22"/>
        <v>29.944290123456796</v>
      </c>
      <c r="Z28" s="259">
        <f t="shared" si="23"/>
        <v>41.922006172839517</v>
      </c>
    </row>
    <row r="29" spans="1:37" ht="12.75" customHeight="1" x14ac:dyDescent="0.2">
      <c r="B29" s="291">
        <v>559.47</v>
      </c>
      <c r="C29" s="292">
        <v>644.77</v>
      </c>
      <c r="D29" s="285" t="s">
        <v>38</v>
      </c>
      <c r="E29" s="222">
        <v>0</v>
      </c>
      <c r="F29" s="222">
        <v>0</v>
      </c>
      <c r="G29" s="223">
        <v>2</v>
      </c>
      <c r="H29" s="274">
        <f t="shared" si="15"/>
        <v>9</v>
      </c>
      <c r="I29" s="274">
        <f t="shared" si="16"/>
        <v>0</v>
      </c>
      <c r="J29" s="274">
        <f t="shared" si="17"/>
        <v>9.4777777777777725</v>
      </c>
      <c r="K29" s="274">
        <v>0</v>
      </c>
      <c r="L29" s="259">
        <f t="shared" si="24"/>
        <v>85.299999999999955</v>
      </c>
      <c r="M29" s="224">
        <v>26.5</v>
      </c>
      <c r="N29" s="224">
        <f t="shared" si="18"/>
        <v>2260.4499999999989</v>
      </c>
      <c r="O29" s="224"/>
      <c r="P29" s="259">
        <f t="shared" si="27"/>
        <v>2260.4499999999989</v>
      </c>
      <c r="Q29" s="272">
        <f t="shared" si="25"/>
        <v>0.16823055555555549</v>
      </c>
      <c r="R29" s="225">
        <f t="shared" si="26"/>
        <v>336.46111111111099</v>
      </c>
      <c r="S29" s="225"/>
      <c r="T29" s="259"/>
      <c r="U29" s="259"/>
      <c r="V29" s="259">
        <f t="shared" si="19"/>
        <v>41.860185185185166</v>
      </c>
      <c r="W29" s="259">
        <f t="shared" si="20"/>
        <v>51.337962962962941</v>
      </c>
      <c r="X29" s="272">
        <f t="shared" si="21"/>
        <v>13.813861111111104</v>
      </c>
      <c r="Y29" s="259">
        <f t="shared" si="22"/>
        <v>8.7208719135802433</v>
      </c>
      <c r="Z29" s="259">
        <f t="shared" si="23"/>
        <v>12.20922067901234</v>
      </c>
    </row>
    <row r="30" spans="1:37" ht="12.75" customHeight="1" x14ac:dyDescent="0.2">
      <c r="B30" s="291">
        <v>644.77</v>
      </c>
      <c r="C30" s="292">
        <v>874.86</v>
      </c>
      <c r="D30" s="285" t="s">
        <v>38</v>
      </c>
      <c r="E30" s="222">
        <v>0</v>
      </c>
      <c r="F30" s="222">
        <v>0</v>
      </c>
      <c r="G30" s="223">
        <v>2</v>
      </c>
      <c r="H30" s="274">
        <f t="shared" si="15"/>
        <v>9</v>
      </c>
      <c r="I30" s="274">
        <f t="shared" si="16"/>
        <v>0</v>
      </c>
      <c r="J30" s="274">
        <f t="shared" si="17"/>
        <v>25.565555555555559</v>
      </c>
      <c r="K30" s="274">
        <v>0</v>
      </c>
      <c r="L30" s="259">
        <f t="shared" si="24"/>
        <v>230.09000000000003</v>
      </c>
      <c r="M30" s="224">
        <v>24</v>
      </c>
      <c r="N30" s="224">
        <f t="shared" si="18"/>
        <v>5522.1600000000008</v>
      </c>
      <c r="O30" s="224"/>
      <c r="P30" s="259">
        <f t="shared" si="27"/>
        <v>5522.1600000000008</v>
      </c>
      <c r="Q30" s="272">
        <f t="shared" si="25"/>
        <v>0.42183166666666672</v>
      </c>
      <c r="R30" s="225">
        <f t="shared" si="26"/>
        <v>843.66333333333341</v>
      </c>
      <c r="S30" s="225"/>
      <c r="T30" s="259"/>
      <c r="U30" s="259"/>
      <c r="V30" s="259">
        <f t="shared" si="19"/>
        <v>102.26222222222223</v>
      </c>
      <c r="W30" s="259">
        <f t="shared" si="20"/>
        <v>127.8277777777778</v>
      </c>
      <c r="X30" s="272">
        <f t="shared" si="21"/>
        <v>33.746533333333339</v>
      </c>
      <c r="Y30" s="259">
        <f t="shared" si="22"/>
        <v>21.304629629629634</v>
      </c>
      <c r="Z30" s="259">
        <f t="shared" si="23"/>
        <v>29.826481481481483</v>
      </c>
    </row>
    <row r="31" spans="1:37" ht="12.75" customHeight="1" x14ac:dyDescent="0.2">
      <c r="B31" s="291">
        <v>874.86</v>
      </c>
      <c r="C31" s="292">
        <v>960.16</v>
      </c>
      <c r="D31" s="285" t="s">
        <v>38</v>
      </c>
      <c r="E31" s="222">
        <v>0</v>
      </c>
      <c r="F31" s="222">
        <v>0</v>
      </c>
      <c r="G31" s="223">
        <v>2</v>
      </c>
      <c r="H31" s="274">
        <f t="shared" si="15"/>
        <v>9</v>
      </c>
      <c r="I31" s="274">
        <f t="shared" si="16"/>
        <v>0</v>
      </c>
      <c r="J31" s="274">
        <f t="shared" si="17"/>
        <v>9.4777777777777725</v>
      </c>
      <c r="K31" s="274">
        <v>0</v>
      </c>
      <c r="L31" s="259">
        <f t="shared" si="24"/>
        <v>85.299999999999955</v>
      </c>
      <c r="M31" s="224">
        <v>26.5</v>
      </c>
      <c r="N31" s="224">
        <f t="shared" si="18"/>
        <v>2260.4499999999989</v>
      </c>
      <c r="O31" s="224"/>
      <c r="P31" s="259">
        <f t="shared" si="27"/>
        <v>2260.4499999999989</v>
      </c>
      <c r="Q31" s="272">
        <f t="shared" si="25"/>
        <v>0.16823055555555549</v>
      </c>
      <c r="R31" s="225">
        <f t="shared" si="26"/>
        <v>336.46111111111099</v>
      </c>
      <c r="S31" s="225"/>
      <c r="T31" s="259"/>
      <c r="U31" s="259"/>
      <c r="V31" s="259">
        <f t="shared" si="19"/>
        <v>41.860185185185166</v>
      </c>
      <c r="W31" s="259">
        <f t="shared" si="20"/>
        <v>51.337962962962941</v>
      </c>
      <c r="X31" s="272">
        <f t="shared" si="21"/>
        <v>13.813861111111104</v>
      </c>
      <c r="Y31" s="259">
        <f t="shared" si="22"/>
        <v>8.7208719135802433</v>
      </c>
      <c r="Z31" s="259">
        <f t="shared" si="23"/>
        <v>12.20922067901234</v>
      </c>
    </row>
    <row r="32" spans="1:37" ht="12.75" customHeight="1" x14ac:dyDescent="0.2">
      <c r="A32" s="58"/>
      <c r="B32" s="291">
        <v>960.16</v>
      </c>
      <c r="C32" s="292">
        <v>1197.95</v>
      </c>
      <c r="D32" s="285" t="s">
        <v>38</v>
      </c>
      <c r="E32" s="222">
        <v>0</v>
      </c>
      <c r="F32" s="222">
        <v>0</v>
      </c>
      <c r="G32" s="223">
        <v>2</v>
      </c>
      <c r="H32" s="274">
        <f t="shared" si="15"/>
        <v>9</v>
      </c>
      <c r="I32" s="274">
        <f t="shared" si="16"/>
        <v>0</v>
      </c>
      <c r="J32" s="274">
        <f t="shared" si="17"/>
        <v>26.42111111111112</v>
      </c>
      <c r="K32" s="274">
        <v>0</v>
      </c>
      <c r="L32" s="259">
        <f t="shared" si="24"/>
        <v>237.79000000000008</v>
      </c>
      <c r="M32" s="224">
        <v>29</v>
      </c>
      <c r="N32" s="224">
        <f t="shared" si="18"/>
        <v>6895.9100000000026</v>
      </c>
      <c r="O32" s="224"/>
      <c r="P32" s="259">
        <f t="shared" si="27"/>
        <v>6895.9100000000026</v>
      </c>
      <c r="Q32" s="272">
        <f t="shared" si="25"/>
        <v>0.50200111111111134</v>
      </c>
      <c r="R32" s="225">
        <f t="shared" si="26"/>
        <v>1004.0022222222227</v>
      </c>
      <c r="S32" s="225"/>
      <c r="T32" s="259"/>
      <c r="U32" s="259"/>
      <c r="V32" s="259">
        <f t="shared" si="19"/>
        <v>127.70203703703709</v>
      </c>
      <c r="W32" s="259">
        <f t="shared" si="20"/>
        <v>154.1231481481482</v>
      </c>
      <c r="X32" s="272">
        <f t="shared" si="21"/>
        <v>42.14167222222224</v>
      </c>
      <c r="Y32" s="259">
        <f t="shared" si="22"/>
        <v>26.604591049382726</v>
      </c>
      <c r="Z32" s="259">
        <f t="shared" si="23"/>
        <v>37.246427469135817</v>
      </c>
    </row>
    <row r="33" spans="1:26" ht="12.75" customHeight="1" x14ac:dyDescent="0.2">
      <c r="A33" s="58"/>
      <c r="B33" s="291">
        <v>1197.95</v>
      </c>
      <c r="C33" s="292">
        <v>1290.51</v>
      </c>
      <c r="D33" s="287" t="s">
        <v>15</v>
      </c>
      <c r="E33" s="222">
        <v>0</v>
      </c>
      <c r="F33" s="222">
        <v>0</v>
      </c>
      <c r="G33" s="223">
        <v>1</v>
      </c>
      <c r="H33" s="274">
        <f t="shared" si="15"/>
        <v>4.5</v>
      </c>
      <c r="I33" s="274">
        <f t="shared" si="16"/>
        <v>0</v>
      </c>
      <c r="J33" s="274">
        <f t="shared" si="17"/>
        <v>5.1422222222222196</v>
      </c>
      <c r="K33" s="274">
        <v>0</v>
      </c>
      <c r="L33" s="259">
        <f t="shared" si="24"/>
        <v>92.559999999999945</v>
      </c>
      <c r="M33" s="224">
        <v>12</v>
      </c>
      <c r="N33" s="224">
        <f t="shared" si="18"/>
        <v>1110.7199999999993</v>
      </c>
      <c r="O33" s="224"/>
      <c r="P33" s="259">
        <f t="shared" si="27"/>
        <v>1110.7199999999993</v>
      </c>
      <c r="Q33" s="272">
        <f t="shared" si="25"/>
        <v>8.4846666666666626E-2</v>
      </c>
      <c r="R33" s="225">
        <f t="shared" si="26"/>
        <v>169.69333333333324</v>
      </c>
      <c r="S33" s="225"/>
      <c r="T33" s="259"/>
      <c r="U33" s="259"/>
      <c r="V33" s="259">
        <f t="shared" si="19"/>
        <v>20.568888888888878</v>
      </c>
      <c r="W33" s="259">
        <f t="shared" si="20"/>
        <v>25.711111111111098</v>
      </c>
      <c r="X33" s="272">
        <f t="shared" si="21"/>
        <v>6.7877333333333292</v>
      </c>
      <c r="Y33" s="259">
        <f t="shared" si="22"/>
        <v>4.285185185185183</v>
      </c>
      <c r="Z33" s="259">
        <f t="shared" si="23"/>
        <v>5.9992592592592553</v>
      </c>
    </row>
    <row r="34" spans="1:26" ht="12.75" customHeight="1" x14ac:dyDescent="0.2">
      <c r="B34" s="291">
        <v>1197.95</v>
      </c>
      <c r="C34" s="292">
        <v>1297.8399999999999</v>
      </c>
      <c r="D34" s="287" t="s">
        <v>16</v>
      </c>
      <c r="E34" s="222">
        <v>0</v>
      </c>
      <c r="F34" s="222">
        <v>0</v>
      </c>
      <c r="G34" s="223">
        <v>1</v>
      </c>
      <c r="H34" s="274">
        <f t="shared" si="15"/>
        <v>4.5</v>
      </c>
      <c r="I34" s="274">
        <f t="shared" si="16"/>
        <v>0</v>
      </c>
      <c r="J34" s="274">
        <f t="shared" si="17"/>
        <v>5.5494444444444371</v>
      </c>
      <c r="K34" s="274">
        <v>0</v>
      </c>
      <c r="L34" s="259">
        <f t="shared" si="24"/>
        <v>99.889999999999873</v>
      </c>
      <c r="M34" s="224">
        <v>14.5</v>
      </c>
      <c r="N34" s="224">
        <f t="shared" si="18"/>
        <v>1448.4049999999982</v>
      </c>
      <c r="O34" s="224"/>
      <c r="P34" s="259">
        <f t="shared" si="27"/>
        <v>1448.4049999999982</v>
      </c>
      <c r="Q34" s="272">
        <f t="shared" si="25"/>
        <v>0.10543944444444431</v>
      </c>
      <c r="R34" s="225">
        <f t="shared" si="26"/>
        <v>210.87888888888861</v>
      </c>
      <c r="S34" s="225"/>
      <c r="T34" s="259"/>
      <c r="U34" s="259"/>
      <c r="V34" s="259">
        <f t="shared" si="19"/>
        <v>26.822314814814781</v>
      </c>
      <c r="W34" s="259">
        <f t="shared" si="20"/>
        <v>32.371759259259221</v>
      </c>
      <c r="X34" s="272">
        <f t="shared" si="21"/>
        <v>8.8513638888888764</v>
      </c>
      <c r="Y34" s="259">
        <f t="shared" si="22"/>
        <v>5.5879822530864134</v>
      </c>
      <c r="Z34" s="259">
        <f t="shared" si="23"/>
        <v>7.8231751543209773</v>
      </c>
    </row>
    <row r="35" spans="1:26" ht="12.75" customHeight="1" x14ac:dyDescent="0.2">
      <c r="B35" s="291">
        <v>1290.51</v>
      </c>
      <c r="C35" s="292">
        <v>1382.71</v>
      </c>
      <c r="D35" s="287" t="s">
        <v>15</v>
      </c>
      <c r="E35" s="222">
        <v>0</v>
      </c>
      <c r="F35" s="222">
        <v>0</v>
      </c>
      <c r="G35" s="223">
        <v>1</v>
      </c>
      <c r="H35" s="274">
        <f t="shared" si="15"/>
        <v>4.5</v>
      </c>
      <c r="I35" s="274">
        <f t="shared" si="16"/>
        <v>0</v>
      </c>
      <c r="J35" s="274">
        <f t="shared" si="17"/>
        <v>5.1222222222222245</v>
      </c>
      <c r="K35" s="274">
        <v>0</v>
      </c>
      <c r="L35" s="259">
        <f t="shared" si="24"/>
        <v>92.200000000000045</v>
      </c>
      <c r="M35" s="224">
        <v>15.6</v>
      </c>
      <c r="N35" s="224">
        <f t="shared" si="18"/>
        <v>1438.3200000000006</v>
      </c>
      <c r="O35" s="224"/>
      <c r="P35" s="259">
        <f t="shared" si="27"/>
        <v>1438.3200000000006</v>
      </c>
      <c r="Q35" s="272">
        <f t="shared" si="25"/>
        <v>0.10295666666666671</v>
      </c>
      <c r="R35" s="225">
        <f t="shared" si="26"/>
        <v>205.91333333333341</v>
      </c>
      <c r="S35" s="225"/>
      <c r="T35" s="259"/>
      <c r="U35" s="259"/>
      <c r="V35" s="259">
        <f t="shared" si="19"/>
        <v>26.635555555555566</v>
      </c>
      <c r="W35" s="259">
        <f t="shared" si="20"/>
        <v>31.75777777777779</v>
      </c>
      <c r="X35" s="272">
        <f t="shared" si="21"/>
        <v>8.7897333333333361</v>
      </c>
      <c r="Y35" s="259">
        <f t="shared" si="22"/>
        <v>5.5490740740740767</v>
      </c>
      <c r="Z35" s="259">
        <f t="shared" si="23"/>
        <v>7.7687037037037081</v>
      </c>
    </row>
    <row r="36" spans="1:26" ht="12.75" customHeight="1" x14ac:dyDescent="0.2">
      <c r="B36" s="291">
        <v>1297.8399999999999</v>
      </c>
      <c r="C36" s="292">
        <v>1350.71</v>
      </c>
      <c r="D36" s="287" t="s">
        <v>16</v>
      </c>
      <c r="E36" s="222">
        <v>0</v>
      </c>
      <c r="F36" s="222">
        <v>0</v>
      </c>
      <c r="G36" s="223">
        <v>1</v>
      </c>
      <c r="H36" s="274">
        <f t="shared" si="15"/>
        <v>4.5</v>
      </c>
      <c r="I36" s="274">
        <f t="shared" si="16"/>
        <v>0</v>
      </c>
      <c r="J36" s="274">
        <f t="shared" si="17"/>
        <v>2.9372222222222288</v>
      </c>
      <c r="K36" s="274">
        <v>0</v>
      </c>
      <c r="L36" s="259">
        <f t="shared" si="24"/>
        <v>52.870000000000118</v>
      </c>
      <c r="M36" s="224">
        <v>12</v>
      </c>
      <c r="N36" s="224">
        <f t="shared" si="18"/>
        <v>634.44000000000142</v>
      </c>
      <c r="O36" s="224"/>
      <c r="P36" s="259">
        <f t="shared" ref="P36:P40" si="28">SUM(N36:O36)</f>
        <v>634.44000000000142</v>
      </c>
      <c r="Q36" s="272">
        <f t="shared" si="25"/>
        <v>4.846416666666678E-2</v>
      </c>
      <c r="R36" s="225">
        <f t="shared" si="26"/>
        <v>96.928333333333555</v>
      </c>
      <c r="S36" s="225"/>
      <c r="T36" s="259"/>
      <c r="U36" s="259"/>
      <c r="V36" s="259">
        <f t="shared" si="19"/>
        <v>11.748888888888915</v>
      </c>
      <c r="W36" s="259">
        <f t="shared" si="20"/>
        <v>14.686111111111144</v>
      </c>
      <c r="X36" s="272">
        <f t="shared" si="21"/>
        <v>3.8771333333333424</v>
      </c>
      <c r="Y36" s="259">
        <f t="shared" si="22"/>
        <v>2.4476851851851906</v>
      </c>
      <c r="Z36" s="259">
        <f t="shared" si="23"/>
        <v>3.4267592592592671</v>
      </c>
    </row>
    <row r="37" spans="1:26" ht="12.75" customHeight="1" x14ac:dyDescent="0.2">
      <c r="B37" s="291">
        <v>1350.71</v>
      </c>
      <c r="C37" s="292">
        <v>1392.04</v>
      </c>
      <c r="D37" s="287" t="s">
        <v>16</v>
      </c>
      <c r="E37" s="222">
        <v>0</v>
      </c>
      <c r="F37" s="222">
        <v>0</v>
      </c>
      <c r="G37" s="223">
        <v>1</v>
      </c>
      <c r="H37" s="274">
        <f t="shared" si="15"/>
        <v>4.5</v>
      </c>
      <c r="I37" s="274">
        <f t="shared" si="16"/>
        <v>0</v>
      </c>
      <c r="J37" s="274">
        <f t="shared" si="17"/>
        <v>2.2961111111111072</v>
      </c>
      <c r="K37" s="274">
        <v>0</v>
      </c>
      <c r="L37" s="259">
        <f t="shared" si="24"/>
        <v>41.329999999999927</v>
      </c>
      <c r="M37" s="224">
        <v>13.4</v>
      </c>
      <c r="N37" s="224">
        <f t="shared" si="18"/>
        <v>553.82199999999909</v>
      </c>
      <c r="O37" s="224"/>
      <c r="P37" s="259">
        <f t="shared" si="28"/>
        <v>553.82199999999909</v>
      </c>
      <c r="Q37" s="272">
        <f t="shared" si="25"/>
        <v>4.1100388888888825E-2</v>
      </c>
      <c r="R37" s="225">
        <f t="shared" si="26"/>
        <v>82.200777777777645</v>
      </c>
      <c r="S37" s="225"/>
      <c r="T37" s="259"/>
      <c r="U37" s="259"/>
      <c r="V37" s="259">
        <f t="shared" si="19"/>
        <v>10.255962962962947</v>
      </c>
      <c r="W37" s="259">
        <f t="shared" si="20"/>
        <v>12.552074074074055</v>
      </c>
      <c r="X37" s="272">
        <f t="shared" si="21"/>
        <v>3.3844677777777723</v>
      </c>
      <c r="Y37" s="259">
        <f t="shared" si="22"/>
        <v>2.1366589506172806</v>
      </c>
      <c r="Z37" s="259">
        <f t="shared" si="23"/>
        <v>2.9913225308641924</v>
      </c>
    </row>
    <row r="38" spans="1:26" ht="12.75" customHeight="1" x14ac:dyDescent="0.2">
      <c r="B38" s="291">
        <v>1382.71</v>
      </c>
      <c r="C38" s="292">
        <v>1428.41</v>
      </c>
      <c r="D38" s="287" t="s">
        <v>15</v>
      </c>
      <c r="E38" s="222">
        <v>0</v>
      </c>
      <c r="F38" s="222">
        <v>0</v>
      </c>
      <c r="G38" s="223">
        <v>1</v>
      </c>
      <c r="H38" s="274">
        <f t="shared" si="15"/>
        <v>4.5</v>
      </c>
      <c r="I38" s="274">
        <f t="shared" si="16"/>
        <v>0</v>
      </c>
      <c r="J38" s="274">
        <f t="shared" si="17"/>
        <v>2.5388888888888914</v>
      </c>
      <c r="K38" s="274">
        <v>0</v>
      </c>
      <c r="L38" s="259">
        <f t="shared" ref="L38:L39" si="29">C38-B38</f>
        <v>45.700000000000045</v>
      </c>
      <c r="M38" s="224">
        <v>19.2</v>
      </c>
      <c r="N38" s="224">
        <f t="shared" ref="N38:N39" si="30">IF(M38="","",L38*M38)</f>
        <v>877.44000000000085</v>
      </c>
      <c r="O38" s="224"/>
      <c r="P38" s="259">
        <f t="shared" ref="P38:P39" si="31">SUM(N38:O38)</f>
        <v>877.44000000000085</v>
      </c>
      <c r="Q38" s="272">
        <f t="shared" ref="Q38:Q39" si="32">(R38)/2000</f>
        <v>6.017166666666672E-2</v>
      </c>
      <c r="R38" s="225">
        <f t="shared" si="26"/>
        <v>120.34333333333345</v>
      </c>
      <c r="S38" s="225"/>
      <c r="T38" s="259"/>
      <c r="U38" s="259"/>
      <c r="V38" s="259">
        <f t="shared" si="19"/>
        <v>16.248888888888903</v>
      </c>
      <c r="W38" s="259">
        <f t="shared" si="20"/>
        <v>18.787777777777794</v>
      </c>
      <c r="X38" s="272">
        <f t="shared" si="21"/>
        <v>5.3621333333333387</v>
      </c>
      <c r="Y38" s="259">
        <f t="shared" si="22"/>
        <v>3.3851851851851884</v>
      </c>
      <c r="Z38" s="259">
        <f t="shared" si="23"/>
        <v>4.7392592592592644</v>
      </c>
    </row>
    <row r="39" spans="1:26" ht="12.75" customHeight="1" x14ac:dyDescent="0.2">
      <c r="B39" s="291">
        <v>1392.04</v>
      </c>
      <c r="C39" s="292">
        <v>1428.41</v>
      </c>
      <c r="D39" s="287" t="s">
        <v>16</v>
      </c>
      <c r="E39" s="222">
        <v>0</v>
      </c>
      <c r="F39" s="222">
        <v>0</v>
      </c>
      <c r="G39" s="223">
        <v>1</v>
      </c>
      <c r="H39" s="274">
        <f t="shared" si="15"/>
        <v>4.5</v>
      </c>
      <c r="I39" s="274">
        <f t="shared" si="16"/>
        <v>0</v>
      </c>
      <c r="J39" s="274">
        <f t="shared" si="17"/>
        <v>2.0205555555555623</v>
      </c>
      <c r="K39" s="274">
        <v>0</v>
      </c>
      <c r="L39" s="259">
        <f t="shared" si="29"/>
        <v>36.370000000000118</v>
      </c>
      <c r="M39" s="224">
        <v>17.57</v>
      </c>
      <c r="N39" s="224">
        <f t="shared" si="30"/>
        <v>639.02090000000214</v>
      </c>
      <c r="O39" s="224"/>
      <c r="P39" s="259">
        <f t="shared" si="31"/>
        <v>639.02090000000214</v>
      </c>
      <c r="Q39" s="272">
        <f t="shared" si="32"/>
        <v>4.4593661111111259E-2</v>
      </c>
      <c r="R39" s="225">
        <f t="shared" si="26"/>
        <v>89.187322222222519</v>
      </c>
      <c r="S39" s="225"/>
      <c r="T39" s="259"/>
      <c r="U39" s="259"/>
      <c r="V39" s="259">
        <f t="shared" si="19"/>
        <v>11.833720370370409</v>
      </c>
      <c r="W39" s="259">
        <f t="shared" si="20"/>
        <v>13.854275925925972</v>
      </c>
      <c r="X39" s="272">
        <f t="shared" si="21"/>
        <v>3.9051277222222351</v>
      </c>
      <c r="Y39" s="259">
        <f t="shared" si="22"/>
        <v>2.4653584104938355</v>
      </c>
      <c r="Z39" s="259">
        <f t="shared" si="23"/>
        <v>3.4515017746913692</v>
      </c>
    </row>
    <row r="40" spans="1:26" ht="12.75" customHeight="1" x14ac:dyDescent="0.2">
      <c r="A40" s="58"/>
      <c r="B40" s="291">
        <v>1428.41</v>
      </c>
      <c r="C40" s="292">
        <v>1593.93</v>
      </c>
      <c r="D40" s="285" t="s">
        <v>38</v>
      </c>
      <c r="E40" s="222">
        <v>1</v>
      </c>
      <c r="F40" s="222">
        <v>0</v>
      </c>
      <c r="G40" s="223">
        <v>0</v>
      </c>
      <c r="H40" s="274">
        <f t="shared" si="15"/>
        <v>2.33</v>
      </c>
      <c r="I40" s="274">
        <f t="shared" si="16"/>
        <v>3.2236566666666673</v>
      </c>
      <c r="J40" s="274">
        <f t="shared" si="17"/>
        <v>8.0436990000000019</v>
      </c>
      <c r="K40" s="274">
        <v>0</v>
      </c>
      <c r="L40" s="259">
        <v>521.19000000000005</v>
      </c>
      <c r="M40" s="224"/>
      <c r="N40" s="224" t="str">
        <f t="shared" si="18"/>
        <v/>
      </c>
      <c r="O40" s="224">
        <v>14101.1</v>
      </c>
      <c r="P40" s="259">
        <f t="shared" si="28"/>
        <v>14101.1</v>
      </c>
      <c r="Q40" s="272">
        <f t="shared" si="25"/>
        <v>0.85085959444444448</v>
      </c>
      <c r="R40" s="225">
        <f>($P40+L40*$H40)/9</f>
        <v>1701.719188888889</v>
      </c>
      <c r="S40" s="225"/>
      <c r="T40" s="259"/>
      <c r="U40" s="259"/>
      <c r="V40" s="259">
        <f t="shared" si="19"/>
        <v>264.35513814814817</v>
      </c>
      <c r="W40" s="259">
        <f t="shared" si="20"/>
        <v>269.1751804814815</v>
      </c>
      <c r="X40" s="272">
        <f t="shared" si="21"/>
        <v>86.173388888888894</v>
      </c>
      <c r="Y40" s="259">
        <f t="shared" si="22"/>
        <v>54.402391975308646</v>
      </c>
      <c r="Z40" s="259">
        <f t="shared" si="23"/>
        <v>76.16334876543209</v>
      </c>
    </row>
    <row r="41" spans="1:26" ht="12.75" customHeight="1" thickBot="1" x14ac:dyDescent="0.25">
      <c r="B41" s="283"/>
      <c r="C41" s="284"/>
      <c r="D41" s="286"/>
      <c r="E41" s="32"/>
      <c r="F41" s="32"/>
      <c r="G41" s="32"/>
      <c r="H41" s="27"/>
      <c r="I41" s="27"/>
      <c r="J41" s="27"/>
      <c r="K41" s="27"/>
      <c r="L41" s="4"/>
      <c r="M41" s="4"/>
      <c r="N41" s="14"/>
      <c r="O41" s="4"/>
      <c r="P41" s="4"/>
      <c r="Q41" s="6"/>
      <c r="R41" s="7"/>
      <c r="S41" s="7"/>
      <c r="T41" s="4"/>
      <c r="U41" s="4"/>
      <c r="V41" s="4"/>
      <c r="W41" s="4"/>
      <c r="X41" s="6"/>
      <c r="Y41" s="6"/>
      <c r="Z41" s="4"/>
    </row>
    <row r="42" spans="1:26" s="20" customFormat="1" ht="12.75" customHeight="1" x14ac:dyDescent="0.2">
      <c r="B42" s="380" t="s">
        <v>173</v>
      </c>
      <c r="C42" s="381"/>
      <c r="D42" s="384" t="s">
        <v>28</v>
      </c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6"/>
      <c r="Q42" s="369">
        <f>ROUND(SUM(Q15:Q40),0)</f>
        <v>4</v>
      </c>
      <c r="R42" s="369">
        <f t="shared" ref="R42:S42" si="33">ROUND(SUM(R15:R40),0)</f>
        <v>8775</v>
      </c>
      <c r="S42" s="369">
        <f t="shared" si="33"/>
        <v>59</v>
      </c>
      <c r="T42" s="369"/>
      <c r="U42" s="406">
        <f>ROUND(SUM(U15:V40),0)</f>
        <v>1064</v>
      </c>
      <c r="V42" s="407"/>
      <c r="W42" s="369">
        <f>ROUND(SUM(W15:W40),0)</f>
        <v>1354</v>
      </c>
      <c r="X42" s="369">
        <f>ROUND(SUM(X15:X40),0)</f>
        <v>373</v>
      </c>
      <c r="Y42" s="369">
        <f>ROUND(SUM(Y15:Y40),0)</f>
        <v>235</v>
      </c>
      <c r="Z42" s="369">
        <f>ROUND(SUM(Z15:Z40),0)</f>
        <v>329</v>
      </c>
    </row>
    <row r="43" spans="1:26" s="20" customFormat="1" ht="12.75" customHeight="1" thickBot="1" x14ac:dyDescent="0.25">
      <c r="B43" s="382"/>
      <c r="C43" s="383"/>
      <c r="D43" s="387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9"/>
      <c r="Q43" s="370"/>
      <c r="R43" s="370"/>
      <c r="S43" s="370"/>
      <c r="T43" s="370"/>
      <c r="U43" s="408"/>
      <c r="V43" s="409"/>
      <c r="W43" s="370"/>
      <c r="X43" s="370"/>
      <c r="Y43" s="405"/>
      <c r="Z43" s="370"/>
    </row>
    <row r="46" spans="1:26" x14ac:dyDescent="0.2">
      <c r="B46" s="288"/>
      <c r="C46" s="288"/>
      <c r="D46" s="18"/>
      <c r="E46" s="18"/>
      <c r="F46" s="18"/>
      <c r="G46" s="18"/>
      <c r="H46" s="18"/>
      <c r="I46" s="18"/>
      <c r="J46" s="18"/>
      <c r="K46" s="18"/>
      <c r="L46" s="13"/>
      <c r="M46" s="13"/>
      <c r="N46" s="13"/>
      <c r="O46" s="48"/>
    </row>
    <row r="47" spans="1:26" x14ac:dyDescent="0.2">
      <c r="B47" s="288"/>
      <c r="C47" s="288"/>
      <c r="D47" s="18"/>
      <c r="E47" s="18"/>
      <c r="F47" s="18"/>
      <c r="G47" s="18"/>
      <c r="H47" s="18"/>
      <c r="I47" s="18"/>
      <c r="J47" s="18"/>
      <c r="K47" s="18"/>
      <c r="L47" s="13"/>
      <c r="M47" s="13"/>
      <c r="N47" s="13"/>
      <c r="O47" s="48"/>
    </row>
    <row r="48" spans="1:26" x14ac:dyDescent="0.2">
      <c r="B48" s="288"/>
      <c r="C48" s="288"/>
      <c r="D48" s="18"/>
      <c r="E48" s="18"/>
      <c r="F48" s="18"/>
      <c r="G48" s="18"/>
      <c r="H48" s="18"/>
      <c r="I48" s="18"/>
      <c r="J48" s="18"/>
      <c r="K48" s="18"/>
      <c r="L48" s="13"/>
      <c r="M48" s="13"/>
      <c r="N48" s="13"/>
      <c r="O48" s="48"/>
    </row>
    <row r="49" spans="2:15" x14ac:dyDescent="0.2">
      <c r="B49" s="288"/>
      <c r="C49" s="288"/>
      <c r="D49" s="18"/>
      <c r="E49" s="18"/>
      <c r="F49" s="18"/>
      <c r="G49" s="18"/>
      <c r="H49" s="18"/>
      <c r="I49" s="18"/>
      <c r="J49" s="18"/>
      <c r="K49" s="18"/>
      <c r="L49" s="13"/>
      <c r="M49" s="13"/>
      <c r="N49" s="13"/>
      <c r="O49" s="48"/>
    </row>
    <row r="50" spans="2:15" x14ac:dyDescent="0.2">
      <c r="B50" s="288"/>
      <c r="C50" s="288"/>
      <c r="D50" s="18"/>
      <c r="E50" s="18"/>
      <c r="F50" s="18"/>
      <c r="G50" s="18"/>
      <c r="H50" s="18"/>
      <c r="I50" s="18"/>
      <c r="J50" s="18"/>
      <c r="K50" s="18"/>
      <c r="L50" s="13"/>
      <c r="M50" s="13"/>
      <c r="N50" s="13"/>
      <c r="O50" s="48"/>
    </row>
    <row r="51" spans="2:15" x14ac:dyDescent="0.2">
      <c r="B51" s="288"/>
      <c r="C51" s="288"/>
      <c r="D51" s="18"/>
      <c r="E51" s="18"/>
      <c r="F51" s="18"/>
      <c r="G51" s="18"/>
      <c r="H51" s="18"/>
      <c r="I51" s="18"/>
      <c r="J51" s="18"/>
      <c r="K51" s="18"/>
      <c r="L51" s="13"/>
      <c r="M51" s="13"/>
      <c r="N51" s="13"/>
      <c r="O51" s="48"/>
    </row>
    <row r="52" spans="2:15" x14ac:dyDescent="0.2">
      <c r="B52" s="288"/>
      <c r="C52" s="288"/>
      <c r="D52" s="18"/>
      <c r="E52" s="18"/>
      <c r="F52" s="18"/>
      <c r="G52" s="18"/>
      <c r="H52" s="18"/>
      <c r="I52" s="18"/>
      <c r="J52" s="18"/>
      <c r="K52" s="18"/>
      <c r="L52" s="13"/>
      <c r="M52" s="13"/>
      <c r="N52" s="13"/>
      <c r="O52" s="48"/>
    </row>
    <row r="53" spans="2:15" x14ac:dyDescent="0.2">
      <c r="B53" s="288"/>
      <c r="C53" s="288"/>
      <c r="D53" s="18"/>
      <c r="E53" s="18"/>
      <c r="F53" s="18"/>
      <c r="G53" s="18"/>
      <c r="H53" s="18"/>
      <c r="I53" s="18"/>
      <c r="J53" s="18"/>
      <c r="K53" s="18"/>
      <c r="L53" s="13"/>
      <c r="M53" s="13"/>
      <c r="N53" s="13"/>
      <c r="O53" s="48"/>
    </row>
    <row r="54" spans="2:15" x14ac:dyDescent="0.2">
      <c r="B54" s="288"/>
      <c r="C54" s="288"/>
      <c r="D54" s="18"/>
      <c r="E54" s="18"/>
      <c r="F54" s="18"/>
      <c r="G54" s="18"/>
      <c r="H54" s="18"/>
      <c r="I54" s="18"/>
      <c r="J54" s="18"/>
      <c r="K54" s="18"/>
      <c r="L54" s="13"/>
      <c r="M54" s="13"/>
      <c r="N54" s="13"/>
      <c r="O54" s="48"/>
    </row>
    <row r="55" spans="2:15" x14ac:dyDescent="0.2">
      <c r="B55" s="288"/>
      <c r="C55" s="288"/>
      <c r="D55" s="18"/>
      <c r="E55" s="18"/>
      <c r="F55" s="18"/>
      <c r="G55" s="18"/>
      <c r="H55" s="18"/>
      <c r="I55" s="18"/>
      <c r="J55" s="18"/>
      <c r="K55" s="18"/>
      <c r="L55" s="13"/>
      <c r="M55" s="13"/>
      <c r="N55" s="13"/>
      <c r="O55" s="48"/>
    </row>
    <row r="56" spans="2:15" x14ac:dyDescent="0.2">
      <c r="B56" s="288"/>
      <c r="C56" s="288"/>
      <c r="D56" s="18"/>
      <c r="E56" s="18"/>
      <c r="F56" s="18"/>
      <c r="G56" s="18"/>
      <c r="H56" s="18"/>
      <c r="I56" s="18"/>
      <c r="J56" s="18"/>
      <c r="K56" s="18"/>
      <c r="L56" s="13"/>
      <c r="M56" s="13"/>
      <c r="N56" s="13"/>
      <c r="O56" s="48"/>
    </row>
    <row r="57" spans="2:15" x14ac:dyDescent="0.2">
      <c r="B57" s="288"/>
      <c r="C57" s="288"/>
      <c r="D57" s="18"/>
      <c r="E57" s="18"/>
      <c r="F57" s="18"/>
      <c r="G57" s="18"/>
      <c r="H57" s="18"/>
      <c r="I57" s="18"/>
      <c r="J57" s="18"/>
      <c r="K57" s="18"/>
      <c r="L57" s="13"/>
      <c r="M57" s="13"/>
      <c r="N57" s="13"/>
      <c r="O57" s="48"/>
    </row>
    <row r="58" spans="2:15" x14ac:dyDescent="0.2">
      <c r="B58" s="288"/>
      <c r="C58" s="288"/>
      <c r="D58" s="18"/>
      <c r="E58" s="18"/>
      <c r="F58" s="18"/>
      <c r="G58" s="18"/>
      <c r="H58" s="18"/>
      <c r="I58" s="18"/>
      <c r="J58" s="18"/>
      <c r="K58" s="18"/>
      <c r="L58" s="13"/>
      <c r="M58" s="13"/>
      <c r="N58" s="13"/>
      <c r="O58" s="48"/>
    </row>
    <row r="59" spans="2:15" x14ac:dyDescent="0.2">
      <c r="B59" s="288"/>
      <c r="C59" s="288"/>
      <c r="D59" s="18"/>
      <c r="E59" s="18"/>
      <c r="F59" s="18"/>
      <c r="G59" s="18"/>
      <c r="H59" s="18"/>
      <c r="I59" s="18"/>
      <c r="J59" s="18"/>
      <c r="K59" s="18"/>
      <c r="L59" s="13"/>
      <c r="M59" s="13"/>
      <c r="N59" s="13"/>
      <c r="O59" s="48"/>
    </row>
    <row r="60" spans="2:15" x14ac:dyDescent="0.2">
      <c r="B60" s="288"/>
      <c r="C60" s="288"/>
      <c r="D60" s="18"/>
      <c r="E60" s="18"/>
      <c r="F60" s="18"/>
      <c r="G60" s="18"/>
      <c r="H60" s="18"/>
      <c r="I60" s="18"/>
      <c r="J60" s="18"/>
      <c r="K60" s="18"/>
      <c r="L60" s="13"/>
      <c r="M60" s="13"/>
      <c r="N60" s="13"/>
      <c r="O60" s="48"/>
    </row>
  </sheetData>
  <mergeCells count="79">
    <mergeCell ref="AC1:AK1"/>
    <mergeCell ref="B2:C12"/>
    <mergeCell ref="D2:D13"/>
    <mergeCell ref="E2:E13"/>
    <mergeCell ref="F2:F13"/>
    <mergeCell ref="G2:G13"/>
    <mergeCell ref="H2:H12"/>
    <mergeCell ref="I2:I12"/>
    <mergeCell ref="J2:J12"/>
    <mergeCell ref="K2:K12"/>
    <mergeCell ref="AC2:AE2"/>
    <mergeCell ref="AC3:AE3"/>
    <mergeCell ref="AC4:AE4"/>
    <mergeCell ref="AC8:AE8"/>
    <mergeCell ref="Z3:Z12"/>
    <mergeCell ref="L2:L12"/>
    <mergeCell ref="M2:M12"/>
    <mergeCell ref="N2:N12"/>
    <mergeCell ref="O2:O12"/>
    <mergeCell ref="P2:P12"/>
    <mergeCell ref="U2:V2"/>
    <mergeCell ref="AI2:AK2"/>
    <mergeCell ref="Q3:Q12"/>
    <mergeCell ref="R3:R12"/>
    <mergeCell ref="S3:S12"/>
    <mergeCell ref="T3:T12"/>
    <mergeCell ref="U3:U12"/>
    <mergeCell ref="V3:V12"/>
    <mergeCell ref="W3:W12"/>
    <mergeCell ref="X3:X12"/>
    <mergeCell ref="Y3:Y12"/>
    <mergeCell ref="Y2:Z2"/>
    <mergeCell ref="AF2:AH2"/>
    <mergeCell ref="AI3:AK3"/>
    <mergeCell ref="AF4:AH4"/>
    <mergeCell ref="AI4:AK4"/>
    <mergeCell ref="AF3:AH3"/>
    <mergeCell ref="AC9:AE9"/>
    <mergeCell ref="AC10:AE10"/>
    <mergeCell ref="AC7:AK7"/>
    <mergeCell ref="AF8:AH8"/>
    <mergeCell ref="AI8:AK8"/>
    <mergeCell ref="AF9:AH9"/>
    <mergeCell ref="AI9:AK9"/>
    <mergeCell ref="AF10:AH10"/>
    <mergeCell ref="AI10:AK10"/>
    <mergeCell ref="B14:C14"/>
    <mergeCell ref="AF14:AH14"/>
    <mergeCell ref="AI14:AK14"/>
    <mergeCell ref="AC14:AE14"/>
    <mergeCell ref="AC13:AK13"/>
    <mergeCell ref="AF15:AH15"/>
    <mergeCell ref="AI15:AK15"/>
    <mergeCell ref="AF16:AH16"/>
    <mergeCell ref="AI16:AK16"/>
    <mergeCell ref="AC15:AE15"/>
    <mergeCell ref="AC16:AE16"/>
    <mergeCell ref="B25:C25"/>
    <mergeCell ref="AF23:AH23"/>
    <mergeCell ref="B42:C43"/>
    <mergeCell ref="D42:P43"/>
    <mergeCell ref="Q42:Q43"/>
    <mergeCell ref="R42:R43"/>
    <mergeCell ref="S42:S43"/>
    <mergeCell ref="T42:T43"/>
    <mergeCell ref="Y42:Y43"/>
    <mergeCell ref="U42:V43"/>
    <mergeCell ref="W42:W43"/>
    <mergeCell ref="X42:X43"/>
    <mergeCell ref="Z42:Z43"/>
    <mergeCell ref="AC23:AE23"/>
    <mergeCell ref="AI23:AK23"/>
    <mergeCell ref="AC19:AK19"/>
    <mergeCell ref="AC21:AE21"/>
    <mergeCell ref="AF21:AH21"/>
    <mergeCell ref="AI21:AK21"/>
    <mergeCell ref="AC22:AE22"/>
    <mergeCell ref="AF22:AH22"/>
    <mergeCell ref="AI22:AK22"/>
  </mergeCells>
  <printOptions horizontalCentered="1" verticalCentered="1"/>
  <pageMargins left="0.22" right="0.22" top="0.22" bottom="0.22" header="0" footer="0"/>
  <pageSetup paperSize="17" scale="85" orientation="landscape" r:id="rId1"/>
  <headerFooter alignWithMargins="0">
    <oddFooter>&amp;L&amp;D&amp;R&amp;F, 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SUMMARY</vt:lpstr>
      <vt:lpstr>1-IR75</vt:lpstr>
      <vt:lpstr>2-US68</vt:lpstr>
      <vt:lpstr>3-US68 RAMPS</vt:lpstr>
      <vt:lpstr>4-LIMA,GRAY,LOGAN</vt:lpstr>
      <vt:lpstr>5-LIMA RAMPS</vt:lpstr>
      <vt:lpstr>6-SR12 RAMPS</vt:lpstr>
      <vt:lpstr>7-US224 RAMPS</vt:lpstr>
      <vt:lpstr>8-HARRISON, SERV RD</vt:lpstr>
      <vt:lpstr>'1-IR75'!Print_Area</vt:lpstr>
      <vt:lpstr>'2-US68'!Print_Area</vt:lpstr>
      <vt:lpstr>'3-US68 RAMPS'!Print_Area</vt:lpstr>
      <vt:lpstr>'4-LIMA,GRAY,LOGAN'!Print_Area</vt:lpstr>
      <vt:lpstr>'5-LIMA RAMPS'!Print_Area</vt:lpstr>
      <vt:lpstr>'6-SR12 RAMPS'!Print_Area</vt:lpstr>
      <vt:lpstr>'7-US224 RAMPS'!Print_Area</vt:lpstr>
      <vt:lpstr>'8-HARRISON, SERV RD'!Print_Area</vt:lpstr>
      <vt:lpstr>SUMMARY!Print_Area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Cavello</dc:creator>
  <cp:lastModifiedBy>Schetter, Andrew B.</cp:lastModifiedBy>
  <cp:lastPrinted>2014-04-23T17:48:03Z</cp:lastPrinted>
  <dcterms:created xsi:type="dcterms:W3CDTF">2007-01-18T14:43:23Z</dcterms:created>
  <dcterms:modified xsi:type="dcterms:W3CDTF">2016-08-16T15:53:33Z</dcterms:modified>
</cp:coreProperties>
</file>