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15255" windowHeight="6030" tabRatio="775" firstSheet="10" activeTab="13"/>
  </bookViews>
  <sheets>
    <sheet name="I-75" sheetId="6" r:id="rId1"/>
    <sheet name="LIMA Ramp A" sheetId="21" r:id="rId2"/>
    <sheet name="LIMA RAMP B" sheetId="20" r:id="rId3"/>
    <sheet name="LIMA Ramp E" sheetId="17" r:id="rId4"/>
    <sheet name="LIMA Ramp F" sheetId="18" r:id="rId5"/>
    <sheet name="LIMA RAMP G" sheetId="1" r:id="rId6"/>
    <sheet name="LIMA RAMP G1" sheetId="22" r:id="rId7"/>
    <sheet name="LIMA RAMP H" sheetId="5" r:id="rId8"/>
    <sheet name="US 68 RAMP A" sheetId="19" r:id="rId9"/>
    <sheet name="US 68 RAMP C" sheetId="7" r:id="rId10"/>
    <sheet name="US 68 RAMP D" sheetId="8" r:id="rId11"/>
    <sheet name="SR 12 Ramp A" sheetId="9" r:id="rId12"/>
    <sheet name="SR 12 Ramp B" sheetId="10" r:id="rId13"/>
    <sheet name="SR 12 Ramp C" sheetId="11" r:id="rId14"/>
    <sheet name="SR 12 Ramp D" sheetId="12" r:id="rId15"/>
    <sheet name="US 224 Ramp A" sheetId="13" r:id="rId16"/>
    <sheet name="US 224 Ramp B" sheetId="14" r:id="rId17"/>
    <sheet name="US 224 Ramp C" sheetId="15" r:id="rId18"/>
    <sheet name="US 224 Ramp D" sheetId="16" r:id="rId19"/>
    <sheet name="SCS" sheetId="2" r:id="rId20"/>
    <sheet name="Curve Ahead Spiral" sheetId="3" r:id="rId21"/>
    <sheet name="Curve Back Spiral" sheetId="4" r:id="rId22"/>
  </sheets>
  <calcPr calcId="145621"/>
</workbook>
</file>

<file path=xl/calcChain.xml><?xml version="1.0" encoding="utf-8"?>
<calcChain xmlns="http://schemas.openxmlformats.org/spreadsheetml/2006/main">
  <c r="N28" i="20" l="1"/>
  <c r="G27" i="22" l="1"/>
  <c r="C26" i="22"/>
  <c r="C33" i="22"/>
  <c r="C31" i="22" s="1"/>
  <c r="C14" i="22"/>
  <c r="C13" i="22"/>
  <c r="C11" i="22"/>
  <c r="C25" i="22" l="1"/>
  <c r="C34" i="22"/>
  <c r="C32" i="22"/>
  <c r="G27" i="17"/>
  <c r="J33" i="1"/>
  <c r="J31" i="1" s="1"/>
  <c r="G32" i="22" l="1"/>
  <c r="C26" i="1"/>
  <c r="C33" i="1"/>
  <c r="C34" i="1" s="1"/>
  <c r="C31" i="1"/>
  <c r="C14" i="1"/>
  <c r="C27" i="1" s="1"/>
  <c r="G27" i="1" s="1"/>
  <c r="C13" i="1"/>
  <c r="C11" i="1"/>
  <c r="C32" i="1" l="1"/>
  <c r="G32" i="1" s="1"/>
  <c r="T11" i="6" l="1"/>
  <c r="T13" i="6"/>
  <c r="T26" i="6"/>
  <c r="J27" i="19" l="1"/>
  <c r="P24" i="15" l="1"/>
  <c r="H25" i="15"/>
  <c r="N33" i="14"/>
  <c r="C27" i="13" l="1"/>
  <c r="N39" i="10" l="1"/>
  <c r="U37" i="18" l="1"/>
  <c r="U28" i="18"/>
  <c r="Q13" i="18" l="1"/>
  <c r="Q14" i="18"/>
  <c r="Q33" i="18"/>
  <c r="Q32" i="18" l="1"/>
  <c r="C34" i="12" l="1"/>
  <c r="C32" i="12"/>
  <c r="G39" i="12" s="1"/>
  <c r="C29" i="12"/>
  <c r="C27" i="12"/>
  <c r="C16" i="12"/>
  <c r="C15" i="12"/>
  <c r="C14" i="12"/>
  <c r="C12" i="12"/>
  <c r="S13" i="9"/>
  <c r="S33" i="9"/>
  <c r="S31" i="9"/>
  <c r="S28" i="9"/>
  <c r="S26" i="9"/>
  <c r="S14" i="9"/>
  <c r="S32" i="9" s="1"/>
  <c r="S11" i="9"/>
  <c r="X38" i="9" l="1"/>
  <c r="C33" i="12"/>
  <c r="C28" i="12"/>
  <c r="C26" i="12"/>
  <c r="C35" i="12"/>
  <c r="G34" i="12" s="1"/>
  <c r="S27" i="9"/>
  <c r="S34" i="9"/>
  <c r="S25" i="9"/>
  <c r="J26" i="1"/>
  <c r="C33" i="17"/>
  <c r="C26" i="17"/>
  <c r="C14" i="17"/>
  <c r="C13" i="17"/>
  <c r="C11" i="17"/>
  <c r="C14" i="20"/>
  <c r="K33" i="21"/>
  <c r="K28" i="21"/>
  <c r="K26" i="21"/>
  <c r="K14" i="21"/>
  <c r="K13" i="21"/>
  <c r="K11" i="21"/>
  <c r="C33" i="21"/>
  <c r="C26" i="21"/>
  <c r="C28" i="21"/>
  <c r="C14" i="21"/>
  <c r="C11" i="21"/>
  <c r="C13" i="21"/>
  <c r="X32" i="1"/>
  <c r="P31" i="7"/>
  <c r="C27" i="19"/>
  <c r="J28" i="1" l="1"/>
  <c r="C27" i="21"/>
  <c r="C25" i="17"/>
  <c r="C32" i="17"/>
  <c r="C31" i="17"/>
  <c r="G32" i="17" s="1"/>
  <c r="C34" i="17"/>
  <c r="K34" i="21"/>
  <c r="O27" i="21"/>
  <c r="K27" i="21"/>
  <c r="K25" i="21"/>
  <c r="C31" i="21"/>
  <c r="C34" i="21"/>
  <c r="G27" i="21"/>
  <c r="C32" i="21"/>
  <c r="C25" i="21"/>
  <c r="J34" i="20"/>
  <c r="J27" i="20"/>
  <c r="J15" i="20"/>
  <c r="J14" i="20"/>
  <c r="J12" i="20"/>
  <c r="C34" i="20"/>
  <c r="C15" i="20"/>
  <c r="C16" i="20"/>
  <c r="C27" i="20"/>
  <c r="C29" i="20" s="1"/>
  <c r="G28" i="20" s="1"/>
  <c r="C12" i="20"/>
  <c r="C33" i="20" l="1"/>
  <c r="J32" i="20"/>
  <c r="N33" i="20" s="1"/>
  <c r="G32" i="21"/>
  <c r="K31" i="21"/>
  <c r="O32" i="21" s="1"/>
  <c r="J35" i="20"/>
  <c r="J33" i="20"/>
  <c r="C35" i="20"/>
  <c r="C32" i="20"/>
  <c r="G33" i="20" s="1"/>
  <c r="J28" i="20"/>
  <c r="J26" i="20"/>
  <c r="J29" i="20"/>
  <c r="C26" i="20"/>
  <c r="C28" i="20"/>
  <c r="L41" i="5" l="1"/>
  <c r="N41" i="5"/>
  <c r="Q28" i="19"/>
  <c r="Q27" i="19"/>
  <c r="Q32" i="19"/>
  <c r="Q29" i="19"/>
  <c r="Q34" i="19"/>
  <c r="V34" i="19" s="1"/>
  <c r="Q12" i="19"/>
  <c r="J34" i="19"/>
  <c r="J32" i="19"/>
  <c r="J29" i="19"/>
  <c r="J28" i="19"/>
  <c r="J11" i="19"/>
  <c r="C32" i="19"/>
  <c r="C34" i="19"/>
  <c r="C29" i="19"/>
  <c r="H27" i="19" s="1"/>
  <c r="J14" i="19"/>
  <c r="J13" i="19"/>
  <c r="Q16" i="19"/>
  <c r="Q15" i="19"/>
  <c r="Q26" i="19" s="1"/>
  <c r="Q14" i="19"/>
  <c r="C14" i="19"/>
  <c r="C13" i="19"/>
  <c r="C11" i="19"/>
  <c r="B32" i="7"/>
  <c r="B27" i="7"/>
  <c r="J32" i="5"/>
  <c r="N32" i="5" s="1"/>
  <c r="J33" i="5"/>
  <c r="J31" i="5"/>
  <c r="J28" i="5"/>
  <c r="J26" i="5"/>
  <c r="J27" i="5" s="1"/>
  <c r="C26" i="5"/>
  <c r="C27" i="5" s="1"/>
  <c r="J14" i="5"/>
  <c r="J13" i="5"/>
  <c r="J11" i="5"/>
  <c r="C33" i="5"/>
  <c r="C34" i="5" s="1"/>
  <c r="C14" i="5"/>
  <c r="C13" i="5"/>
  <c r="C11" i="5"/>
  <c r="AB27" i="1"/>
  <c r="X33" i="1"/>
  <c r="X27" i="1"/>
  <c r="X28" i="1"/>
  <c r="X14" i="1"/>
  <c r="X13" i="1"/>
  <c r="X11" i="1"/>
  <c r="Q33" i="1"/>
  <c r="Q31" i="1" s="1"/>
  <c r="Q26" i="1"/>
  <c r="Q28" i="1" s="1"/>
  <c r="Q14" i="1"/>
  <c r="Q13" i="1"/>
  <c r="Q11" i="1"/>
  <c r="J14" i="1"/>
  <c r="J13" i="1"/>
  <c r="J11" i="1"/>
  <c r="Q11" i="18"/>
  <c r="Q26" i="18"/>
  <c r="J33" i="18"/>
  <c r="J28" i="18"/>
  <c r="J26" i="18"/>
  <c r="J14" i="18"/>
  <c r="J13" i="18"/>
  <c r="J11" i="18"/>
  <c r="C33" i="18"/>
  <c r="C28" i="18"/>
  <c r="C26" i="18"/>
  <c r="C14" i="18"/>
  <c r="C13" i="18"/>
  <c r="C11" i="18"/>
  <c r="J33" i="17"/>
  <c r="J28" i="17"/>
  <c r="J26" i="17"/>
  <c r="J14" i="17"/>
  <c r="J13" i="17"/>
  <c r="J11" i="17"/>
  <c r="J34" i="16"/>
  <c r="J32" i="16" s="1"/>
  <c r="N33" i="16" s="1"/>
  <c r="C34" i="16"/>
  <c r="J29" i="16"/>
  <c r="C29" i="16"/>
  <c r="J27" i="16"/>
  <c r="C27" i="16"/>
  <c r="J16" i="16"/>
  <c r="C16" i="16"/>
  <c r="J15" i="16"/>
  <c r="C15" i="16"/>
  <c r="J14" i="16"/>
  <c r="C14" i="16"/>
  <c r="J12" i="16"/>
  <c r="C12" i="16"/>
  <c r="K34" i="15"/>
  <c r="K32" i="15" s="1"/>
  <c r="K29" i="15"/>
  <c r="K27" i="15"/>
  <c r="K16" i="15"/>
  <c r="K15" i="15"/>
  <c r="K14" i="15"/>
  <c r="K12" i="15"/>
  <c r="C34" i="15"/>
  <c r="C29" i="15"/>
  <c r="C27" i="15"/>
  <c r="C12" i="15"/>
  <c r="C16" i="15"/>
  <c r="C15" i="15"/>
  <c r="C14" i="15"/>
  <c r="J27" i="14"/>
  <c r="J28" i="14" s="1"/>
  <c r="J34" i="14"/>
  <c r="J29" i="14"/>
  <c r="C29" i="14"/>
  <c r="G28" i="14" s="1"/>
  <c r="C34" i="14"/>
  <c r="C27" i="14"/>
  <c r="C28" i="14" s="1"/>
  <c r="J12" i="14"/>
  <c r="C12" i="14"/>
  <c r="J16" i="14"/>
  <c r="J15" i="14"/>
  <c r="J14" i="14"/>
  <c r="C16" i="14"/>
  <c r="C15" i="14"/>
  <c r="C14" i="14"/>
  <c r="C34" i="13"/>
  <c r="C28" i="13"/>
  <c r="C29" i="13"/>
  <c r="H28" i="13" s="1"/>
  <c r="C16" i="13"/>
  <c r="C15" i="13"/>
  <c r="C14" i="13"/>
  <c r="C12" i="13"/>
  <c r="Q29" i="12"/>
  <c r="Q27" i="12"/>
  <c r="Q33" i="12"/>
  <c r="Q32" i="12"/>
  <c r="Q16" i="12"/>
  <c r="J34" i="12"/>
  <c r="J32" i="12" s="1"/>
  <c r="J29" i="12"/>
  <c r="J27" i="12"/>
  <c r="C15" i="11"/>
  <c r="Q34" i="12"/>
  <c r="J16" i="12"/>
  <c r="Q15" i="12"/>
  <c r="J15" i="12"/>
  <c r="J28" i="12" s="1"/>
  <c r="Q14" i="12"/>
  <c r="J14" i="12"/>
  <c r="Q12" i="12"/>
  <c r="J12" i="12"/>
  <c r="K32" i="11"/>
  <c r="P34" i="11" s="1"/>
  <c r="K16" i="11"/>
  <c r="K34" i="11"/>
  <c r="K33" i="11" s="1"/>
  <c r="K29" i="11"/>
  <c r="P26" i="11" s="1"/>
  <c r="K28" i="11"/>
  <c r="K27" i="11"/>
  <c r="C34" i="11"/>
  <c r="C32" i="11" s="1"/>
  <c r="C29" i="11"/>
  <c r="H28" i="11" s="1"/>
  <c r="C27" i="11"/>
  <c r="C16" i="11"/>
  <c r="K15" i="11"/>
  <c r="C14" i="11"/>
  <c r="K14" i="11"/>
  <c r="C12" i="11"/>
  <c r="K12" i="11"/>
  <c r="J31" i="10"/>
  <c r="J33" i="10"/>
  <c r="N33" i="10" s="1"/>
  <c r="J28" i="10"/>
  <c r="J26" i="10"/>
  <c r="J14" i="10"/>
  <c r="C34" i="10"/>
  <c r="C32" i="10" s="1"/>
  <c r="C12" i="10"/>
  <c r="C27" i="10"/>
  <c r="C16" i="10"/>
  <c r="C29" i="10"/>
  <c r="G28" i="10" s="1"/>
  <c r="C15" i="10"/>
  <c r="J13" i="10"/>
  <c r="C14" i="10"/>
  <c r="J11" i="10"/>
  <c r="K26" i="9"/>
  <c r="K28" i="9"/>
  <c r="C33" i="9"/>
  <c r="C28" i="9"/>
  <c r="C14" i="9"/>
  <c r="C25" i="9" s="1"/>
  <c r="K33" i="9"/>
  <c r="K31" i="9"/>
  <c r="X25" i="9" s="1"/>
  <c r="C26" i="9"/>
  <c r="H27" i="9" s="1"/>
  <c r="K14" i="9"/>
  <c r="K13" i="9"/>
  <c r="C13" i="9"/>
  <c r="K11" i="9"/>
  <c r="C11" i="9"/>
  <c r="K26" i="8"/>
  <c r="C33" i="8"/>
  <c r="C31" i="8"/>
  <c r="K34" i="8"/>
  <c r="K32" i="8"/>
  <c r="P33" i="8" s="1"/>
  <c r="C28" i="8"/>
  <c r="K29" i="8"/>
  <c r="P27" i="8" s="1"/>
  <c r="C26" i="8"/>
  <c r="C14" i="8"/>
  <c r="K15" i="8"/>
  <c r="C13" i="8"/>
  <c r="K14" i="8"/>
  <c r="C11" i="8"/>
  <c r="K11" i="8"/>
  <c r="W16" i="7"/>
  <c r="W15" i="7"/>
  <c r="W12" i="7"/>
  <c r="W29" i="7"/>
  <c r="W34" i="7"/>
  <c r="W32" i="7"/>
  <c r="P34" i="7"/>
  <c r="U32" i="7" s="1"/>
  <c r="W14" i="7"/>
  <c r="P28" i="7"/>
  <c r="P26" i="7"/>
  <c r="P14" i="7"/>
  <c r="P13" i="7"/>
  <c r="P11" i="7"/>
  <c r="I26" i="7"/>
  <c r="C46" i="6"/>
  <c r="C43" i="6"/>
  <c r="C40" i="6"/>
  <c r="C37" i="6"/>
  <c r="T37" i="6"/>
  <c r="T40" i="6" s="1"/>
  <c r="T46" i="6"/>
  <c r="T43" i="6" s="1"/>
  <c r="T32" i="6"/>
  <c r="T28" i="6"/>
  <c r="X27" i="6" s="1"/>
  <c r="N46" i="6"/>
  <c r="N43" i="6"/>
  <c r="N40" i="6"/>
  <c r="N37" i="6"/>
  <c r="N32" i="6"/>
  <c r="N30" i="6"/>
  <c r="N28" i="6"/>
  <c r="R27" i="6" s="1"/>
  <c r="N26" i="6"/>
  <c r="H37" i="6"/>
  <c r="H46" i="6"/>
  <c r="H43" i="6"/>
  <c r="H40" i="6"/>
  <c r="I31" i="7"/>
  <c r="I33" i="7"/>
  <c r="N33" i="7" s="1"/>
  <c r="I28" i="7"/>
  <c r="N27" i="7" s="1"/>
  <c r="I14" i="7"/>
  <c r="I13" i="7"/>
  <c r="B14" i="7"/>
  <c r="B13" i="7"/>
  <c r="B11" i="7"/>
  <c r="I11" i="7"/>
  <c r="B33" i="7"/>
  <c r="B31" i="7"/>
  <c r="B28" i="7"/>
  <c r="G28" i="7" s="1"/>
  <c r="B26" i="7"/>
  <c r="L34" i="2"/>
  <c r="L32" i="2" s="1"/>
  <c r="L29" i="2"/>
  <c r="L27" i="2"/>
  <c r="L14" i="2"/>
  <c r="L15" i="2" s="1"/>
  <c r="L12" i="2"/>
  <c r="T14" i="6"/>
  <c r="H34" i="2"/>
  <c r="H32" i="2"/>
  <c r="H12" i="2"/>
  <c r="H14" i="2"/>
  <c r="H29" i="2"/>
  <c r="H27" i="2"/>
  <c r="N13" i="6"/>
  <c r="N15" i="6" s="1"/>
  <c r="N27" i="6" s="1"/>
  <c r="N11" i="6"/>
  <c r="C28" i="6"/>
  <c r="C26" i="6"/>
  <c r="H32" i="6"/>
  <c r="H30" i="6"/>
  <c r="H28" i="6"/>
  <c r="L26" i="6" s="1"/>
  <c r="H26" i="6"/>
  <c r="H13" i="6"/>
  <c r="H14" i="6" s="1"/>
  <c r="H39" i="6" s="1"/>
  <c r="H11" i="6"/>
  <c r="C13" i="6"/>
  <c r="C14" i="6" s="1"/>
  <c r="C31" i="6" s="1"/>
  <c r="C11" i="6"/>
  <c r="C32" i="6"/>
  <c r="C30" i="6"/>
  <c r="H16" i="2"/>
  <c r="H35" i="2" s="1"/>
  <c r="H15" i="2"/>
  <c r="H33" i="2" s="1"/>
  <c r="B32" i="2"/>
  <c r="B30" i="2"/>
  <c r="B27" i="2"/>
  <c r="B25" i="2"/>
  <c r="B12" i="2"/>
  <c r="J27" i="1" l="1"/>
  <c r="N27" i="1" s="1"/>
  <c r="J32" i="1"/>
  <c r="N32" i="1" s="1"/>
  <c r="H44" i="6"/>
  <c r="C27" i="9"/>
  <c r="C28" i="10"/>
  <c r="U26" i="12"/>
  <c r="J25" i="17"/>
  <c r="C31" i="18"/>
  <c r="G32" i="18"/>
  <c r="J25" i="18"/>
  <c r="C35" i="19"/>
  <c r="H34" i="19"/>
  <c r="O28" i="19"/>
  <c r="L31" i="6"/>
  <c r="R31" i="6"/>
  <c r="C44" i="6"/>
  <c r="C34" i="9"/>
  <c r="C26" i="10"/>
  <c r="C26" i="14"/>
  <c r="N28" i="14"/>
  <c r="N27" i="17"/>
  <c r="N27" i="18"/>
  <c r="C33" i="19"/>
  <c r="V28" i="19"/>
  <c r="C32" i="13"/>
  <c r="H33" i="13" s="1"/>
  <c r="C35" i="14"/>
  <c r="C45" i="6"/>
  <c r="N25" i="10"/>
  <c r="N28" i="12"/>
  <c r="U34" i="12"/>
  <c r="C32" i="14"/>
  <c r="G33" i="14" s="1"/>
  <c r="J33" i="14"/>
  <c r="C32" i="15"/>
  <c r="H33" i="15"/>
  <c r="J31" i="17"/>
  <c r="N32" i="17"/>
  <c r="X34" i="1"/>
  <c r="O33" i="19"/>
  <c r="G32" i="7"/>
  <c r="J27" i="17"/>
  <c r="C32" i="9"/>
  <c r="H28" i="2"/>
  <c r="C31" i="9"/>
  <c r="P25" i="9" s="1"/>
  <c r="C35" i="13"/>
  <c r="J26" i="14"/>
  <c r="J35" i="14"/>
  <c r="J33" i="19"/>
  <c r="J34" i="17"/>
  <c r="H26" i="2"/>
  <c r="C35" i="11"/>
  <c r="C33" i="13"/>
  <c r="J33" i="16"/>
  <c r="J35" i="19"/>
  <c r="K32" i="9"/>
  <c r="J35" i="16"/>
  <c r="Q33" i="19"/>
  <c r="Q27" i="18"/>
  <c r="Q34" i="18"/>
  <c r="J32" i="17"/>
  <c r="Q35" i="19"/>
  <c r="J26" i="19"/>
  <c r="C28" i="19"/>
  <c r="C26" i="19"/>
  <c r="N27" i="5"/>
  <c r="J34" i="5"/>
  <c r="J25" i="5"/>
  <c r="C32" i="5"/>
  <c r="C28" i="5"/>
  <c r="C25" i="5"/>
  <c r="C31" i="5"/>
  <c r="X31" i="1"/>
  <c r="AB32" i="1" s="1"/>
  <c r="Q34" i="1"/>
  <c r="J25" i="1"/>
  <c r="Q25" i="1"/>
  <c r="Q27" i="1"/>
  <c r="U27" i="1" s="1"/>
  <c r="Q32" i="1"/>
  <c r="U32" i="1" s="1"/>
  <c r="J34" i="1"/>
  <c r="Q25" i="18"/>
  <c r="J27" i="18"/>
  <c r="G27" i="18"/>
  <c r="C25" i="18"/>
  <c r="C32" i="18"/>
  <c r="J32" i="18"/>
  <c r="J34" i="18"/>
  <c r="C34" i="18"/>
  <c r="C27" i="18"/>
  <c r="J26" i="16"/>
  <c r="C33" i="16"/>
  <c r="C28" i="16"/>
  <c r="J28" i="16"/>
  <c r="C32" i="16"/>
  <c r="N28" i="16" s="1"/>
  <c r="C35" i="16"/>
  <c r="C26" i="16"/>
  <c r="K33" i="15"/>
  <c r="P33" i="15" s="1"/>
  <c r="K35" i="15"/>
  <c r="C33" i="15"/>
  <c r="C35" i="15"/>
  <c r="C28" i="15"/>
  <c r="C26" i="15"/>
  <c r="K28" i="15"/>
  <c r="K26" i="15"/>
  <c r="C33" i="14"/>
  <c r="C26" i="13"/>
  <c r="Q28" i="12"/>
  <c r="Q35" i="12"/>
  <c r="J26" i="12"/>
  <c r="J33" i="12"/>
  <c r="C26" i="11"/>
  <c r="J35" i="12"/>
  <c r="Q26" i="12"/>
  <c r="K35" i="11"/>
  <c r="C28" i="11"/>
  <c r="K26" i="11"/>
  <c r="C33" i="11"/>
  <c r="J32" i="10"/>
  <c r="J25" i="10"/>
  <c r="C33" i="10"/>
  <c r="C35" i="10"/>
  <c r="J34" i="10"/>
  <c r="J27" i="10"/>
  <c r="K34" i="9"/>
  <c r="K25" i="9"/>
  <c r="K27" i="9"/>
  <c r="C32" i="8"/>
  <c r="H31" i="8" s="1"/>
  <c r="C25" i="8"/>
  <c r="C34" i="8"/>
  <c r="C27" i="8"/>
  <c r="H27" i="8" s="1"/>
  <c r="W33" i="7"/>
  <c r="AB34" i="7" s="1"/>
  <c r="W35" i="7"/>
  <c r="I32" i="7"/>
  <c r="B25" i="7"/>
  <c r="P25" i="7"/>
  <c r="I27" i="7"/>
  <c r="I34" i="7"/>
  <c r="B34" i="7"/>
  <c r="I25" i="7"/>
  <c r="P27" i="7"/>
  <c r="U28" i="7" s="1"/>
  <c r="T15" i="6"/>
  <c r="T31" i="6" s="1"/>
  <c r="T44" i="6"/>
  <c r="T45" i="6"/>
  <c r="X44" i="6" s="1"/>
  <c r="N31" i="6"/>
  <c r="T38" i="6"/>
  <c r="X39" i="6" s="1"/>
  <c r="T39" i="6"/>
  <c r="N33" i="6"/>
  <c r="H45" i="6"/>
  <c r="L43" i="6" s="1"/>
  <c r="N25" i="6"/>
  <c r="H38" i="6"/>
  <c r="T30" i="6"/>
  <c r="X31" i="6" s="1"/>
  <c r="C15" i="6"/>
  <c r="N14" i="6"/>
  <c r="C27" i="6"/>
  <c r="L16" i="2"/>
  <c r="L33" i="2" s="1"/>
  <c r="H15" i="6"/>
  <c r="B13" i="2"/>
  <c r="L35" i="2" l="1"/>
  <c r="G32" i="5"/>
  <c r="C33" i="6"/>
  <c r="C39" i="6"/>
  <c r="C38" i="6"/>
  <c r="N39" i="6"/>
  <c r="N45" i="6"/>
  <c r="R44" i="6" s="1"/>
  <c r="N38" i="6"/>
  <c r="R39" i="6" s="1"/>
  <c r="T25" i="6"/>
  <c r="N44" i="6"/>
  <c r="T27" i="6"/>
  <c r="T33" i="6"/>
  <c r="C25" i="6"/>
  <c r="H31" i="6"/>
  <c r="H25" i="6"/>
  <c r="H27" i="6"/>
  <c r="H33" i="6"/>
  <c r="L28" i="2"/>
  <c r="L26" i="2"/>
  <c r="B31" i="2"/>
  <c r="B24" i="2"/>
  <c r="B33" i="2"/>
  <c r="B26" i="2"/>
</calcChain>
</file>

<file path=xl/sharedStrings.xml><?xml version="1.0" encoding="utf-8"?>
<sst xmlns="http://schemas.openxmlformats.org/spreadsheetml/2006/main" count="1693" uniqueCount="144">
  <si>
    <t>PC</t>
  </si>
  <si>
    <t>PT</t>
  </si>
  <si>
    <t>Table</t>
  </si>
  <si>
    <t>Lr</t>
  </si>
  <si>
    <t>Lt</t>
  </si>
  <si>
    <t>Design Speed (mph)</t>
  </si>
  <si>
    <r>
      <t>Super (e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)</t>
    </r>
  </si>
  <si>
    <t>202-10</t>
  </si>
  <si>
    <t>Relative Slope (G)</t>
  </si>
  <si>
    <t>Pavt. Width</t>
  </si>
  <si>
    <t>Normal Slope</t>
  </si>
  <si>
    <t>Transition Table</t>
  </si>
  <si>
    <t>202-5a</t>
  </si>
  <si>
    <t>Normal Slope (A)</t>
  </si>
  <si>
    <t>Crown Removal (B)</t>
  </si>
  <si>
    <t>Super (C)</t>
  </si>
  <si>
    <t>Full Super</t>
  </si>
  <si>
    <t>% of Lr Back</t>
  </si>
  <si>
    <t>% of Lr Ahead</t>
  </si>
  <si>
    <t>Back</t>
  </si>
  <si>
    <t>Ahead</t>
  </si>
  <si>
    <t>TS</t>
  </si>
  <si>
    <t>ST</t>
  </si>
  <si>
    <t>SC</t>
  </si>
  <si>
    <t>CS</t>
  </si>
  <si>
    <t>( 1 - 16' Lane/Ramp)</t>
  </si>
  <si>
    <t>202-8</t>
  </si>
  <si>
    <t>202-5d</t>
  </si>
  <si>
    <t>Number of Lanes</t>
  </si>
  <si>
    <t>Lt (inside)</t>
  </si>
  <si>
    <t>Lt (outside)</t>
  </si>
  <si>
    <t>Lr (Calculated)</t>
  </si>
  <si>
    <t>Lr (used)</t>
  </si>
  <si>
    <r>
      <t>Relative Slope (G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>)</t>
    </r>
  </si>
  <si>
    <r>
      <t>Relative Slope (G</t>
    </r>
    <r>
      <rPr>
        <vertAlign val="subscript"/>
        <sz val="11"/>
        <color theme="1"/>
        <rFont val="Calibri"/>
        <family val="2"/>
        <scheme val="minor"/>
      </rPr>
      <t>calculated</t>
    </r>
    <r>
      <rPr>
        <sz val="11"/>
        <color theme="1"/>
        <rFont val="Calibri"/>
        <family val="2"/>
        <scheme val="minor"/>
      </rPr>
      <t>)</t>
    </r>
  </si>
  <si>
    <t>n/a</t>
  </si>
  <si>
    <t>(SPIRAL)</t>
  </si>
  <si>
    <t>(CURVE)</t>
  </si>
  <si>
    <t>( 1 - 16' Lane)</t>
  </si>
  <si>
    <t>CURVE I75-6 (Left)</t>
  </si>
  <si>
    <t>CURVE I75-9 (Right)</t>
  </si>
  <si>
    <t>CURVE I75-11 (Left)</t>
  </si>
  <si>
    <t>INSIDE</t>
  </si>
  <si>
    <t>OUTSIDE</t>
  </si>
  <si>
    <t>Normal Slope (B)</t>
  </si>
  <si>
    <t>Crown Removal (C)</t>
  </si>
  <si>
    <t>Super (D)</t>
  </si>
  <si>
    <t>CURVE I75-3 (Right)</t>
  </si>
  <si>
    <t>CURVE 68C-2 (Left)</t>
  </si>
  <si>
    <t>CURVE 68C-4 (Right)</t>
  </si>
  <si>
    <t>CURVE 68C-5 (Left)</t>
  </si>
  <si>
    <t>Normal Slope (back)</t>
  </si>
  <si>
    <t>Normal Slope (ahead)</t>
  </si>
  <si>
    <t>Lt (back)</t>
  </si>
  <si>
    <t>Lt (ahead)</t>
  </si>
  <si>
    <t xml:space="preserve">G= </t>
  </si>
  <si>
    <t>CURVE 68D-1 (Right)</t>
  </si>
  <si>
    <t>CURVE 68D-3 (Right)</t>
  </si>
  <si>
    <t>G=</t>
  </si>
  <si>
    <t>Lr (used-back)</t>
  </si>
  <si>
    <t>Lr (used-ahead)</t>
  </si>
  <si>
    <t>CURVE 12A-2 (Left)</t>
  </si>
  <si>
    <t>CURVE 12A-3 (Left)</t>
  </si>
  <si>
    <t>PCC</t>
  </si>
  <si>
    <t>CURVE 12B-2 (Right)</t>
  </si>
  <si>
    <t>CURVE 12B-1 (Right)</t>
  </si>
  <si>
    <t>Normal Slope (Ahead)</t>
  </si>
  <si>
    <t>Normal Slope (Back)</t>
  </si>
  <si>
    <t>Lt(Ahead)</t>
  </si>
  <si>
    <t>Lt(Back)</t>
  </si>
  <si>
    <t xml:space="preserve">Start  2.0% slope at Sta. </t>
  </si>
  <si>
    <t>Existing TIE IN</t>
  </si>
  <si>
    <t>Existing slope Tie In</t>
  </si>
  <si>
    <t xml:space="preserve">End 2.0% slope at Sta. </t>
  </si>
  <si>
    <t>(end alignment)</t>
  </si>
  <si>
    <t>CURVE 12D-2 (Right)</t>
  </si>
  <si>
    <t>CURVE 12D-3 (Right)</t>
  </si>
  <si>
    <t>CURVE 12C-1 (Left)</t>
  </si>
  <si>
    <t>CURVE 12C-2 (Left)</t>
  </si>
  <si>
    <t>CURVE 224A-2 (Left)</t>
  </si>
  <si>
    <t>Normal Slope(Back)</t>
  </si>
  <si>
    <t>Lt (Back)</t>
  </si>
  <si>
    <t>Lt (Ahead)</t>
  </si>
  <si>
    <t>Accel lane slope @ 2.0%</t>
  </si>
  <si>
    <t>CURVE 224B-1 (Right)</t>
  </si>
  <si>
    <t>CURVE 224B-2 (Left)</t>
  </si>
  <si>
    <t xml:space="preserve">Accel lane slope @ 2.0% - Start at Sta </t>
  </si>
  <si>
    <t xml:space="preserve">End alignment Sta. </t>
  </si>
  <si>
    <t>+0.016/0</t>
  </si>
  <si>
    <t>+0.016/-0.016</t>
  </si>
  <si>
    <t>Reverse Super with next curve, Curve I75-6</t>
  </si>
  <si>
    <t>-0.016/+0.016</t>
  </si>
  <si>
    <t>0/+0.016</t>
  </si>
  <si>
    <t>0.00% at Sta 789+17.388</t>
  </si>
  <si>
    <t>CURVE 224C-2 (Left)</t>
  </si>
  <si>
    <t>CURVE 224C-3 (Left)</t>
  </si>
  <si>
    <t>Begin Prof alignment Sta. 930+25.78, 3.16%</t>
  </si>
  <si>
    <t>Trans to Sta. 930+50.78, 3.50%</t>
  </si>
  <si>
    <t>CURVE 224D-1 (Right)</t>
  </si>
  <si>
    <t>CURVE 224D-2 (Right)</t>
  </si>
  <si>
    <t>Tran around PCC</t>
  </si>
  <si>
    <t xml:space="preserve">Begin Profile Sta. </t>
  </si>
  <si>
    <t>Transition from Sta. 867+65.79 to Sta. 867+85.69</t>
  </si>
  <si>
    <t>Transition around PCC Sta. 933+38.7114</t>
  </si>
  <si>
    <t>CURVE LIME-1 (Left)</t>
  </si>
  <si>
    <t>CURVE LIMF-2 (Left)</t>
  </si>
  <si>
    <t>CURVE LIMF-3 (Right)</t>
  </si>
  <si>
    <t>CURVE LIMF-4 (Right)</t>
  </si>
  <si>
    <t>CURVE LIMG-2 (Right)</t>
  </si>
  <si>
    <t>CURVE LIMG-3 (Right)</t>
  </si>
  <si>
    <t>CURVE LIMH-1 (Right)</t>
  </si>
  <si>
    <t>CURVE LIMH-3 (Left)</t>
  </si>
  <si>
    <t>Back Transition is controlled by Ramp G super transition</t>
  </si>
  <si>
    <t>End transition at Sta. 805+46.37 to match Ramp D and keep tranition off of bridge.</t>
  </si>
  <si>
    <t>US 68 Ramp B Super @ 0.045 Sta. 794+61.35=
Ramp F Sta. 794+62.55</t>
  </si>
  <si>
    <t>CURVE 68A-1 (Right)</t>
  </si>
  <si>
    <t>CURVE 68A-3 (Left)</t>
  </si>
  <si>
    <t>CURVE 68A-6 (Right)</t>
  </si>
  <si>
    <t>n\a</t>
  </si>
  <si>
    <t>MATCH 68 RAMP C SUPER STA. 795+52.13 @ 1.6%</t>
  </si>
  <si>
    <t>TRANSITION TO US 68/SR 15 RAMP A SUPER AT POT</t>
  </si>
  <si>
    <t>MINIMUM TRANSITION CENTERED ON POT POINT</t>
  </si>
  <si>
    <t>POT</t>
  </si>
  <si>
    <t>CURVE LIMB-1 (Right)</t>
  </si>
  <si>
    <t>CURVE LIMB-2 (Right)</t>
  </si>
  <si>
    <t>202-9</t>
  </si>
  <si>
    <t>CURVE LIME-2 (Left)</t>
  </si>
  <si>
    <t>Reverse super Sta. 795+45.96 to Sta. 799+23.05</t>
  </si>
  <si>
    <t>Transition around PCC Sta. 801+84.66</t>
  </si>
  <si>
    <t>CURVE LIMA-2 (Left)</t>
  </si>
  <si>
    <t>CURVE LIMA-1 (Left)</t>
  </si>
  <si>
    <t>25 MPH at intersection.</t>
  </si>
  <si>
    <t>Existing TIE IN (old)</t>
  </si>
  <si>
    <t>860+00.74</t>
  </si>
  <si>
    <t>CURVE 12D-1 (Left)</t>
  </si>
  <si>
    <t>24 MPH at intersection.</t>
  </si>
  <si>
    <t>End Work Sta. 922+00</t>
  </si>
  <si>
    <t xml:space="preserve">@ PT STA. </t>
  </si>
  <si>
    <t>CURVE 68C-7 (Left)</t>
  </si>
  <si>
    <t>Roundabout Transition Area: Started the transition into the roundabout at Sta. 757+74.34 at 6.0% based on the "Ahead Full Super" station on the adjacent curve.  The cross slope at the nose of the gore (0.16%) was determined by how the RAB "A" profile and  Ramp "A" profile blended together.  G = 155   (30 mph)</t>
  </si>
  <si>
    <t>CURVE LIMG-1 (Left)</t>
  </si>
  <si>
    <t>CURVE LIMG-4 (Right)</t>
  </si>
  <si>
    <t>Super location based upon pavement taper and profiles.</t>
  </si>
  <si>
    <t>CURVE 12A-4 (Right)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</si>
</sst>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\+##.00"/>
    <numFmt numFmtId="165" formatCode="0.000"/>
    <numFmt numFmtId="166" formatCode="0.00000"/>
    <numFmt numFmtId="167" formatCode="###\+##.00"/>
    <numFmt numFmtId="168" formatCode="####\+##.00"/>
    <numFmt numFmtId="169" formatCode="######\+##.00"/>
    <numFmt numFmtId="170" formatCode="######\+##.0000"/>
    <numFmt numFmtId="171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lightDown"/>
    </fill>
    <fill>
      <patternFill patternType="solid">
        <fgColor indexed="65"/>
        <bgColor indexed="64"/>
      </patternFill>
    </fill>
    <fill>
      <patternFill patternType="lightDown">
        <fgColor auto="1"/>
      </patternFill>
    </fill>
    <fill>
      <patternFill patternType="lightDown">
        <fgColor theme="0" tint="-0.499984740745262"/>
        <bgColor indexed="65"/>
      </patternFill>
    </fill>
    <fill>
      <patternFill patternType="lightDown">
        <fgColor theme="0" tint="-0.499984740745262"/>
        <bgColor auto="1"/>
      </patternFill>
    </fill>
    <fill>
      <patternFill patternType="lightDown">
        <fgColor theme="0" tint="-0.34998626667073579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0" tint="-4.9989318521683403E-2"/>
      </patternFill>
    </fill>
    <fill>
      <patternFill patternType="solid">
        <fgColor auto="1"/>
        <bgColor theme="0" tint="-0.499984740745262"/>
      </patternFill>
    </fill>
    <fill>
      <patternFill patternType="solid">
        <fgColor indexed="65"/>
        <bgColor theme="0"/>
      </patternFill>
    </fill>
    <fill>
      <patternFill patternType="solid">
        <fgColor theme="0"/>
        <bgColor auto="1"/>
      </patternFill>
    </fill>
    <fill>
      <patternFill patternType="lightDown">
        <fgColor theme="0" tint="-0.24994659260841701"/>
        <bgColor indexed="65"/>
      </patternFill>
    </fill>
    <fill>
      <patternFill patternType="lightUp">
        <fgColor theme="0" tint="-0.499984740745262"/>
        <bgColor indexed="65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164" fontId="0" fillId="2" borderId="2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right" vertical="center"/>
    </xf>
    <xf numFmtId="2" fontId="0" fillId="0" borderId="5" xfId="0" applyNumberFormat="1" applyBorder="1" applyAlignment="1">
      <alignment horizontal="center" vertical="center"/>
    </xf>
    <xf numFmtId="168" fontId="0" fillId="2" borderId="2" xfId="0" applyNumberFormat="1" applyFill="1" applyBorder="1" applyAlignment="1">
      <alignment horizontal="center" vertical="center"/>
    </xf>
    <xf numFmtId="169" fontId="0" fillId="2" borderId="2" xfId="0" applyNumberFormat="1" applyFill="1" applyBorder="1" applyAlignment="1">
      <alignment horizontal="center" vertical="center"/>
    </xf>
    <xf numFmtId="170" fontId="0" fillId="2" borderId="2" xfId="0" applyNumberFormat="1" applyFill="1" applyBorder="1" applyAlignment="1">
      <alignment horizontal="center" vertical="center"/>
    </xf>
    <xf numFmtId="170" fontId="0" fillId="2" borderId="2" xfId="0" applyNumberFormat="1" applyFill="1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>
      <alignment horizontal="right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164" fontId="0" fillId="0" borderId="7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0" xfId="0" applyNumberFormat="1"/>
    <xf numFmtId="49" fontId="0" fillId="0" borderId="0" xfId="0" applyNumberFormat="1"/>
    <xf numFmtId="164" fontId="0" fillId="3" borderId="2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164" fontId="0" fillId="4" borderId="7" xfId="0" applyNumberFormat="1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0" fontId="1" fillId="0" borderId="9" xfId="0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2" fontId="0" fillId="2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167" fontId="0" fillId="0" borderId="0" xfId="0" applyNumberFormat="1" applyAlignment="1">
      <alignment horizontal="center"/>
    </xf>
    <xf numFmtId="0" fontId="0" fillId="4" borderId="0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7" fontId="0" fillId="0" borderId="0" xfId="0" applyNumberFormat="1" applyAlignment="1">
      <alignment horizontal="left"/>
    </xf>
    <xf numFmtId="168" fontId="0" fillId="0" borderId="0" xfId="0" applyNumberFormat="1" applyAlignment="1">
      <alignment horizontal="left"/>
    </xf>
    <xf numFmtId="0" fontId="0" fillId="0" borderId="8" xfId="0" applyBorder="1" applyAlignment="1"/>
    <xf numFmtId="0" fontId="0" fillId="0" borderId="0" xfId="0" applyAlignment="1"/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64" fontId="0" fillId="3" borderId="0" xfId="0" applyNumberFormat="1" applyFill="1" applyAlignment="1">
      <alignment horizontal="center" vertical="center"/>
    </xf>
    <xf numFmtId="167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4" fontId="0" fillId="5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6" borderId="7" xfId="0" applyNumberFormat="1" applyFill="1" applyBorder="1" applyAlignment="1">
      <alignment horizontal="center" vertical="center"/>
    </xf>
    <xf numFmtId="164" fontId="0" fillId="6" borderId="2" xfId="0" applyNumberFormat="1" applyFill="1" applyBorder="1" applyAlignment="1">
      <alignment horizontal="center" vertical="center"/>
    </xf>
    <xf numFmtId="164" fontId="0" fillId="7" borderId="2" xfId="0" applyNumberFormat="1" applyFill="1" applyBorder="1" applyAlignment="1">
      <alignment horizontal="center" vertical="center"/>
    </xf>
    <xf numFmtId="164" fontId="0" fillId="7" borderId="7" xfId="0" applyNumberFormat="1" applyFill="1" applyBorder="1" applyAlignment="1">
      <alignment horizontal="center" vertical="center"/>
    </xf>
    <xf numFmtId="164" fontId="0" fillId="8" borderId="7" xfId="0" applyNumberForma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8" fontId="0" fillId="0" borderId="0" xfId="0" applyNumberFormat="1" applyAlignment="1">
      <alignment horizontal="center"/>
    </xf>
    <xf numFmtId="171" fontId="0" fillId="0" borderId="0" xfId="0" applyNumberFormat="1" applyAlignment="1">
      <alignment horizontal="left" vertical="center"/>
    </xf>
    <xf numFmtId="171" fontId="0" fillId="0" borderId="0" xfId="0" applyNumberFormat="1" applyAlignment="1">
      <alignment horizontal="left"/>
    </xf>
    <xf numFmtId="171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9" borderId="0" xfId="0" applyFill="1" applyBorder="1" applyAlignment="1">
      <alignment horizontal="right"/>
    </xf>
    <xf numFmtId="167" fontId="0" fillId="9" borderId="0" xfId="0" applyNumberFormat="1" applyFill="1" applyAlignment="1">
      <alignment horizontal="center"/>
    </xf>
    <xf numFmtId="0" fontId="0" fillId="9" borderId="0" xfId="0" applyFill="1"/>
    <xf numFmtId="166" fontId="0" fillId="9" borderId="0" xfId="0" applyNumberFormat="1" applyFill="1" applyAlignment="1">
      <alignment horizontal="left"/>
    </xf>
    <xf numFmtId="167" fontId="0" fillId="0" borderId="0" xfId="0" applyNumberFormat="1" applyFill="1" applyAlignment="1">
      <alignment horizontal="center"/>
    </xf>
    <xf numFmtId="0" fontId="0" fillId="0" borderId="0" xfId="0" applyFill="1"/>
    <xf numFmtId="166" fontId="0" fillId="0" borderId="0" xfId="0" applyNumberForma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left"/>
    </xf>
    <xf numFmtId="0" fontId="0" fillId="4" borderId="0" xfId="0" applyFill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8" xfId="0" applyBorder="1"/>
    <xf numFmtId="165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8" fontId="0" fillId="0" borderId="0" xfId="0" applyNumberForma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7" fontId="0" fillId="2" borderId="2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64" fontId="0" fillId="10" borderId="2" xfId="0" applyNumberFormat="1" applyFill="1" applyBorder="1" applyAlignment="1">
      <alignment horizontal="center" vertical="center"/>
    </xf>
    <xf numFmtId="164" fontId="0" fillId="11" borderId="7" xfId="0" applyNumberFormat="1" applyFill="1" applyBorder="1" applyAlignment="1">
      <alignment horizontal="center" vertical="center"/>
    </xf>
    <xf numFmtId="164" fontId="0" fillId="11" borderId="2" xfId="0" applyNumberFormat="1" applyFill="1" applyBorder="1" applyAlignment="1">
      <alignment horizontal="center" vertical="center"/>
    </xf>
    <xf numFmtId="164" fontId="0" fillId="12" borderId="2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4" fontId="0" fillId="13" borderId="2" xfId="0" applyNumberFormat="1" applyFill="1" applyBorder="1" applyAlignment="1">
      <alignment horizontal="center" vertical="center"/>
    </xf>
    <xf numFmtId="171" fontId="0" fillId="2" borderId="0" xfId="0" applyNumberFormat="1" applyFill="1" applyAlignment="1">
      <alignment horizontal="center" vertical="center"/>
    </xf>
    <xf numFmtId="164" fontId="0" fillId="14" borderId="7" xfId="0" applyNumberFormat="1" applyFill="1" applyBorder="1" applyAlignment="1">
      <alignment horizontal="center" vertical="center"/>
    </xf>
    <xf numFmtId="164" fontId="0" fillId="14" borderId="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164" fontId="0" fillId="15" borderId="7" xfId="0" applyNumberFormat="1" applyFill="1" applyBorder="1" applyAlignment="1">
      <alignment horizontal="center" vertical="center"/>
    </xf>
    <xf numFmtId="164" fontId="0" fillId="15" borderId="2" xfId="0" applyNumberForma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220266</xdr:colOff>
      <xdr:row>25</xdr:row>
      <xdr:rowOff>77390</xdr:rowOff>
    </xdr:from>
    <xdr:to>
      <xdr:col>8</xdr:col>
      <xdr:colOff>851297</xdr:colOff>
      <xdr:row>25</xdr:row>
      <xdr:rowOff>178593</xdr:rowOff>
    </xdr:to>
    <xdr:grpSp>
      <xdr:nvGrpSpPr>
        <xdr:cNvPr id="14" name="Group 13"/>
        <xdr:cNvGrpSpPr/>
      </xdr:nvGrpSpPr>
      <xdr:grpSpPr>
        <a:xfrm>
          <a:off x="10194302" y="5016783"/>
          <a:ext cx="631031" cy="101203"/>
          <a:chOff x="8078391" y="5191124"/>
          <a:chExt cx="631031" cy="101203"/>
        </a:xfrm>
      </xdr:grpSpPr>
      <xdr:cxnSp macro="">
        <xdr:nvCxnSpPr>
          <xdr:cNvPr id="3" name="Straight Arrow Connector 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Straight Arrow Connector 10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190500</xdr:colOff>
      <xdr:row>24</xdr:row>
      <xdr:rowOff>41670</xdr:rowOff>
    </xdr:from>
    <xdr:to>
      <xdr:col>8</xdr:col>
      <xdr:colOff>904875</xdr:colOff>
      <xdr:row>24</xdr:row>
      <xdr:rowOff>172641</xdr:rowOff>
    </xdr:to>
    <xdr:grpSp>
      <xdr:nvGrpSpPr>
        <xdr:cNvPr id="25" name="Group 24"/>
        <xdr:cNvGrpSpPr/>
      </xdr:nvGrpSpPr>
      <xdr:grpSpPr>
        <a:xfrm>
          <a:off x="10164536" y="4790563"/>
          <a:ext cx="714375" cy="130971"/>
          <a:chOff x="7953375" y="4947045"/>
          <a:chExt cx="714375" cy="130971"/>
        </a:xfrm>
      </xdr:grpSpPr>
      <xdr:cxnSp macro="">
        <xdr:nvCxnSpPr>
          <xdr:cNvPr id="16" name="Straight Arrow Connector 1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Arrow Connector 19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238125</xdr:colOff>
      <xdr:row>26</xdr:row>
      <xdr:rowOff>59531</xdr:rowOff>
    </xdr:from>
    <xdr:to>
      <xdr:col>8</xdr:col>
      <xdr:colOff>839391</xdr:colOff>
      <xdr:row>26</xdr:row>
      <xdr:rowOff>148828</xdr:rowOff>
    </xdr:to>
    <xdr:cxnSp macro="">
      <xdr:nvCxnSpPr>
        <xdr:cNvPr id="27" name="Straight Connector 26"/>
        <xdr:cNvCxnSpPr/>
      </xdr:nvCxnSpPr>
      <xdr:spPr>
        <a:xfrm flipV="1">
          <a:off x="8001000" y="53459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232172</xdr:colOff>
      <xdr:row>27</xdr:row>
      <xdr:rowOff>59531</xdr:rowOff>
    </xdr:from>
    <xdr:to>
      <xdr:col>8</xdr:col>
      <xdr:colOff>827484</xdr:colOff>
      <xdr:row>27</xdr:row>
      <xdr:rowOff>166688</xdr:rowOff>
    </xdr:to>
    <xdr:cxnSp macro="">
      <xdr:nvCxnSpPr>
        <xdr:cNvPr id="30" name="Straight Connector 29"/>
        <xdr:cNvCxnSpPr/>
      </xdr:nvCxnSpPr>
      <xdr:spPr>
        <a:xfrm flipV="1">
          <a:off x="7995047" y="553640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214313</xdr:colOff>
      <xdr:row>29</xdr:row>
      <xdr:rowOff>35718</xdr:rowOff>
    </xdr:from>
    <xdr:to>
      <xdr:col>8</xdr:col>
      <xdr:colOff>809625</xdr:colOff>
      <xdr:row>29</xdr:row>
      <xdr:rowOff>142875</xdr:rowOff>
    </xdr:to>
    <xdr:cxnSp macro="">
      <xdr:nvCxnSpPr>
        <xdr:cNvPr id="32" name="Straight Connector 31"/>
        <xdr:cNvCxnSpPr/>
      </xdr:nvCxnSpPr>
      <xdr:spPr>
        <a:xfrm flipV="1">
          <a:off x="7977188" y="609599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214312</xdr:colOff>
      <xdr:row>30</xdr:row>
      <xdr:rowOff>47625</xdr:rowOff>
    </xdr:from>
    <xdr:to>
      <xdr:col>8</xdr:col>
      <xdr:colOff>815578</xdr:colOff>
      <xdr:row>30</xdr:row>
      <xdr:rowOff>136922</xdr:rowOff>
    </xdr:to>
    <xdr:cxnSp macro="">
      <xdr:nvCxnSpPr>
        <xdr:cNvPr id="33" name="Straight Connector 32"/>
        <xdr:cNvCxnSpPr/>
      </xdr:nvCxnSpPr>
      <xdr:spPr>
        <a:xfrm flipV="1">
          <a:off x="7977187" y="62984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31</xdr:row>
      <xdr:rowOff>47625</xdr:rowOff>
    </xdr:from>
    <xdr:to>
      <xdr:col>8</xdr:col>
      <xdr:colOff>821531</xdr:colOff>
      <xdr:row>31</xdr:row>
      <xdr:rowOff>148828</xdr:rowOff>
    </xdr:to>
    <xdr:grpSp>
      <xdr:nvGrpSpPr>
        <xdr:cNvPr id="34" name="Group 33"/>
        <xdr:cNvGrpSpPr/>
      </xdr:nvGrpSpPr>
      <xdr:grpSpPr>
        <a:xfrm>
          <a:off x="10164536" y="6143625"/>
          <a:ext cx="631031" cy="101203"/>
          <a:chOff x="8078391" y="5191124"/>
          <a:chExt cx="631031" cy="101203"/>
        </a:xfrm>
      </xdr:grpSpPr>
      <xdr:cxnSp macro="">
        <xdr:nvCxnSpPr>
          <xdr:cNvPr id="35" name="Straight Arrow Connector 34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Straight Arrow Connector 35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154781</xdr:colOff>
      <xdr:row>32</xdr:row>
      <xdr:rowOff>17859</xdr:rowOff>
    </xdr:from>
    <xdr:to>
      <xdr:col>8</xdr:col>
      <xdr:colOff>869156</xdr:colOff>
      <xdr:row>32</xdr:row>
      <xdr:rowOff>148830</xdr:rowOff>
    </xdr:to>
    <xdr:grpSp>
      <xdr:nvGrpSpPr>
        <xdr:cNvPr id="37" name="Group 36"/>
        <xdr:cNvGrpSpPr/>
      </xdr:nvGrpSpPr>
      <xdr:grpSpPr>
        <a:xfrm>
          <a:off x="10128817" y="6304359"/>
          <a:ext cx="714375" cy="130971"/>
          <a:chOff x="7953375" y="4947045"/>
          <a:chExt cx="714375" cy="130971"/>
        </a:xfrm>
      </xdr:grpSpPr>
      <xdr:cxnSp macro="">
        <xdr:nvCxnSpPr>
          <xdr:cNvPr id="38" name="Straight Arrow Connector 37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Straight Arrow Connector 38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214313</xdr:colOff>
      <xdr:row>29</xdr:row>
      <xdr:rowOff>35718</xdr:rowOff>
    </xdr:from>
    <xdr:to>
      <xdr:col>3</xdr:col>
      <xdr:colOff>809625</xdr:colOff>
      <xdr:row>29</xdr:row>
      <xdr:rowOff>142875</xdr:rowOff>
    </xdr:to>
    <xdr:cxnSp macro="">
      <xdr:nvCxnSpPr>
        <xdr:cNvPr id="40" name="Straight Connector 39"/>
        <xdr:cNvCxnSpPr/>
      </xdr:nvCxnSpPr>
      <xdr:spPr>
        <a:xfrm flipV="1">
          <a:off x="7977188" y="609599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214312</xdr:colOff>
      <xdr:row>30</xdr:row>
      <xdr:rowOff>47625</xdr:rowOff>
    </xdr:from>
    <xdr:to>
      <xdr:col>3</xdr:col>
      <xdr:colOff>815578</xdr:colOff>
      <xdr:row>30</xdr:row>
      <xdr:rowOff>136922</xdr:rowOff>
    </xdr:to>
    <xdr:cxnSp macro="">
      <xdr:nvCxnSpPr>
        <xdr:cNvPr id="41" name="Straight Connector 40"/>
        <xdr:cNvCxnSpPr/>
      </xdr:nvCxnSpPr>
      <xdr:spPr>
        <a:xfrm flipV="1">
          <a:off x="7977187" y="62984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31</xdr:row>
      <xdr:rowOff>47625</xdr:rowOff>
    </xdr:from>
    <xdr:to>
      <xdr:col>3</xdr:col>
      <xdr:colOff>821531</xdr:colOff>
      <xdr:row>31</xdr:row>
      <xdr:rowOff>148828</xdr:rowOff>
    </xdr:to>
    <xdr:grpSp>
      <xdr:nvGrpSpPr>
        <xdr:cNvPr id="42" name="Group 41"/>
        <xdr:cNvGrpSpPr/>
      </xdr:nvGrpSpPr>
      <xdr:grpSpPr>
        <a:xfrm>
          <a:off x="4095750" y="6143625"/>
          <a:ext cx="631031" cy="101203"/>
          <a:chOff x="8078391" y="5191124"/>
          <a:chExt cx="631031" cy="101203"/>
        </a:xfrm>
      </xdr:grpSpPr>
      <xdr:cxnSp macro="">
        <xdr:nvCxnSpPr>
          <xdr:cNvPr id="43" name="Straight Arrow Connector 4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" name="Straight Arrow Connector 43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154781</xdr:colOff>
      <xdr:row>32</xdr:row>
      <xdr:rowOff>17859</xdr:rowOff>
    </xdr:from>
    <xdr:to>
      <xdr:col>3</xdr:col>
      <xdr:colOff>869156</xdr:colOff>
      <xdr:row>32</xdr:row>
      <xdr:rowOff>148830</xdr:rowOff>
    </xdr:to>
    <xdr:grpSp>
      <xdr:nvGrpSpPr>
        <xdr:cNvPr id="45" name="Group 44"/>
        <xdr:cNvGrpSpPr/>
      </xdr:nvGrpSpPr>
      <xdr:grpSpPr>
        <a:xfrm>
          <a:off x="4060031" y="6304359"/>
          <a:ext cx="714375" cy="130971"/>
          <a:chOff x="7953375" y="4947045"/>
          <a:chExt cx="714375" cy="130971"/>
        </a:xfrm>
      </xdr:grpSpPr>
      <xdr:cxnSp macro="">
        <xdr:nvCxnSpPr>
          <xdr:cNvPr id="46" name="Straight Arrow Connector 4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Straight Arrow Connector 46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214313</xdr:colOff>
      <xdr:row>42</xdr:row>
      <xdr:rowOff>35718</xdr:rowOff>
    </xdr:from>
    <xdr:to>
      <xdr:col>8</xdr:col>
      <xdr:colOff>809625</xdr:colOff>
      <xdr:row>42</xdr:row>
      <xdr:rowOff>142875</xdr:rowOff>
    </xdr:to>
    <xdr:cxnSp macro="">
      <xdr:nvCxnSpPr>
        <xdr:cNvPr id="80" name="Straight Connector 79"/>
        <xdr:cNvCxnSpPr/>
      </xdr:nvCxnSpPr>
      <xdr:spPr>
        <a:xfrm flipV="1">
          <a:off x="8643938" y="573166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214312</xdr:colOff>
      <xdr:row>43</xdr:row>
      <xdr:rowOff>47625</xdr:rowOff>
    </xdr:from>
    <xdr:to>
      <xdr:col>8</xdr:col>
      <xdr:colOff>815578</xdr:colOff>
      <xdr:row>43</xdr:row>
      <xdr:rowOff>136922</xdr:rowOff>
    </xdr:to>
    <xdr:cxnSp macro="">
      <xdr:nvCxnSpPr>
        <xdr:cNvPr id="81" name="Straight Connector 80"/>
        <xdr:cNvCxnSpPr/>
      </xdr:nvCxnSpPr>
      <xdr:spPr>
        <a:xfrm flipV="1">
          <a:off x="8643937" y="593407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190500</xdr:colOff>
      <xdr:row>44</xdr:row>
      <xdr:rowOff>47625</xdr:rowOff>
    </xdr:from>
    <xdr:to>
      <xdr:col>8</xdr:col>
      <xdr:colOff>821531</xdr:colOff>
      <xdr:row>44</xdr:row>
      <xdr:rowOff>148828</xdr:rowOff>
    </xdr:to>
    <xdr:grpSp>
      <xdr:nvGrpSpPr>
        <xdr:cNvPr id="82" name="Group 81"/>
        <xdr:cNvGrpSpPr/>
      </xdr:nvGrpSpPr>
      <xdr:grpSpPr>
        <a:xfrm>
          <a:off x="10164536" y="8647339"/>
          <a:ext cx="631031" cy="101203"/>
          <a:chOff x="8078391" y="5191124"/>
          <a:chExt cx="631031" cy="101203"/>
        </a:xfrm>
      </xdr:grpSpPr>
      <xdr:cxnSp macro="">
        <xdr:nvCxnSpPr>
          <xdr:cNvPr id="83" name="Straight Arrow Connector 8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4" name="Straight Arrow Connector 83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154781</xdr:colOff>
      <xdr:row>45</xdr:row>
      <xdr:rowOff>17859</xdr:rowOff>
    </xdr:from>
    <xdr:to>
      <xdr:col>8</xdr:col>
      <xdr:colOff>869156</xdr:colOff>
      <xdr:row>45</xdr:row>
      <xdr:rowOff>148830</xdr:rowOff>
    </xdr:to>
    <xdr:grpSp>
      <xdr:nvGrpSpPr>
        <xdr:cNvPr id="85" name="Group 84"/>
        <xdr:cNvGrpSpPr/>
      </xdr:nvGrpSpPr>
      <xdr:grpSpPr>
        <a:xfrm>
          <a:off x="10128817" y="8808073"/>
          <a:ext cx="714375" cy="130971"/>
          <a:chOff x="7953375" y="4947045"/>
          <a:chExt cx="714375" cy="130971"/>
        </a:xfrm>
      </xdr:grpSpPr>
      <xdr:cxnSp macro="">
        <xdr:nvCxnSpPr>
          <xdr:cNvPr id="86" name="Straight Arrow Connector 8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87" name="Straight Arrow Connector 86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220266</xdr:colOff>
      <xdr:row>37</xdr:row>
      <xdr:rowOff>77390</xdr:rowOff>
    </xdr:from>
    <xdr:to>
      <xdr:col>8</xdr:col>
      <xdr:colOff>851297</xdr:colOff>
      <xdr:row>37</xdr:row>
      <xdr:rowOff>178593</xdr:rowOff>
    </xdr:to>
    <xdr:grpSp>
      <xdr:nvGrpSpPr>
        <xdr:cNvPr id="88" name="Group 87"/>
        <xdr:cNvGrpSpPr/>
      </xdr:nvGrpSpPr>
      <xdr:grpSpPr>
        <a:xfrm>
          <a:off x="10194302" y="7329997"/>
          <a:ext cx="631031" cy="101203"/>
          <a:chOff x="8078391" y="5191124"/>
          <a:chExt cx="631031" cy="101203"/>
        </a:xfrm>
      </xdr:grpSpPr>
      <xdr:cxnSp macro="">
        <xdr:nvCxnSpPr>
          <xdr:cNvPr id="89" name="Straight Arrow Connector 88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Straight Arrow Connector 89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190500</xdr:colOff>
      <xdr:row>36</xdr:row>
      <xdr:rowOff>41670</xdr:rowOff>
    </xdr:from>
    <xdr:to>
      <xdr:col>8</xdr:col>
      <xdr:colOff>904875</xdr:colOff>
      <xdr:row>36</xdr:row>
      <xdr:rowOff>172641</xdr:rowOff>
    </xdr:to>
    <xdr:grpSp>
      <xdr:nvGrpSpPr>
        <xdr:cNvPr id="91" name="Group 90"/>
        <xdr:cNvGrpSpPr/>
      </xdr:nvGrpSpPr>
      <xdr:grpSpPr>
        <a:xfrm>
          <a:off x="10164536" y="7103777"/>
          <a:ext cx="714375" cy="130971"/>
          <a:chOff x="7953375" y="4947045"/>
          <a:chExt cx="714375" cy="130971"/>
        </a:xfrm>
      </xdr:grpSpPr>
      <xdr:cxnSp macro="">
        <xdr:nvCxnSpPr>
          <xdr:cNvPr id="92" name="Straight Arrow Connector 91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3" name="Straight Arrow Connector 92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238125</xdr:colOff>
      <xdr:row>38</xdr:row>
      <xdr:rowOff>59531</xdr:rowOff>
    </xdr:from>
    <xdr:to>
      <xdr:col>8</xdr:col>
      <xdr:colOff>839391</xdr:colOff>
      <xdr:row>38</xdr:row>
      <xdr:rowOff>148828</xdr:rowOff>
    </xdr:to>
    <xdr:cxnSp macro="">
      <xdr:nvCxnSpPr>
        <xdr:cNvPr id="94" name="Straight Connector 93"/>
        <xdr:cNvCxnSpPr/>
      </xdr:nvCxnSpPr>
      <xdr:spPr>
        <a:xfrm flipV="1">
          <a:off x="8667750" y="517445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232172</xdr:colOff>
      <xdr:row>39</xdr:row>
      <xdr:rowOff>59531</xdr:rowOff>
    </xdr:from>
    <xdr:to>
      <xdr:col>8</xdr:col>
      <xdr:colOff>827484</xdr:colOff>
      <xdr:row>39</xdr:row>
      <xdr:rowOff>166688</xdr:rowOff>
    </xdr:to>
    <xdr:cxnSp macro="">
      <xdr:nvCxnSpPr>
        <xdr:cNvPr id="95" name="Straight Connector 94"/>
        <xdr:cNvCxnSpPr/>
      </xdr:nvCxnSpPr>
      <xdr:spPr>
        <a:xfrm flipV="1">
          <a:off x="8661797" y="53649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206376</xdr:colOff>
      <xdr:row>25</xdr:row>
      <xdr:rowOff>69517</xdr:rowOff>
    </xdr:from>
    <xdr:to>
      <xdr:col>14</xdr:col>
      <xdr:colOff>873125</xdr:colOff>
      <xdr:row>25</xdr:row>
      <xdr:rowOff>158738</xdr:rowOff>
    </xdr:to>
    <xdr:grpSp>
      <xdr:nvGrpSpPr>
        <xdr:cNvPr id="160" name="Group 159"/>
        <xdr:cNvGrpSpPr/>
      </xdr:nvGrpSpPr>
      <xdr:grpSpPr>
        <a:xfrm>
          <a:off x="16711840" y="5008910"/>
          <a:ext cx="666749" cy="89221"/>
          <a:chOff x="8064501" y="5740742"/>
          <a:chExt cx="666749" cy="222553"/>
        </a:xfrm>
      </xdr:grpSpPr>
      <xdr:cxnSp macro="">
        <xdr:nvCxnSpPr>
          <xdr:cNvPr id="161" name="Straight Arrow Connector 160"/>
          <xdr:cNvCxnSpPr/>
        </xdr:nvCxnSpPr>
        <xdr:spPr>
          <a:xfrm rot="10800000" flipV="1">
            <a:off x="8064501" y="5740742"/>
            <a:ext cx="335359" cy="476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2" name="Straight Arrow Connector 161"/>
          <xdr:cNvCxnSpPr/>
        </xdr:nvCxnSpPr>
        <xdr:spPr>
          <a:xfrm>
            <a:off x="8387953" y="5745502"/>
            <a:ext cx="343297" cy="21779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190499</xdr:colOff>
      <xdr:row>24</xdr:row>
      <xdr:rowOff>31750</xdr:rowOff>
    </xdr:from>
    <xdr:to>
      <xdr:col>14</xdr:col>
      <xdr:colOff>841375</xdr:colOff>
      <xdr:row>24</xdr:row>
      <xdr:rowOff>127000</xdr:rowOff>
    </xdr:to>
    <xdr:grpSp>
      <xdr:nvGrpSpPr>
        <xdr:cNvPr id="163" name="Group 162"/>
        <xdr:cNvGrpSpPr/>
      </xdr:nvGrpSpPr>
      <xdr:grpSpPr>
        <a:xfrm>
          <a:off x="16695963" y="4780643"/>
          <a:ext cx="650876" cy="95250"/>
          <a:chOff x="7953375" y="4947045"/>
          <a:chExt cx="714375" cy="130971"/>
        </a:xfrm>
      </xdr:grpSpPr>
      <xdr:cxnSp macro="">
        <xdr:nvCxnSpPr>
          <xdr:cNvPr id="164" name="Straight Arrow Connector 163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5" name="Straight Arrow Connector 164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190500</xdr:colOff>
      <xdr:row>27</xdr:row>
      <xdr:rowOff>28575</xdr:rowOff>
    </xdr:from>
    <xdr:to>
      <xdr:col>14</xdr:col>
      <xdr:colOff>819150</xdr:colOff>
      <xdr:row>27</xdr:row>
      <xdr:rowOff>152400</xdr:rowOff>
    </xdr:to>
    <xdr:cxnSp macro="">
      <xdr:nvCxnSpPr>
        <xdr:cNvPr id="167" name="Straight Connector 166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154781</xdr:colOff>
      <xdr:row>32</xdr:row>
      <xdr:rowOff>17859</xdr:rowOff>
    </xdr:from>
    <xdr:to>
      <xdr:col>14</xdr:col>
      <xdr:colOff>869156</xdr:colOff>
      <xdr:row>32</xdr:row>
      <xdr:rowOff>148830</xdr:rowOff>
    </xdr:to>
    <xdr:grpSp>
      <xdr:nvGrpSpPr>
        <xdr:cNvPr id="173" name="Group 172"/>
        <xdr:cNvGrpSpPr/>
      </xdr:nvGrpSpPr>
      <xdr:grpSpPr>
        <a:xfrm>
          <a:off x="16660245" y="6304359"/>
          <a:ext cx="714375" cy="130971"/>
          <a:chOff x="7953375" y="4947045"/>
          <a:chExt cx="714375" cy="130971"/>
        </a:xfrm>
      </xdr:grpSpPr>
      <xdr:cxnSp macro="">
        <xdr:nvCxnSpPr>
          <xdr:cNvPr id="174" name="Straight Arrow Connector 173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5" name="Straight Arrow Connector 174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154781</xdr:colOff>
      <xdr:row>45</xdr:row>
      <xdr:rowOff>17859</xdr:rowOff>
    </xdr:from>
    <xdr:to>
      <xdr:col>14</xdr:col>
      <xdr:colOff>869156</xdr:colOff>
      <xdr:row>45</xdr:row>
      <xdr:rowOff>148830</xdr:rowOff>
    </xdr:to>
    <xdr:grpSp>
      <xdr:nvGrpSpPr>
        <xdr:cNvPr id="181" name="Group 180"/>
        <xdr:cNvGrpSpPr/>
      </xdr:nvGrpSpPr>
      <xdr:grpSpPr>
        <a:xfrm>
          <a:off x="16660245" y="8808073"/>
          <a:ext cx="714375" cy="130971"/>
          <a:chOff x="7953375" y="4947045"/>
          <a:chExt cx="714375" cy="130971"/>
        </a:xfrm>
      </xdr:grpSpPr>
      <xdr:cxnSp macro="">
        <xdr:nvCxnSpPr>
          <xdr:cNvPr id="182" name="Straight Arrow Connector 181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3" name="Straight Arrow Connector 182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190500</xdr:colOff>
      <xdr:row>36</xdr:row>
      <xdr:rowOff>41670</xdr:rowOff>
    </xdr:from>
    <xdr:to>
      <xdr:col>14</xdr:col>
      <xdr:colOff>904875</xdr:colOff>
      <xdr:row>36</xdr:row>
      <xdr:rowOff>172641</xdr:rowOff>
    </xdr:to>
    <xdr:grpSp>
      <xdr:nvGrpSpPr>
        <xdr:cNvPr id="187" name="Group 186"/>
        <xdr:cNvGrpSpPr/>
      </xdr:nvGrpSpPr>
      <xdr:grpSpPr>
        <a:xfrm>
          <a:off x="16695964" y="7103777"/>
          <a:ext cx="714375" cy="130971"/>
          <a:chOff x="7953375" y="4947045"/>
          <a:chExt cx="714375" cy="130971"/>
        </a:xfrm>
      </xdr:grpSpPr>
      <xdr:cxnSp macro="">
        <xdr:nvCxnSpPr>
          <xdr:cNvPr id="188" name="Straight Arrow Connector 187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9" name="Straight Arrow Connector 188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220266</xdr:colOff>
      <xdr:row>25</xdr:row>
      <xdr:rowOff>77390</xdr:rowOff>
    </xdr:from>
    <xdr:to>
      <xdr:col>20</xdr:col>
      <xdr:colOff>851297</xdr:colOff>
      <xdr:row>25</xdr:row>
      <xdr:rowOff>178593</xdr:rowOff>
    </xdr:to>
    <xdr:grpSp>
      <xdr:nvGrpSpPr>
        <xdr:cNvPr id="224" name="Group 223"/>
        <xdr:cNvGrpSpPr/>
      </xdr:nvGrpSpPr>
      <xdr:grpSpPr>
        <a:xfrm>
          <a:off x="23542909" y="5016783"/>
          <a:ext cx="631031" cy="101203"/>
          <a:chOff x="8078391" y="5191124"/>
          <a:chExt cx="631031" cy="101203"/>
        </a:xfrm>
      </xdr:grpSpPr>
      <xdr:cxnSp macro="">
        <xdr:nvCxnSpPr>
          <xdr:cNvPr id="225" name="Straight Arrow Connector 224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6" name="Straight Arrow Connector 225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190500</xdr:colOff>
      <xdr:row>24</xdr:row>
      <xdr:rowOff>41670</xdr:rowOff>
    </xdr:from>
    <xdr:to>
      <xdr:col>20</xdr:col>
      <xdr:colOff>904875</xdr:colOff>
      <xdr:row>24</xdr:row>
      <xdr:rowOff>172641</xdr:rowOff>
    </xdr:to>
    <xdr:grpSp>
      <xdr:nvGrpSpPr>
        <xdr:cNvPr id="227" name="Group 226"/>
        <xdr:cNvGrpSpPr/>
      </xdr:nvGrpSpPr>
      <xdr:grpSpPr>
        <a:xfrm>
          <a:off x="23513143" y="4790563"/>
          <a:ext cx="714375" cy="130971"/>
          <a:chOff x="7953375" y="4947045"/>
          <a:chExt cx="714375" cy="130971"/>
        </a:xfrm>
      </xdr:grpSpPr>
      <xdr:cxnSp macro="">
        <xdr:nvCxnSpPr>
          <xdr:cNvPr id="228" name="Straight Arrow Connector 227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9" name="Straight Arrow Connector 228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238125</xdr:colOff>
      <xdr:row>26</xdr:row>
      <xdr:rowOff>59531</xdr:rowOff>
    </xdr:from>
    <xdr:to>
      <xdr:col>20</xdr:col>
      <xdr:colOff>839391</xdr:colOff>
      <xdr:row>26</xdr:row>
      <xdr:rowOff>148828</xdr:rowOff>
    </xdr:to>
    <xdr:cxnSp macro="">
      <xdr:nvCxnSpPr>
        <xdr:cNvPr id="230" name="Straight Connector 229"/>
        <xdr:cNvCxnSpPr/>
      </xdr:nvCxnSpPr>
      <xdr:spPr>
        <a:xfrm flipV="1">
          <a:off x="13335000" y="517445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232172</xdr:colOff>
      <xdr:row>27</xdr:row>
      <xdr:rowOff>59531</xdr:rowOff>
    </xdr:from>
    <xdr:to>
      <xdr:col>20</xdr:col>
      <xdr:colOff>827484</xdr:colOff>
      <xdr:row>27</xdr:row>
      <xdr:rowOff>166688</xdr:rowOff>
    </xdr:to>
    <xdr:cxnSp macro="">
      <xdr:nvCxnSpPr>
        <xdr:cNvPr id="231" name="Straight Connector 230"/>
        <xdr:cNvCxnSpPr/>
      </xdr:nvCxnSpPr>
      <xdr:spPr>
        <a:xfrm flipV="1">
          <a:off x="13329047" y="53649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214313</xdr:colOff>
      <xdr:row>29</xdr:row>
      <xdr:rowOff>35718</xdr:rowOff>
    </xdr:from>
    <xdr:to>
      <xdr:col>20</xdr:col>
      <xdr:colOff>809625</xdr:colOff>
      <xdr:row>29</xdr:row>
      <xdr:rowOff>142875</xdr:rowOff>
    </xdr:to>
    <xdr:cxnSp macro="">
      <xdr:nvCxnSpPr>
        <xdr:cNvPr id="232" name="Straight Connector 231"/>
        <xdr:cNvCxnSpPr/>
      </xdr:nvCxnSpPr>
      <xdr:spPr>
        <a:xfrm flipV="1">
          <a:off x="13311188" y="573166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214312</xdr:colOff>
      <xdr:row>30</xdr:row>
      <xdr:rowOff>47625</xdr:rowOff>
    </xdr:from>
    <xdr:to>
      <xdr:col>20</xdr:col>
      <xdr:colOff>815578</xdr:colOff>
      <xdr:row>30</xdr:row>
      <xdr:rowOff>136922</xdr:rowOff>
    </xdr:to>
    <xdr:cxnSp macro="">
      <xdr:nvCxnSpPr>
        <xdr:cNvPr id="233" name="Straight Connector 232"/>
        <xdr:cNvCxnSpPr/>
      </xdr:nvCxnSpPr>
      <xdr:spPr>
        <a:xfrm flipV="1">
          <a:off x="13311187" y="5943600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31</xdr:row>
      <xdr:rowOff>47625</xdr:rowOff>
    </xdr:from>
    <xdr:to>
      <xdr:col>20</xdr:col>
      <xdr:colOff>821531</xdr:colOff>
      <xdr:row>31</xdr:row>
      <xdr:rowOff>148828</xdr:rowOff>
    </xdr:to>
    <xdr:grpSp>
      <xdr:nvGrpSpPr>
        <xdr:cNvPr id="234" name="Group 233"/>
        <xdr:cNvGrpSpPr/>
      </xdr:nvGrpSpPr>
      <xdr:grpSpPr>
        <a:xfrm>
          <a:off x="23513143" y="6143625"/>
          <a:ext cx="631031" cy="101203"/>
          <a:chOff x="8078391" y="5191124"/>
          <a:chExt cx="631031" cy="101203"/>
        </a:xfrm>
      </xdr:grpSpPr>
      <xdr:cxnSp macro="">
        <xdr:nvCxnSpPr>
          <xdr:cNvPr id="235" name="Straight Arrow Connector 234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6" name="Straight Arrow Connector 235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154781</xdr:colOff>
      <xdr:row>32</xdr:row>
      <xdr:rowOff>17859</xdr:rowOff>
    </xdr:from>
    <xdr:to>
      <xdr:col>20</xdr:col>
      <xdr:colOff>869156</xdr:colOff>
      <xdr:row>32</xdr:row>
      <xdr:rowOff>148830</xdr:rowOff>
    </xdr:to>
    <xdr:grpSp>
      <xdr:nvGrpSpPr>
        <xdr:cNvPr id="237" name="Group 236"/>
        <xdr:cNvGrpSpPr/>
      </xdr:nvGrpSpPr>
      <xdr:grpSpPr>
        <a:xfrm>
          <a:off x="23477424" y="6304359"/>
          <a:ext cx="714375" cy="130971"/>
          <a:chOff x="7953375" y="4947045"/>
          <a:chExt cx="714375" cy="130971"/>
        </a:xfrm>
      </xdr:grpSpPr>
      <xdr:cxnSp macro="">
        <xdr:nvCxnSpPr>
          <xdr:cNvPr id="238" name="Straight Arrow Connector 237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9" name="Straight Arrow Connector 238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214313</xdr:colOff>
      <xdr:row>42</xdr:row>
      <xdr:rowOff>35718</xdr:rowOff>
    </xdr:from>
    <xdr:to>
      <xdr:col>20</xdr:col>
      <xdr:colOff>809625</xdr:colOff>
      <xdr:row>42</xdr:row>
      <xdr:rowOff>142875</xdr:rowOff>
    </xdr:to>
    <xdr:cxnSp macro="">
      <xdr:nvCxnSpPr>
        <xdr:cNvPr id="240" name="Straight Connector 239"/>
        <xdr:cNvCxnSpPr/>
      </xdr:nvCxnSpPr>
      <xdr:spPr>
        <a:xfrm flipV="1">
          <a:off x="13311188" y="8236743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214312</xdr:colOff>
      <xdr:row>43</xdr:row>
      <xdr:rowOff>47625</xdr:rowOff>
    </xdr:from>
    <xdr:to>
      <xdr:col>20</xdr:col>
      <xdr:colOff>815578</xdr:colOff>
      <xdr:row>43</xdr:row>
      <xdr:rowOff>136922</xdr:rowOff>
    </xdr:to>
    <xdr:cxnSp macro="">
      <xdr:nvCxnSpPr>
        <xdr:cNvPr id="241" name="Straight Connector 240"/>
        <xdr:cNvCxnSpPr/>
      </xdr:nvCxnSpPr>
      <xdr:spPr>
        <a:xfrm flipV="1">
          <a:off x="13311187" y="8439150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190500</xdr:colOff>
      <xdr:row>44</xdr:row>
      <xdr:rowOff>47625</xdr:rowOff>
    </xdr:from>
    <xdr:to>
      <xdr:col>20</xdr:col>
      <xdr:colOff>821531</xdr:colOff>
      <xdr:row>44</xdr:row>
      <xdr:rowOff>148828</xdr:rowOff>
    </xdr:to>
    <xdr:grpSp>
      <xdr:nvGrpSpPr>
        <xdr:cNvPr id="242" name="Group 241"/>
        <xdr:cNvGrpSpPr/>
      </xdr:nvGrpSpPr>
      <xdr:grpSpPr>
        <a:xfrm>
          <a:off x="23513143" y="8647339"/>
          <a:ext cx="631031" cy="101203"/>
          <a:chOff x="8078391" y="5191124"/>
          <a:chExt cx="631031" cy="101203"/>
        </a:xfrm>
      </xdr:grpSpPr>
      <xdr:cxnSp macro="">
        <xdr:nvCxnSpPr>
          <xdr:cNvPr id="243" name="Straight Arrow Connector 24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4" name="Straight Arrow Connector 243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154781</xdr:colOff>
      <xdr:row>45</xdr:row>
      <xdr:rowOff>17859</xdr:rowOff>
    </xdr:from>
    <xdr:to>
      <xdr:col>20</xdr:col>
      <xdr:colOff>869156</xdr:colOff>
      <xdr:row>45</xdr:row>
      <xdr:rowOff>148830</xdr:rowOff>
    </xdr:to>
    <xdr:grpSp>
      <xdr:nvGrpSpPr>
        <xdr:cNvPr id="245" name="Group 244"/>
        <xdr:cNvGrpSpPr/>
      </xdr:nvGrpSpPr>
      <xdr:grpSpPr>
        <a:xfrm>
          <a:off x="23477424" y="8808073"/>
          <a:ext cx="714375" cy="130971"/>
          <a:chOff x="7953375" y="4947045"/>
          <a:chExt cx="714375" cy="130971"/>
        </a:xfrm>
      </xdr:grpSpPr>
      <xdr:cxnSp macro="">
        <xdr:nvCxnSpPr>
          <xdr:cNvPr id="246" name="Straight Arrow Connector 24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Straight Arrow Connector 246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220266</xdr:colOff>
      <xdr:row>37</xdr:row>
      <xdr:rowOff>77390</xdr:rowOff>
    </xdr:from>
    <xdr:to>
      <xdr:col>20</xdr:col>
      <xdr:colOff>851297</xdr:colOff>
      <xdr:row>37</xdr:row>
      <xdr:rowOff>178593</xdr:rowOff>
    </xdr:to>
    <xdr:grpSp>
      <xdr:nvGrpSpPr>
        <xdr:cNvPr id="248" name="Group 247"/>
        <xdr:cNvGrpSpPr/>
      </xdr:nvGrpSpPr>
      <xdr:grpSpPr>
        <a:xfrm>
          <a:off x="23542909" y="7329997"/>
          <a:ext cx="631031" cy="101203"/>
          <a:chOff x="8078391" y="5191124"/>
          <a:chExt cx="631031" cy="101203"/>
        </a:xfrm>
      </xdr:grpSpPr>
      <xdr:cxnSp macro="">
        <xdr:nvCxnSpPr>
          <xdr:cNvPr id="249" name="Straight Arrow Connector 248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0" name="Straight Arrow Connector 249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190500</xdr:colOff>
      <xdr:row>36</xdr:row>
      <xdr:rowOff>41670</xdr:rowOff>
    </xdr:from>
    <xdr:to>
      <xdr:col>20</xdr:col>
      <xdr:colOff>904875</xdr:colOff>
      <xdr:row>36</xdr:row>
      <xdr:rowOff>172641</xdr:rowOff>
    </xdr:to>
    <xdr:grpSp>
      <xdr:nvGrpSpPr>
        <xdr:cNvPr id="251" name="Group 250"/>
        <xdr:cNvGrpSpPr/>
      </xdr:nvGrpSpPr>
      <xdr:grpSpPr>
        <a:xfrm>
          <a:off x="23513143" y="7103777"/>
          <a:ext cx="714375" cy="130971"/>
          <a:chOff x="7953375" y="4947045"/>
          <a:chExt cx="714375" cy="130971"/>
        </a:xfrm>
      </xdr:grpSpPr>
      <xdr:cxnSp macro="">
        <xdr:nvCxnSpPr>
          <xdr:cNvPr id="252" name="Straight Arrow Connector 251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3" name="Straight Arrow Connector 252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238125</xdr:colOff>
      <xdr:row>38</xdr:row>
      <xdr:rowOff>59531</xdr:rowOff>
    </xdr:from>
    <xdr:to>
      <xdr:col>20</xdr:col>
      <xdr:colOff>839391</xdr:colOff>
      <xdr:row>38</xdr:row>
      <xdr:rowOff>148828</xdr:rowOff>
    </xdr:to>
    <xdr:cxnSp macro="">
      <xdr:nvCxnSpPr>
        <xdr:cNvPr id="254" name="Straight Connector 253"/>
        <xdr:cNvCxnSpPr/>
      </xdr:nvCxnSpPr>
      <xdr:spPr>
        <a:xfrm flipV="1">
          <a:off x="13335000" y="7489031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232172</xdr:colOff>
      <xdr:row>39</xdr:row>
      <xdr:rowOff>59531</xdr:rowOff>
    </xdr:from>
    <xdr:to>
      <xdr:col>20</xdr:col>
      <xdr:colOff>827484</xdr:colOff>
      <xdr:row>39</xdr:row>
      <xdr:rowOff>166688</xdr:rowOff>
    </xdr:to>
    <xdr:cxnSp macro="">
      <xdr:nvCxnSpPr>
        <xdr:cNvPr id="255" name="Straight Connector 254"/>
        <xdr:cNvCxnSpPr/>
      </xdr:nvCxnSpPr>
      <xdr:spPr>
        <a:xfrm flipV="1">
          <a:off x="13329047" y="767953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214313</xdr:colOff>
      <xdr:row>42</xdr:row>
      <xdr:rowOff>35718</xdr:rowOff>
    </xdr:from>
    <xdr:to>
      <xdr:col>3</xdr:col>
      <xdr:colOff>809625</xdr:colOff>
      <xdr:row>42</xdr:row>
      <xdr:rowOff>142875</xdr:rowOff>
    </xdr:to>
    <xdr:cxnSp macro="">
      <xdr:nvCxnSpPr>
        <xdr:cNvPr id="257" name="Straight Connector 256"/>
        <xdr:cNvCxnSpPr/>
      </xdr:nvCxnSpPr>
      <xdr:spPr>
        <a:xfrm flipV="1">
          <a:off x="10177463" y="82272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214312</xdr:colOff>
      <xdr:row>43</xdr:row>
      <xdr:rowOff>47625</xdr:rowOff>
    </xdr:from>
    <xdr:to>
      <xdr:col>3</xdr:col>
      <xdr:colOff>815578</xdr:colOff>
      <xdr:row>43</xdr:row>
      <xdr:rowOff>136922</xdr:rowOff>
    </xdr:to>
    <xdr:cxnSp macro="">
      <xdr:nvCxnSpPr>
        <xdr:cNvPr id="258" name="Straight Connector 257"/>
        <xdr:cNvCxnSpPr/>
      </xdr:nvCxnSpPr>
      <xdr:spPr>
        <a:xfrm flipV="1">
          <a:off x="10177462" y="842962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190500</xdr:colOff>
      <xdr:row>44</xdr:row>
      <xdr:rowOff>47625</xdr:rowOff>
    </xdr:from>
    <xdr:to>
      <xdr:col>3</xdr:col>
      <xdr:colOff>821531</xdr:colOff>
      <xdr:row>44</xdr:row>
      <xdr:rowOff>148828</xdr:rowOff>
    </xdr:to>
    <xdr:grpSp>
      <xdr:nvGrpSpPr>
        <xdr:cNvPr id="259" name="Group 258"/>
        <xdr:cNvGrpSpPr/>
      </xdr:nvGrpSpPr>
      <xdr:grpSpPr>
        <a:xfrm>
          <a:off x="4095750" y="8647339"/>
          <a:ext cx="631031" cy="101203"/>
          <a:chOff x="8078391" y="5191124"/>
          <a:chExt cx="631031" cy="101203"/>
        </a:xfrm>
      </xdr:grpSpPr>
      <xdr:cxnSp macro="">
        <xdr:nvCxnSpPr>
          <xdr:cNvPr id="260" name="Straight Arrow Connector 259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Straight Arrow Connector 260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154781</xdr:colOff>
      <xdr:row>45</xdr:row>
      <xdr:rowOff>17859</xdr:rowOff>
    </xdr:from>
    <xdr:to>
      <xdr:col>3</xdr:col>
      <xdr:colOff>869156</xdr:colOff>
      <xdr:row>45</xdr:row>
      <xdr:rowOff>148830</xdr:rowOff>
    </xdr:to>
    <xdr:grpSp>
      <xdr:nvGrpSpPr>
        <xdr:cNvPr id="262" name="Group 261"/>
        <xdr:cNvGrpSpPr/>
      </xdr:nvGrpSpPr>
      <xdr:grpSpPr>
        <a:xfrm>
          <a:off x="4060031" y="8808073"/>
          <a:ext cx="714375" cy="130971"/>
          <a:chOff x="7953375" y="4947045"/>
          <a:chExt cx="714375" cy="130971"/>
        </a:xfrm>
      </xdr:grpSpPr>
      <xdr:cxnSp macro="">
        <xdr:nvCxnSpPr>
          <xdr:cNvPr id="263" name="Straight Arrow Connector 262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4" name="Straight Arrow Connector 263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220266</xdr:colOff>
      <xdr:row>37</xdr:row>
      <xdr:rowOff>77390</xdr:rowOff>
    </xdr:from>
    <xdr:to>
      <xdr:col>3</xdr:col>
      <xdr:colOff>851297</xdr:colOff>
      <xdr:row>37</xdr:row>
      <xdr:rowOff>178593</xdr:rowOff>
    </xdr:to>
    <xdr:grpSp>
      <xdr:nvGrpSpPr>
        <xdr:cNvPr id="265" name="Group 264"/>
        <xdr:cNvGrpSpPr/>
      </xdr:nvGrpSpPr>
      <xdr:grpSpPr>
        <a:xfrm>
          <a:off x="4125516" y="7329997"/>
          <a:ext cx="631031" cy="101203"/>
          <a:chOff x="8078391" y="5191124"/>
          <a:chExt cx="631031" cy="101203"/>
        </a:xfrm>
      </xdr:grpSpPr>
      <xdr:cxnSp macro="">
        <xdr:nvCxnSpPr>
          <xdr:cNvPr id="266" name="Straight Arrow Connector 265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7" name="Straight Arrow Connector 266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190500</xdr:colOff>
      <xdr:row>36</xdr:row>
      <xdr:rowOff>41670</xdr:rowOff>
    </xdr:from>
    <xdr:to>
      <xdr:col>3</xdr:col>
      <xdr:colOff>904875</xdr:colOff>
      <xdr:row>36</xdr:row>
      <xdr:rowOff>172641</xdr:rowOff>
    </xdr:to>
    <xdr:grpSp>
      <xdr:nvGrpSpPr>
        <xdr:cNvPr id="268" name="Group 267"/>
        <xdr:cNvGrpSpPr/>
      </xdr:nvGrpSpPr>
      <xdr:grpSpPr>
        <a:xfrm>
          <a:off x="4095750" y="7103777"/>
          <a:ext cx="714375" cy="130971"/>
          <a:chOff x="7953375" y="4947045"/>
          <a:chExt cx="714375" cy="130971"/>
        </a:xfrm>
      </xdr:grpSpPr>
      <xdr:cxnSp macro="">
        <xdr:nvCxnSpPr>
          <xdr:cNvPr id="269" name="Straight Arrow Connector 268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0" name="Straight Arrow Connector 269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238125</xdr:colOff>
      <xdr:row>38</xdr:row>
      <xdr:rowOff>59531</xdr:rowOff>
    </xdr:from>
    <xdr:to>
      <xdr:col>3</xdr:col>
      <xdr:colOff>839391</xdr:colOff>
      <xdr:row>38</xdr:row>
      <xdr:rowOff>148828</xdr:rowOff>
    </xdr:to>
    <xdr:cxnSp macro="">
      <xdr:nvCxnSpPr>
        <xdr:cNvPr id="271" name="Straight Connector 270"/>
        <xdr:cNvCxnSpPr/>
      </xdr:nvCxnSpPr>
      <xdr:spPr>
        <a:xfrm flipV="1">
          <a:off x="10201275" y="74795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232172</xdr:colOff>
      <xdr:row>39</xdr:row>
      <xdr:rowOff>59531</xdr:rowOff>
    </xdr:from>
    <xdr:to>
      <xdr:col>3</xdr:col>
      <xdr:colOff>827484</xdr:colOff>
      <xdr:row>39</xdr:row>
      <xdr:rowOff>166688</xdr:rowOff>
    </xdr:to>
    <xdr:cxnSp macro="">
      <xdr:nvCxnSpPr>
        <xdr:cNvPr id="272" name="Straight Connector 271"/>
        <xdr:cNvCxnSpPr/>
      </xdr:nvCxnSpPr>
      <xdr:spPr>
        <a:xfrm flipV="1">
          <a:off x="10195322" y="767000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26</xdr:row>
      <xdr:rowOff>28575</xdr:rowOff>
    </xdr:from>
    <xdr:to>
      <xdr:col>14</xdr:col>
      <xdr:colOff>819150</xdr:colOff>
      <xdr:row>26</xdr:row>
      <xdr:rowOff>152400</xdr:rowOff>
    </xdr:to>
    <xdr:cxnSp macro="">
      <xdr:nvCxnSpPr>
        <xdr:cNvPr id="124" name="Straight Connector 123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29</xdr:row>
      <xdr:rowOff>28575</xdr:rowOff>
    </xdr:from>
    <xdr:to>
      <xdr:col>14</xdr:col>
      <xdr:colOff>819150</xdr:colOff>
      <xdr:row>29</xdr:row>
      <xdr:rowOff>152400</xdr:rowOff>
    </xdr:to>
    <xdr:cxnSp macro="">
      <xdr:nvCxnSpPr>
        <xdr:cNvPr id="125" name="Straight Connector 124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30</xdr:row>
      <xdr:rowOff>28575</xdr:rowOff>
    </xdr:from>
    <xdr:to>
      <xdr:col>14</xdr:col>
      <xdr:colOff>819150</xdr:colOff>
      <xdr:row>30</xdr:row>
      <xdr:rowOff>152400</xdr:rowOff>
    </xdr:to>
    <xdr:cxnSp macro="">
      <xdr:nvCxnSpPr>
        <xdr:cNvPr id="126" name="Straight Connector 125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38</xdr:row>
      <xdr:rowOff>28575</xdr:rowOff>
    </xdr:from>
    <xdr:to>
      <xdr:col>14</xdr:col>
      <xdr:colOff>819150</xdr:colOff>
      <xdr:row>38</xdr:row>
      <xdr:rowOff>152400</xdr:rowOff>
    </xdr:to>
    <xdr:cxnSp macro="">
      <xdr:nvCxnSpPr>
        <xdr:cNvPr id="127" name="Straight Connector 126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39</xdr:row>
      <xdr:rowOff>28575</xdr:rowOff>
    </xdr:from>
    <xdr:to>
      <xdr:col>14</xdr:col>
      <xdr:colOff>819150</xdr:colOff>
      <xdr:row>39</xdr:row>
      <xdr:rowOff>152400</xdr:rowOff>
    </xdr:to>
    <xdr:cxnSp macro="">
      <xdr:nvCxnSpPr>
        <xdr:cNvPr id="128" name="Straight Connector 127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42</xdr:row>
      <xdr:rowOff>28575</xdr:rowOff>
    </xdr:from>
    <xdr:to>
      <xdr:col>14</xdr:col>
      <xdr:colOff>819150</xdr:colOff>
      <xdr:row>42</xdr:row>
      <xdr:rowOff>152400</xdr:rowOff>
    </xdr:to>
    <xdr:cxnSp macro="">
      <xdr:nvCxnSpPr>
        <xdr:cNvPr id="129" name="Straight Connector 128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190500</xdr:colOff>
      <xdr:row>43</xdr:row>
      <xdr:rowOff>28575</xdr:rowOff>
    </xdr:from>
    <xdr:to>
      <xdr:col>14</xdr:col>
      <xdr:colOff>819150</xdr:colOff>
      <xdr:row>43</xdr:row>
      <xdr:rowOff>152400</xdr:rowOff>
    </xdr:to>
    <xdr:cxnSp macro="">
      <xdr:nvCxnSpPr>
        <xdr:cNvPr id="130" name="Straight Connector 129"/>
        <xdr:cNvCxnSpPr/>
      </xdr:nvCxnSpPr>
      <xdr:spPr>
        <a:xfrm>
          <a:off x="15278100" y="5324475"/>
          <a:ext cx="628650" cy="1238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206376</xdr:colOff>
      <xdr:row>31</xdr:row>
      <xdr:rowOff>69517</xdr:rowOff>
    </xdr:from>
    <xdr:to>
      <xdr:col>14</xdr:col>
      <xdr:colOff>873125</xdr:colOff>
      <xdr:row>31</xdr:row>
      <xdr:rowOff>158738</xdr:rowOff>
    </xdr:to>
    <xdr:grpSp>
      <xdr:nvGrpSpPr>
        <xdr:cNvPr id="134" name="Group 133"/>
        <xdr:cNvGrpSpPr/>
      </xdr:nvGrpSpPr>
      <xdr:grpSpPr>
        <a:xfrm>
          <a:off x="16711840" y="6165517"/>
          <a:ext cx="666749" cy="89221"/>
          <a:chOff x="8064501" y="5740742"/>
          <a:chExt cx="666749" cy="222553"/>
        </a:xfrm>
      </xdr:grpSpPr>
      <xdr:cxnSp macro="">
        <xdr:nvCxnSpPr>
          <xdr:cNvPr id="135" name="Straight Arrow Connector 134"/>
          <xdr:cNvCxnSpPr/>
        </xdr:nvCxnSpPr>
        <xdr:spPr>
          <a:xfrm rot="10800000" flipV="1">
            <a:off x="8064501" y="5740742"/>
            <a:ext cx="335359" cy="476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6" name="Straight Arrow Connector 135"/>
          <xdr:cNvCxnSpPr/>
        </xdr:nvCxnSpPr>
        <xdr:spPr>
          <a:xfrm>
            <a:off x="8387953" y="5745502"/>
            <a:ext cx="343297" cy="21779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206376</xdr:colOff>
      <xdr:row>37</xdr:row>
      <xdr:rowOff>69517</xdr:rowOff>
    </xdr:from>
    <xdr:to>
      <xdr:col>14</xdr:col>
      <xdr:colOff>873125</xdr:colOff>
      <xdr:row>37</xdr:row>
      <xdr:rowOff>158738</xdr:rowOff>
    </xdr:to>
    <xdr:grpSp>
      <xdr:nvGrpSpPr>
        <xdr:cNvPr id="137" name="Group 136"/>
        <xdr:cNvGrpSpPr/>
      </xdr:nvGrpSpPr>
      <xdr:grpSpPr>
        <a:xfrm>
          <a:off x="16711840" y="7322124"/>
          <a:ext cx="666749" cy="89221"/>
          <a:chOff x="8064501" y="5740742"/>
          <a:chExt cx="666749" cy="222553"/>
        </a:xfrm>
      </xdr:grpSpPr>
      <xdr:cxnSp macro="">
        <xdr:nvCxnSpPr>
          <xdr:cNvPr id="138" name="Straight Arrow Connector 137"/>
          <xdr:cNvCxnSpPr/>
        </xdr:nvCxnSpPr>
        <xdr:spPr>
          <a:xfrm rot="10800000" flipV="1">
            <a:off x="8064501" y="5740742"/>
            <a:ext cx="335359" cy="476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9" name="Straight Arrow Connector 138"/>
          <xdr:cNvCxnSpPr/>
        </xdr:nvCxnSpPr>
        <xdr:spPr>
          <a:xfrm>
            <a:off x="8387953" y="5745502"/>
            <a:ext cx="343297" cy="21779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206376</xdr:colOff>
      <xdr:row>44</xdr:row>
      <xdr:rowOff>69517</xdr:rowOff>
    </xdr:from>
    <xdr:to>
      <xdr:col>14</xdr:col>
      <xdr:colOff>873125</xdr:colOff>
      <xdr:row>44</xdr:row>
      <xdr:rowOff>158738</xdr:rowOff>
    </xdr:to>
    <xdr:grpSp>
      <xdr:nvGrpSpPr>
        <xdr:cNvPr id="140" name="Group 139"/>
        <xdr:cNvGrpSpPr/>
      </xdr:nvGrpSpPr>
      <xdr:grpSpPr>
        <a:xfrm>
          <a:off x="16711840" y="8669231"/>
          <a:ext cx="666749" cy="89221"/>
          <a:chOff x="8064501" y="5740742"/>
          <a:chExt cx="666749" cy="222553"/>
        </a:xfrm>
      </xdr:grpSpPr>
      <xdr:cxnSp macro="">
        <xdr:nvCxnSpPr>
          <xdr:cNvPr id="141" name="Straight Arrow Connector 140"/>
          <xdr:cNvCxnSpPr/>
        </xdr:nvCxnSpPr>
        <xdr:spPr>
          <a:xfrm rot="10800000" flipV="1">
            <a:off x="8064501" y="5740742"/>
            <a:ext cx="335359" cy="4760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2" name="Straight Arrow Connector 141"/>
          <xdr:cNvCxnSpPr/>
        </xdr:nvCxnSpPr>
        <xdr:spPr>
          <a:xfrm>
            <a:off x="8387953" y="5745502"/>
            <a:ext cx="343297" cy="21779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490210</xdr:colOff>
      <xdr:row>30</xdr:row>
      <xdr:rowOff>35718</xdr:rowOff>
    </xdr:from>
    <xdr:to>
      <xdr:col>3</xdr:col>
      <xdr:colOff>592849</xdr:colOff>
      <xdr:row>30</xdr:row>
      <xdr:rowOff>142875</xdr:rowOff>
    </xdr:to>
    <xdr:cxnSp macro="">
      <xdr:nvCxnSpPr>
        <xdr:cNvPr id="2" name="Straight Connector 1"/>
        <xdr:cNvCxnSpPr/>
      </xdr:nvCxnSpPr>
      <xdr:spPr>
        <a:xfrm flipV="1">
          <a:off x="3702434" y="59412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10674</xdr:colOff>
      <xdr:row>31</xdr:row>
      <xdr:rowOff>54194</xdr:rowOff>
    </xdr:from>
    <xdr:to>
      <xdr:col>3</xdr:col>
      <xdr:colOff>611940</xdr:colOff>
      <xdr:row>31</xdr:row>
      <xdr:rowOff>143491</xdr:rowOff>
    </xdr:to>
    <xdr:cxnSp macro="">
      <xdr:nvCxnSpPr>
        <xdr:cNvPr id="3" name="Straight Connector 2"/>
        <xdr:cNvCxnSpPr/>
      </xdr:nvCxnSpPr>
      <xdr:spPr>
        <a:xfrm flipV="1">
          <a:off x="3715571" y="6156763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14780</xdr:colOff>
      <xdr:row>26</xdr:row>
      <xdr:rowOff>39825</xdr:rowOff>
    </xdr:from>
    <xdr:to>
      <xdr:col>3</xdr:col>
      <xdr:colOff>616046</xdr:colOff>
      <xdr:row>26</xdr:row>
      <xdr:rowOff>129122</xdr:rowOff>
    </xdr:to>
    <xdr:cxnSp macro="">
      <xdr:nvCxnSpPr>
        <xdr:cNvPr id="16" name="Straight Connector 15"/>
        <xdr:cNvCxnSpPr/>
      </xdr:nvCxnSpPr>
      <xdr:spPr>
        <a:xfrm flipV="1">
          <a:off x="3719677" y="517675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15396</xdr:colOff>
      <xdr:row>27</xdr:row>
      <xdr:rowOff>39825</xdr:rowOff>
    </xdr:from>
    <xdr:to>
      <xdr:col>3</xdr:col>
      <xdr:colOff>610708</xdr:colOff>
      <xdr:row>27</xdr:row>
      <xdr:rowOff>146982</xdr:rowOff>
    </xdr:to>
    <xdr:cxnSp macro="">
      <xdr:nvCxnSpPr>
        <xdr:cNvPr id="17" name="Straight Connector 16"/>
        <xdr:cNvCxnSpPr/>
      </xdr:nvCxnSpPr>
      <xdr:spPr>
        <a:xfrm flipV="1">
          <a:off x="3720293" y="53672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4106</xdr:colOff>
      <xdr:row>30</xdr:row>
      <xdr:rowOff>35718</xdr:rowOff>
    </xdr:from>
    <xdr:to>
      <xdr:col>17</xdr:col>
      <xdr:colOff>599418</xdr:colOff>
      <xdr:row>30</xdr:row>
      <xdr:rowOff>142875</xdr:rowOff>
    </xdr:to>
    <xdr:cxnSp macro="">
      <xdr:nvCxnSpPr>
        <xdr:cNvPr id="34" name="Straight Connector 33"/>
        <xdr:cNvCxnSpPr/>
      </xdr:nvCxnSpPr>
      <xdr:spPr>
        <a:xfrm flipV="1">
          <a:off x="18876744" y="59412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1643</xdr:colOff>
      <xdr:row>26</xdr:row>
      <xdr:rowOff>39825</xdr:rowOff>
    </xdr:from>
    <xdr:to>
      <xdr:col>17</xdr:col>
      <xdr:colOff>602909</xdr:colOff>
      <xdr:row>26</xdr:row>
      <xdr:rowOff>129122</xdr:rowOff>
    </xdr:to>
    <xdr:cxnSp macro="">
      <xdr:nvCxnSpPr>
        <xdr:cNvPr id="48" name="Straight Connector 47"/>
        <xdr:cNvCxnSpPr/>
      </xdr:nvCxnSpPr>
      <xdr:spPr>
        <a:xfrm flipV="1">
          <a:off x="18874281" y="517675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2258</xdr:colOff>
      <xdr:row>27</xdr:row>
      <xdr:rowOff>33255</xdr:rowOff>
    </xdr:from>
    <xdr:to>
      <xdr:col>17</xdr:col>
      <xdr:colOff>597570</xdr:colOff>
      <xdr:row>27</xdr:row>
      <xdr:rowOff>140412</xdr:rowOff>
    </xdr:to>
    <xdr:cxnSp macro="">
      <xdr:nvCxnSpPr>
        <xdr:cNvPr id="49" name="Straight Connector 48"/>
        <xdr:cNvCxnSpPr/>
      </xdr:nvCxnSpPr>
      <xdr:spPr>
        <a:xfrm flipV="1">
          <a:off x="18874896" y="536068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4106</xdr:colOff>
      <xdr:row>31</xdr:row>
      <xdr:rowOff>22581</xdr:rowOff>
    </xdr:from>
    <xdr:to>
      <xdr:col>24</xdr:col>
      <xdr:colOff>599418</xdr:colOff>
      <xdr:row>31</xdr:row>
      <xdr:rowOff>129738</xdr:rowOff>
    </xdr:to>
    <xdr:cxnSp macro="">
      <xdr:nvCxnSpPr>
        <xdr:cNvPr id="50" name="Straight Connector 49"/>
        <xdr:cNvCxnSpPr/>
      </xdr:nvCxnSpPr>
      <xdr:spPr>
        <a:xfrm flipV="1">
          <a:off x="25504830" y="612515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4105</xdr:colOff>
      <xdr:row>32</xdr:row>
      <xdr:rowOff>47625</xdr:rowOff>
    </xdr:from>
    <xdr:to>
      <xdr:col>24</xdr:col>
      <xdr:colOff>605371</xdr:colOff>
      <xdr:row>32</xdr:row>
      <xdr:rowOff>136922</xdr:rowOff>
    </xdr:to>
    <xdr:cxnSp macro="">
      <xdr:nvCxnSpPr>
        <xdr:cNvPr id="51" name="Straight Connector 50"/>
        <xdr:cNvCxnSpPr/>
      </xdr:nvCxnSpPr>
      <xdr:spPr>
        <a:xfrm flipV="1">
          <a:off x="25504829" y="6340694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15396</xdr:colOff>
      <xdr:row>28</xdr:row>
      <xdr:rowOff>26686</xdr:rowOff>
    </xdr:from>
    <xdr:to>
      <xdr:col>24</xdr:col>
      <xdr:colOff>610708</xdr:colOff>
      <xdr:row>28</xdr:row>
      <xdr:rowOff>133843</xdr:rowOff>
    </xdr:to>
    <xdr:cxnSp macro="">
      <xdr:nvCxnSpPr>
        <xdr:cNvPr id="65" name="Straight Connector 64"/>
        <xdr:cNvCxnSpPr/>
      </xdr:nvCxnSpPr>
      <xdr:spPr>
        <a:xfrm flipV="1">
          <a:off x="25516120" y="554461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8622</xdr:colOff>
      <xdr:row>26</xdr:row>
      <xdr:rowOff>59531</xdr:rowOff>
    </xdr:from>
    <xdr:to>
      <xdr:col>10</xdr:col>
      <xdr:colOff>591008</xdr:colOff>
      <xdr:row>26</xdr:row>
      <xdr:rowOff>152060</xdr:rowOff>
    </xdr:to>
    <xdr:cxnSp macro="">
      <xdr:nvCxnSpPr>
        <xdr:cNvPr id="72" name="Straight Connector 71"/>
        <xdr:cNvCxnSpPr/>
      </xdr:nvCxnSpPr>
      <xdr:spPr>
        <a:xfrm>
          <a:off x="10867122" y="519646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3284</xdr:colOff>
      <xdr:row>27</xdr:row>
      <xdr:rowOff>52963</xdr:rowOff>
    </xdr:from>
    <xdr:to>
      <xdr:col>10</xdr:col>
      <xdr:colOff>585670</xdr:colOff>
      <xdr:row>27</xdr:row>
      <xdr:rowOff>145492</xdr:rowOff>
    </xdr:to>
    <xdr:cxnSp macro="">
      <xdr:nvCxnSpPr>
        <xdr:cNvPr id="74" name="Straight Connector 73"/>
        <xdr:cNvCxnSpPr/>
      </xdr:nvCxnSpPr>
      <xdr:spPr>
        <a:xfrm>
          <a:off x="10861784" y="538039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5747</xdr:colOff>
      <xdr:row>30</xdr:row>
      <xdr:rowOff>52962</xdr:rowOff>
    </xdr:from>
    <xdr:to>
      <xdr:col>10</xdr:col>
      <xdr:colOff>588133</xdr:colOff>
      <xdr:row>30</xdr:row>
      <xdr:rowOff>145491</xdr:rowOff>
    </xdr:to>
    <xdr:cxnSp macro="">
      <xdr:nvCxnSpPr>
        <xdr:cNvPr id="75" name="Straight Connector 74"/>
        <xdr:cNvCxnSpPr/>
      </xdr:nvCxnSpPr>
      <xdr:spPr>
        <a:xfrm>
          <a:off x="10864247" y="595846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9853</xdr:colOff>
      <xdr:row>31</xdr:row>
      <xdr:rowOff>43931</xdr:rowOff>
    </xdr:from>
    <xdr:to>
      <xdr:col>10</xdr:col>
      <xdr:colOff>592239</xdr:colOff>
      <xdr:row>31</xdr:row>
      <xdr:rowOff>136460</xdr:rowOff>
    </xdr:to>
    <xdr:cxnSp macro="">
      <xdr:nvCxnSpPr>
        <xdr:cNvPr id="76" name="Straight Connector 75"/>
        <xdr:cNvCxnSpPr/>
      </xdr:nvCxnSpPr>
      <xdr:spPr>
        <a:xfrm>
          <a:off x="10868353" y="614650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4516</xdr:colOff>
      <xdr:row>25</xdr:row>
      <xdr:rowOff>105924</xdr:rowOff>
    </xdr:from>
    <xdr:to>
      <xdr:col>10</xdr:col>
      <xdr:colOff>576016</xdr:colOff>
      <xdr:row>25</xdr:row>
      <xdr:rowOff>105924</xdr:rowOff>
    </xdr:to>
    <xdr:cxnSp macro="">
      <xdr:nvCxnSpPr>
        <xdr:cNvPr id="78" name="Straight Connector 77"/>
        <xdr:cNvCxnSpPr/>
      </xdr:nvCxnSpPr>
      <xdr:spPr>
        <a:xfrm>
          <a:off x="10863016" y="5052355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9443</xdr:colOff>
      <xdr:row>24</xdr:row>
      <xdr:rowOff>34487</xdr:rowOff>
    </xdr:from>
    <xdr:to>
      <xdr:col>10</xdr:col>
      <xdr:colOff>604755</xdr:colOff>
      <xdr:row>24</xdr:row>
      <xdr:rowOff>141644</xdr:rowOff>
    </xdr:to>
    <xdr:cxnSp macro="">
      <xdr:nvCxnSpPr>
        <xdr:cNvPr id="80" name="Straight Connector 79"/>
        <xdr:cNvCxnSpPr/>
      </xdr:nvCxnSpPr>
      <xdr:spPr>
        <a:xfrm flipV="1">
          <a:off x="10867943" y="478384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15190</xdr:colOff>
      <xdr:row>32</xdr:row>
      <xdr:rowOff>99355</xdr:rowOff>
    </xdr:from>
    <xdr:to>
      <xdr:col>10</xdr:col>
      <xdr:colOff>586690</xdr:colOff>
      <xdr:row>32</xdr:row>
      <xdr:rowOff>99355</xdr:rowOff>
    </xdr:to>
    <xdr:cxnSp macro="">
      <xdr:nvCxnSpPr>
        <xdr:cNvPr id="82" name="Straight Connector 81"/>
        <xdr:cNvCxnSpPr/>
      </xdr:nvCxnSpPr>
      <xdr:spPr>
        <a:xfrm>
          <a:off x="10873690" y="639242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5748</xdr:colOff>
      <xdr:row>33</xdr:row>
      <xdr:rowOff>34487</xdr:rowOff>
    </xdr:from>
    <xdr:to>
      <xdr:col>10</xdr:col>
      <xdr:colOff>601060</xdr:colOff>
      <xdr:row>33</xdr:row>
      <xdr:rowOff>141644</xdr:rowOff>
    </xdr:to>
    <xdr:cxnSp macro="">
      <xdr:nvCxnSpPr>
        <xdr:cNvPr id="83" name="Straight Connector 82"/>
        <xdr:cNvCxnSpPr/>
      </xdr:nvCxnSpPr>
      <xdr:spPr>
        <a:xfrm flipV="1">
          <a:off x="10864248" y="65180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9444</xdr:colOff>
      <xdr:row>24</xdr:row>
      <xdr:rowOff>38594</xdr:rowOff>
    </xdr:from>
    <xdr:to>
      <xdr:col>17</xdr:col>
      <xdr:colOff>604756</xdr:colOff>
      <xdr:row>24</xdr:row>
      <xdr:rowOff>145751</xdr:rowOff>
    </xdr:to>
    <xdr:cxnSp macro="">
      <xdr:nvCxnSpPr>
        <xdr:cNvPr id="84" name="Straight Connector 83"/>
        <xdr:cNvCxnSpPr/>
      </xdr:nvCxnSpPr>
      <xdr:spPr>
        <a:xfrm flipV="1">
          <a:off x="18882082" y="47879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8211</xdr:colOff>
      <xdr:row>25</xdr:row>
      <xdr:rowOff>39825</xdr:rowOff>
    </xdr:from>
    <xdr:to>
      <xdr:col>17</xdr:col>
      <xdr:colOff>603523</xdr:colOff>
      <xdr:row>25</xdr:row>
      <xdr:rowOff>146982</xdr:rowOff>
    </xdr:to>
    <xdr:cxnSp macro="">
      <xdr:nvCxnSpPr>
        <xdr:cNvPr id="85" name="Straight Connector 84"/>
        <xdr:cNvCxnSpPr/>
      </xdr:nvCxnSpPr>
      <xdr:spPr>
        <a:xfrm flipV="1">
          <a:off x="18880849" y="49862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16012</xdr:colOff>
      <xdr:row>33</xdr:row>
      <xdr:rowOff>48857</xdr:rowOff>
    </xdr:from>
    <xdr:to>
      <xdr:col>17</xdr:col>
      <xdr:colOff>611324</xdr:colOff>
      <xdr:row>33</xdr:row>
      <xdr:rowOff>156014</xdr:rowOff>
    </xdr:to>
    <xdr:cxnSp macro="">
      <xdr:nvCxnSpPr>
        <xdr:cNvPr id="86" name="Straight Connector 85"/>
        <xdr:cNvCxnSpPr/>
      </xdr:nvCxnSpPr>
      <xdr:spPr>
        <a:xfrm flipV="1">
          <a:off x="18888650" y="653242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15190</xdr:colOff>
      <xdr:row>33</xdr:row>
      <xdr:rowOff>99355</xdr:rowOff>
    </xdr:from>
    <xdr:to>
      <xdr:col>24</xdr:col>
      <xdr:colOff>586690</xdr:colOff>
      <xdr:row>33</xdr:row>
      <xdr:rowOff>99355</xdr:rowOff>
    </xdr:to>
    <xdr:cxnSp macro="">
      <xdr:nvCxnSpPr>
        <xdr:cNvPr id="29" name="Straight Connector 28"/>
        <xdr:cNvCxnSpPr/>
      </xdr:nvCxnSpPr>
      <xdr:spPr>
        <a:xfrm>
          <a:off x="10873690" y="639242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5747</xdr:colOff>
      <xdr:row>34</xdr:row>
      <xdr:rowOff>52962</xdr:rowOff>
    </xdr:from>
    <xdr:to>
      <xdr:col>24</xdr:col>
      <xdr:colOff>588133</xdr:colOff>
      <xdr:row>34</xdr:row>
      <xdr:rowOff>145491</xdr:rowOff>
    </xdr:to>
    <xdr:cxnSp macro="">
      <xdr:nvCxnSpPr>
        <xdr:cNvPr id="31" name="Straight Connector 30"/>
        <xdr:cNvCxnSpPr/>
      </xdr:nvCxnSpPr>
      <xdr:spPr>
        <a:xfrm>
          <a:off x="10864247" y="595846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529646</xdr:colOff>
      <xdr:row>31</xdr:row>
      <xdr:rowOff>46734</xdr:rowOff>
    </xdr:from>
    <xdr:to>
      <xdr:col>4</xdr:col>
      <xdr:colOff>618046</xdr:colOff>
      <xdr:row>31</xdr:row>
      <xdr:rowOff>139263</xdr:rowOff>
    </xdr:to>
    <xdr:cxnSp macro="">
      <xdr:nvCxnSpPr>
        <xdr:cNvPr id="19" name="Straight Connector 18"/>
        <xdr:cNvCxnSpPr/>
      </xdr:nvCxnSpPr>
      <xdr:spPr>
        <a:xfrm>
          <a:off x="4681232" y="6142734"/>
          <a:ext cx="6204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7132</xdr:colOff>
      <xdr:row>26</xdr:row>
      <xdr:rowOff>63062</xdr:rowOff>
    </xdr:from>
    <xdr:to>
      <xdr:col>4</xdr:col>
      <xdr:colOff>556860</xdr:colOff>
      <xdr:row>26</xdr:row>
      <xdr:rowOff>150148</xdr:rowOff>
    </xdr:to>
    <xdr:cxnSp macro="">
      <xdr:nvCxnSpPr>
        <xdr:cNvPr id="32" name="Straight Connector 31"/>
        <xdr:cNvCxnSpPr/>
      </xdr:nvCxnSpPr>
      <xdr:spPr>
        <a:xfrm>
          <a:off x="4690804" y="5193424"/>
          <a:ext cx="549728" cy="870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3942</xdr:colOff>
      <xdr:row>27</xdr:row>
      <xdr:rowOff>56494</xdr:rowOff>
    </xdr:from>
    <xdr:to>
      <xdr:col>4</xdr:col>
      <xdr:colOff>559114</xdr:colOff>
      <xdr:row>27</xdr:row>
      <xdr:rowOff>143581</xdr:rowOff>
    </xdr:to>
    <xdr:cxnSp macro="">
      <xdr:nvCxnSpPr>
        <xdr:cNvPr id="33" name="Straight Connector 32"/>
        <xdr:cNvCxnSpPr/>
      </xdr:nvCxnSpPr>
      <xdr:spPr>
        <a:xfrm>
          <a:off x="4687614" y="5377356"/>
          <a:ext cx="555172" cy="870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417786</xdr:colOff>
      <xdr:row>25</xdr:row>
      <xdr:rowOff>82769</xdr:rowOff>
    </xdr:from>
    <xdr:to>
      <xdr:col>12</xdr:col>
      <xdr:colOff>545975</xdr:colOff>
      <xdr:row>25</xdr:row>
      <xdr:rowOff>169856</xdr:rowOff>
    </xdr:to>
    <xdr:cxnSp macro="">
      <xdr:nvCxnSpPr>
        <xdr:cNvPr id="63" name="Straight Connector 62"/>
        <xdr:cNvCxnSpPr/>
      </xdr:nvCxnSpPr>
      <xdr:spPr>
        <a:xfrm>
          <a:off x="12215648" y="5022631"/>
          <a:ext cx="555172" cy="870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3942</xdr:colOff>
      <xdr:row>28</xdr:row>
      <xdr:rowOff>63062</xdr:rowOff>
    </xdr:from>
    <xdr:to>
      <xdr:col>12</xdr:col>
      <xdr:colOff>559114</xdr:colOff>
      <xdr:row>28</xdr:row>
      <xdr:rowOff>150149</xdr:rowOff>
    </xdr:to>
    <xdr:cxnSp macro="">
      <xdr:nvCxnSpPr>
        <xdr:cNvPr id="64" name="Straight Connector 63"/>
        <xdr:cNvCxnSpPr/>
      </xdr:nvCxnSpPr>
      <xdr:spPr>
        <a:xfrm>
          <a:off x="12228787" y="5574424"/>
          <a:ext cx="555172" cy="870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424355</xdr:colOff>
      <xdr:row>31</xdr:row>
      <xdr:rowOff>69631</xdr:rowOff>
    </xdr:from>
    <xdr:to>
      <xdr:col>12</xdr:col>
      <xdr:colOff>552544</xdr:colOff>
      <xdr:row>31</xdr:row>
      <xdr:rowOff>156718</xdr:rowOff>
    </xdr:to>
    <xdr:cxnSp macro="">
      <xdr:nvCxnSpPr>
        <xdr:cNvPr id="65" name="Straight Connector 64"/>
        <xdr:cNvCxnSpPr/>
      </xdr:nvCxnSpPr>
      <xdr:spPr>
        <a:xfrm>
          <a:off x="12222217" y="6165631"/>
          <a:ext cx="555172" cy="870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3942</xdr:colOff>
      <xdr:row>32</xdr:row>
      <xdr:rowOff>69631</xdr:rowOff>
    </xdr:from>
    <xdr:to>
      <xdr:col>12</xdr:col>
      <xdr:colOff>559114</xdr:colOff>
      <xdr:row>32</xdr:row>
      <xdr:rowOff>156718</xdr:rowOff>
    </xdr:to>
    <xdr:cxnSp macro="">
      <xdr:nvCxnSpPr>
        <xdr:cNvPr id="66" name="Straight Connector 65"/>
        <xdr:cNvCxnSpPr/>
      </xdr:nvCxnSpPr>
      <xdr:spPr>
        <a:xfrm>
          <a:off x="12228787" y="6356131"/>
          <a:ext cx="555172" cy="8708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5475</xdr:colOff>
      <xdr:row>25</xdr:row>
      <xdr:rowOff>104372</xdr:rowOff>
    </xdr:from>
    <xdr:to>
      <xdr:col>4</xdr:col>
      <xdr:colOff>576975</xdr:colOff>
      <xdr:row>25</xdr:row>
      <xdr:rowOff>104372</xdr:rowOff>
    </xdr:to>
    <xdr:cxnSp macro="">
      <xdr:nvCxnSpPr>
        <xdr:cNvPr id="22" name="Straight Connector 21"/>
        <xdr:cNvCxnSpPr/>
      </xdr:nvCxnSpPr>
      <xdr:spPr>
        <a:xfrm>
          <a:off x="4689147" y="504423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530991</xdr:colOff>
      <xdr:row>32</xdr:row>
      <xdr:rowOff>97804</xdr:rowOff>
    </xdr:from>
    <xdr:to>
      <xdr:col>4</xdr:col>
      <xdr:colOff>570405</xdr:colOff>
      <xdr:row>32</xdr:row>
      <xdr:rowOff>97804</xdr:rowOff>
    </xdr:to>
    <xdr:cxnSp macro="">
      <xdr:nvCxnSpPr>
        <xdr:cNvPr id="23" name="Straight Connector 22"/>
        <xdr:cNvCxnSpPr/>
      </xdr:nvCxnSpPr>
      <xdr:spPr>
        <a:xfrm>
          <a:off x="4682577" y="638430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529646</xdr:colOff>
      <xdr:row>30</xdr:row>
      <xdr:rowOff>46734</xdr:rowOff>
    </xdr:from>
    <xdr:to>
      <xdr:col>4</xdr:col>
      <xdr:colOff>618046</xdr:colOff>
      <xdr:row>30</xdr:row>
      <xdr:rowOff>139263</xdr:rowOff>
    </xdr:to>
    <xdr:cxnSp macro="">
      <xdr:nvCxnSpPr>
        <xdr:cNvPr id="12" name="Straight Connector 11"/>
        <xdr:cNvCxnSpPr/>
      </xdr:nvCxnSpPr>
      <xdr:spPr>
        <a:xfrm>
          <a:off x="4681232" y="6142734"/>
          <a:ext cx="6204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552018</xdr:colOff>
      <xdr:row>30</xdr:row>
      <xdr:rowOff>44377</xdr:rowOff>
    </xdr:from>
    <xdr:to>
      <xdr:col>4</xdr:col>
      <xdr:colOff>593148</xdr:colOff>
      <xdr:row>30</xdr:row>
      <xdr:rowOff>151534</xdr:rowOff>
    </xdr:to>
    <xdr:cxnSp macro="">
      <xdr:nvCxnSpPr>
        <xdr:cNvPr id="2" name="Straight Connector 1"/>
        <xdr:cNvCxnSpPr/>
      </xdr:nvCxnSpPr>
      <xdr:spPr>
        <a:xfrm flipV="1">
          <a:off x="4656427" y="5906582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2164</xdr:colOff>
      <xdr:row>31</xdr:row>
      <xdr:rowOff>60614</xdr:rowOff>
    </xdr:from>
    <xdr:to>
      <xdr:col>4</xdr:col>
      <xdr:colOff>603430</xdr:colOff>
      <xdr:row>31</xdr:row>
      <xdr:rowOff>149911</xdr:rowOff>
    </xdr:to>
    <xdr:cxnSp macro="">
      <xdr:nvCxnSpPr>
        <xdr:cNvPr id="3" name="Straight Connector 2"/>
        <xdr:cNvCxnSpPr/>
      </xdr:nvCxnSpPr>
      <xdr:spPr>
        <a:xfrm flipV="1">
          <a:off x="4660755" y="6113319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4329</xdr:colOff>
      <xdr:row>26</xdr:row>
      <xdr:rowOff>72520</xdr:rowOff>
    </xdr:from>
    <xdr:to>
      <xdr:col>4</xdr:col>
      <xdr:colOff>605595</xdr:colOff>
      <xdr:row>26</xdr:row>
      <xdr:rowOff>161817</xdr:rowOff>
    </xdr:to>
    <xdr:cxnSp macro="">
      <xdr:nvCxnSpPr>
        <xdr:cNvPr id="16" name="Straight Connector 15"/>
        <xdr:cNvCxnSpPr/>
      </xdr:nvCxnSpPr>
      <xdr:spPr>
        <a:xfrm flipV="1">
          <a:off x="4662920" y="516406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2706</xdr:colOff>
      <xdr:row>27</xdr:row>
      <xdr:rowOff>42213</xdr:rowOff>
    </xdr:from>
    <xdr:to>
      <xdr:col>4</xdr:col>
      <xdr:colOff>598018</xdr:colOff>
      <xdr:row>27</xdr:row>
      <xdr:rowOff>149370</xdr:rowOff>
    </xdr:to>
    <xdr:cxnSp macro="">
      <xdr:nvCxnSpPr>
        <xdr:cNvPr id="17" name="Straight Connector 16"/>
        <xdr:cNvCxnSpPr/>
      </xdr:nvCxnSpPr>
      <xdr:spPr>
        <a:xfrm flipV="1">
          <a:off x="4661297" y="532425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5411</xdr:colOff>
      <xdr:row>25</xdr:row>
      <xdr:rowOff>114733</xdr:rowOff>
    </xdr:from>
    <xdr:to>
      <xdr:col>12</xdr:col>
      <xdr:colOff>576911</xdr:colOff>
      <xdr:row>25</xdr:row>
      <xdr:rowOff>114733</xdr:rowOff>
    </xdr:to>
    <xdr:cxnSp macro="">
      <xdr:nvCxnSpPr>
        <xdr:cNvPr id="34" name="Straight Connector 33"/>
        <xdr:cNvCxnSpPr/>
      </xdr:nvCxnSpPr>
      <xdr:spPr>
        <a:xfrm>
          <a:off x="13188877" y="501577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7576</xdr:colOff>
      <xdr:row>32</xdr:row>
      <xdr:rowOff>123391</xdr:rowOff>
    </xdr:from>
    <xdr:to>
      <xdr:col>12</xdr:col>
      <xdr:colOff>579076</xdr:colOff>
      <xdr:row>32</xdr:row>
      <xdr:rowOff>123391</xdr:rowOff>
    </xdr:to>
    <xdr:cxnSp macro="">
      <xdr:nvCxnSpPr>
        <xdr:cNvPr id="36" name="Straight Connector 35"/>
        <xdr:cNvCxnSpPr/>
      </xdr:nvCxnSpPr>
      <xdr:spPr>
        <a:xfrm>
          <a:off x="13191042" y="636659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4075</xdr:colOff>
      <xdr:row>25</xdr:row>
      <xdr:rowOff>60359</xdr:rowOff>
    </xdr:from>
    <xdr:to>
      <xdr:col>4</xdr:col>
      <xdr:colOff>605341</xdr:colOff>
      <xdr:row>25</xdr:row>
      <xdr:rowOff>149656</xdr:rowOff>
    </xdr:to>
    <xdr:cxnSp macro="">
      <xdr:nvCxnSpPr>
        <xdr:cNvPr id="41" name="Straight Connector 40"/>
        <xdr:cNvCxnSpPr/>
      </xdr:nvCxnSpPr>
      <xdr:spPr>
        <a:xfrm flipV="1">
          <a:off x="4662666" y="4961404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511969</xdr:colOff>
      <xdr:row>26</xdr:row>
      <xdr:rowOff>51955</xdr:rowOff>
    </xdr:from>
    <xdr:to>
      <xdr:col>12</xdr:col>
      <xdr:colOff>592065</xdr:colOff>
      <xdr:row>26</xdr:row>
      <xdr:rowOff>159112</xdr:rowOff>
    </xdr:to>
    <xdr:cxnSp macro="">
      <xdr:nvCxnSpPr>
        <xdr:cNvPr id="21" name="Straight Connector 20"/>
        <xdr:cNvCxnSpPr/>
      </xdr:nvCxnSpPr>
      <xdr:spPr>
        <a:xfrm flipV="1">
          <a:off x="13180219" y="514350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1083</xdr:colOff>
      <xdr:row>27</xdr:row>
      <xdr:rowOff>43295</xdr:rowOff>
    </xdr:from>
    <xdr:to>
      <xdr:col>12</xdr:col>
      <xdr:colOff>596395</xdr:colOff>
      <xdr:row>27</xdr:row>
      <xdr:rowOff>150452</xdr:rowOff>
    </xdr:to>
    <xdr:cxnSp macro="">
      <xdr:nvCxnSpPr>
        <xdr:cNvPr id="22" name="Straight Connector 21"/>
        <xdr:cNvCxnSpPr/>
      </xdr:nvCxnSpPr>
      <xdr:spPr>
        <a:xfrm flipV="1">
          <a:off x="13184549" y="532534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513051</xdr:colOff>
      <xdr:row>24</xdr:row>
      <xdr:rowOff>50872</xdr:rowOff>
    </xdr:from>
    <xdr:to>
      <xdr:col>12</xdr:col>
      <xdr:colOff>580221</xdr:colOff>
      <xdr:row>24</xdr:row>
      <xdr:rowOff>143401</xdr:rowOff>
    </xdr:to>
    <xdr:cxnSp macro="">
      <xdr:nvCxnSpPr>
        <xdr:cNvPr id="23" name="Straight Connector 22"/>
        <xdr:cNvCxnSpPr/>
      </xdr:nvCxnSpPr>
      <xdr:spPr>
        <a:xfrm>
          <a:off x="13181301" y="476141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5412</xdr:colOff>
      <xdr:row>30</xdr:row>
      <xdr:rowOff>43295</xdr:rowOff>
    </xdr:from>
    <xdr:to>
      <xdr:col>12</xdr:col>
      <xdr:colOff>600724</xdr:colOff>
      <xdr:row>30</xdr:row>
      <xdr:rowOff>150452</xdr:rowOff>
    </xdr:to>
    <xdr:cxnSp macro="">
      <xdr:nvCxnSpPr>
        <xdr:cNvPr id="24" name="Straight Connector 23"/>
        <xdr:cNvCxnSpPr/>
      </xdr:nvCxnSpPr>
      <xdr:spPr>
        <a:xfrm flipV="1">
          <a:off x="13188878" y="590550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5412</xdr:colOff>
      <xdr:row>31</xdr:row>
      <xdr:rowOff>43296</xdr:rowOff>
    </xdr:from>
    <xdr:to>
      <xdr:col>12</xdr:col>
      <xdr:colOff>600724</xdr:colOff>
      <xdr:row>31</xdr:row>
      <xdr:rowOff>150453</xdr:rowOff>
    </xdr:to>
    <xdr:cxnSp macro="">
      <xdr:nvCxnSpPr>
        <xdr:cNvPr id="25" name="Straight Connector 24"/>
        <xdr:cNvCxnSpPr/>
      </xdr:nvCxnSpPr>
      <xdr:spPr>
        <a:xfrm flipV="1">
          <a:off x="13188878" y="609600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2164</xdr:colOff>
      <xdr:row>33</xdr:row>
      <xdr:rowOff>59531</xdr:rowOff>
    </xdr:from>
    <xdr:to>
      <xdr:col>12</xdr:col>
      <xdr:colOff>584550</xdr:colOff>
      <xdr:row>33</xdr:row>
      <xdr:rowOff>152060</xdr:rowOff>
    </xdr:to>
    <xdr:cxnSp macro="">
      <xdr:nvCxnSpPr>
        <xdr:cNvPr id="26" name="Straight Connector 25"/>
        <xdr:cNvCxnSpPr/>
      </xdr:nvCxnSpPr>
      <xdr:spPr>
        <a:xfrm>
          <a:off x="13185630" y="649323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9741</xdr:colOff>
      <xdr:row>25</xdr:row>
      <xdr:rowOff>114732</xdr:rowOff>
    </xdr:from>
    <xdr:to>
      <xdr:col>20</xdr:col>
      <xdr:colOff>581241</xdr:colOff>
      <xdr:row>25</xdr:row>
      <xdr:rowOff>114732</xdr:rowOff>
    </xdr:to>
    <xdr:cxnSp macro="">
      <xdr:nvCxnSpPr>
        <xdr:cNvPr id="37" name="Straight Connector 36"/>
        <xdr:cNvCxnSpPr/>
      </xdr:nvCxnSpPr>
      <xdr:spPr>
        <a:xfrm>
          <a:off x="21977855" y="5015777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3247</xdr:colOff>
      <xdr:row>32</xdr:row>
      <xdr:rowOff>106073</xdr:rowOff>
    </xdr:from>
    <xdr:to>
      <xdr:col>20</xdr:col>
      <xdr:colOff>574747</xdr:colOff>
      <xdr:row>32</xdr:row>
      <xdr:rowOff>106073</xdr:rowOff>
    </xdr:to>
    <xdr:cxnSp macro="">
      <xdr:nvCxnSpPr>
        <xdr:cNvPr id="38" name="Straight Connector 37"/>
        <xdr:cNvCxnSpPr/>
      </xdr:nvCxnSpPr>
      <xdr:spPr>
        <a:xfrm>
          <a:off x="21971361" y="634927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4329</xdr:colOff>
      <xdr:row>24</xdr:row>
      <xdr:rowOff>34636</xdr:rowOff>
    </xdr:from>
    <xdr:to>
      <xdr:col>20</xdr:col>
      <xdr:colOff>599641</xdr:colOff>
      <xdr:row>24</xdr:row>
      <xdr:rowOff>141793</xdr:rowOff>
    </xdr:to>
    <xdr:cxnSp macro="">
      <xdr:nvCxnSpPr>
        <xdr:cNvPr id="39" name="Straight Connector 38"/>
        <xdr:cNvCxnSpPr/>
      </xdr:nvCxnSpPr>
      <xdr:spPr>
        <a:xfrm flipV="1">
          <a:off x="21972443" y="474518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4330</xdr:colOff>
      <xdr:row>27</xdr:row>
      <xdr:rowOff>59531</xdr:rowOff>
    </xdr:from>
    <xdr:to>
      <xdr:col>20</xdr:col>
      <xdr:colOff>586716</xdr:colOff>
      <xdr:row>27</xdr:row>
      <xdr:rowOff>152060</xdr:rowOff>
    </xdr:to>
    <xdr:cxnSp macro="">
      <xdr:nvCxnSpPr>
        <xdr:cNvPr id="42" name="Straight Connector 41"/>
        <xdr:cNvCxnSpPr/>
      </xdr:nvCxnSpPr>
      <xdr:spPr>
        <a:xfrm>
          <a:off x="21972444" y="534157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7577</xdr:colOff>
      <xdr:row>26</xdr:row>
      <xdr:rowOff>63861</xdr:rowOff>
    </xdr:from>
    <xdr:to>
      <xdr:col>20</xdr:col>
      <xdr:colOff>589963</xdr:colOff>
      <xdr:row>26</xdr:row>
      <xdr:rowOff>156390</xdr:rowOff>
    </xdr:to>
    <xdr:cxnSp macro="">
      <xdr:nvCxnSpPr>
        <xdr:cNvPr id="46" name="Straight Connector 45"/>
        <xdr:cNvCxnSpPr/>
      </xdr:nvCxnSpPr>
      <xdr:spPr>
        <a:xfrm>
          <a:off x="21975691" y="515540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4329</xdr:colOff>
      <xdr:row>31</xdr:row>
      <xdr:rowOff>59531</xdr:rowOff>
    </xdr:from>
    <xdr:to>
      <xdr:col>20</xdr:col>
      <xdr:colOff>586715</xdr:colOff>
      <xdr:row>31</xdr:row>
      <xdr:rowOff>152060</xdr:rowOff>
    </xdr:to>
    <xdr:cxnSp macro="">
      <xdr:nvCxnSpPr>
        <xdr:cNvPr id="47" name="Straight Connector 46"/>
        <xdr:cNvCxnSpPr/>
      </xdr:nvCxnSpPr>
      <xdr:spPr>
        <a:xfrm>
          <a:off x="21972443" y="611223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7577</xdr:colOff>
      <xdr:row>30</xdr:row>
      <xdr:rowOff>59532</xdr:rowOff>
    </xdr:from>
    <xdr:to>
      <xdr:col>20</xdr:col>
      <xdr:colOff>589963</xdr:colOff>
      <xdr:row>30</xdr:row>
      <xdr:rowOff>152061</xdr:rowOff>
    </xdr:to>
    <xdr:cxnSp macro="">
      <xdr:nvCxnSpPr>
        <xdr:cNvPr id="48" name="Straight Connector 47"/>
        <xdr:cNvCxnSpPr/>
      </xdr:nvCxnSpPr>
      <xdr:spPr>
        <a:xfrm>
          <a:off x="21975691" y="592173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571500</xdr:colOff>
      <xdr:row>33</xdr:row>
      <xdr:rowOff>51954</xdr:rowOff>
    </xdr:from>
    <xdr:to>
      <xdr:col>20</xdr:col>
      <xdr:colOff>586653</xdr:colOff>
      <xdr:row>33</xdr:row>
      <xdr:rowOff>159111</xdr:rowOff>
    </xdr:to>
    <xdr:cxnSp macro="">
      <xdr:nvCxnSpPr>
        <xdr:cNvPr id="51" name="Straight Connector 50"/>
        <xdr:cNvCxnSpPr/>
      </xdr:nvCxnSpPr>
      <xdr:spPr>
        <a:xfrm flipV="1">
          <a:off x="21959455" y="648565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7576</xdr:colOff>
      <xdr:row>32</xdr:row>
      <xdr:rowOff>123391</xdr:rowOff>
    </xdr:from>
    <xdr:to>
      <xdr:col>4</xdr:col>
      <xdr:colOff>579076</xdr:colOff>
      <xdr:row>32</xdr:row>
      <xdr:rowOff>123391</xdr:rowOff>
    </xdr:to>
    <xdr:cxnSp macro="">
      <xdr:nvCxnSpPr>
        <xdr:cNvPr id="30" name="Straight Connector 29"/>
        <xdr:cNvCxnSpPr/>
      </xdr:nvCxnSpPr>
      <xdr:spPr>
        <a:xfrm>
          <a:off x="13191042" y="636659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2164</xdr:colOff>
      <xdr:row>33</xdr:row>
      <xdr:rowOff>59531</xdr:rowOff>
    </xdr:from>
    <xdr:to>
      <xdr:col>4</xdr:col>
      <xdr:colOff>584550</xdr:colOff>
      <xdr:row>33</xdr:row>
      <xdr:rowOff>152060</xdr:rowOff>
    </xdr:to>
    <xdr:cxnSp macro="">
      <xdr:nvCxnSpPr>
        <xdr:cNvPr id="31" name="Straight Connector 30"/>
        <xdr:cNvCxnSpPr/>
      </xdr:nvCxnSpPr>
      <xdr:spPr>
        <a:xfrm>
          <a:off x="13185630" y="649323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451521</xdr:colOff>
      <xdr:row>26</xdr:row>
      <xdr:rowOff>44877</xdr:rowOff>
    </xdr:from>
    <xdr:to>
      <xdr:col>10</xdr:col>
      <xdr:colOff>1033907</xdr:colOff>
      <xdr:row>26</xdr:row>
      <xdr:rowOff>137406</xdr:rowOff>
    </xdr:to>
    <xdr:cxnSp macro="">
      <xdr:nvCxnSpPr>
        <xdr:cNvPr id="12" name="Straight Connector 11"/>
        <xdr:cNvCxnSpPr/>
      </xdr:nvCxnSpPr>
      <xdr:spPr>
        <a:xfrm>
          <a:off x="12548271" y="518105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468923</xdr:colOff>
      <xdr:row>27</xdr:row>
      <xdr:rowOff>44878</xdr:rowOff>
    </xdr:from>
    <xdr:to>
      <xdr:col>11</xdr:col>
      <xdr:colOff>10886</xdr:colOff>
      <xdr:row>27</xdr:row>
      <xdr:rowOff>137407</xdr:rowOff>
    </xdr:to>
    <xdr:cxnSp macro="">
      <xdr:nvCxnSpPr>
        <xdr:cNvPr id="13" name="Straight Connector 12"/>
        <xdr:cNvCxnSpPr/>
      </xdr:nvCxnSpPr>
      <xdr:spPr>
        <a:xfrm>
          <a:off x="12565673" y="537155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459764</xdr:colOff>
      <xdr:row>30</xdr:row>
      <xdr:rowOff>52204</xdr:rowOff>
    </xdr:from>
    <xdr:to>
      <xdr:col>11</xdr:col>
      <xdr:colOff>1727</xdr:colOff>
      <xdr:row>30</xdr:row>
      <xdr:rowOff>144733</xdr:rowOff>
    </xdr:to>
    <xdr:cxnSp macro="">
      <xdr:nvCxnSpPr>
        <xdr:cNvPr id="14" name="Straight Connector 13"/>
        <xdr:cNvCxnSpPr/>
      </xdr:nvCxnSpPr>
      <xdr:spPr>
        <a:xfrm>
          <a:off x="12556514" y="595770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461596</xdr:colOff>
      <xdr:row>31</xdr:row>
      <xdr:rowOff>46709</xdr:rowOff>
    </xdr:from>
    <xdr:to>
      <xdr:col>11</xdr:col>
      <xdr:colOff>3559</xdr:colOff>
      <xdr:row>31</xdr:row>
      <xdr:rowOff>139238</xdr:rowOff>
    </xdr:to>
    <xdr:cxnSp macro="">
      <xdr:nvCxnSpPr>
        <xdr:cNvPr id="15" name="Straight Connector 14"/>
        <xdr:cNvCxnSpPr/>
      </xdr:nvCxnSpPr>
      <xdr:spPr>
        <a:xfrm>
          <a:off x="12558346" y="615003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464343</xdr:colOff>
      <xdr:row>25</xdr:row>
      <xdr:rowOff>97081</xdr:rowOff>
    </xdr:from>
    <xdr:to>
      <xdr:col>10</xdr:col>
      <xdr:colOff>1035843</xdr:colOff>
      <xdr:row>25</xdr:row>
      <xdr:rowOff>97081</xdr:rowOff>
    </xdr:to>
    <xdr:cxnSp macro="">
      <xdr:nvCxnSpPr>
        <xdr:cNvPr id="16" name="Straight Connector 15"/>
        <xdr:cNvCxnSpPr/>
      </xdr:nvCxnSpPr>
      <xdr:spPr>
        <a:xfrm>
          <a:off x="12561093" y="504275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446026</xdr:colOff>
      <xdr:row>24</xdr:row>
      <xdr:rowOff>54952</xdr:rowOff>
    </xdr:from>
    <xdr:to>
      <xdr:col>11</xdr:col>
      <xdr:colOff>915</xdr:colOff>
      <xdr:row>24</xdr:row>
      <xdr:rowOff>162109</xdr:rowOff>
    </xdr:to>
    <xdr:cxnSp macro="">
      <xdr:nvCxnSpPr>
        <xdr:cNvPr id="17" name="Straight Connector 16"/>
        <xdr:cNvCxnSpPr/>
      </xdr:nvCxnSpPr>
      <xdr:spPr>
        <a:xfrm flipV="1">
          <a:off x="12542776" y="480279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466175</xdr:colOff>
      <xdr:row>32</xdr:row>
      <xdr:rowOff>97081</xdr:rowOff>
    </xdr:from>
    <xdr:to>
      <xdr:col>10</xdr:col>
      <xdr:colOff>1037675</xdr:colOff>
      <xdr:row>32</xdr:row>
      <xdr:rowOff>97081</xdr:rowOff>
    </xdr:to>
    <xdr:cxnSp macro="">
      <xdr:nvCxnSpPr>
        <xdr:cNvPr id="18" name="Straight Connector 17"/>
        <xdr:cNvCxnSpPr/>
      </xdr:nvCxnSpPr>
      <xdr:spPr>
        <a:xfrm>
          <a:off x="12562925" y="639090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445111</xdr:colOff>
      <xdr:row>33</xdr:row>
      <xdr:rowOff>25644</xdr:rowOff>
    </xdr:from>
    <xdr:to>
      <xdr:col>11</xdr:col>
      <xdr:colOff>0</xdr:colOff>
      <xdr:row>33</xdr:row>
      <xdr:rowOff>132801</xdr:rowOff>
    </xdr:to>
    <xdr:cxnSp macro="">
      <xdr:nvCxnSpPr>
        <xdr:cNvPr id="19" name="Straight Connector 18"/>
        <xdr:cNvCxnSpPr/>
      </xdr:nvCxnSpPr>
      <xdr:spPr>
        <a:xfrm flipV="1">
          <a:off x="12541861" y="650997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400232</xdr:colOff>
      <xdr:row>27</xdr:row>
      <xdr:rowOff>59531</xdr:rowOff>
    </xdr:from>
    <xdr:to>
      <xdr:col>4</xdr:col>
      <xdr:colOff>810</xdr:colOff>
      <xdr:row>27</xdr:row>
      <xdr:rowOff>152060</xdr:rowOff>
    </xdr:to>
    <xdr:cxnSp macro="">
      <xdr:nvCxnSpPr>
        <xdr:cNvPr id="26" name="Straight Connector 25"/>
        <xdr:cNvCxnSpPr/>
      </xdr:nvCxnSpPr>
      <xdr:spPr>
        <a:xfrm>
          <a:off x="4503309" y="538620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400233</xdr:colOff>
      <xdr:row>28</xdr:row>
      <xdr:rowOff>44877</xdr:rowOff>
    </xdr:from>
    <xdr:to>
      <xdr:col>4</xdr:col>
      <xdr:colOff>811</xdr:colOff>
      <xdr:row>28</xdr:row>
      <xdr:rowOff>137406</xdr:rowOff>
    </xdr:to>
    <xdr:cxnSp macro="">
      <xdr:nvCxnSpPr>
        <xdr:cNvPr id="27" name="Straight Connector 26"/>
        <xdr:cNvCxnSpPr/>
      </xdr:nvCxnSpPr>
      <xdr:spPr>
        <a:xfrm>
          <a:off x="4503310" y="556205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392906</xdr:colOff>
      <xdr:row>31</xdr:row>
      <xdr:rowOff>59531</xdr:rowOff>
    </xdr:from>
    <xdr:to>
      <xdr:col>3</xdr:col>
      <xdr:colOff>975292</xdr:colOff>
      <xdr:row>31</xdr:row>
      <xdr:rowOff>152060</xdr:rowOff>
    </xdr:to>
    <xdr:cxnSp macro="">
      <xdr:nvCxnSpPr>
        <xdr:cNvPr id="28" name="Straight Connector 27"/>
        <xdr:cNvCxnSpPr/>
      </xdr:nvCxnSpPr>
      <xdr:spPr>
        <a:xfrm>
          <a:off x="4495983" y="616285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392906</xdr:colOff>
      <xdr:row>32</xdr:row>
      <xdr:rowOff>59531</xdr:rowOff>
    </xdr:from>
    <xdr:to>
      <xdr:col>3</xdr:col>
      <xdr:colOff>975292</xdr:colOff>
      <xdr:row>32</xdr:row>
      <xdr:rowOff>152060</xdr:rowOff>
    </xdr:to>
    <xdr:cxnSp macro="">
      <xdr:nvCxnSpPr>
        <xdr:cNvPr id="29" name="Straight Connector 28"/>
        <xdr:cNvCxnSpPr/>
      </xdr:nvCxnSpPr>
      <xdr:spPr>
        <a:xfrm>
          <a:off x="4495983" y="635335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468923</xdr:colOff>
      <xdr:row>37</xdr:row>
      <xdr:rowOff>68690</xdr:rowOff>
    </xdr:from>
    <xdr:to>
      <xdr:col>11</xdr:col>
      <xdr:colOff>10886</xdr:colOff>
      <xdr:row>37</xdr:row>
      <xdr:rowOff>161219</xdr:rowOff>
    </xdr:to>
    <xdr:cxnSp macro="">
      <xdr:nvCxnSpPr>
        <xdr:cNvPr id="30" name="Straight Connector 29"/>
        <xdr:cNvCxnSpPr/>
      </xdr:nvCxnSpPr>
      <xdr:spPr>
        <a:xfrm>
          <a:off x="12565673" y="731501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454269</xdr:colOff>
      <xdr:row>38</xdr:row>
      <xdr:rowOff>54037</xdr:rowOff>
    </xdr:from>
    <xdr:to>
      <xdr:col>10</xdr:col>
      <xdr:colOff>1036655</xdr:colOff>
      <xdr:row>38</xdr:row>
      <xdr:rowOff>146566</xdr:rowOff>
    </xdr:to>
    <xdr:cxnSp macro="">
      <xdr:nvCxnSpPr>
        <xdr:cNvPr id="31" name="Straight Connector 30"/>
        <xdr:cNvCxnSpPr/>
      </xdr:nvCxnSpPr>
      <xdr:spPr>
        <a:xfrm>
          <a:off x="12551019" y="749086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413054</xdr:colOff>
      <xdr:row>26</xdr:row>
      <xdr:rowOff>97081</xdr:rowOff>
    </xdr:from>
    <xdr:to>
      <xdr:col>4</xdr:col>
      <xdr:colOff>2746</xdr:colOff>
      <xdr:row>26</xdr:row>
      <xdr:rowOff>97081</xdr:rowOff>
    </xdr:to>
    <xdr:cxnSp macro="">
      <xdr:nvCxnSpPr>
        <xdr:cNvPr id="32" name="Straight Connector 31"/>
        <xdr:cNvCxnSpPr/>
      </xdr:nvCxnSpPr>
      <xdr:spPr>
        <a:xfrm>
          <a:off x="4516131" y="523325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387411</xdr:colOff>
      <xdr:row>25</xdr:row>
      <xdr:rowOff>47625</xdr:rowOff>
    </xdr:from>
    <xdr:to>
      <xdr:col>4</xdr:col>
      <xdr:colOff>915</xdr:colOff>
      <xdr:row>25</xdr:row>
      <xdr:rowOff>154782</xdr:rowOff>
    </xdr:to>
    <xdr:cxnSp macro="">
      <xdr:nvCxnSpPr>
        <xdr:cNvPr id="33" name="Straight Connector 32"/>
        <xdr:cNvCxnSpPr/>
      </xdr:nvCxnSpPr>
      <xdr:spPr>
        <a:xfrm flipV="1">
          <a:off x="4490488" y="499329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461597</xdr:colOff>
      <xdr:row>40</xdr:row>
      <xdr:rowOff>61363</xdr:rowOff>
    </xdr:from>
    <xdr:to>
      <xdr:col>11</xdr:col>
      <xdr:colOff>3560</xdr:colOff>
      <xdr:row>40</xdr:row>
      <xdr:rowOff>153892</xdr:rowOff>
    </xdr:to>
    <xdr:cxnSp macro="">
      <xdr:nvCxnSpPr>
        <xdr:cNvPr id="24" name="Straight Connector 23"/>
        <xdr:cNvCxnSpPr/>
      </xdr:nvCxnSpPr>
      <xdr:spPr>
        <a:xfrm>
          <a:off x="12558347" y="787919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413054</xdr:colOff>
      <xdr:row>33</xdr:row>
      <xdr:rowOff>97081</xdr:rowOff>
    </xdr:from>
    <xdr:to>
      <xdr:col>4</xdr:col>
      <xdr:colOff>2746</xdr:colOff>
      <xdr:row>33</xdr:row>
      <xdr:rowOff>97081</xdr:rowOff>
    </xdr:to>
    <xdr:cxnSp macro="">
      <xdr:nvCxnSpPr>
        <xdr:cNvPr id="25" name="Straight Connector 24"/>
        <xdr:cNvCxnSpPr/>
      </xdr:nvCxnSpPr>
      <xdr:spPr>
        <a:xfrm>
          <a:off x="4516131" y="523325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387411</xdr:colOff>
      <xdr:row>34</xdr:row>
      <xdr:rowOff>47625</xdr:rowOff>
    </xdr:from>
    <xdr:to>
      <xdr:col>4</xdr:col>
      <xdr:colOff>915</xdr:colOff>
      <xdr:row>34</xdr:row>
      <xdr:rowOff>154782</xdr:rowOff>
    </xdr:to>
    <xdr:cxnSp macro="">
      <xdr:nvCxnSpPr>
        <xdr:cNvPr id="34" name="Straight Connector 33"/>
        <xdr:cNvCxnSpPr/>
      </xdr:nvCxnSpPr>
      <xdr:spPr>
        <a:xfrm flipV="1">
          <a:off x="4490488" y="499329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8150</xdr:colOff>
      <xdr:row>25</xdr:row>
      <xdr:rowOff>46392</xdr:rowOff>
    </xdr:from>
    <xdr:to>
      <xdr:col>4</xdr:col>
      <xdr:colOff>590536</xdr:colOff>
      <xdr:row>25</xdr:row>
      <xdr:rowOff>138921</xdr:rowOff>
    </xdr:to>
    <xdr:cxnSp macro="">
      <xdr:nvCxnSpPr>
        <xdr:cNvPr id="17" name="Straight Connector 16"/>
        <xdr:cNvCxnSpPr/>
      </xdr:nvCxnSpPr>
      <xdr:spPr>
        <a:xfrm>
          <a:off x="4343667" y="494027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4516</xdr:colOff>
      <xdr:row>26</xdr:row>
      <xdr:rowOff>105924</xdr:rowOff>
    </xdr:from>
    <xdr:to>
      <xdr:col>4</xdr:col>
      <xdr:colOff>576016</xdr:colOff>
      <xdr:row>26</xdr:row>
      <xdr:rowOff>105924</xdr:rowOff>
    </xdr:to>
    <xdr:cxnSp macro="">
      <xdr:nvCxnSpPr>
        <xdr:cNvPr id="22" name="Straight Connector 21"/>
        <xdr:cNvCxnSpPr/>
      </xdr:nvCxnSpPr>
      <xdr:spPr>
        <a:xfrm>
          <a:off x="4340033" y="51903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9444</xdr:colOff>
      <xdr:row>27</xdr:row>
      <xdr:rowOff>41056</xdr:rowOff>
    </xdr:from>
    <xdr:to>
      <xdr:col>4</xdr:col>
      <xdr:colOff>604756</xdr:colOff>
      <xdr:row>27</xdr:row>
      <xdr:rowOff>148213</xdr:rowOff>
    </xdr:to>
    <xdr:cxnSp macro="">
      <xdr:nvCxnSpPr>
        <xdr:cNvPr id="23" name="Straight Connector 22"/>
        <xdr:cNvCxnSpPr/>
      </xdr:nvCxnSpPr>
      <xdr:spPr>
        <a:xfrm flipV="1">
          <a:off x="4344961" y="531593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2874</xdr:colOff>
      <xdr:row>28</xdr:row>
      <xdr:rowOff>41056</xdr:rowOff>
    </xdr:from>
    <xdr:to>
      <xdr:col>4</xdr:col>
      <xdr:colOff>598186</xdr:colOff>
      <xdr:row>28</xdr:row>
      <xdr:rowOff>148213</xdr:rowOff>
    </xdr:to>
    <xdr:cxnSp macro="">
      <xdr:nvCxnSpPr>
        <xdr:cNvPr id="24" name="Straight Connector 23"/>
        <xdr:cNvCxnSpPr/>
      </xdr:nvCxnSpPr>
      <xdr:spPr>
        <a:xfrm flipV="1">
          <a:off x="4338391" y="550643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9443</xdr:colOff>
      <xdr:row>31</xdr:row>
      <xdr:rowOff>47625</xdr:rowOff>
    </xdr:from>
    <xdr:to>
      <xdr:col>4</xdr:col>
      <xdr:colOff>604755</xdr:colOff>
      <xdr:row>31</xdr:row>
      <xdr:rowOff>154782</xdr:rowOff>
    </xdr:to>
    <xdr:cxnSp macro="">
      <xdr:nvCxnSpPr>
        <xdr:cNvPr id="25" name="Straight Connector 24"/>
        <xdr:cNvCxnSpPr/>
      </xdr:nvCxnSpPr>
      <xdr:spPr>
        <a:xfrm flipV="1">
          <a:off x="4344960" y="6091073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2874</xdr:colOff>
      <xdr:row>32</xdr:row>
      <xdr:rowOff>47625</xdr:rowOff>
    </xdr:from>
    <xdr:to>
      <xdr:col>4</xdr:col>
      <xdr:colOff>598186</xdr:colOff>
      <xdr:row>32</xdr:row>
      <xdr:rowOff>154782</xdr:rowOff>
    </xdr:to>
    <xdr:cxnSp macro="">
      <xdr:nvCxnSpPr>
        <xdr:cNvPr id="26" name="Straight Connector 25"/>
        <xdr:cNvCxnSpPr/>
      </xdr:nvCxnSpPr>
      <xdr:spPr>
        <a:xfrm flipV="1">
          <a:off x="4338391" y="6281573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11085</xdr:colOff>
      <xdr:row>33</xdr:row>
      <xdr:rowOff>99355</xdr:rowOff>
    </xdr:from>
    <xdr:to>
      <xdr:col>4</xdr:col>
      <xdr:colOff>582585</xdr:colOff>
      <xdr:row>33</xdr:row>
      <xdr:rowOff>99355</xdr:rowOff>
    </xdr:to>
    <xdr:cxnSp macro="">
      <xdr:nvCxnSpPr>
        <xdr:cNvPr id="27" name="Straight Connector 26"/>
        <xdr:cNvCxnSpPr/>
      </xdr:nvCxnSpPr>
      <xdr:spPr>
        <a:xfrm>
          <a:off x="4346602" y="65238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8150</xdr:colOff>
      <xdr:row>34</xdr:row>
      <xdr:rowOff>46392</xdr:rowOff>
    </xdr:from>
    <xdr:to>
      <xdr:col>4</xdr:col>
      <xdr:colOff>590536</xdr:colOff>
      <xdr:row>34</xdr:row>
      <xdr:rowOff>138921</xdr:rowOff>
    </xdr:to>
    <xdr:cxnSp macro="">
      <xdr:nvCxnSpPr>
        <xdr:cNvPr id="28" name="Straight Connector 27"/>
        <xdr:cNvCxnSpPr/>
      </xdr:nvCxnSpPr>
      <xdr:spPr>
        <a:xfrm>
          <a:off x="4343667" y="666134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1581</xdr:colOff>
      <xdr:row>25</xdr:row>
      <xdr:rowOff>52961</xdr:rowOff>
    </xdr:from>
    <xdr:to>
      <xdr:col>12</xdr:col>
      <xdr:colOff>583967</xdr:colOff>
      <xdr:row>25</xdr:row>
      <xdr:rowOff>145490</xdr:rowOff>
    </xdr:to>
    <xdr:cxnSp macro="">
      <xdr:nvCxnSpPr>
        <xdr:cNvPr id="33" name="Straight Connector 32"/>
        <xdr:cNvCxnSpPr/>
      </xdr:nvCxnSpPr>
      <xdr:spPr>
        <a:xfrm>
          <a:off x="12397219" y="494684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11084</xdr:colOff>
      <xdr:row>26</xdr:row>
      <xdr:rowOff>99355</xdr:rowOff>
    </xdr:from>
    <xdr:to>
      <xdr:col>12</xdr:col>
      <xdr:colOff>582584</xdr:colOff>
      <xdr:row>26</xdr:row>
      <xdr:rowOff>99355</xdr:rowOff>
    </xdr:to>
    <xdr:cxnSp macro="">
      <xdr:nvCxnSpPr>
        <xdr:cNvPr id="34" name="Straight Connector 33"/>
        <xdr:cNvCxnSpPr/>
      </xdr:nvCxnSpPr>
      <xdr:spPr>
        <a:xfrm>
          <a:off x="12406722" y="518373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9443</xdr:colOff>
      <xdr:row>27</xdr:row>
      <xdr:rowOff>41056</xdr:rowOff>
    </xdr:from>
    <xdr:to>
      <xdr:col>12</xdr:col>
      <xdr:colOff>604755</xdr:colOff>
      <xdr:row>27</xdr:row>
      <xdr:rowOff>148213</xdr:rowOff>
    </xdr:to>
    <xdr:cxnSp macro="">
      <xdr:nvCxnSpPr>
        <xdr:cNvPr id="35" name="Straight Connector 34"/>
        <xdr:cNvCxnSpPr/>
      </xdr:nvCxnSpPr>
      <xdr:spPr>
        <a:xfrm flipV="1">
          <a:off x="12405081" y="531593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9443</xdr:colOff>
      <xdr:row>28</xdr:row>
      <xdr:rowOff>21349</xdr:rowOff>
    </xdr:from>
    <xdr:to>
      <xdr:col>12</xdr:col>
      <xdr:colOff>604755</xdr:colOff>
      <xdr:row>28</xdr:row>
      <xdr:rowOff>128506</xdr:rowOff>
    </xdr:to>
    <xdr:cxnSp macro="">
      <xdr:nvCxnSpPr>
        <xdr:cNvPr id="36" name="Straight Connector 35"/>
        <xdr:cNvCxnSpPr/>
      </xdr:nvCxnSpPr>
      <xdr:spPr>
        <a:xfrm flipV="1">
          <a:off x="12405081" y="548672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9443</xdr:colOff>
      <xdr:row>31</xdr:row>
      <xdr:rowOff>21349</xdr:rowOff>
    </xdr:from>
    <xdr:to>
      <xdr:col>12</xdr:col>
      <xdr:colOff>604755</xdr:colOff>
      <xdr:row>31</xdr:row>
      <xdr:rowOff>128506</xdr:rowOff>
    </xdr:to>
    <xdr:cxnSp macro="">
      <xdr:nvCxnSpPr>
        <xdr:cNvPr id="37" name="Straight Connector 36"/>
        <xdr:cNvCxnSpPr/>
      </xdr:nvCxnSpPr>
      <xdr:spPr>
        <a:xfrm flipV="1">
          <a:off x="12405081" y="606479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2875</xdr:colOff>
      <xdr:row>32</xdr:row>
      <xdr:rowOff>34487</xdr:rowOff>
    </xdr:from>
    <xdr:to>
      <xdr:col>12</xdr:col>
      <xdr:colOff>598187</xdr:colOff>
      <xdr:row>32</xdr:row>
      <xdr:rowOff>141644</xdr:rowOff>
    </xdr:to>
    <xdr:cxnSp macro="">
      <xdr:nvCxnSpPr>
        <xdr:cNvPr id="38" name="Straight Connector 37"/>
        <xdr:cNvCxnSpPr/>
      </xdr:nvCxnSpPr>
      <xdr:spPr>
        <a:xfrm flipV="1">
          <a:off x="12398513" y="626843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4516</xdr:colOff>
      <xdr:row>33</xdr:row>
      <xdr:rowOff>99355</xdr:rowOff>
    </xdr:from>
    <xdr:to>
      <xdr:col>12</xdr:col>
      <xdr:colOff>576016</xdr:colOff>
      <xdr:row>33</xdr:row>
      <xdr:rowOff>99355</xdr:rowOff>
    </xdr:to>
    <xdr:cxnSp macro="">
      <xdr:nvCxnSpPr>
        <xdr:cNvPr id="39" name="Straight Connector 38"/>
        <xdr:cNvCxnSpPr/>
      </xdr:nvCxnSpPr>
      <xdr:spPr>
        <a:xfrm>
          <a:off x="12400154" y="65238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8151</xdr:colOff>
      <xdr:row>34</xdr:row>
      <xdr:rowOff>39823</xdr:rowOff>
    </xdr:from>
    <xdr:to>
      <xdr:col>12</xdr:col>
      <xdr:colOff>590537</xdr:colOff>
      <xdr:row>34</xdr:row>
      <xdr:rowOff>132352</xdr:rowOff>
    </xdr:to>
    <xdr:cxnSp macro="">
      <xdr:nvCxnSpPr>
        <xdr:cNvPr id="40" name="Straight Connector 39"/>
        <xdr:cNvCxnSpPr/>
      </xdr:nvCxnSpPr>
      <xdr:spPr>
        <a:xfrm>
          <a:off x="12403789" y="665477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457774</xdr:colOff>
      <xdr:row>26</xdr:row>
      <xdr:rowOff>92786</xdr:rowOff>
    </xdr:from>
    <xdr:to>
      <xdr:col>17</xdr:col>
      <xdr:colOff>1029274</xdr:colOff>
      <xdr:row>26</xdr:row>
      <xdr:rowOff>92786</xdr:rowOff>
    </xdr:to>
    <xdr:cxnSp macro="">
      <xdr:nvCxnSpPr>
        <xdr:cNvPr id="11" name="Straight Connector 10"/>
        <xdr:cNvCxnSpPr/>
      </xdr:nvCxnSpPr>
      <xdr:spPr>
        <a:xfrm>
          <a:off x="20440567" y="5177165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470912</xdr:colOff>
      <xdr:row>33</xdr:row>
      <xdr:rowOff>92786</xdr:rowOff>
    </xdr:from>
    <xdr:to>
      <xdr:col>18</xdr:col>
      <xdr:colOff>4515</xdr:colOff>
      <xdr:row>33</xdr:row>
      <xdr:rowOff>92786</xdr:rowOff>
    </xdr:to>
    <xdr:cxnSp macro="">
      <xdr:nvCxnSpPr>
        <xdr:cNvPr id="16" name="Straight Connector 15"/>
        <xdr:cNvCxnSpPr/>
      </xdr:nvCxnSpPr>
      <xdr:spPr>
        <a:xfrm>
          <a:off x="20453705" y="651723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454840</xdr:colOff>
      <xdr:row>27</xdr:row>
      <xdr:rowOff>52961</xdr:rowOff>
    </xdr:from>
    <xdr:to>
      <xdr:col>17</xdr:col>
      <xdr:colOff>1037226</xdr:colOff>
      <xdr:row>27</xdr:row>
      <xdr:rowOff>145490</xdr:rowOff>
    </xdr:to>
    <xdr:cxnSp macro="">
      <xdr:nvCxnSpPr>
        <xdr:cNvPr id="26" name="Straight Connector 25"/>
        <xdr:cNvCxnSpPr/>
      </xdr:nvCxnSpPr>
      <xdr:spPr>
        <a:xfrm>
          <a:off x="20437633" y="532784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448271</xdr:colOff>
      <xdr:row>28</xdr:row>
      <xdr:rowOff>59530</xdr:rowOff>
    </xdr:from>
    <xdr:to>
      <xdr:col>17</xdr:col>
      <xdr:colOff>1030657</xdr:colOff>
      <xdr:row>28</xdr:row>
      <xdr:rowOff>152059</xdr:rowOff>
    </xdr:to>
    <xdr:cxnSp macro="">
      <xdr:nvCxnSpPr>
        <xdr:cNvPr id="27" name="Straight Connector 26"/>
        <xdr:cNvCxnSpPr/>
      </xdr:nvCxnSpPr>
      <xdr:spPr>
        <a:xfrm>
          <a:off x="20431064" y="552490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429857</xdr:colOff>
      <xdr:row>25</xdr:row>
      <xdr:rowOff>27918</xdr:rowOff>
    </xdr:from>
    <xdr:to>
      <xdr:col>17</xdr:col>
      <xdr:colOff>1025169</xdr:colOff>
      <xdr:row>25</xdr:row>
      <xdr:rowOff>135075</xdr:rowOff>
    </xdr:to>
    <xdr:cxnSp macro="">
      <xdr:nvCxnSpPr>
        <xdr:cNvPr id="28" name="Straight Connector 27"/>
        <xdr:cNvCxnSpPr/>
      </xdr:nvCxnSpPr>
      <xdr:spPr>
        <a:xfrm flipV="1">
          <a:off x="20412650" y="492179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461409</xdr:colOff>
      <xdr:row>31</xdr:row>
      <xdr:rowOff>59530</xdr:rowOff>
    </xdr:from>
    <xdr:to>
      <xdr:col>18</xdr:col>
      <xdr:colOff>5898</xdr:colOff>
      <xdr:row>31</xdr:row>
      <xdr:rowOff>152059</xdr:rowOff>
    </xdr:to>
    <xdr:cxnSp macro="">
      <xdr:nvCxnSpPr>
        <xdr:cNvPr id="29" name="Straight Connector 28"/>
        <xdr:cNvCxnSpPr/>
      </xdr:nvCxnSpPr>
      <xdr:spPr>
        <a:xfrm>
          <a:off x="20444202" y="610297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461409</xdr:colOff>
      <xdr:row>32</xdr:row>
      <xdr:rowOff>59530</xdr:rowOff>
    </xdr:from>
    <xdr:to>
      <xdr:col>18</xdr:col>
      <xdr:colOff>5898</xdr:colOff>
      <xdr:row>32</xdr:row>
      <xdr:rowOff>152059</xdr:rowOff>
    </xdr:to>
    <xdr:cxnSp macro="">
      <xdr:nvCxnSpPr>
        <xdr:cNvPr id="30" name="Straight Connector 29"/>
        <xdr:cNvCxnSpPr/>
      </xdr:nvCxnSpPr>
      <xdr:spPr>
        <a:xfrm>
          <a:off x="20444202" y="629347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442995</xdr:colOff>
      <xdr:row>34</xdr:row>
      <xdr:rowOff>47625</xdr:rowOff>
    </xdr:from>
    <xdr:to>
      <xdr:col>18</xdr:col>
      <xdr:colOff>410</xdr:colOff>
      <xdr:row>34</xdr:row>
      <xdr:rowOff>154782</xdr:rowOff>
    </xdr:to>
    <xdr:cxnSp macro="">
      <xdr:nvCxnSpPr>
        <xdr:cNvPr id="31" name="Straight Connector 30"/>
        <xdr:cNvCxnSpPr/>
      </xdr:nvCxnSpPr>
      <xdr:spPr>
        <a:xfrm flipV="1">
          <a:off x="20425788" y="6662573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396308</xdr:colOff>
      <xdr:row>26</xdr:row>
      <xdr:rowOff>105455</xdr:rowOff>
    </xdr:from>
    <xdr:to>
      <xdr:col>10</xdr:col>
      <xdr:colOff>967808</xdr:colOff>
      <xdr:row>26</xdr:row>
      <xdr:rowOff>105455</xdr:rowOff>
    </xdr:to>
    <xdr:cxnSp macro="">
      <xdr:nvCxnSpPr>
        <xdr:cNvPr id="32" name="Straight Connector 31"/>
        <xdr:cNvCxnSpPr/>
      </xdr:nvCxnSpPr>
      <xdr:spPr>
        <a:xfrm>
          <a:off x="12377397" y="519452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409914</xdr:colOff>
      <xdr:row>33</xdr:row>
      <xdr:rowOff>105454</xdr:rowOff>
    </xdr:from>
    <xdr:to>
      <xdr:col>11</xdr:col>
      <xdr:colOff>1699</xdr:colOff>
      <xdr:row>33</xdr:row>
      <xdr:rowOff>105454</xdr:rowOff>
    </xdr:to>
    <xdr:cxnSp macro="">
      <xdr:nvCxnSpPr>
        <xdr:cNvPr id="33" name="Straight Connector 32"/>
        <xdr:cNvCxnSpPr/>
      </xdr:nvCxnSpPr>
      <xdr:spPr>
        <a:xfrm>
          <a:off x="12391003" y="6534829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399707</xdr:colOff>
      <xdr:row>27</xdr:row>
      <xdr:rowOff>52726</xdr:rowOff>
    </xdr:from>
    <xdr:to>
      <xdr:col>11</xdr:col>
      <xdr:colOff>2378</xdr:colOff>
      <xdr:row>27</xdr:row>
      <xdr:rowOff>145255</xdr:rowOff>
    </xdr:to>
    <xdr:cxnSp macro="">
      <xdr:nvCxnSpPr>
        <xdr:cNvPr id="34" name="Straight Connector 33"/>
        <xdr:cNvCxnSpPr/>
      </xdr:nvCxnSpPr>
      <xdr:spPr>
        <a:xfrm>
          <a:off x="12380796" y="533229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392904</xdr:colOff>
      <xdr:row>28</xdr:row>
      <xdr:rowOff>52727</xdr:rowOff>
    </xdr:from>
    <xdr:to>
      <xdr:col>10</xdr:col>
      <xdr:colOff>975290</xdr:colOff>
      <xdr:row>28</xdr:row>
      <xdr:rowOff>145256</xdr:rowOff>
    </xdr:to>
    <xdr:cxnSp macro="">
      <xdr:nvCxnSpPr>
        <xdr:cNvPr id="35" name="Straight Connector 34"/>
        <xdr:cNvCxnSpPr/>
      </xdr:nvCxnSpPr>
      <xdr:spPr>
        <a:xfrm>
          <a:off x="12373993" y="552279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375897</xdr:colOff>
      <xdr:row>25</xdr:row>
      <xdr:rowOff>47625</xdr:rowOff>
    </xdr:from>
    <xdr:to>
      <xdr:col>10</xdr:col>
      <xdr:colOff>971209</xdr:colOff>
      <xdr:row>25</xdr:row>
      <xdr:rowOff>154782</xdr:rowOff>
    </xdr:to>
    <xdr:cxnSp macro="">
      <xdr:nvCxnSpPr>
        <xdr:cNvPr id="36" name="Straight Connector 35"/>
        <xdr:cNvCxnSpPr/>
      </xdr:nvCxnSpPr>
      <xdr:spPr>
        <a:xfrm flipV="1">
          <a:off x="12356986" y="494619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399707</xdr:colOff>
      <xdr:row>31</xdr:row>
      <xdr:rowOff>66334</xdr:rowOff>
    </xdr:from>
    <xdr:to>
      <xdr:col>11</xdr:col>
      <xdr:colOff>2378</xdr:colOff>
      <xdr:row>31</xdr:row>
      <xdr:rowOff>158863</xdr:rowOff>
    </xdr:to>
    <xdr:cxnSp macro="">
      <xdr:nvCxnSpPr>
        <xdr:cNvPr id="37" name="Straight Connector 36"/>
        <xdr:cNvCxnSpPr/>
      </xdr:nvCxnSpPr>
      <xdr:spPr>
        <a:xfrm>
          <a:off x="12380796" y="611470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406511</xdr:colOff>
      <xdr:row>32</xdr:row>
      <xdr:rowOff>73137</xdr:rowOff>
    </xdr:from>
    <xdr:to>
      <xdr:col>11</xdr:col>
      <xdr:colOff>9182</xdr:colOff>
      <xdr:row>32</xdr:row>
      <xdr:rowOff>165666</xdr:rowOff>
    </xdr:to>
    <xdr:cxnSp macro="">
      <xdr:nvCxnSpPr>
        <xdr:cNvPr id="38" name="Straight Connector 37"/>
        <xdr:cNvCxnSpPr/>
      </xdr:nvCxnSpPr>
      <xdr:spPr>
        <a:xfrm>
          <a:off x="12387600" y="631201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382701</xdr:colOff>
      <xdr:row>34</xdr:row>
      <xdr:rowOff>40822</xdr:rowOff>
    </xdr:from>
    <xdr:to>
      <xdr:col>10</xdr:col>
      <xdr:colOff>978013</xdr:colOff>
      <xdr:row>34</xdr:row>
      <xdr:rowOff>147979</xdr:rowOff>
    </xdr:to>
    <xdr:cxnSp macro="">
      <xdr:nvCxnSpPr>
        <xdr:cNvPr id="39" name="Straight Connector 38"/>
        <xdr:cNvCxnSpPr/>
      </xdr:nvCxnSpPr>
      <xdr:spPr>
        <a:xfrm flipV="1">
          <a:off x="12363790" y="666069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398083</xdr:colOff>
      <xdr:row>26</xdr:row>
      <xdr:rowOff>102497</xdr:rowOff>
    </xdr:from>
    <xdr:to>
      <xdr:col>3</xdr:col>
      <xdr:colOff>969583</xdr:colOff>
      <xdr:row>26</xdr:row>
      <xdr:rowOff>102497</xdr:rowOff>
    </xdr:to>
    <xdr:cxnSp macro="">
      <xdr:nvCxnSpPr>
        <xdr:cNvPr id="18" name="Straight Connector 17"/>
        <xdr:cNvCxnSpPr/>
      </xdr:nvCxnSpPr>
      <xdr:spPr>
        <a:xfrm>
          <a:off x="4506257" y="519630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398082</xdr:colOff>
      <xdr:row>33</xdr:row>
      <xdr:rowOff>94214</xdr:rowOff>
    </xdr:from>
    <xdr:to>
      <xdr:col>3</xdr:col>
      <xdr:colOff>969582</xdr:colOff>
      <xdr:row>33</xdr:row>
      <xdr:rowOff>94214</xdr:rowOff>
    </xdr:to>
    <xdr:cxnSp macro="">
      <xdr:nvCxnSpPr>
        <xdr:cNvPr id="19" name="Straight Connector 18"/>
        <xdr:cNvCxnSpPr/>
      </xdr:nvCxnSpPr>
      <xdr:spPr>
        <a:xfrm>
          <a:off x="4506256" y="652980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383588</xdr:colOff>
      <xdr:row>32</xdr:row>
      <xdr:rowOff>31060</xdr:rowOff>
    </xdr:from>
    <xdr:to>
      <xdr:col>4</xdr:col>
      <xdr:colOff>1552</xdr:colOff>
      <xdr:row>32</xdr:row>
      <xdr:rowOff>138217</xdr:rowOff>
    </xdr:to>
    <xdr:cxnSp macro="">
      <xdr:nvCxnSpPr>
        <xdr:cNvPr id="40" name="Straight Connector 39"/>
        <xdr:cNvCxnSpPr/>
      </xdr:nvCxnSpPr>
      <xdr:spPr>
        <a:xfrm flipV="1">
          <a:off x="4491762" y="627614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383588</xdr:colOff>
      <xdr:row>31</xdr:row>
      <xdr:rowOff>22777</xdr:rowOff>
    </xdr:from>
    <xdr:to>
      <xdr:col>4</xdr:col>
      <xdr:colOff>1552</xdr:colOff>
      <xdr:row>31</xdr:row>
      <xdr:rowOff>129934</xdr:rowOff>
    </xdr:to>
    <xdr:cxnSp macro="">
      <xdr:nvCxnSpPr>
        <xdr:cNvPr id="41" name="Straight Connector 40"/>
        <xdr:cNvCxnSpPr/>
      </xdr:nvCxnSpPr>
      <xdr:spPr>
        <a:xfrm flipV="1">
          <a:off x="4491762" y="607736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391721</xdr:colOff>
      <xdr:row>34</xdr:row>
      <xdr:rowOff>42965</xdr:rowOff>
    </xdr:from>
    <xdr:to>
      <xdr:col>3</xdr:col>
      <xdr:colOff>974107</xdr:colOff>
      <xdr:row>34</xdr:row>
      <xdr:rowOff>135494</xdr:rowOff>
    </xdr:to>
    <xdr:cxnSp macro="">
      <xdr:nvCxnSpPr>
        <xdr:cNvPr id="42" name="Straight Connector 41"/>
        <xdr:cNvCxnSpPr/>
      </xdr:nvCxnSpPr>
      <xdr:spPr>
        <a:xfrm>
          <a:off x="4499895" y="666905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375306</xdr:colOff>
      <xdr:row>28</xdr:row>
      <xdr:rowOff>31060</xdr:rowOff>
    </xdr:from>
    <xdr:to>
      <xdr:col>3</xdr:col>
      <xdr:colOff>970618</xdr:colOff>
      <xdr:row>28</xdr:row>
      <xdr:rowOff>138217</xdr:rowOff>
    </xdr:to>
    <xdr:cxnSp macro="">
      <xdr:nvCxnSpPr>
        <xdr:cNvPr id="43" name="Straight Connector 42"/>
        <xdr:cNvCxnSpPr/>
      </xdr:nvCxnSpPr>
      <xdr:spPr>
        <a:xfrm flipV="1">
          <a:off x="4483480" y="550586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383588</xdr:colOff>
      <xdr:row>27</xdr:row>
      <xdr:rowOff>31060</xdr:rowOff>
    </xdr:from>
    <xdr:to>
      <xdr:col>4</xdr:col>
      <xdr:colOff>1552</xdr:colOff>
      <xdr:row>27</xdr:row>
      <xdr:rowOff>138217</xdr:rowOff>
    </xdr:to>
    <xdr:cxnSp macro="">
      <xdr:nvCxnSpPr>
        <xdr:cNvPr id="44" name="Straight Connector 43"/>
        <xdr:cNvCxnSpPr/>
      </xdr:nvCxnSpPr>
      <xdr:spPr>
        <a:xfrm flipV="1">
          <a:off x="4491762" y="531536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391721</xdr:colOff>
      <xdr:row>25</xdr:row>
      <xdr:rowOff>67812</xdr:rowOff>
    </xdr:from>
    <xdr:to>
      <xdr:col>3</xdr:col>
      <xdr:colOff>974107</xdr:colOff>
      <xdr:row>25</xdr:row>
      <xdr:rowOff>160341</xdr:rowOff>
    </xdr:to>
    <xdr:cxnSp macro="">
      <xdr:nvCxnSpPr>
        <xdr:cNvPr id="45" name="Straight Connector 44"/>
        <xdr:cNvCxnSpPr/>
      </xdr:nvCxnSpPr>
      <xdr:spPr>
        <a:xfrm>
          <a:off x="4499895" y="497111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523055</xdr:colOff>
      <xdr:row>31</xdr:row>
      <xdr:rowOff>35718</xdr:rowOff>
    </xdr:from>
    <xdr:to>
      <xdr:col>4</xdr:col>
      <xdr:colOff>592850</xdr:colOff>
      <xdr:row>31</xdr:row>
      <xdr:rowOff>142875</xdr:rowOff>
    </xdr:to>
    <xdr:cxnSp macro="">
      <xdr:nvCxnSpPr>
        <xdr:cNvPr id="2" name="Straight Connector 1"/>
        <xdr:cNvCxnSpPr/>
      </xdr:nvCxnSpPr>
      <xdr:spPr>
        <a:xfrm flipV="1">
          <a:off x="4477572" y="607916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4105</xdr:colOff>
      <xdr:row>32</xdr:row>
      <xdr:rowOff>34487</xdr:rowOff>
    </xdr:from>
    <xdr:to>
      <xdr:col>4</xdr:col>
      <xdr:colOff>605371</xdr:colOff>
      <xdr:row>32</xdr:row>
      <xdr:rowOff>123784</xdr:rowOff>
    </xdr:to>
    <xdr:cxnSp macro="">
      <xdr:nvCxnSpPr>
        <xdr:cNvPr id="3" name="Straight Connector 2"/>
        <xdr:cNvCxnSpPr/>
      </xdr:nvCxnSpPr>
      <xdr:spPr>
        <a:xfrm flipV="1">
          <a:off x="4484139" y="626843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8211</xdr:colOff>
      <xdr:row>27</xdr:row>
      <xdr:rowOff>66100</xdr:rowOff>
    </xdr:from>
    <xdr:to>
      <xdr:col>4</xdr:col>
      <xdr:colOff>609477</xdr:colOff>
      <xdr:row>27</xdr:row>
      <xdr:rowOff>155397</xdr:rowOff>
    </xdr:to>
    <xdr:cxnSp macro="">
      <xdr:nvCxnSpPr>
        <xdr:cNvPr id="10" name="Straight Connector 9"/>
        <xdr:cNvCxnSpPr/>
      </xdr:nvCxnSpPr>
      <xdr:spPr>
        <a:xfrm flipV="1">
          <a:off x="4488245" y="5340979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2258</xdr:colOff>
      <xdr:row>28</xdr:row>
      <xdr:rowOff>46393</xdr:rowOff>
    </xdr:from>
    <xdr:to>
      <xdr:col>4</xdr:col>
      <xdr:colOff>597570</xdr:colOff>
      <xdr:row>28</xdr:row>
      <xdr:rowOff>153550</xdr:rowOff>
    </xdr:to>
    <xdr:cxnSp macro="">
      <xdr:nvCxnSpPr>
        <xdr:cNvPr id="11" name="Straight Connector 10"/>
        <xdr:cNvCxnSpPr/>
      </xdr:nvCxnSpPr>
      <xdr:spPr>
        <a:xfrm flipV="1">
          <a:off x="4482292" y="5511772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520915</xdr:colOff>
      <xdr:row>25</xdr:row>
      <xdr:rowOff>52961</xdr:rowOff>
    </xdr:from>
    <xdr:to>
      <xdr:col>4</xdr:col>
      <xdr:colOff>577784</xdr:colOff>
      <xdr:row>25</xdr:row>
      <xdr:rowOff>145490</xdr:rowOff>
    </xdr:to>
    <xdr:cxnSp macro="">
      <xdr:nvCxnSpPr>
        <xdr:cNvPr id="22" name="Straight Connector 21"/>
        <xdr:cNvCxnSpPr/>
      </xdr:nvCxnSpPr>
      <xdr:spPr>
        <a:xfrm>
          <a:off x="4475432" y="494684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7608</xdr:colOff>
      <xdr:row>26</xdr:row>
      <xdr:rowOff>105924</xdr:rowOff>
    </xdr:from>
    <xdr:to>
      <xdr:col>4</xdr:col>
      <xdr:colOff>579108</xdr:colOff>
      <xdr:row>26</xdr:row>
      <xdr:rowOff>105924</xdr:rowOff>
    </xdr:to>
    <xdr:cxnSp macro="">
      <xdr:nvCxnSpPr>
        <xdr:cNvPr id="23" name="Straight Connector 22"/>
        <xdr:cNvCxnSpPr/>
      </xdr:nvCxnSpPr>
      <xdr:spPr>
        <a:xfrm>
          <a:off x="4487642" y="51903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520915</xdr:colOff>
      <xdr:row>34</xdr:row>
      <xdr:rowOff>52961</xdr:rowOff>
    </xdr:from>
    <xdr:to>
      <xdr:col>4</xdr:col>
      <xdr:colOff>577784</xdr:colOff>
      <xdr:row>34</xdr:row>
      <xdr:rowOff>145490</xdr:rowOff>
    </xdr:to>
    <xdr:cxnSp macro="">
      <xdr:nvCxnSpPr>
        <xdr:cNvPr id="9" name="Straight Connector 8"/>
        <xdr:cNvCxnSpPr/>
      </xdr:nvCxnSpPr>
      <xdr:spPr>
        <a:xfrm>
          <a:off x="4475432" y="494684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7608</xdr:colOff>
      <xdr:row>33</xdr:row>
      <xdr:rowOff>105924</xdr:rowOff>
    </xdr:from>
    <xdr:to>
      <xdr:col>4</xdr:col>
      <xdr:colOff>579108</xdr:colOff>
      <xdr:row>33</xdr:row>
      <xdr:rowOff>105924</xdr:rowOff>
    </xdr:to>
    <xdr:cxnSp macro="">
      <xdr:nvCxnSpPr>
        <xdr:cNvPr id="12" name="Straight Connector 11"/>
        <xdr:cNvCxnSpPr/>
      </xdr:nvCxnSpPr>
      <xdr:spPr>
        <a:xfrm>
          <a:off x="4487642" y="51903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400032</xdr:colOff>
      <xdr:row>33</xdr:row>
      <xdr:rowOff>102497</xdr:rowOff>
    </xdr:from>
    <xdr:to>
      <xdr:col>3</xdr:col>
      <xdr:colOff>971532</xdr:colOff>
      <xdr:row>33</xdr:row>
      <xdr:rowOff>102497</xdr:rowOff>
    </xdr:to>
    <xdr:cxnSp macro="">
      <xdr:nvCxnSpPr>
        <xdr:cNvPr id="8" name="Straight Connector 7"/>
        <xdr:cNvCxnSpPr/>
      </xdr:nvCxnSpPr>
      <xdr:spPr>
        <a:xfrm>
          <a:off x="4508206" y="653808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388248</xdr:colOff>
      <xdr:row>31</xdr:row>
      <xdr:rowOff>52283</xdr:rowOff>
    </xdr:from>
    <xdr:to>
      <xdr:col>11</xdr:col>
      <xdr:colOff>6212</xdr:colOff>
      <xdr:row>31</xdr:row>
      <xdr:rowOff>159440</xdr:rowOff>
    </xdr:to>
    <xdr:cxnSp macro="">
      <xdr:nvCxnSpPr>
        <xdr:cNvPr id="9" name="Straight Connector 8"/>
        <xdr:cNvCxnSpPr/>
      </xdr:nvCxnSpPr>
      <xdr:spPr>
        <a:xfrm flipV="1">
          <a:off x="12389748" y="610687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388247</xdr:colOff>
      <xdr:row>32</xdr:row>
      <xdr:rowOff>47625</xdr:rowOff>
    </xdr:from>
    <xdr:to>
      <xdr:col>11</xdr:col>
      <xdr:colOff>12165</xdr:colOff>
      <xdr:row>32</xdr:row>
      <xdr:rowOff>136922</xdr:rowOff>
    </xdr:to>
    <xdr:cxnSp macro="">
      <xdr:nvCxnSpPr>
        <xdr:cNvPr id="10" name="Straight Connector 9"/>
        <xdr:cNvCxnSpPr/>
      </xdr:nvCxnSpPr>
      <xdr:spPr>
        <a:xfrm flipV="1">
          <a:off x="12389747" y="6292712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370647</xdr:colOff>
      <xdr:row>27</xdr:row>
      <xdr:rowOff>34683</xdr:rowOff>
    </xdr:from>
    <xdr:to>
      <xdr:col>10</xdr:col>
      <xdr:colOff>971913</xdr:colOff>
      <xdr:row>27</xdr:row>
      <xdr:rowOff>123980</xdr:rowOff>
    </xdr:to>
    <xdr:cxnSp macro="">
      <xdr:nvCxnSpPr>
        <xdr:cNvPr id="11" name="Straight Connector 10"/>
        <xdr:cNvCxnSpPr/>
      </xdr:nvCxnSpPr>
      <xdr:spPr>
        <a:xfrm flipV="1">
          <a:off x="12372147" y="5318987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372976</xdr:colOff>
      <xdr:row>28</xdr:row>
      <xdr:rowOff>42965</xdr:rowOff>
    </xdr:from>
    <xdr:to>
      <xdr:col>10</xdr:col>
      <xdr:colOff>968288</xdr:colOff>
      <xdr:row>28</xdr:row>
      <xdr:rowOff>150122</xdr:rowOff>
    </xdr:to>
    <xdr:cxnSp macro="">
      <xdr:nvCxnSpPr>
        <xdr:cNvPr id="12" name="Straight Connector 11"/>
        <xdr:cNvCxnSpPr/>
      </xdr:nvCxnSpPr>
      <xdr:spPr>
        <a:xfrm flipV="1">
          <a:off x="12374476" y="551776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396105</xdr:colOff>
      <xdr:row>34</xdr:row>
      <xdr:rowOff>42965</xdr:rowOff>
    </xdr:from>
    <xdr:to>
      <xdr:col>11</xdr:col>
      <xdr:colOff>1143</xdr:colOff>
      <xdr:row>34</xdr:row>
      <xdr:rowOff>135494</xdr:rowOff>
    </xdr:to>
    <xdr:cxnSp macro="">
      <xdr:nvCxnSpPr>
        <xdr:cNvPr id="14" name="Straight Connector 13"/>
        <xdr:cNvCxnSpPr/>
      </xdr:nvCxnSpPr>
      <xdr:spPr>
        <a:xfrm>
          <a:off x="12397605" y="666905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408314</xdr:colOff>
      <xdr:row>33</xdr:row>
      <xdr:rowOff>102497</xdr:rowOff>
    </xdr:from>
    <xdr:to>
      <xdr:col>11</xdr:col>
      <xdr:colOff>2466</xdr:colOff>
      <xdr:row>33</xdr:row>
      <xdr:rowOff>102497</xdr:rowOff>
    </xdr:to>
    <xdr:cxnSp macro="">
      <xdr:nvCxnSpPr>
        <xdr:cNvPr id="15" name="Straight Connector 14"/>
        <xdr:cNvCxnSpPr/>
      </xdr:nvCxnSpPr>
      <xdr:spPr>
        <a:xfrm>
          <a:off x="12409814" y="653808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387822</xdr:colOff>
      <xdr:row>28</xdr:row>
      <xdr:rowOff>42965</xdr:rowOff>
    </xdr:from>
    <xdr:to>
      <xdr:col>3</xdr:col>
      <xdr:colOff>970208</xdr:colOff>
      <xdr:row>28</xdr:row>
      <xdr:rowOff>135494</xdr:rowOff>
    </xdr:to>
    <xdr:cxnSp macro="">
      <xdr:nvCxnSpPr>
        <xdr:cNvPr id="16" name="Straight Connector 15"/>
        <xdr:cNvCxnSpPr/>
      </xdr:nvCxnSpPr>
      <xdr:spPr>
        <a:xfrm>
          <a:off x="4495996" y="551776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387822</xdr:colOff>
      <xdr:row>27</xdr:row>
      <xdr:rowOff>42965</xdr:rowOff>
    </xdr:from>
    <xdr:to>
      <xdr:col>3</xdr:col>
      <xdr:colOff>970208</xdr:colOff>
      <xdr:row>27</xdr:row>
      <xdr:rowOff>135494</xdr:rowOff>
    </xdr:to>
    <xdr:cxnSp macro="">
      <xdr:nvCxnSpPr>
        <xdr:cNvPr id="17" name="Straight Connector 16"/>
        <xdr:cNvCxnSpPr/>
      </xdr:nvCxnSpPr>
      <xdr:spPr>
        <a:xfrm>
          <a:off x="4495996" y="532726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408314</xdr:colOff>
      <xdr:row>26</xdr:row>
      <xdr:rowOff>94215</xdr:rowOff>
    </xdr:from>
    <xdr:to>
      <xdr:col>4</xdr:col>
      <xdr:colOff>2466</xdr:colOff>
      <xdr:row>26</xdr:row>
      <xdr:rowOff>94215</xdr:rowOff>
    </xdr:to>
    <xdr:cxnSp macro="">
      <xdr:nvCxnSpPr>
        <xdr:cNvPr id="18" name="Straight Connector 17"/>
        <xdr:cNvCxnSpPr/>
      </xdr:nvCxnSpPr>
      <xdr:spPr>
        <a:xfrm>
          <a:off x="4516488" y="5188019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371683</xdr:colOff>
      <xdr:row>25</xdr:row>
      <xdr:rowOff>52283</xdr:rowOff>
    </xdr:from>
    <xdr:to>
      <xdr:col>3</xdr:col>
      <xdr:colOff>966995</xdr:colOff>
      <xdr:row>25</xdr:row>
      <xdr:rowOff>159440</xdr:rowOff>
    </xdr:to>
    <xdr:cxnSp macro="">
      <xdr:nvCxnSpPr>
        <xdr:cNvPr id="19" name="Straight Connector 18"/>
        <xdr:cNvCxnSpPr/>
      </xdr:nvCxnSpPr>
      <xdr:spPr>
        <a:xfrm flipV="1">
          <a:off x="4479857" y="495558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404387</xdr:colOff>
      <xdr:row>32</xdr:row>
      <xdr:rowOff>42965</xdr:rowOff>
    </xdr:from>
    <xdr:to>
      <xdr:col>4</xdr:col>
      <xdr:colOff>9425</xdr:colOff>
      <xdr:row>32</xdr:row>
      <xdr:rowOff>135494</xdr:rowOff>
    </xdr:to>
    <xdr:cxnSp macro="">
      <xdr:nvCxnSpPr>
        <xdr:cNvPr id="20" name="Straight Connector 19"/>
        <xdr:cNvCxnSpPr/>
      </xdr:nvCxnSpPr>
      <xdr:spPr>
        <a:xfrm>
          <a:off x="4512561" y="628805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404388</xdr:colOff>
      <xdr:row>31</xdr:row>
      <xdr:rowOff>59530</xdr:rowOff>
    </xdr:from>
    <xdr:to>
      <xdr:col>4</xdr:col>
      <xdr:colOff>9426</xdr:colOff>
      <xdr:row>31</xdr:row>
      <xdr:rowOff>152059</xdr:rowOff>
    </xdr:to>
    <xdr:cxnSp macro="">
      <xdr:nvCxnSpPr>
        <xdr:cNvPr id="21" name="Straight Connector 20"/>
        <xdr:cNvCxnSpPr/>
      </xdr:nvCxnSpPr>
      <xdr:spPr>
        <a:xfrm>
          <a:off x="4512562" y="611411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388248</xdr:colOff>
      <xdr:row>34</xdr:row>
      <xdr:rowOff>44001</xdr:rowOff>
    </xdr:from>
    <xdr:to>
      <xdr:col>4</xdr:col>
      <xdr:colOff>6212</xdr:colOff>
      <xdr:row>34</xdr:row>
      <xdr:rowOff>151158</xdr:rowOff>
    </xdr:to>
    <xdr:cxnSp macro="">
      <xdr:nvCxnSpPr>
        <xdr:cNvPr id="22" name="Straight Connector 21"/>
        <xdr:cNvCxnSpPr/>
      </xdr:nvCxnSpPr>
      <xdr:spPr>
        <a:xfrm flipV="1">
          <a:off x="4496422" y="667008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404387</xdr:colOff>
      <xdr:row>25</xdr:row>
      <xdr:rowOff>67812</xdr:rowOff>
    </xdr:from>
    <xdr:to>
      <xdr:col>11</xdr:col>
      <xdr:colOff>9425</xdr:colOff>
      <xdr:row>25</xdr:row>
      <xdr:rowOff>160341</xdr:rowOff>
    </xdr:to>
    <xdr:cxnSp macro="">
      <xdr:nvCxnSpPr>
        <xdr:cNvPr id="23" name="Straight Connector 22"/>
        <xdr:cNvCxnSpPr/>
      </xdr:nvCxnSpPr>
      <xdr:spPr>
        <a:xfrm>
          <a:off x="12405887" y="497111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391749</xdr:colOff>
      <xdr:row>26</xdr:row>
      <xdr:rowOff>110779</xdr:rowOff>
    </xdr:from>
    <xdr:to>
      <xdr:col>10</xdr:col>
      <xdr:colOff>963249</xdr:colOff>
      <xdr:row>26</xdr:row>
      <xdr:rowOff>110779</xdr:rowOff>
    </xdr:to>
    <xdr:cxnSp macro="">
      <xdr:nvCxnSpPr>
        <xdr:cNvPr id="24" name="Straight Connector 23"/>
        <xdr:cNvCxnSpPr/>
      </xdr:nvCxnSpPr>
      <xdr:spPr>
        <a:xfrm>
          <a:off x="12393249" y="520458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7938</xdr:colOff>
      <xdr:row>31</xdr:row>
      <xdr:rowOff>51593</xdr:rowOff>
    </xdr:from>
    <xdr:to>
      <xdr:col>4</xdr:col>
      <xdr:colOff>603250</xdr:colOff>
      <xdr:row>31</xdr:row>
      <xdr:rowOff>158750</xdr:rowOff>
    </xdr:to>
    <xdr:cxnSp macro="">
      <xdr:nvCxnSpPr>
        <xdr:cNvPr id="2" name="Straight Connector 1"/>
        <xdr:cNvCxnSpPr/>
      </xdr:nvCxnSpPr>
      <xdr:spPr>
        <a:xfrm flipV="1">
          <a:off x="4349751" y="609996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15875</xdr:colOff>
      <xdr:row>32</xdr:row>
      <xdr:rowOff>63500</xdr:rowOff>
    </xdr:from>
    <xdr:to>
      <xdr:col>4</xdr:col>
      <xdr:colOff>617141</xdr:colOff>
      <xdr:row>32</xdr:row>
      <xdr:rowOff>152797</xdr:rowOff>
    </xdr:to>
    <xdr:cxnSp macro="">
      <xdr:nvCxnSpPr>
        <xdr:cNvPr id="3" name="Straight Connector 2"/>
        <xdr:cNvCxnSpPr/>
      </xdr:nvCxnSpPr>
      <xdr:spPr>
        <a:xfrm flipV="1">
          <a:off x="4357688" y="630237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51593</xdr:rowOff>
    </xdr:from>
    <xdr:to>
      <xdr:col>4</xdr:col>
      <xdr:colOff>601266</xdr:colOff>
      <xdr:row>27</xdr:row>
      <xdr:rowOff>140890</xdr:rowOff>
    </xdr:to>
    <xdr:cxnSp macro="">
      <xdr:nvCxnSpPr>
        <xdr:cNvPr id="4" name="Straight Connector 3"/>
        <xdr:cNvCxnSpPr/>
      </xdr:nvCxnSpPr>
      <xdr:spPr>
        <a:xfrm flipV="1">
          <a:off x="4341813" y="5330031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422672</xdr:colOff>
      <xdr:row>28</xdr:row>
      <xdr:rowOff>43656</xdr:rowOff>
    </xdr:from>
    <xdr:to>
      <xdr:col>4</xdr:col>
      <xdr:colOff>589359</xdr:colOff>
      <xdr:row>28</xdr:row>
      <xdr:rowOff>150813</xdr:rowOff>
    </xdr:to>
    <xdr:cxnSp macro="">
      <xdr:nvCxnSpPr>
        <xdr:cNvPr id="5" name="Straight Connector 4"/>
        <xdr:cNvCxnSpPr/>
      </xdr:nvCxnSpPr>
      <xdr:spPr>
        <a:xfrm flipV="1">
          <a:off x="4335860" y="551259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16342</xdr:colOff>
      <xdr:row>26</xdr:row>
      <xdr:rowOff>71904</xdr:rowOff>
    </xdr:from>
    <xdr:to>
      <xdr:col>4</xdr:col>
      <xdr:colOff>617608</xdr:colOff>
      <xdr:row>26</xdr:row>
      <xdr:rowOff>161201</xdr:rowOff>
    </xdr:to>
    <xdr:cxnSp macro="">
      <xdr:nvCxnSpPr>
        <xdr:cNvPr id="6" name="Straight Connector 5"/>
        <xdr:cNvCxnSpPr/>
      </xdr:nvCxnSpPr>
      <xdr:spPr>
        <a:xfrm flipV="1">
          <a:off x="4358155" y="5159842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7167</xdr:colOff>
      <xdr:row>34</xdr:row>
      <xdr:rowOff>43655</xdr:rowOff>
    </xdr:from>
    <xdr:to>
      <xdr:col>4</xdr:col>
      <xdr:colOff>589553</xdr:colOff>
      <xdr:row>34</xdr:row>
      <xdr:rowOff>136184</xdr:rowOff>
    </xdr:to>
    <xdr:cxnSp macro="">
      <xdr:nvCxnSpPr>
        <xdr:cNvPr id="7" name="Straight Connector 6"/>
        <xdr:cNvCxnSpPr/>
      </xdr:nvCxnSpPr>
      <xdr:spPr>
        <a:xfrm>
          <a:off x="4348980" y="666353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19376</xdr:colOff>
      <xdr:row>33</xdr:row>
      <xdr:rowOff>103187</xdr:rowOff>
    </xdr:from>
    <xdr:to>
      <xdr:col>4</xdr:col>
      <xdr:colOff>590876</xdr:colOff>
      <xdr:row>33</xdr:row>
      <xdr:rowOff>103187</xdr:rowOff>
    </xdr:to>
    <xdr:cxnSp macro="">
      <xdr:nvCxnSpPr>
        <xdr:cNvPr id="8" name="Straight Connector 7"/>
        <xdr:cNvCxnSpPr/>
      </xdr:nvCxnSpPr>
      <xdr:spPr>
        <a:xfrm>
          <a:off x="4361189" y="6532562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15875</xdr:colOff>
      <xdr:row>31</xdr:row>
      <xdr:rowOff>51593</xdr:rowOff>
    </xdr:from>
    <xdr:to>
      <xdr:col>12</xdr:col>
      <xdr:colOff>611187</xdr:colOff>
      <xdr:row>31</xdr:row>
      <xdr:rowOff>158750</xdr:rowOff>
    </xdr:to>
    <xdr:cxnSp macro="">
      <xdr:nvCxnSpPr>
        <xdr:cNvPr id="9" name="Straight Connector 8"/>
        <xdr:cNvCxnSpPr/>
      </xdr:nvCxnSpPr>
      <xdr:spPr>
        <a:xfrm flipV="1">
          <a:off x="12573000" y="609996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15875</xdr:colOff>
      <xdr:row>32</xdr:row>
      <xdr:rowOff>55563</xdr:rowOff>
    </xdr:from>
    <xdr:to>
      <xdr:col>12</xdr:col>
      <xdr:colOff>617141</xdr:colOff>
      <xdr:row>32</xdr:row>
      <xdr:rowOff>144860</xdr:rowOff>
    </xdr:to>
    <xdr:cxnSp macro="">
      <xdr:nvCxnSpPr>
        <xdr:cNvPr id="10" name="Straight Connector 9"/>
        <xdr:cNvCxnSpPr/>
      </xdr:nvCxnSpPr>
      <xdr:spPr>
        <a:xfrm flipV="1">
          <a:off x="12573000" y="6294438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7938</xdr:colOff>
      <xdr:row>27</xdr:row>
      <xdr:rowOff>59531</xdr:rowOff>
    </xdr:from>
    <xdr:to>
      <xdr:col>12</xdr:col>
      <xdr:colOff>609204</xdr:colOff>
      <xdr:row>27</xdr:row>
      <xdr:rowOff>148828</xdr:rowOff>
    </xdr:to>
    <xdr:cxnSp macro="">
      <xdr:nvCxnSpPr>
        <xdr:cNvPr id="11" name="Straight Connector 10"/>
        <xdr:cNvCxnSpPr/>
      </xdr:nvCxnSpPr>
      <xdr:spPr>
        <a:xfrm flipV="1">
          <a:off x="12565063" y="5337969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17859</xdr:colOff>
      <xdr:row>28</xdr:row>
      <xdr:rowOff>35718</xdr:rowOff>
    </xdr:from>
    <xdr:to>
      <xdr:col>12</xdr:col>
      <xdr:colOff>613171</xdr:colOff>
      <xdr:row>28</xdr:row>
      <xdr:rowOff>142875</xdr:rowOff>
    </xdr:to>
    <xdr:cxnSp macro="">
      <xdr:nvCxnSpPr>
        <xdr:cNvPr id="12" name="Straight Connector 11"/>
        <xdr:cNvCxnSpPr/>
      </xdr:nvCxnSpPr>
      <xdr:spPr>
        <a:xfrm flipV="1">
          <a:off x="12574984" y="550465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8405</xdr:colOff>
      <xdr:row>26</xdr:row>
      <xdr:rowOff>63967</xdr:rowOff>
    </xdr:from>
    <xdr:to>
      <xdr:col>12</xdr:col>
      <xdr:colOff>609671</xdr:colOff>
      <xdr:row>26</xdr:row>
      <xdr:rowOff>153264</xdr:rowOff>
    </xdr:to>
    <xdr:cxnSp macro="">
      <xdr:nvCxnSpPr>
        <xdr:cNvPr id="13" name="Straight Connector 12"/>
        <xdr:cNvCxnSpPr/>
      </xdr:nvCxnSpPr>
      <xdr:spPr>
        <a:xfrm flipV="1">
          <a:off x="12565530" y="515190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15105</xdr:colOff>
      <xdr:row>34</xdr:row>
      <xdr:rowOff>43655</xdr:rowOff>
    </xdr:from>
    <xdr:to>
      <xdr:col>12</xdr:col>
      <xdr:colOff>597491</xdr:colOff>
      <xdr:row>34</xdr:row>
      <xdr:rowOff>136184</xdr:rowOff>
    </xdr:to>
    <xdr:cxnSp macro="">
      <xdr:nvCxnSpPr>
        <xdr:cNvPr id="14" name="Straight Connector 13"/>
        <xdr:cNvCxnSpPr/>
      </xdr:nvCxnSpPr>
      <xdr:spPr>
        <a:xfrm>
          <a:off x="12572230" y="666353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3501</xdr:colOff>
      <xdr:row>33</xdr:row>
      <xdr:rowOff>95249</xdr:rowOff>
    </xdr:from>
    <xdr:to>
      <xdr:col>12</xdr:col>
      <xdr:colOff>575001</xdr:colOff>
      <xdr:row>33</xdr:row>
      <xdr:rowOff>95249</xdr:rowOff>
    </xdr:to>
    <xdr:cxnSp macro="">
      <xdr:nvCxnSpPr>
        <xdr:cNvPr id="15" name="Straight Connector 14"/>
        <xdr:cNvCxnSpPr/>
      </xdr:nvCxnSpPr>
      <xdr:spPr>
        <a:xfrm>
          <a:off x="12560626" y="652462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408314</xdr:colOff>
      <xdr:row>33</xdr:row>
      <xdr:rowOff>97082</xdr:rowOff>
    </xdr:from>
    <xdr:to>
      <xdr:col>3</xdr:col>
      <xdr:colOff>979814</xdr:colOff>
      <xdr:row>33</xdr:row>
      <xdr:rowOff>97082</xdr:rowOff>
    </xdr:to>
    <xdr:cxnSp macro="">
      <xdr:nvCxnSpPr>
        <xdr:cNvPr id="2" name="Straight Connector 1"/>
        <xdr:cNvCxnSpPr/>
      </xdr:nvCxnSpPr>
      <xdr:spPr>
        <a:xfrm>
          <a:off x="4511391" y="652279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375505</xdr:colOff>
      <xdr:row>34</xdr:row>
      <xdr:rowOff>50372</xdr:rowOff>
    </xdr:from>
    <xdr:to>
      <xdr:col>10</xdr:col>
      <xdr:colOff>970817</xdr:colOff>
      <xdr:row>34</xdr:row>
      <xdr:rowOff>157529</xdr:rowOff>
    </xdr:to>
    <xdr:cxnSp macro="">
      <xdr:nvCxnSpPr>
        <xdr:cNvPr id="3" name="Straight Connector 2"/>
        <xdr:cNvCxnSpPr/>
      </xdr:nvCxnSpPr>
      <xdr:spPr>
        <a:xfrm flipV="1">
          <a:off x="12355024" y="666658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400987</xdr:colOff>
      <xdr:row>33</xdr:row>
      <xdr:rowOff>97081</xdr:rowOff>
    </xdr:from>
    <xdr:to>
      <xdr:col>10</xdr:col>
      <xdr:colOff>972487</xdr:colOff>
      <xdr:row>33</xdr:row>
      <xdr:rowOff>97081</xdr:rowOff>
    </xdr:to>
    <xdr:cxnSp macro="">
      <xdr:nvCxnSpPr>
        <xdr:cNvPr id="8" name="Straight Connector 7"/>
        <xdr:cNvCxnSpPr/>
      </xdr:nvCxnSpPr>
      <xdr:spPr>
        <a:xfrm>
          <a:off x="12380506" y="652279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388778</xdr:colOff>
      <xdr:row>28</xdr:row>
      <xdr:rowOff>37549</xdr:rowOff>
    </xdr:from>
    <xdr:to>
      <xdr:col>3</xdr:col>
      <xdr:colOff>971164</xdr:colOff>
      <xdr:row>28</xdr:row>
      <xdr:rowOff>130078</xdr:rowOff>
    </xdr:to>
    <xdr:cxnSp macro="">
      <xdr:nvCxnSpPr>
        <xdr:cNvPr id="9" name="Straight Connector 8"/>
        <xdr:cNvCxnSpPr/>
      </xdr:nvCxnSpPr>
      <xdr:spPr>
        <a:xfrm>
          <a:off x="4491855" y="550343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403432</xdr:colOff>
      <xdr:row>27</xdr:row>
      <xdr:rowOff>59530</xdr:rowOff>
    </xdr:from>
    <xdr:to>
      <xdr:col>4</xdr:col>
      <xdr:colOff>4010</xdr:colOff>
      <xdr:row>27</xdr:row>
      <xdr:rowOff>152059</xdr:rowOff>
    </xdr:to>
    <xdr:cxnSp macro="">
      <xdr:nvCxnSpPr>
        <xdr:cNvPr id="10" name="Straight Connector 9"/>
        <xdr:cNvCxnSpPr/>
      </xdr:nvCxnSpPr>
      <xdr:spPr>
        <a:xfrm>
          <a:off x="4506509" y="533491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400987</xdr:colOff>
      <xdr:row>26</xdr:row>
      <xdr:rowOff>104409</xdr:rowOff>
    </xdr:from>
    <xdr:to>
      <xdr:col>3</xdr:col>
      <xdr:colOff>972487</xdr:colOff>
      <xdr:row>26</xdr:row>
      <xdr:rowOff>104409</xdr:rowOff>
    </xdr:to>
    <xdr:cxnSp macro="">
      <xdr:nvCxnSpPr>
        <xdr:cNvPr id="11" name="Straight Connector 10"/>
        <xdr:cNvCxnSpPr/>
      </xdr:nvCxnSpPr>
      <xdr:spPr>
        <a:xfrm>
          <a:off x="4504064" y="518929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375505</xdr:colOff>
      <xdr:row>25</xdr:row>
      <xdr:rowOff>50372</xdr:rowOff>
    </xdr:from>
    <xdr:to>
      <xdr:col>3</xdr:col>
      <xdr:colOff>970817</xdr:colOff>
      <xdr:row>25</xdr:row>
      <xdr:rowOff>157529</xdr:rowOff>
    </xdr:to>
    <xdr:cxnSp macro="">
      <xdr:nvCxnSpPr>
        <xdr:cNvPr id="12" name="Straight Connector 11"/>
        <xdr:cNvCxnSpPr/>
      </xdr:nvCxnSpPr>
      <xdr:spPr>
        <a:xfrm flipV="1">
          <a:off x="4478582" y="494475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403432</xdr:colOff>
      <xdr:row>32</xdr:row>
      <xdr:rowOff>44876</xdr:rowOff>
    </xdr:from>
    <xdr:to>
      <xdr:col>4</xdr:col>
      <xdr:colOff>4010</xdr:colOff>
      <xdr:row>32</xdr:row>
      <xdr:rowOff>137405</xdr:rowOff>
    </xdr:to>
    <xdr:cxnSp macro="">
      <xdr:nvCxnSpPr>
        <xdr:cNvPr id="13" name="Straight Connector 12"/>
        <xdr:cNvCxnSpPr/>
      </xdr:nvCxnSpPr>
      <xdr:spPr>
        <a:xfrm>
          <a:off x="4506509" y="628008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396105</xdr:colOff>
      <xdr:row>31</xdr:row>
      <xdr:rowOff>52204</xdr:rowOff>
    </xdr:from>
    <xdr:to>
      <xdr:col>3</xdr:col>
      <xdr:colOff>978491</xdr:colOff>
      <xdr:row>31</xdr:row>
      <xdr:rowOff>144733</xdr:rowOff>
    </xdr:to>
    <xdr:cxnSp macro="">
      <xdr:nvCxnSpPr>
        <xdr:cNvPr id="14" name="Straight Connector 13"/>
        <xdr:cNvCxnSpPr/>
      </xdr:nvCxnSpPr>
      <xdr:spPr>
        <a:xfrm>
          <a:off x="4499182" y="609691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382832</xdr:colOff>
      <xdr:row>34</xdr:row>
      <xdr:rowOff>43045</xdr:rowOff>
    </xdr:from>
    <xdr:to>
      <xdr:col>3</xdr:col>
      <xdr:colOff>978144</xdr:colOff>
      <xdr:row>34</xdr:row>
      <xdr:rowOff>150202</xdr:rowOff>
    </xdr:to>
    <xdr:cxnSp macro="">
      <xdr:nvCxnSpPr>
        <xdr:cNvPr id="15" name="Straight Connector 14"/>
        <xdr:cNvCxnSpPr/>
      </xdr:nvCxnSpPr>
      <xdr:spPr>
        <a:xfrm flipV="1">
          <a:off x="4485909" y="665925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408314</xdr:colOff>
      <xdr:row>26</xdr:row>
      <xdr:rowOff>104409</xdr:rowOff>
    </xdr:from>
    <xdr:to>
      <xdr:col>10</xdr:col>
      <xdr:colOff>979814</xdr:colOff>
      <xdr:row>26</xdr:row>
      <xdr:rowOff>104409</xdr:rowOff>
    </xdr:to>
    <xdr:cxnSp macro="">
      <xdr:nvCxnSpPr>
        <xdr:cNvPr id="17" name="Straight Connector 16"/>
        <xdr:cNvCxnSpPr/>
      </xdr:nvCxnSpPr>
      <xdr:spPr>
        <a:xfrm>
          <a:off x="12387833" y="518929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388778</xdr:colOff>
      <xdr:row>28</xdr:row>
      <xdr:rowOff>52203</xdr:rowOff>
    </xdr:from>
    <xdr:to>
      <xdr:col>10</xdr:col>
      <xdr:colOff>971164</xdr:colOff>
      <xdr:row>28</xdr:row>
      <xdr:rowOff>144732</xdr:rowOff>
    </xdr:to>
    <xdr:cxnSp macro="">
      <xdr:nvCxnSpPr>
        <xdr:cNvPr id="18" name="Straight Connector 17"/>
        <xdr:cNvCxnSpPr/>
      </xdr:nvCxnSpPr>
      <xdr:spPr>
        <a:xfrm>
          <a:off x="12368297" y="551808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388778</xdr:colOff>
      <xdr:row>27</xdr:row>
      <xdr:rowOff>52203</xdr:rowOff>
    </xdr:from>
    <xdr:to>
      <xdr:col>10</xdr:col>
      <xdr:colOff>971164</xdr:colOff>
      <xdr:row>27</xdr:row>
      <xdr:rowOff>144732</xdr:rowOff>
    </xdr:to>
    <xdr:cxnSp macro="">
      <xdr:nvCxnSpPr>
        <xdr:cNvPr id="19" name="Straight Connector 18"/>
        <xdr:cNvCxnSpPr/>
      </xdr:nvCxnSpPr>
      <xdr:spPr>
        <a:xfrm>
          <a:off x="12368297" y="532758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388778</xdr:colOff>
      <xdr:row>32</xdr:row>
      <xdr:rowOff>52203</xdr:rowOff>
    </xdr:from>
    <xdr:to>
      <xdr:col>10</xdr:col>
      <xdr:colOff>971164</xdr:colOff>
      <xdr:row>32</xdr:row>
      <xdr:rowOff>144732</xdr:rowOff>
    </xdr:to>
    <xdr:cxnSp macro="">
      <xdr:nvCxnSpPr>
        <xdr:cNvPr id="20" name="Straight Connector 19"/>
        <xdr:cNvCxnSpPr/>
      </xdr:nvCxnSpPr>
      <xdr:spPr>
        <a:xfrm>
          <a:off x="12368297" y="628741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396105</xdr:colOff>
      <xdr:row>31</xdr:row>
      <xdr:rowOff>52203</xdr:rowOff>
    </xdr:from>
    <xdr:to>
      <xdr:col>10</xdr:col>
      <xdr:colOff>978491</xdr:colOff>
      <xdr:row>31</xdr:row>
      <xdr:rowOff>144732</xdr:rowOff>
    </xdr:to>
    <xdr:cxnSp macro="">
      <xdr:nvCxnSpPr>
        <xdr:cNvPr id="21" name="Straight Connector 20"/>
        <xdr:cNvCxnSpPr/>
      </xdr:nvCxnSpPr>
      <xdr:spPr>
        <a:xfrm>
          <a:off x="12375624" y="609691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382832</xdr:colOff>
      <xdr:row>25</xdr:row>
      <xdr:rowOff>57699</xdr:rowOff>
    </xdr:from>
    <xdr:to>
      <xdr:col>10</xdr:col>
      <xdr:colOff>978144</xdr:colOff>
      <xdr:row>25</xdr:row>
      <xdr:rowOff>164856</xdr:rowOff>
    </xdr:to>
    <xdr:cxnSp macro="">
      <xdr:nvCxnSpPr>
        <xdr:cNvPr id="22" name="Straight Connector 21"/>
        <xdr:cNvCxnSpPr/>
      </xdr:nvCxnSpPr>
      <xdr:spPr>
        <a:xfrm flipV="1">
          <a:off x="12362351" y="495208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214313</xdr:colOff>
      <xdr:row>30</xdr:row>
      <xdr:rowOff>35718</xdr:rowOff>
    </xdr:from>
    <xdr:to>
      <xdr:col>3</xdr:col>
      <xdr:colOff>809625</xdr:colOff>
      <xdr:row>30</xdr:row>
      <xdr:rowOff>142875</xdr:rowOff>
    </xdr:to>
    <xdr:cxnSp macro="">
      <xdr:nvCxnSpPr>
        <xdr:cNvPr id="2" name="Straight Connector 1"/>
        <xdr:cNvCxnSpPr/>
      </xdr:nvCxnSpPr>
      <xdr:spPr>
        <a:xfrm flipV="1">
          <a:off x="4319588" y="59031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214312</xdr:colOff>
      <xdr:row>31</xdr:row>
      <xdr:rowOff>47625</xdr:rowOff>
    </xdr:from>
    <xdr:to>
      <xdr:col>3</xdr:col>
      <xdr:colOff>815578</xdr:colOff>
      <xdr:row>31</xdr:row>
      <xdr:rowOff>136922</xdr:rowOff>
    </xdr:to>
    <xdr:cxnSp macro="">
      <xdr:nvCxnSpPr>
        <xdr:cNvPr id="3" name="Straight Connector 2"/>
        <xdr:cNvCxnSpPr/>
      </xdr:nvCxnSpPr>
      <xdr:spPr>
        <a:xfrm flipV="1">
          <a:off x="4319587" y="610552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26</xdr:row>
      <xdr:rowOff>59531</xdr:rowOff>
    </xdr:from>
    <xdr:to>
      <xdr:col>3</xdr:col>
      <xdr:colOff>839391</xdr:colOff>
      <xdr:row>26</xdr:row>
      <xdr:rowOff>148828</xdr:rowOff>
    </xdr:to>
    <xdr:cxnSp macro="">
      <xdr:nvCxnSpPr>
        <xdr:cNvPr id="4" name="Straight Connector 3"/>
        <xdr:cNvCxnSpPr/>
      </xdr:nvCxnSpPr>
      <xdr:spPr>
        <a:xfrm flipV="1">
          <a:off x="4343400" y="51554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232172</xdr:colOff>
      <xdr:row>27</xdr:row>
      <xdr:rowOff>59531</xdr:rowOff>
    </xdr:from>
    <xdr:to>
      <xdr:col>3</xdr:col>
      <xdr:colOff>827484</xdr:colOff>
      <xdr:row>27</xdr:row>
      <xdr:rowOff>166688</xdr:rowOff>
    </xdr:to>
    <xdr:cxnSp macro="">
      <xdr:nvCxnSpPr>
        <xdr:cNvPr id="5" name="Straight Connector 4"/>
        <xdr:cNvCxnSpPr/>
      </xdr:nvCxnSpPr>
      <xdr:spPr>
        <a:xfrm flipV="1">
          <a:off x="4337447" y="534590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32</xdr:row>
      <xdr:rowOff>84666</xdr:rowOff>
    </xdr:from>
    <xdr:to>
      <xdr:col>3</xdr:col>
      <xdr:colOff>793750</xdr:colOff>
      <xdr:row>32</xdr:row>
      <xdr:rowOff>84666</xdr:rowOff>
    </xdr:to>
    <xdr:cxnSp macro="">
      <xdr:nvCxnSpPr>
        <xdr:cNvPr id="6" name="Straight Connector 5"/>
        <xdr:cNvCxnSpPr/>
      </xdr:nvCxnSpPr>
      <xdr:spPr>
        <a:xfrm>
          <a:off x="4327525" y="633306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33</xdr:row>
      <xdr:rowOff>63500</xdr:rowOff>
    </xdr:from>
    <xdr:to>
      <xdr:col>3</xdr:col>
      <xdr:colOff>804636</xdr:colOff>
      <xdr:row>33</xdr:row>
      <xdr:rowOff>156029</xdr:rowOff>
    </xdr:to>
    <xdr:cxnSp macro="">
      <xdr:nvCxnSpPr>
        <xdr:cNvPr id="7" name="Straight Connector 6"/>
        <xdr:cNvCxnSpPr/>
      </xdr:nvCxnSpPr>
      <xdr:spPr>
        <a:xfrm>
          <a:off x="4327525" y="650240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214313</xdr:colOff>
      <xdr:row>30</xdr:row>
      <xdr:rowOff>35718</xdr:rowOff>
    </xdr:from>
    <xdr:to>
      <xdr:col>11</xdr:col>
      <xdr:colOff>809625</xdr:colOff>
      <xdr:row>30</xdr:row>
      <xdr:rowOff>142875</xdr:rowOff>
    </xdr:to>
    <xdr:cxnSp macro="">
      <xdr:nvCxnSpPr>
        <xdr:cNvPr id="14" name="Straight Connector 13"/>
        <xdr:cNvCxnSpPr/>
      </xdr:nvCxnSpPr>
      <xdr:spPr>
        <a:xfrm flipV="1">
          <a:off x="4323670" y="592761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214312</xdr:colOff>
      <xdr:row>31</xdr:row>
      <xdr:rowOff>47625</xdr:rowOff>
    </xdr:from>
    <xdr:to>
      <xdr:col>11</xdr:col>
      <xdr:colOff>815578</xdr:colOff>
      <xdr:row>31</xdr:row>
      <xdr:rowOff>136922</xdr:rowOff>
    </xdr:to>
    <xdr:cxnSp macro="">
      <xdr:nvCxnSpPr>
        <xdr:cNvPr id="15" name="Straight Connector 14"/>
        <xdr:cNvCxnSpPr/>
      </xdr:nvCxnSpPr>
      <xdr:spPr>
        <a:xfrm flipV="1">
          <a:off x="4323669" y="6130018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26</xdr:row>
      <xdr:rowOff>59531</xdr:rowOff>
    </xdr:from>
    <xdr:to>
      <xdr:col>11</xdr:col>
      <xdr:colOff>839391</xdr:colOff>
      <xdr:row>26</xdr:row>
      <xdr:rowOff>148828</xdr:rowOff>
    </xdr:to>
    <xdr:cxnSp macro="">
      <xdr:nvCxnSpPr>
        <xdr:cNvPr id="16" name="Straight Connector 15"/>
        <xdr:cNvCxnSpPr/>
      </xdr:nvCxnSpPr>
      <xdr:spPr>
        <a:xfrm flipV="1">
          <a:off x="4347482" y="5175817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232172</xdr:colOff>
      <xdr:row>27</xdr:row>
      <xdr:rowOff>59531</xdr:rowOff>
    </xdr:from>
    <xdr:to>
      <xdr:col>11</xdr:col>
      <xdr:colOff>827484</xdr:colOff>
      <xdr:row>27</xdr:row>
      <xdr:rowOff>166688</xdr:rowOff>
    </xdr:to>
    <xdr:cxnSp macro="">
      <xdr:nvCxnSpPr>
        <xdr:cNvPr id="17" name="Straight Connector 16"/>
        <xdr:cNvCxnSpPr/>
      </xdr:nvCxnSpPr>
      <xdr:spPr>
        <a:xfrm flipV="1">
          <a:off x="4341529" y="536631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222250</xdr:colOff>
      <xdr:row>32</xdr:row>
      <xdr:rowOff>84666</xdr:rowOff>
    </xdr:from>
    <xdr:to>
      <xdr:col>11</xdr:col>
      <xdr:colOff>793750</xdr:colOff>
      <xdr:row>32</xdr:row>
      <xdr:rowOff>84666</xdr:rowOff>
    </xdr:to>
    <xdr:cxnSp macro="">
      <xdr:nvCxnSpPr>
        <xdr:cNvPr id="18" name="Straight Connector 17"/>
        <xdr:cNvCxnSpPr/>
      </xdr:nvCxnSpPr>
      <xdr:spPr>
        <a:xfrm>
          <a:off x="4331607" y="6357559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222250</xdr:colOff>
      <xdr:row>33</xdr:row>
      <xdr:rowOff>63500</xdr:rowOff>
    </xdr:from>
    <xdr:to>
      <xdr:col>11</xdr:col>
      <xdr:colOff>804636</xdr:colOff>
      <xdr:row>33</xdr:row>
      <xdr:rowOff>156029</xdr:rowOff>
    </xdr:to>
    <xdr:cxnSp macro="">
      <xdr:nvCxnSpPr>
        <xdr:cNvPr id="19" name="Straight Connector 18"/>
        <xdr:cNvCxnSpPr/>
      </xdr:nvCxnSpPr>
      <xdr:spPr>
        <a:xfrm>
          <a:off x="4331607" y="6526893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220266</xdr:colOff>
      <xdr:row>26</xdr:row>
      <xdr:rowOff>77390</xdr:rowOff>
    </xdr:from>
    <xdr:to>
      <xdr:col>13</xdr:col>
      <xdr:colOff>3572</xdr:colOff>
      <xdr:row>26</xdr:row>
      <xdr:rowOff>178593</xdr:rowOff>
    </xdr:to>
    <xdr:grpSp>
      <xdr:nvGrpSpPr>
        <xdr:cNvPr id="2" name="Group 1"/>
        <xdr:cNvGrpSpPr/>
      </xdr:nvGrpSpPr>
      <xdr:grpSpPr>
        <a:xfrm>
          <a:off x="12297966" y="5182790"/>
          <a:ext cx="812006" cy="101203"/>
          <a:chOff x="8078391" y="5191124"/>
          <a:chExt cx="631031" cy="101203"/>
        </a:xfrm>
      </xdr:grpSpPr>
      <xdr:cxnSp macro="">
        <xdr:nvCxnSpPr>
          <xdr:cNvPr id="3" name="Straight Arrow Connector 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" name="Straight Arrow Connector 3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190500</xdr:colOff>
      <xdr:row>25</xdr:row>
      <xdr:rowOff>41670</xdr:rowOff>
    </xdr:from>
    <xdr:to>
      <xdr:col>13</xdr:col>
      <xdr:colOff>0</xdr:colOff>
      <xdr:row>25</xdr:row>
      <xdr:rowOff>172641</xdr:rowOff>
    </xdr:to>
    <xdr:grpSp>
      <xdr:nvGrpSpPr>
        <xdr:cNvPr id="5" name="Group 4"/>
        <xdr:cNvGrpSpPr/>
      </xdr:nvGrpSpPr>
      <xdr:grpSpPr>
        <a:xfrm>
          <a:off x="12268200" y="4956570"/>
          <a:ext cx="838200" cy="130971"/>
          <a:chOff x="7953375" y="4947045"/>
          <a:chExt cx="714375" cy="130971"/>
        </a:xfrm>
      </xdr:grpSpPr>
      <xdr:cxnSp macro="">
        <xdr:nvCxnSpPr>
          <xdr:cNvPr id="6" name="Straight Arrow Connector 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" name="Straight Arrow Connector 6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238125</xdr:colOff>
      <xdr:row>27</xdr:row>
      <xdr:rowOff>59531</xdr:rowOff>
    </xdr:from>
    <xdr:to>
      <xdr:col>12</xdr:col>
      <xdr:colOff>839391</xdr:colOff>
      <xdr:row>27</xdr:row>
      <xdr:rowOff>148828</xdr:rowOff>
    </xdr:to>
    <xdr:cxnSp macro="">
      <xdr:nvCxnSpPr>
        <xdr:cNvPr id="8" name="Straight Connector 7"/>
        <xdr:cNvCxnSpPr/>
      </xdr:nvCxnSpPr>
      <xdr:spPr>
        <a:xfrm flipV="1">
          <a:off x="18002250" y="53459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232172</xdr:colOff>
      <xdr:row>28</xdr:row>
      <xdr:rowOff>59531</xdr:rowOff>
    </xdr:from>
    <xdr:to>
      <xdr:col>12</xdr:col>
      <xdr:colOff>827484</xdr:colOff>
      <xdr:row>28</xdr:row>
      <xdr:rowOff>166688</xdr:rowOff>
    </xdr:to>
    <xdr:cxnSp macro="">
      <xdr:nvCxnSpPr>
        <xdr:cNvPr id="9" name="Straight Connector 8"/>
        <xdr:cNvCxnSpPr/>
      </xdr:nvCxnSpPr>
      <xdr:spPr>
        <a:xfrm flipV="1">
          <a:off x="17996297" y="553640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214313</xdr:colOff>
      <xdr:row>31</xdr:row>
      <xdr:rowOff>35718</xdr:rowOff>
    </xdr:from>
    <xdr:to>
      <xdr:col>12</xdr:col>
      <xdr:colOff>809625</xdr:colOff>
      <xdr:row>31</xdr:row>
      <xdr:rowOff>142875</xdr:rowOff>
    </xdr:to>
    <xdr:cxnSp macro="">
      <xdr:nvCxnSpPr>
        <xdr:cNvPr id="10" name="Straight Connector 9"/>
        <xdr:cNvCxnSpPr/>
      </xdr:nvCxnSpPr>
      <xdr:spPr>
        <a:xfrm flipV="1">
          <a:off x="17978438" y="60936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214312</xdr:colOff>
      <xdr:row>32</xdr:row>
      <xdr:rowOff>47625</xdr:rowOff>
    </xdr:from>
    <xdr:to>
      <xdr:col>12</xdr:col>
      <xdr:colOff>815578</xdr:colOff>
      <xdr:row>32</xdr:row>
      <xdr:rowOff>136922</xdr:rowOff>
    </xdr:to>
    <xdr:cxnSp macro="">
      <xdr:nvCxnSpPr>
        <xdr:cNvPr id="11" name="Straight Connector 10"/>
        <xdr:cNvCxnSpPr/>
      </xdr:nvCxnSpPr>
      <xdr:spPr>
        <a:xfrm flipV="1">
          <a:off x="17978437" y="629602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33</xdr:row>
      <xdr:rowOff>47625</xdr:rowOff>
    </xdr:from>
    <xdr:to>
      <xdr:col>13</xdr:col>
      <xdr:colOff>2381</xdr:colOff>
      <xdr:row>33</xdr:row>
      <xdr:rowOff>148828</xdr:rowOff>
    </xdr:to>
    <xdr:grpSp>
      <xdr:nvGrpSpPr>
        <xdr:cNvPr id="12" name="Group 11"/>
        <xdr:cNvGrpSpPr/>
      </xdr:nvGrpSpPr>
      <xdr:grpSpPr>
        <a:xfrm>
          <a:off x="12268200" y="6505575"/>
          <a:ext cx="840581" cy="101203"/>
          <a:chOff x="8078391" y="5191124"/>
          <a:chExt cx="631031" cy="101203"/>
        </a:xfrm>
      </xdr:grpSpPr>
      <xdr:cxnSp macro="">
        <xdr:nvCxnSpPr>
          <xdr:cNvPr id="13" name="Straight Arrow Connector 12"/>
          <xdr:cNvCxnSpPr/>
        </xdr:nvCxnSpPr>
        <xdr:spPr>
          <a:xfrm>
            <a:off x="8399859" y="5191125"/>
            <a:ext cx="309563" cy="1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Straight Arrow Connector 13"/>
          <xdr:cNvCxnSpPr/>
        </xdr:nvCxnSpPr>
        <xdr:spPr>
          <a:xfrm rot="10800000" flipV="1">
            <a:off x="8078391" y="5191124"/>
            <a:ext cx="309562" cy="10120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154781</xdr:colOff>
      <xdr:row>34</xdr:row>
      <xdr:rowOff>17859</xdr:rowOff>
    </xdr:from>
    <xdr:to>
      <xdr:col>13</xdr:col>
      <xdr:colOff>2381</xdr:colOff>
      <xdr:row>34</xdr:row>
      <xdr:rowOff>148830</xdr:rowOff>
    </xdr:to>
    <xdr:grpSp>
      <xdr:nvGrpSpPr>
        <xdr:cNvPr id="15" name="Group 14"/>
        <xdr:cNvGrpSpPr/>
      </xdr:nvGrpSpPr>
      <xdr:grpSpPr>
        <a:xfrm>
          <a:off x="12232481" y="6666309"/>
          <a:ext cx="876300" cy="130971"/>
          <a:chOff x="7953375" y="4947045"/>
          <a:chExt cx="714375" cy="130971"/>
        </a:xfrm>
      </xdr:grpSpPr>
      <xdr:cxnSp macro="">
        <xdr:nvCxnSpPr>
          <xdr:cNvPr id="16" name="Straight Arrow Connector 15"/>
          <xdr:cNvCxnSpPr/>
        </xdr:nvCxnSpPr>
        <xdr:spPr>
          <a:xfrm>
            <a:off x="8310563" y="4953000"/>
            <a:ext cx="357187" cy="125016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Straight Arrow Connector 16"/>
          <xdr:cNvCxnSpPr/>
        </xdr:nvCxnSpPr>
        <xdr:spPr>
          <a:xfrm rot="10800000" flipV="1">
            <a:off x="7953375" y="4947045"/>
            <a:ext cx="351234" cy="119063"/>
          </a:xfrm>
          <a:prstGeom prst="straightConnector1">
            <a:avLst/>
          </a:prstGeom>
          <a:ln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222250</xdr:colOff>
      <xdr:row>33</xdr:row>
      <xdr:rowOff>84666</xdr:rowOff>
    </xdr:from>
    <xdr:to>
      <xdr:col>3</xdr:col>
      <xdr:colOff>793750</xdr:colOff>
      <xdr:row>33</xdr:row>
      <xdr:rowOff>84666</xdr:rowOff>
    </xdr:to>
    <xdr:cxnSp macro="">
      <xdr:nvCxnSpPr>
        <xdr:cNvPr id="18" name="Straight Connector 17"/>
        <xdr:cNvCxnSpPr/>
      </xdr:nvCxnSpPr>
      <xdr:spPr>
        <a:xfrm>
          <a:off x="18167350" y="633306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31</xdr:row>
      <xdr:rowOff>63500</xdr:rowOff>
    </xdr:from>
    <xdr:to>
      <xdr:col>3</xdr:col>
      <xdr:colOff>804636</xdr:colOff>
      <xdr:row>31</xdr:row>
      <xdr:rowOff>156029</xdr:rowOff>
    </xdr:to>
    <xdr:cxnSp macro="">
      <xdr:nvCxnSpPr>
        <xdr:cNvPr id="19" name="Straight Connector 18"/>
        <xdr:cNvCxnSpPr/>
      </xdr:nvCxnSpPr>
      <xdr:spPr>
        <a:xfrm>
          <a:off x="18167350" y="593090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28</xdr:row>
      <xdr:rowOff>63500</xdr:rowOff>
    </xdr:from>
    <xdr:to>
      <xdr:col>3</xdr:col>
      <xdr:colOff>804636</xdr:colOff>
      <xdr:row>28</xdr:row>
      <xdr:rowOff>156029</xdr:rowOff>
    </xdr:to>
    <xdr:cxnSp macro="">
      <xdr:nvCxnSpPr>
        <xdr:cNvPr id="20" name="Straight Connector 19"/>
        <xdr:cNvCxnSpPr/>
      </xdr:nvCxnSpPr>
      <xdr:spPr>
        <a:xfrm>
          <a:off x="18167350" y="534987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27</xdr:row>
      <xdr:rowOff>63500</xdr:rowOff>
    </xdr:from>
    <xdr:to>
      <xdr:col>3</xdr:col>
      <xdr:colOff>804636</xdr:colOff>
      <xdr:row>27</xdr:row>
      <xdr:rowOff>156029</xdr:rowOff>
    </xdr:to>
    <xdr:cxnSp macro="">
      <xdr:nvCxnSpPr>
        <xdr:cNvPr id="21" name="Straight Connector 20"/>
        <xdr:cNvCxnSpPr/>
      </xdr:nvCxnSpPr>
      <xdr:spPr>
        <a:xfrm>
          <a:off x="18167350" y="515937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32</xdr:row>
      <xdr:rowOff>63500</xdr:rowOff>
    </xdr:from>
    <xdr:to>
      <xdr:col>3</xdr:col>
      <xdr:colOff>804636</xdr:colOff>
      <xdr:row>32</xdr:row>
      <xdr:rowOff>156029</xdr:rowOff>
    </xdr:to>
    <xdr:cxnSp macro="">
      <xdr:nvCxnSpPr>
        <xdr:cNvPr id="22" name="Straight Connector 21"/>
        <xdr:cNvCxnSpPr/>
      </xdr:nvCxnSpPr>
      <xdr:spPr>
        <a:xfrm>
          <a:off x="18167350" y="612140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232172</xdr:colOff>
      <xdr:row>34</xdr:row>
      <xdr:rowOff>59531</xdr:rowOff>
    </xdr:from>
    <xdr:to>
      <xdr:col>3</xdr:col>
      <xdr:colOff>827484</xdr:colOff>
      <xdr:row>34</xdr:row>
      <xdr:rowOff>166688</xdr:rowOff>
    </xdr:to>
    <xdr:cxnSp macro="">
      <xdr:nvCxnSpPr>
        <xdr:cNvPr id="23" name="Straight Connector 22"/>
        <xdr:cNvCxnSpPr/>
      </xdr:nvCxnSpPr>
      <xdr:spPr>
        <a:xfrm flipV="1">
          <a:off x="18177272" y="649843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26</xdr:row>
      <xdr:rowOff>84666</xdr:rowOff>
    </xdr:from>
    <xdr:to>
      <xdr:col>3</xdr:col>
      <xdr:colOff>793750</xdr:colOff>
      <xdr:row>26</xdr:row>
      <xdr:rowOff>84666</xdr:rowOff>
    </xdr:to>
    <xdr:cxnSp macro="">
      <xdr:nvCxnSpPr>
        <xdr:cNvPr id="24" name="Straight Connector 23"/>
        <xdr:cNvCxnSpPr/>
      </xdr:nvCxnSpPr>
      <xdr:spPr>
        <a:xfrm>
          <a:off x="18167350" y="499004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232172</xdr:colOff>
      <xdr:row>25</xdr:row>
      <xdr:rowOff>59531</xdr:rowOff>
    </xdr:from>
    <xdr:to>
      <xdr:col>3</xdr:col>
      <xdr:colOff>827484</xdr:colOff>
      <xdr:row>25</xdr:row>
      <xdr:rowOff>166688</xdr:rowOff>
    </xdr:to>
    <xdr:cxnSp macro="">
      <xdr:nvCxnSpPr>
        <xdr:cNvPr id="25" name="Straight Connector 24"/>
        <xdr:cNvCxnSpPr/>
      </xdr:nvCxnSpPr>
      <xdr:spPr>
        <a:xfrm flipV="1">
          <a:off x="4208860" y="4976812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33</xdr:row>
      <xdr:rowOff>84666</xdr:rowOff>
    </xdr:from>
    <xdr:to>
      <xdr:col>10</xdr:col>
      <xdr:colOff>793750</xdr:colOff>
      <xdr:row>33</xdr:row>
      <xdr:rowOff>84666</xdr:rowOff>
    </xdr:to>
    <xdr:cxnSp macro="">
      <xdr:nvCxnSpPr>
        <xdr:cNvPr id="26" name="Straight Connector 25"/>
        <xdr:cNvCxnSpPr/>
      </xdr:nvCxnSpPr>
      <xdr:spPr>
        <a:xfrm>
          <a:off x="4198938" y="653785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31</xdr:row>
      <xdr:rowOff>63500</xdr:rowOff>
    </xdr:from>
    <xdr:to>
      <xdr:col>10</xdr:col>
      <xdr:colOff>804636</xdr:colOff>
      <xdr:row>31</xdr:row>
      <xdr:rowOff>156029</xdr:rowOff>
    </xdr:to>
    <xdr:cxnSp macro="">
      <xdr:nvCxnSpPr>
        <xdr:cNvPr id="27" name="Straight Connector 26"/>
        <xdr:cNvCxnSpPr/>
      </xdr:nvCxnSpPr>
      <xdr:spPr>
        <a:xfrm>
          <a:off x="4198938" y="613568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28</xdr:row>
      <xdr:rowOff>63500</xdr:rowOff>
    </xdr:from>
    <xdr:to>
      <xdr:col>10</xdr:col>
      <xdr:colOff>804636</xdr:colOff>
      <xdr:row>28</xdr:row>
      <xdr:rowOff>156029</xdr:rowOff>
    </xdr:to>
    <xdr:cxnSp macro="">
      <xdr:nvCxnSpPr>
        <xdr:cNvPr id="28" name="Straight Connector 27"/>
        <xdr:cNvCxnSpPr/>
      </xdr:nvCxnSpPr>
      <xdr:spPr>
        <a:xfrm>
          <a:off x="4198938" y="555228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27</xdr:row>
      <xdr:rowOff>63500</xdr:rowOff>
    </xdr:from>
    <xdr:to>
      <xdr:col>10</xdr:col>
      <xdr:colOff>804636</xdr:colOff>
      <xdr:row>27</xdr:row>
      <xdr:rowOff>156029</xdr:rowOff>
    </xdr:to>
    <xdr:cxnSp macro="">
      <xdr:nvCxnSpPr>
        <xdr:cNvPr id="29" name="Straight Connector 28"/>
        <xdr:cNvCxnSpPr/>
      </xdr:nvCxnSpPr>
      <xdr:spPr>
        <a:xfrm>
          <a:off x="4198938" y="536178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32</xdr:row>
      <xdr:rowOff>63500</xdr:rowOff>
    </xdr:from>
    <xdr:to>
      <xdr:col>10</xdr:col>
      <xdr:colOff>804636</xdr:colOff>
      <xdr:row>32</xdr:row>
      <xdr:rowOff>156029</xdr:rowOff>
    </xdr:to>
    <xdr:cxnSp macro="">
      <xdr:nvCxnSpPr>
        <xdr:cNvPr id="30" name="Straight Connector 29"/>
        <xdr:cNvCxnSpPr/>
      </xdr:nvCxnSpPr>
      <xdr:spPr>
        <a:xfrm>
          <a:off x="4198938" y="632618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232172</xdr:colOff>
      <xdr:row>34</xdr:row>
      <xdr:rowOff>59531</xdr:rowOff>
    </xdr:from>
    <xdr:to>
      <xdr:col>10</xdr:col>
      <xdr:colOff>827484</xdr:colOff>
      <xdr:row>34</xdr:row>
      <xdr:rowOff>166688</xdr:rowOff>
    </xdr:to>
    <xdr:cxnSp macro="">
      <xdr:nvCxnSpPr>
        <xdr:cNvPr id="31" name="Straight Connector 30"/>
        <xdr:cNvCxnSpPr/>
      </xdr:nvCxnSpPr>
      <xdr:spPr>
        <a:xfrm flipV="1">
          <a:off x="4208860" y="670321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26</xdr:row>
      <xdr:rowOff>84666</xdr:rowOff>
    </xdr:from>
    <xdr:to>
      <xdr:col>10</xdr:col>
      <xdr:colOff>793750</xdr:colOff>
      <xdr:row>26</xdr:row>
      <xdr:rowOff>84666</xdr:rowOff>
    </xdr:to>
    <xdr:cxnSp macro="">
      <xdr:nvCxnSpPr>
        <xdr:cNvPr id="32" name="Straight Connector 31"/>
        <xdr:cNvCxnSpPr/>
      </xdr:nvCxnSpPr>
      <xdr:spPr>
        <a:xfrm>
          <a:off x="4198938" y="5192447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232172</xdr:colOff>
      <xdr:row>25</xdr:row>
      <xdr:rowOff>59531</xdr:rowOff>
    </xdr:from>
    <xdr:to>
      <xdr:col>10</xdr:col>
      <xdr:colOff>827484</xdr:colOff>
      <xdr:row>25</xdr:row>
      <xdr:rowOff>166688</xdr:rowOff>
    </xdr:to>
    <xdr:cxnSp macro="">
      <xdr:nvCxnSpPr>
        <xdr:cNvPr id="33" name="Straight Connector 32"/>
        <xdr:cNvCxnSpPr/>
      </xdr:nvCxnSpPr>
      <xdr:spPr>
        <a:xfrm flipV="1">
          <a:off x="4208860" y="4976812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214313</xdr:colOff>
      <xdr:row>30</xdr:row>
      <xdr:rowOff>35718</xdr:rowOff>
    </xdr:from>
    <xdr:to>
      <xdr:col>10</xdr:col>
      <xdr:colOff>809625</xdr:colOff>
      <xdr:row>30</xdr:row>
      <xdr:rowOff>142875</xdr:rowOff>
    </xdr:to>
    <xdr:cxnSp macro="">
      <xdr:nvCxnSpPr>
        <xdr:cNvPr id="2" name="Straight Connector 1"/>
        <xdr:cNvCxnSpPr/>
      </xdr:nvCxnSpPr>
      <xdr:spPr>
        <a:xfrm flipV="1">
          <a:off x="4033838" y="59031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214312</xdr:colOff>
      <xdr:row>31</xdr:row>
      <xdr:rowOff>47625</xdr:rowOff>
    </xdr:from>
    <xdr:to>
      <xdr:col>10</xdr:col>
      <xdr:colOff>815578</xdr:colOff>
      <xdr:row>31</xdr:row>
      <xdr:rowOff>136922</xdr:rowOff>
    </xdr:to>
    <xdr:cxnSp macro="">
      <xdr:nvCxnSpPr>
        <xdr:cNvPr id="3" name="Straight Connector 2"/>
        <xdr:cNvCxnSpPr/>
      </xdr:nvCxnSpPr>
      <xdr:spPr>
        <a:xfrm flipV="1">
          <a:off x="4033837" y="6105525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26</xdr:row>
      <xdr:rowOff>59531</xdr:rowOff>
    </xdr:from>
    <xdr:to>
      <xdr:col>10</xdr:col>
      <xdr:colOff>839391</xdr:colOff>
      <xdr:row>26</xdr:row>
      <xdr:rowOff>148828</xdr:rowOff>
    </xdr:to>
    <xdr:cxnSp macro="">
      <xdr:nvCxnSpPr>
        <xdr:cNvPr id="10" name="Straight Connector 9"/>
        <xdr:cNvCxnSpPr/>
      </xdr:nvCxnSpPr>
      <xdr:spPr>
        <a:xfrm flipV="1">
          <a:off x="4057650" y="5155406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232172</xdr:colOff>
      <xdr:row>27</xdr:row>
      <xdr:rowOff>59531</xdr:rowOff>
    </xdr:from>
    <xdr:to>
      <xdr:col>10</xdr:col>
      <xdr:colOff>827484</xdr:colOff>
      <xdr:row>27</xdr:row>
      <xdr:rowOff>166688</xdr:rowOff>
    </xdr:to>
    <xdr:cxnSp macro="">
      <xdr:nvCxnSpPr>
        <xdr:cNvPr id="11" name="Straight Connector 10"/>
        <xdr:cNvCxnSpPr/>
      </xdr:nvCxnSpPr>
      <xdr:spPr>
        <a:xfrm flipV="1">
          <a:off x="4051697" y="534590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32</xdr:row>
      <xdr:rowOff>84666</xdr:rowOff>
    </xdr:from>
    <xdr:to>
      <xdr:col>10</xdr:col>
      <xdr:colOff>793750</xdr:colOff>
      <xdr:row>32</xdr:row>
      <xdr:rowOff>84666</xdr:rowOff>
    </xdr:to>
    <xdr:cxnSp macro="">
      <xdr:nvCxnSpPr>
        <xdr:cNvPr id="21" name="Straight Connector 20"/>
        <xdr:cNvCxnSpPr/>
      </xdr:nvCxnSpPr>
      <xdr:spPr>
        <a:xfrm>
          <a:off x="4032250" y="633941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222250</xdr:colOff>
      <xdr:row>33</xdr:row>
      <xdr:rowOff>63500</xdr:rowOff>
    </xdr:from>
    <xdr:to>
      <xdr:col>10</xdr:col>
      <xdr:colOff>804636</xdr:colOff>
      <xdr:row>33</xdr:row>
      <xdr:rowOff>156029</xdr:rowOff>
    </xdr:to>
    <xdr:cxnSp macro="">
      <xdr:nvCxnSpPr>
        <xdr:cNvPr id="22" name="Straight Connector 21"/>
        <xdr:cNvCxnSpPr/>
      </xdr:nvCxnSpPr>
      <xdr:spPr>
        <a:xfrm>
          <a:off x="4032250" y="650875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214313</xdr:colOff>
      <xdr:row>30</xdr:row>
      <xdr:rowOff>35718</xdr:rowOff>
    </xdr:from>
    <xdr:to>
      <xdr:col>3</xdr:col>
      <xdr:colOff>809625</xdr:colOff>
      <xdr:row>30</xdr:row>
      <xdr:rowOff>142875</xdr:rowOff>
    </xdr:to>
    <xdr:cxnSp macro="">
      <xdr:nvCxnSpPr>
        <xdr:cNvPr id="8" name="Straight Connector 7"/>
        <xdr:cNvCxnSpPr/>
      </xdr:nvCxnSpPr>
      <xdr:spPr>
        <a:xfrm flipV="1">
          <a:off x="8895670" y="592761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214312</xdr:colOff>
      <xdr:row>31</xdr:row>
      <xdr:rowOff>47625</xdr:rowOff>
    </xdr:from>
    <xdr:to>
      <xdr:col>3</xdr:col>
      <xdr:colOff>815578</xdr:colOff>
      <xdr:row>31</xdr:row>
      <xdr:rowOff>136922</xdr:rowOff>
    </xdr:to>
    <xdr:cxnSp macro="">
      <xdr:nvCxnSpPr>
        <xdr:cNvPr id="9" name="Straight Connector 8"/>
        <xdr:cNvCxnSpPr/>
      </xdr:nvCxnSpPr>
      <xdr:spPr>
        <a:xfrm flipV="1">
          <a:off x="8895669" y="6130018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238125</xdr:colOff>
      <xdr:row>26</xdr:row>
      <xdr:rowOff>59531</xdr:rowOff>
    </xdr:from>
    <xdr:to>
      <xdr:col>3</xdr:col>
      <xdr:colOff>839391</xdr:colOff>
      <xdr:row>26</xdr:row>
      <xdr:rowOff>148828</xdr:rowOff>
    </xdr:to>
    <xdr:cxnSp macro="">
      <xdr:nvCxnSpPr>
        <xdr:cNvPr id="12" name="Straight Connector 11"/>
        <xdr:cNvCxnSpPr/>
      </xdr:nvCxnSpPr>
      <xdr:spPr>
        <a:xfrm flipV="1">
          <a:off x="8919482" y="5175817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232172</xdr:colOff>
      <xdr:row>27</xdr:row>
      <xdr:rowOff>59531</xdr:rowOff>
    </xdr:from>
    <xdr:to>
      <xdr:col>3</xdr:col>
      <xdr:colOff>827484</xdr:colOff>
      <xdr:row>27</xdr:row>
      <xdr:rowOff>166688</xdr:rowOff>
    </xdr:to>
    <xdr:cxnSp macro="">
      <xdr:nvCxnSpPr>
        <xdr:cNvPr id="13" name="Straight Connector 12"/>
        <xdr:cNvCxnSpPr/>
      </xdr:nvCxnSpPr>
      <xdr:spPr>
        <a:xfrm flipV="1">
          <a:off x="8913529" y="536631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32</xdr:row>
      <xdr:rowOff>84666</xdr:rowOff>
    </xdr:from>
    <xdr:to>
      <xdr:col>3</xdr:col>
      <xdr:colOff>793750</xdr:colOff>
      <xdr:row>32</xdr:row>
      <xdr:rowOff>84666</xdr:rowOff>
    </xdr:to>
    <xdr:cxnSp macro="">
      <xdr:nvCxnSpPr>
        <xdr:cNvPr id="14" name="Straight Connector 13"/>
        <xdr:cNvCxnSpPr/>
      </xdr:nvCxnSpPr>
      <xdr:spPr>
        <a:xfrm>
          <a:off x="8903607" y="6357559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222250</xdr:colOff>
      <xdr:row>33</xdr:row>
      <xdr:rowOff>63500</xdr:rowOff>
    </xdr:from>
    <xdr:to>
      <xdr:col>3</xdr:col>
      <xdr:colOff>804636</xdr:colOff>
      <xdr:row>33</xdr:row>
      <xdr:rowOff>156029</xdr:rowOff>
    </xdr:to>
    <xdr:cxnSp macro="">
      <xdr:nvCxnSpPr>
        <xdr:cNvPr id="15" name="Straight Connector 14"/>
        <xdr:cNvCxnSpPr/>
      </xdr:nvCxnSpPr>
      <xdr:spPr>
        <a:xfrm>
          <a:off x="8903607" y="6526893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363400</xdr:colOff>
      <xdr:row>30</xdr:row>
      <xdr:rowOff>52284</xdr:rowOff>
    </xdr:from>
    <xdr:to>
      <xdr:col>3</xdr:col>
      <xdr:colOff>958712</xdr:colOff>
      <xdr:row>30</xdr:row>
      <xdr:rowOff>159441</xdr:rowOff>
    </xdr:to>
    <xdr:cxnSp macro="">
      <xdr:nvCxnSpPr>
        <xdr:cNvPr id="2" name="Straight Connector 1"/>
        <xdr:cNvCxnSpPr/>
      </xdr:nvCxnSpPr>
      <xdr:spPr>
        <a:xfrm flipV="1">
          <a:off x="4471574" y="612343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358939</xdr:colOff>
      <xdr:row>31</xdr:row>
      <xdr:rowOff>39343</xdr:rowOff>
    </xdr:from>
    <xdr:to>
      <xdr:col>3</xdr:col>
      <xdr:colOff>964665</xdr:colOff>
      <xdr:row>31</xdr:row>
      <xdr:rowOff>128640</xdr:rowOff>
    </xdr:to>
    <xdr:cxnSp macro="">
      <xdr:nvCxnSpPr>
        <xdr:cNvPr id="3" name="Straight Connector 2"/>
        <xdr:cNvCxnSpPr/>
      </xdr:nvCxnSpPr>
      <xdr:spPr>
        <a:xfrm flipV="1">
          <a:off x="4462016" y="6296535"/>
          <a:ext cx="60572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378929</xdr:colOff>
      <xdr:row>26</xdr:row>
      <xdr:rowOff>59531</xdr:rowOff>
    </xdr:from>
    <xdr:to>
      <xdr:col>4</xdr:col>
      <xdr:colOff>2847</xdr:colOff>
      <xdr:row>26</xdr:row>
      <xdr:rowOff>148828</xdr:rowOff>
    </xdr:to>
    <xdr:cxnSp macro="">
      <xdr:nvCxnSpPr>
        <xdr:cNvPr id="4" name="Straight Connector 3"/>
        <xdr:cNvCxnSpPr/>
      </xdr:nvCxnSpPr>
      <xdr:spPr>
        <a:xfrm flipV="1">
          <a:off x="4487103" y="5360401"/>
          <a:ext cx="601266" cy="8929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381259</xdr:colOff>
      <xdr:row>27</xdr:row>
      <xdr:rowOff>51248</xdr:rowOff>
    </xdr:from>
    <xdr:to>
      <xdr:col>3</xdr:col>
      <xdr:colOff>976571</xdr:colOff>
      <xdr:row>27</xdr:row>
      <xdr:rowOff>158405</xdr:rowOff>
    </xdr:to>
    <xdr:cxnSp macro="">
      <xdr:nvCxnSpPr>
        <xdr:cNvPr id="5" name="Straight Connector 4"/>
        <xdr:cNvCxnSpPr/>
      </xdr:nvCxnSpPr>
      <xdr:spPr>
        <a:xfrm flipV="1">
          <a:off x="4489433" y="55426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395229</xdr:colOff>
      <xdr:row>32</xdr:row>
      <xdr:rowOff>100275</xdr:rowOff>
    </xdr:from>
    <xdr:to>
      <xdr:col>3</xdr:col>
      <xdr:colOff>966729</xdr:colOff>
      <xdr:row>32</xdr:row>
      <xdr:rowOff>100275</xdr:rowOff>
    </xdr:to>
    <xdr:cxnSp macro="">
      <xdr:nvCxnSpPr>
        <xdr:cNvPr id="6" name="Straight Connector 5"/>
        <xdr:cNvCxnSpPr/>
      </xdr:nvCxnSpPr>
      <xdr:spPr>
        <a:xfrm>
          <a:off x="4498306" y="6547967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385036</xdr:colOff>
      <xdr:row>33</xdr:row>
      <xdr:rowOff>38651</xdr:rowOff>
    </xdr:from>
    <xdr:to>
      <xdr:col>3</xdr:col>
      <xdr:colOff>967422</xdr:colOff>
      <xdr:row>33</xdr:row>
      <xdr:rowOff>131180</xdr:rowOff>
    </xdr:to>
    <xdr:cxnSp macro="">
      <xdr:nvCxnSpPr>
        <xdr:cNvPr id="7" name="Straight Connector 6"/>
        <xdr:cNvCxnSpPr/>
      </xdr:nvCxnSpPr>
      <xdr:spPr>
        <a:xfrm>
          <a:off x="4488113" y="6676843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407972</xdr:colOff>
      <xdr:row>32</xdr:row>
      <xdr:rowOff>92949</xdr:rowOff>
    </xdr:from>
    <xdr:to>
      <xdr:col>10</xdr:col>
      <xdr:colOff>979472</xdr:colOff>
      <xdr:row>32</xdr:row>
      <xdr:rowOff>92949</xdr:rowOff>
    </xdr:to>
    <xdr:cxnSp macro="">
      <xdr:nvCxnSpPr>
        <xdr:cNvPr id="12" name="Straight Connector 11"/>
        <xdr:cNvCxnSpPr/>
      </xdr:nvCxnSpPr>
      <xdr:spPr>
        <a:xfrm>
          <a:off x="12262934" y="654064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399107</xdr:colOff>
      <xdr:row>31</xdr:row>
      <xdr:rowOff>46935</xdr:rowOff>
    </xdr:from>
    <xdr:to>
      <xdr:col>11</xdr:col>
      <xdr:colOff>4145</xdr:colOff>
      <xdr:row>31</xdr:row>
      <xdr:rowOff>139464</xdr:rowOff>
    </xdr:to>
    <xdr:cxnSp macro="">
      <xdr:nvCxnSpPr>
        <xdr:cNvPr id="13" name="Straight Connector 12"/>
        <xdr:cNvCxnSpPr/>
      </xdr:nvCxnSpPr>
      <xdr:spPr>
        <a:xfrm>
          <a:off x="12276368" y="630858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405423</xdr:colOff>
      <xdr:row>32</xdr:row>
      <xdr:rowOff>99319</xdr:rowOff>
    </xdr:from>
    <xdr:to>
      <xdr:col>17</xdr:col>
      <xdr:colOff>976923</xdr:colOff>
      <xdr:row>32</xdr:row>
      <xdr:rowOff>99319</xdr:rowOff>
    </xdr:to>
    <xdr:cxnSp macro="">
      <xdr:nvCxnSpPr>
        <xdr:cNvPr id="18" name="Straight Connector 17"/>
        <xdr:cNvCxnSpPr/>
      </xdr:nvCxnSpPr>
      <xdr:spPr>
        <a:xfrm>
          <a:off x="20012269" y="654701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379620</xdr:colOff>
      <xdr:row>27</xdr:row>
      <xdr:rowOff>46935</xdr:rowOff>
    </xdr:from>
    <xdr:to>
      <xdr:col>10</xdr:col>
      <xdr:colOff>962006</xdr:colOff>
      <xdr:row>27</xdr:row>
      <xdr:rowOff>139464</xdr:rowOff>
    </xdr:to>
    <xdr:cxnSp macro="">
      <xdr:nvCxnSpPr>
        <xdr:cNvPr id="20" name="Straight Connector 19"/>
        <xdr:cNvCxnSpPr/>
      </xdr:nvCxnSpPr>
      <xdr:spPr>
        <a:xfrm>
          <a:off x="12256881" y="553830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401601</xdr:colOff>
      <xdr:row>30</xdr:row>
      <xdr:rowOff>55218</xdr:rowOff>
    </xdr:from>
    <xdr:to>
      <xdr:col>11</xdr:col>
      <xdr:colOff>2180</xdr:colOff>
      <xdr:row>30</xdr:row>
      <xdr:rowOff>147747</xdr:rowOff>
    </xdr:to>
    <xdr:cxnSp macro="">
      <xdr:nvCxnSpPr>
        <xdr:cNvPr id="21" name="Straight Connector 20"/>
        <xdr:cNvCxnSpPr/>
      </xdr:nvCxnSpPr>
      <xdr:spPr>
        <a:xfrm>
          <a:off x="12256563" y="6121910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398096</xdr:colOff>
      <xdr:row>30</xdr:row>
      <xdr:rowOff>56173</xdr:rowOff>
    </xdr:from>
    <xdr:to>
      <xdr:col>17</xdr:col>
      <xdr:colOff>980482</xdr:colOff>
      <xdr:row>30</xdr:row>
      <xdr:rowOff>148702</xdr:rowOff>
    </xdr:to>
    <xdr:cxnSp macro="">
      <xdr:nvCxnSpPr>
        <xdr:cNvPr id="22" name="Straight Connector 21"/>
        <xdr:cNvCxnSpPr/>
      </xdr:nvCxnSpPr>
      <xdr:spPr>
        <a:xfrm>
          <a:off x="20004942" y="612286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405423</xdr:colOff>
      <xdr:row>27</xdr:row>
      <xdr:rowOff>56174</xdr:rowOff>
    </xdr:from>
    <xdr:to>
      <xdr:col>18</xdr:col>
      <xdr:colOff>6001</xdr:colOff>
      <xdr:row>27</xdr:row>
      <xdr:rowOff>148703</xdr:rowOff>
    </xdr:to>
    <xdr:cxnSp macro="">
      <xdr:nvCxnSpPr>
        <xdr:cNvPr id="23" name="Straight Connector 22"/>
        <xdr:cNvCxnSpPr/>
      </xdr:nvCxnSpPr>
      <xdr:spPr>
        <a:xfrm>
          <a:off x="20012269" y="554403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398096</xdr:colOff>
      <xdr:row>26</xdr:row>
      <xdr:rowOff>56173</xdr:rowOff>
    </xdr:from>
    <xdr:to>
      <xdr:col>17</xdr:col>
      <xdr:colOff>980482</xdr:colOff>
      <xdr:row>26</xdr:row>
      <xdr:rowOff>148702</xdr:rowOff>
    </xdr:to>
    <xdr:cxnSp macro="">
      <xdr:nvCxnSpPr>
        <xdr:cNvPr id="24" name="Straight Connector 23"/>
        <xdr:cNvCxnSpPr/>
      </xdr:nvCxnSpPr>
      <xdr:spPr>
        <a:xfrm>
          <a:off x="20004942" y="535353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405424</xdr:colOff>
      <xdr:row>31</xdr:row>
      <xdr:rowOff>48846</xdr:rowOff>
    </xdr:from>
    <xdr:to>
      <xdr:col>18</xdr:col>
      <xdr:colOff>6002</xdr:colOff>
      <xdr:row>31</xdr:row>
      <xdr:rowOff>141375</xdr:rowOff>
    </xdr:to>
    <xdr:cxnSp macro="">
      <xdr:nvCxnSpPr>
        <xdr:cNvPr id="25" name="Straight Connector 24"/>
        <xdr:cNvCxnSpPr/>
      </xdr:nvCxnSpPr>
      <xdr:spPr>
        <a:xfrm>
          <a:off x="20012270" y="630603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378710</xdr:colOff>
      <xdr:row>33</xdr:row>
      <xdr:rowOff>44877</xdr:rowOff>
    </xdr:from>
    <xdr:to>
      <xdr:col>17</xdr:col>
      <xdr:colOff>974022</xdr:colOff>
      <xdr:row>33</xdr:row>
      <xdr:rowOff>152034</xdr:rowOff>
    </xdr:to>
    <xdr:cxnSp macro="">
      <xdr:nvCxnSpPr>
        <xdr:cNvPr id="26" name="Straight Connector 25"/>
        <xdr:cNvCxnSpPr/>
      </xdr:nvCxnSpPr>
      <xdr:spPr>
        <a:xfrm flipV="1">
          <a:off x="19985556" y="668306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372976</xdr:colOff>
      <xdr:row>33</xdr:row>
      <xdr:rowOff>42966</xdr:rowOff>
    </xdr:from>
    <xdr:to>
      <xdr:col>10</xdr:col>
      <xdr:colOff>968288</xdr:colOff>
      <xdr:row>33</xdr:row>
      <xdr:rowOff>150123</xdr:rowOff>
    </xdr:to>
    <xdr:cxnSp macro="">
      <xdr:nvCxnSpPr>
        <xdr:cNvPr id="27" name="Straight Connector 26"/>
        <xdr:cNvCxnSpPr/>
      </xdr:nvCxnSpPr>
      <xdr:spPr>
        <a:xfrm flipV="1">
          <a:off x="12250237" y="66856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396185</xdr:colOff>
      <xdr:row>32</xdr:row>
      <xdr:rowOff>101231</xdr:rowOff>
    </xdr:from>
    <xdr:to>
      <xdr:col>10</xdr:col>
      <xdr:colOff>967685</xdr:colOff>
      <xdr:row>32</xdr:row>
      <xdr:rowOff>101231</xdr:rowOff>
    </xdr:to>
    <xdr:cxnSp macro="">
      <xdr:nvCxnSpPr>
        <xdr:cNvPr id="2" name="Straight Connector 1"/>
        <xdr:cNvCxnSpPr/>
      </xdr:nvCxnSpPr>
      <xdr:spPr>
        <a:xfrm>
          <a:off x="4206185" y="634631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404090</xdr:colOff>
      <xdr:row>32</xdr:row>
      <xdr:rowOff>93326</xdr:rowOff>
    </xdr:from>
    <xdr:to>
      <xdr:col>17</xdr:col>
      <xdr:colOff>975590</xdr:colOff>
      <xdr:row>32</xdr:row>
      <xdr:rowOff>93326</xdr:rowOff>
    </xdr:to>
    <xdr:cxnSp macro="">
      <xdr:nvCxnSpPr>
        <xdr:cNvPr id="22" name="Straight Connector 21"/>
        <xdr:cNvCxnSpPr/>
      </xdr:nvCxnSpPr>
      <xdr:spPr>
        <a:xfrm>
          <a:off x="11279908" y="633653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395432</xdr:colOff>
      <xdr:row>30</xdr:row>
      <xdr:rowOff>54841</xdr:rowOff>
    </xdr:from>
    <xdr:to>
      <xdr:col>17</xdr:col>
      <xdr:colOff>977818</xdr:colOff>
      <xdr:row>30</xdr:row>
      <xdr:rowOff>147370</xdr:rowOff>
    </xdr:to>
    <xdr:cxnSp macro="">
      <xdr:nvCxnSpPr>
        <xdr:cNvPr id="23" name="Straight Connector 22"/>
        <xdr:cNvCxnSpPr/>
      </xdr:nvCxnSpPr>
      <xdr:spPr>
        <a:xfrm>
          <a:off x="11271250" y="591704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404091</xdr:colOff>
      <xdr:row>27</xdr:row>
      <xdr:rowOff>54841</xdr:rowOff>
    </xdr:from>
    <xdr:to>
      <xdr:col>18</xdr:col>
      <xdr:colOff>8000</xdr:colOff>
      <xdr:row>27</xdr:row>
      <xdr:rowOff>147370</xdr:rowOff>
    </xdr:to>
    <xdr:cxnSp macro="">
      <xdr:nvCxnSpPr>
        <xdr:cNvPr id="24" name="Straight Connector 23"/>
        <xdr:cNvCxnSpPr/>
      </xdr:nvCxnSpPr>
      <xdr:spPr>
        <a:xfrm>
          <a:off x="11279909" y="533688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404091</xdr:colOff>
      <xdr:row>26</xdr:row>
      <xdr:rowOff>46182</xdr:rowOff>
    </xdr:from>
    <xdr:to>
      <xdr:col>18</xdr:col>
      <xdr:colOff>8000</xdr:colOff>
      <xdr:row>26</xdr:row>
      <xdr:rowOff>138711</xdr:rowOff>
    </xdr:to>
    <xdr:cxnSp macro="">
      <xdr:nvCxnSpPr>
        <xdr:cNvPr id="25" name="Straight Connector 24"/>
        <xdr:cNvCxnSpPr/>
      </xdr:nvCxnSpPr>
      <xdr:spPr>
        <a:xfrm>
          <a:off x="11279909" y="513772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395432</xdr:colOff>
      <xdr:row>31</xdr:row>
      <xdr:rowOff>54841</xdr:rowOff>
    </xdr:from>
    <xdr:to>
      <xdr:col>17</xdr:col>
      <xdr:colOff>977818</xdr:colOff>
      <xdr:row>31</xdr:row>
      <xdr:rowOff>147370</xdr:rowOff>
    </xdr:to>
    <xdr:cxnSp macro="">
      <xdr:nvCxnSpPr>
        <xdr:cNvPr id="26" name="Straight Connector 25"/>
        <xdr:cNvCxnSpPr/>
      </xdr:nvCxnSpPr>
      <xdr:spPr>
        <a:xfrm>
          <a:off x="11271250" y="610754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370718</xdr:colOff>
      <xdr:row>33</xdr:row>
      <xdr:rowOff>42212</xdr:rowOff>
    </xdr:from>
    <xdr:to>
      <xdr:col>17</xdr:col>
      <xdr:colOff>966030</xdr:colOff>
      <xdr:row>33</xdr:row>
      <xdr:rowOff>149369</xdr:rowOff>
    </xdr:to>
    <xdr:cxnSp macro="">
      <xdr:nvCxnSpPr>
        <xdr:cNvPr id="27" name="Straight Connector 26"/>
        <xdr:cNvCxnSpPr/>
      </xdr:nvCxnSpPr>
      <xdr:spPr>
        <a:xfrm flipV="1">
          <a:off x="11246536" y="647591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404091</xdr:colOff>
      <xdr:row>25</xdr:row>
      <xdr:rowOff>93325</xdr:rowOff>
    </xdr:from>
    <xdr:to>
      <xdr:col>17</xdr:col>
      <xdr:colOff>975591</xdr:colOff>
      <xdr:row>25</xdr:row>
      <xdr:rowOff>93325</xdr:rowOff>
    </xdr:to>
    <xdr:cxnSp macro="">
      <xdr:nvCxnSpPr>
        <xdr:cNvPr id="35" name="Straight Connector 34"/>
        <xdr:cNvCxnSpPr/>
      </xdr:nvCxnSpPr>
      <xdr:spPr>
        <a:xfrm>
          <a:off x="11279909" y="4994370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388036</xdr:colOff>
      <xdr:row>24</xdr:row>
      <xdr:rowOff>50871</xdr:rowOff>
    </xdr:from>
    <xdr:to>
      <xdr:col>18</xdr:col>
      <xdr:colOff>4871</xdr:colOff>
      <xdr:row>24</xdr:row>
      <xdr:rowOff>158028</xdr:rowOff>
    </xdr:to>
    <xdr:cxnSp macro="">
      <xdr:nvCxnSpPr>
        <xdr:cNvPr id="36" name="Straight Connector 35"/>
        <xdr:cNvCxnSpPr/>
      </xdr:nvCxnSpPr>
      <xdr:spPr>
        <a:xfrm flipV="1">
          <a:off x="11263854" y="476141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395432</xdr:colOff>
      <xdr:row>32</xdr:row>
      <xdr:rowOff>101985</xdr:rowOff>
    </xdr:from>
    <xdr:to>
      <xdr:col>24</xdr:col>
      <xdr:colOff>966932</xdr:colOff>
      <xdr:row>32</xdr:row>
      <xdr:rowOff>101985</xdr:rowOff>
    </xdr:to>
    <xdr:cxnSp macro="">
      <xdr:nvCxnSpPr>
        <xdr:cNvPr id="37" name="Straight Connector 36"/>
        <xdr:cNvCxnSpPr/>
      </xdr:nvCxnSpPr>
      <xdr:spPr>
        <a:xfrm>
          <a:off x="18345727" y="6345190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395432</xdr:colOff>
      <xdr:row>30</xdr:row>
      <xdr:rowOff>37522</xdr:rowOff>
    </xdr:from>
    <xdr:to>
      <xdr:col>24</xdr:col>
      <xdr:colOff>977818</xdr:colOff>
      <xdr:row>30</xdr:row>
      <xdr:rowOff>130051</xdr:rowOff>
    </xdr:to>
    <xdr:cxnSp macro="">
      <xdr:nvCxnSpPr>
        <xdr:cNvPr id="38" name="Straight Connector 37"/>
        <xdr:cNvCxnSpPr/>
      </xdr:nvCxnSpPr>
      <xdr:spPr>
        <a:xfrm>
          <a:off x="18345727" y="589972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395432</xdr:colOff>
      <xdr:row>27</xdr:row>
      <xdr:rowOff>37522</xdr:rowOff>
    </xdr:from>
    <xdr:to>
      <xdr:col>24</xdr:col>
      <xdr:colOff>977818</xdr:colOff>
      <xdr:row>27</xdr:row>
      <xdr:rowOff>130051</xdr:rowOff>
    </xdr:to>
    <xdr:cxnSp macro="">
      <xdr:nvCxnSpPr>
        <xdr:cNvPr id="39" name="Straight Connector 38"/>
        <xdr:cNvCxnSpPr/>
      </xdr:nvCxnSpPr>
      <xdr:spPr>
        <a:xfrm>
          <a:off x="18345727" y="5319567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378114</xdr:colOff>
      <xdr:row>26</xdr:row>
      <xdr:rowOff>54841</xdr:rowOff>
    </xdr:from>
    <xdr:to>
      <xdr:col>24</xdr:col>
      <xdr:colOff>960500</xdr:colOff>
      <xdr:row>26</xdr:row>
      <xdr:rowOff>147370</xdr:rowOff>
    </xdr:to>
    <xdr:cxnSp macro="">
      <xdr:nvCxnSpPr>
        <xdr:cNvPr id="40" name="Straight Connector 39"/>
        <xdr:cNvCxnSpPr/>
      </xdr:nvCxnSpPr>
      <xdr:spPr>
        <a:xfrm>
          <a:off x="18328409" y="514638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395432</xdr:colOff>
      <xdr:row>31</xdr:row>
      <xdr:rowOff>63500</xdr:rowOff>
    </xdr:from>
    <xdr:to>
      <xdr:col>24</xdr:col>
      <xdr:colOff>977818</xdr:colOff>
      <xdr:row>31</xdr:row>
      <xdr:rowOff>156029</xdr:rowOff>
    </xdr:to>
    <xdr:cxnSp macro="">
      <xdr:nvCxnSpPr>
        <xdr:cNvPr id="41" name="Straight Connector 40"/>
        <xdr:cNvCxnSpPr/>
      </xdr:nvCxnSpPr>
      <xdr:spPr>
        <a:xfrm>
          <a:off x="18345727" y="611620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370718</xdr:colOff>
      <xdr:row>33</xdr:row>
      <xdr:rowOff>42213</xdr:rowOff>
    </xdr:from>
    <xdr:to>
      <xdr:col>24</xdr:col>
      <xdr:colOff>966030</xdr:colOff>
      <xdr:row>33</xdr:row>
      <xdr:rowOff>149370</xdr:rowOff>
    </xdr:to>
    <xdr:cxnSp macro="">
      <xdr:nvCxnSpPr>
        <xdr:cNvPr id="42" name="Straight Connector 41"/>
        <xdr:cNvCxnSpPr/>
      </xdr:nvCxnSpPr>
      <xdr:spPr>
        <a:xfrm flipV="1">
          <a:off x="18321013" y="647591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404091</xdr:colOff>
      <xdr:row>25</xdr:row>
      <xdr:rowOff>101985</xdr:rowOff>
    </xdr:from>
    <xdr:to>
      <xdr:col>24</xdr:col>
      <xdr:colOff>975591</xdr:colOff>
      <xdr:row>25</xdr:row>
      <xdr:rowOff>101985</xdr:rowOff>
    </xdr:to>
    <xdr:cxnSp macro="">
      <xdr:nvCxnSpPr>
        <xdr:cNvPr id="43" name="Straight Connector 42"/>
        <xdr:cNvCxnSpPr/>
      </xdr:nvCxnSpPr>
      <xdr:spPr>
        <a:xfrm>
          <a:off x="18354386" y="5003030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370717</xdr:colOff>
      <xdr:row>24</xdr:row>
      <xdr:rowOff>50872</xdr:rowOff>
    </xdr:from>
    <xdr:to>
      <xdr:col>24</xdr:col>
      <xdr:colOff>966029</xdr:colOff>
      <xdr:row>24</xdr:row>
      <xdr:rowOff>158029</xdr:rowOff>
    </xdr:to>
    <xdr:cxnSp macro="">
      <xdr:nvCxnSpPr>
        <xdr:cNvPr id="44" name="Straight Connector 43"/>
        <xdr:cNvCxnSpPr/>
      </xdr:nvCxnSpPr>
      <xdr:spPr>
        <a:xfrm flipV="1">
          <a:off x="18321012" y="476141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387903</xdr:colOff>
      <xdr:row>27</xdr:row>
      <xdr:rowOff>46935</xdr:rowOff>
    </xdr:from>
    <xdr:to>
      <xdr:col>10</xdr:col>
      <xdr:colOff>970289</xdr:colOff>
      <xdr:row>27</xdr:row>
      <xdr:rowOff>139464</xdr:rowOff>
    </xdr:to>
    <xdr:cxnSp macro="">
      <xdr:nvCxnSpPr>
        <xdr:cNvPr id="28" name="Straight Connector 27"/>
        <xdr:cNvCxnSpPr/>
      </xdr:nvCxnSpPr>
      <xdr:spPr>
        <a:xfrm>
          <a:off x="4197903" y="533123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387902</xdr:colOff>
      <xdr:row>26</xdr:row>
      <xdr:rowOff>38652</xdr:rowOff>
    </xdr:from>
    <xdr:to>
      <xdr:col>10</xdr:col>
      <xdr:colOff>970288</xdr:colOff>
      <xdr:row>26</xdr:row>
      <xdr:rowOff>131181</xdr:rowOff>
    </xdr:to>
    <xdr:cxnSp macro="">
      <xdr:nvCxnSpPr>
        <xdr:cNvPr id="29" name="Straight Connector 28"/>
        <xdr:cNvCxnSpPr/>
      </xdr:nvCxnSpPr>
      <xdr:spPr>
        <a:xfrm>
          <a:off x="4197902" y="513245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412750</xdr:colOff>
      <xdr:row>25</xdr:row>
      <xdr:rowOff>117796</xdr:rowOff>
    </xdr:from>
    <xdr:to>
      <xdr:col>11</xdr:col>
      <xdr:colOff>6902</xdr:colOff>
      <xdr:row>25</xdr:row>
      <xdr:rowOff>117796</xdr:rowOff>
    </xdr:to>
    <xdr:cxnSp macro="">
      <xdr:nvCxnSpPr>
        <xdr:cNvPr id="30" name="Straight Connector 29"/>
        <xdr:cNvCxnSpPr/>
      </xdr:nvCxnSpPr>
      <xdr:spPr>
        <a:xfrm>
          <a:off x="4222750" y="5021100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372976</xdr:colOff>
      <xdr:row>24</xdr:row>
      <xdr:rowOff>34683</xdr:rowOff>
    </xdr:from>
    <xdr:to>
      <xdr:col>10</xdr:col>
      <xdr:colOff>968288</xdr:colOff>
      <xdr:row>24</xdr:row>
      <xdr:rowOff>141840</xdr:rowOff>
    </xdr:to>
    <xdr:cxnSp macro="">
      <xdr:nvCxnSpPr>
        <xdr:cNvPr id="31" name="Straight Connector 30"/>
        <xdr:cNvCxnSpPr/>
      </xdr:nvCxnSpPr>
      <xdr:spPr>
        <a:xfrm flipV="1">
          <a:off x="4182976" y="474748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387902</xdr:colOff>
      <xdr:row>30</xdr:row>
      <xdr:rowOff>38652</xdr:rowOff>
    </xdr:from>
    <xdr:to>
      <xdr:col>10</xdr:col>
      <xdr:colOff>970288</xdr:colOff>
      <xdr:row>30</xdr:row>
      <xdr:rowOff>131181</xdr:rowOff>
    </xdr:to>
    <xdr:cxnSp macro="">
      <xdr:nvCxnSpPr>
        <xdr:cNvPr id="32" name="Straight Connector 31"/>
        <xdr:cNvCxnSpPr/>
      </xdr:nvCxnSpPr>
      <xdr:spPr>
        <a:xfrm>
          <a:off x="4197902" y="590273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379620</xdr:colOff>
      <xdr:row>31</xdr:row>
      <xdr:rowOff>71782</xdr:rowOff>
    </xdr:from>
    <xdr:to>
      <xdr:col>10</xdr:col>
      <xdr:colOff>962006</xdr:colOff>
      <xdr:row>31</xdr:row>
      <xdr:rowOff>164311</xdr:rowOff>
    </xdr:to>
    <xdr:cxnSp macro="">
      <xdr:nvCxnSpPr>
        <xdr:cNvPr id="33" name="Straight Connector 32"/>
        <xdr:cNvCxnSpPr/>
      </xdr:nvCxnSpPr>
      <xdr:spPr>
        <a:xfrm>
          <a:off x="4189620" y="612636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381259</xdr:colOff>
      <xdr:row>33</xdr:row>
      <xdr:rowOff>42966</xdr:rowOff>
    </xdr:from>
    <xdr:to>
      <xdr:col>10</xdr:col>
      <xdr:colOff>976571</xdr:colOff>
      <xdr:row>33</xdr:row>
      <xdr:rowOff>150123</xdr:rowOff>
    </xdr:to>
    <xdr:cxnSp macro="">
      <xdr:nvCxnSpPr>
        <xdr:cNvPr id="34" name="Straight Connector 33"/>
        <xdr:cNvCxnSpPr/>
      </xdr:nvCxnSpPr>
      <xdr:spPr>
        <a:xfrm flipV="1">
          <a:off x="4191259" y="6478553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396185</xdr:colOff>
      <xdr:row>32</xdr:row>
      <xdr:rowOff>101231</xdr:rowOff>
    </xdr:from>
    <xdr:to>
      <xdr:col>3</xdr:col>
      <xdr:colOff>967685</xdr:colOff>
      <xdr:row>32</xdr:row>
      <xdr:rowOff>101231</xdr:rowOff>
    </xdr:to>
    <xdr:cxnSp macro="">
      <xdr:nvCxnSpPr>
        <xdr:cNvPr id="53" name="Straight Connector 52"/>
        <xdr:cNvCxnSpPr/>
      </xdr:nvCxnSpPr>
      <xdr:spPr>
        <a:xfrm>
          <a:off x="8762310" y="637185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412750</xdr:colOff>
      <xdr:row>25</xdr:row>
      <xdr:rowOff>117796</xdr:rowOff>
    </xdr:from>
    <xdr:to>
      <xdr:col>4</xdr:col>
      <xdr:colOff>6902</xdr:colOff>
      <xdr:row>25</xdr:row>
      <xdr:rowOff>117796</xdr:rowOff>
    </xdr:to>
    <xdr:cxnSp macro="">
      <xdr:nvCxnSpPr>
        <xdr:cNvPr id="56" name="Straight Connector 55"/>
        <xdr:cNvCxnSpPr/>
      </xdr:nvCxnSpPr>
      <xdr:spPr>
        <a:xfrm>
          <a:off x="8778875" y="5039046"/>
          <a:ext cx="57840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372976</xdr:colOff>
      <xdr:row>26</xdr:row>
      <xdr:rowOff>34683</xdr:rowOff>
    </xdr:from>
    <xdr:to>
      <xdr:col>3</xdr:col>
      <xdr:colOff>968288</xdr:colOff>
      <xdr:row>26</xdr:row>
      <xdr:rowOff>141840</xdr:rowOff>
    </xdr:to>
    <xdr:cxnSp macro="">
      <xdr:nvCxnSpPr>
        <xdr:cNvPr id="61" name="Straight Connector 60"/>
        <xdr:cNvCxnSpPr/>
      </xdr:nvCxnSpPr>
      <xdr:spPr>
        <a:xfrm flipV="1">
          <a:off x="4182976" y="476996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372976</xdr:colOff>
      <xdr:row>27</xdr:row>
      <xdr:rowOff>34683</xdr:rowOff>
    </xdr:from>
    <xdr:to>
      <xdr:col>3</xdr:col>
      <xdr:colOff>968288</xdr:colOff>
      <xdr:row>27</xdr:row>
      <xdr:rowOff>141840</xdr:rowOff>
    </xdr:to>
    <xdr:cxnSp macro="">
      <xdr:nvCxnSpPr>
        <xdr:cNvPr id="62" name="Straight Connector 61"/>
        <xdr:cNvCxnSpPr/>
      </xdr:nvCxnSpPr>
      <xdr:spPr>
        <a:xfrm flipV="1">
          <a:off x="4182976" y="476996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372976</xdr:colOff>
      <xdr:row>30</xdr:row>
      <xdr:rowOff>34683</xdr:rowOff>
    </xdr:from>
    <xdr:to>
      <xdr:col>3</xdr:col>
      <xdr:colOff>968288</xdr:colOff>
      <xdr:row>30</xdr:row>
      <xdr:rowOff>141840</xdr:rowOff>
    </xdr:to>
    <xdr:cxnSp macro="">
      <xdr:nvCxnSpPr>
        <xdr:cNvPr id="63" name="Straight Connector 62"/>
        <xdr:cNvCxnSpPr/>
      </xdr:nvCxnSpPr>
      <xdr:spPr>
        <a:xfrm flipV="1">
          <a:off x="4182976" y="476996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379620</xdr:colOff>
      <xdr:row>24</xdr:row>
      <xdr:rowOff>71782</xdr:rowOff>
    </xdr:from>
    <xdr:to>
      <xdr:col>3</xdr:col>
      <xdr:colOff>962006</xdr:colOff>
      <xdr:row>24</xdr:row>
      <xdr:rowOff>164311</xdr:rowOff>
    </xdr:to>
    <xdr:cxnSp macro="">
      <xdr:nvCxnSpPr>
        <xdr:cNvPr id="64" name="Straight Connector 63"/>
        <xdr:cNvCxnSpPr/>
      </xdr:nvCxnSpPr>
      <xdr:spPr>
        <a:xfrm>
          <a:off x="4189620" y="615417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372976</xdr:colOff>
      <xdr:row>31</xdr:row>
      <xdr:rowOff>34683</xdr:rowOff>
    </xdr:from>
    <xdr:to>
      <xdr:col>3</xdr:col>
      <xdr:colOff>968288</xdr:colOff>
      <xdr:row>31</xdr:row>
      <xdr:rowOff>141840</xdr:rowOff>
    </xdr:to>
    <xdr:cxnSp macro="">
      <xdr:nvCxnSpPr>
        <xdr:cNvPr id="66" name="Straight Connector 65"/>
        <xdr:cNvCxnSpPr/>
      </xdr:nvCxnSpPr>
      <xdr:spPr>
        <a:xfrm flipV="1">
          <a:off x="4182976" y="592657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379620</xdr:colOff>
      <xdr:row>33</xdr:row>
      <xdr:rowOff>71782</xdr:rowOff>
    </xdr:from>
    <xdr:to>
      <xdr:col>3</xdr:col>
      <xdr:colOff>962006</xdr:colOff>
      <xdr:row>33</xdr:row>
      <xdr:rowOff>164311</xdr:rowOff>
    </xdr:to>
    <xdr:cxnSp macro="">
      <xdr:nvCxnSpPr>
        <xdr:cNvPr id="67" name="Straight Connector 66"/>
        <xdr:cNvCxnSpPr/>
      </xdr:nvCxnSpPr>
      <xdr:spPr>
        <a:xfrm>
          <a:off x="4189620" y="480706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15185</xdr:colOff>
      <xdr:row>32</xdr:row>
      <xdr:rowOff>90346</xdr:rowOff>
    </xdr:from>
    <xdr:to>
      <xdr:col>4</xdr:col>
      <xdr:colOff>358085</xdr:colOff>
      <xdr:row>32</xdr:row>
      <xdr:rowOff>90346</xdr:rowOff>
    </xdr:to>
    <xdr:cxnSp macro="">
      <xdr:nvCxnSpPr>
        <xdr:cNvPr id="26" name="Straight Connector 25"/>
        <xdr:cNvCxnSpPr/>
      </xdr:nvCxnSpPr>
      <xdr:spPr>
        <a:xfrm>
          <a:off x="4810342" y="6344189"/>
          <a:ext cx="3429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978807</xdr:colOff>
      <xdr:row>25</xdr:row>
      <xdr:rowOff>96025</xdr:rowOff>
    </xdr:from>
    <xdr:to>
      <xdr:col>4</xdr:col>
      <xdr:colOff>393345</xdr:colOff>
      <xdr:row>25</xdr:row>
      <xdr:rowOff>96025</xdr:rowOff>
    </xdr:to>
    <xdr:cxnSp macro="">
      <xdr:nvCxnSpPr>
        <xdr:cNvPr id="27" name="Straight Connector 26"/>
        <xdr:cNvCxnSpPr/>
      </xdr:nvCxnSpPr>
      <xdr:spPr>
        <a:xfrm>
          <a:off x="4794250" y="5005482"/>
          <a:ext cx="394252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2861</xdr:colOff>
      <xdr:row>26</xdr:row>
      <xdr:rowOff>23798</xdr:rowOff>
    </xdr:from>
    <xdr:to>
      <xdr:col>4</xdr:col>
      <xdr:colOff>369573</xdr:colOff>
      <xdr:row>26</xdr:row>
      <xdr:rowOff>130955</xdr:rowOff>
    </xdr:to>
    <xdr:cxnSp macro="">
      <xdr:nvCxnSpPr>
        <xdr:cNvPr id="28" name="Straight Connector 27"/>
        <xdr:cNvCxnSpPr/>
      </xdr:nvCxnSpPr>
      <xdr:spPr>
        <a:xfrm flipV="1">
          <a:off x="4798018" y="5123755"/>
          <a:ext cx="3667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13747</xdr:colOff>
      <xdr:row>27</xdr:row>
      <xdr:rowOff>4747</xdr:rowOff>
    </xdr:from>
    <xdr:to>
      <xdr:col>4</xdr:col>
      <xdr:colOff>380459</xdr:colOff>
      <xdr:row>27</xdr:row>
      <xdr:rowOff>111904</xdr:rowOff>
    </xdr:to>
    <xdr:cxnSp macro="">
      <xdr:nvCxnSpPr>
        <xdr:cNvPr id="29" name="Straight Connector 28"/>
        <xdr:cNvCxnSpPr/>
      </xdr:nvCxnSpPr>
      <xdr:spPr>
        <a:xfrm flipV="1">
          <a:off x="4808904" y="5295204"/>
          <a:ext cx="3667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13748</xdr:colOff>
      <xdr:row>30</xdr:row>
      <xdr:rowOff>34683</xdr:rowOff>
    </xdr:from>
    <xdr:to>
      <xdr:col>4</xdr:col>
      <xdr:colOff>380460</xdr:colOff>
      <xdr:row>30</xdr:row>
      <xdr:rowOff>141840</xdr:rowOff>
    </xdr:to>
    <xdr:cxnSp macro="">
      <xdr:nvCxnSpPr>
        <xdr:cNvPr id="30" name="Straight Connector 29"/>
        <xdr:cNvCxnSpPr/>
      </xdr:nvCxnSpPr>
      <xdr:spPr>
        <a:xfrm flipV="1">
          <a:off x="4808905" y="5907526"/>
          <a:ext cx="3667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4063</xdr:colOff>
      <xdr:row>24</xdr:row>
      <xdr:rowOff>44568</xdr:rowOff>
    </xdr:from>
    <xdr:to>
      <xdr:col>4</xdr:col>
      <xdr:colOff>367374</xdr:colOff>
      <xdr:row>24</xdr:row>
      <xdr:rowOff>137097</xdr:rowOff>
    </xdr:to>
    <xdr:cxnSp macro="">
      <xdr:nvCxnSpPr>
        <xdr:cNvPr id="31" name="Straight Connector 30"/>
        <xdr:cNvCxnSpPr/>
      </xdr:nvCxnSpPr>
      <xdr:spPr>
        <a:xfrm>
          <a:off x="4799220" y="4763525"/>
          <a:ext cx="363311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977133</xdr:colOff>
      <xdr:row>31</xdr:row>
      <xdr:rowOff>18354</xdr:rowOff>
    </xdr:from>
    <xdr:to>
      <xdr:col>4</xdr:col>
      <xdr:colOff>364131</xdr:colOff>
      <xdr:row>31</xdr:row>
      <xdr:rowOff>125511</xdr:rowOff>
    </xdr:to>
    <xdr:cxnSp macro="">
      <xdr:nvCxnSpPr>
        <xdr:cNvPr id="32" name="Straight Connector 31"/>
        <xdr:cNvCxnSpPr/>
      </xdr:nvCxnSpPr>
      <xdr:spPr>
        <a:xfrm flipV="1">
          <a:off x="4792576" y="6081697"/>
          <a:ext cx="3667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9506</xdr:colOff>
      <xdr:row>33</xdr:row>
      <xdr:rowOff>55454</xdr:rowOff>
    </xdr:from>
    <xdr:to>
      <xdr:col>4</xdr:col>
      <xdr:colOff>372817</xdr:colOff>
      <xdr:row>33</xdr:row>
      <xdr:rowOff>147983</xdr:rowOff>
    </xdr:to>
    <xdr:cxnSp macro="">
      <xdr:nvCxnSpPr>
        <xdr:cNvPr id="33" name="Straight Connector 32"/>
        <xdr:cNvCxnSpPr/>
      </xdr:nvCxnSpPr>
      <xdr:spPr>
        <a:xfrm>
          <a:off x="4804663" y="6499797"/>
          <a:ext cx="363311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412750</xdr:colOff>
      <xdr:row>32</xdr:row>
      <xdr:rowOff>98273</xdr:rowOff>
    </xdr:from>
    <xdr:to>
      <xdr:col>4</xdr:col>
      <xdr:colOff>4535</xdr:colOff>
      <xdr:row>32</xdr:row>
      <xdr:rowOff>98273</xdr:rowOff>
    </xdr:to>
    <xdr:cxnSp macro="">
      <xdr:nvCxnSpPr>
        <xdr:cNvPr id="2" name="Straight Connector 1"/>
        <xdr:cNvCxnSpPr/>
      </xdr:nvCxnSpPr>
      <xdr:spPr>
        <a:xfrm>
          <a:off x="4392839" y="633714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399143</xdr:colOff>
      <xdr:row>30</xdr:row>
      <xdr:rowOff>56697</xdr:rowOff>
    </xdr:from>
    <xdr:to>
      <xdr:col>4</xdr:col>
      <xdr:colOff>1814</xdr:colOff>
      <xdr:row>30</xdr:row>
      <xdr:rowOff>149226</xdr:rowOff>
    </xdr:to>
    <xdr:cxnSp macro="">
      <xdr:nvCxnSpPr>
        <xdr:cNvPr id="3" name="Straight Connector 2"/>
        <xdr:cNvCxnSpPr/>
      </xdr:nvCxnSpPr>
      <xdr:spPr>
        <a:xfrm>
          <a:off x="4379232" y="591457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399143</xdr:colOff>
      <xdr:row>27</xdr:row>
      <xdr:rowOff>49893</xdr:rowOff>
    </xdr:from>
    <xdr:to>
      <xdr:col>4</xdr:col>
      <xdr:colOff>1814</xdr:colOff>
      <xdr:row>27</xdr:row>
      <xdr:rowOff>142422</xdr:rowOff>
    </xdr:to>
    <xdr:cxnSp macro="">
      <xdr:nvCxnSpPr>
        <xdr:cNvPr id="4" name="Straight Connector 3"/>
        <xdr:cNvCxnSpPr/>
      </xdr:nvCxnSpPr>
      <xdr:spPr>
        <a:xfrm>
          <a:off x="4379232" y="532946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405946</xdr:colOff>
      <xdr:row>26</xdr:row>
      <xdr:rowOff>63500</xdr:rowOff>
    </xdr:from>
    <xdr:to>
      <xdr:col>4</xdr:col>
      <xdr:colOff>8617</xdr:colOff>
      <xdr:row>26</xdr:row>
      <xdr:rowOff>156029</xdr:rowOff>
    </xdr:to>
    <xdr:cxnSp macro="">
      <xdr:nvCxnSpPr>
        <xdr:cNvPr id="5" name="Straight Connector 4"/>
        <xdr:cNvCxnSpPr/>
      </xdr:nvCxnSpPr>
      <xdr:spPr>
        <a:xfrm>
          <a:off x="4386035" y="515257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399143</xdr:colOff>
      <xdr:row>31</xdr:row>
      <xdr:rowOff>56696</xdr:rowOff>
    </xdr:from>
    <xdr:to>
      <xdr:col>4</xdr:col>
      <xdr:colOff>1814</xdr:colOff>
      <xdr:row>31</xdr:row>
      <xdr:rowOff>149225</xdr:rowOff>
    </xdr:to>
    <xdr:cxnSp macro="">
      <xdr:nvCxnSpPr>
        <xdr:cNvPr id="6" name="Straight Connector 5"/>
        <xdr:cNvCxnSpPr/>
      </xdr:nvCxnSpPr>
      <xdr:spPr>
        <a:xfrm>
          <a:off x="4379232" y="6105071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388654</xdr:colOff>
      <xdr:row>33</xdr:row>
      <xdr:rowOff>45924</xdr:rowOff>
    </xdr:from>
    <xdr:to>
      <xdr:col>4</xdr:col>
      <xdr:colOff>4251</xdr:colOff>
      <xdr:row>33</xdr:row>
      <xdr:rowOff>153081</xdr:rowOff>
    </xdr:to>
    <xdr:cxnSp macro="">
      <xdr:nvCxnSpPr>
        <xdr:cNvPr id="7" name="Straight Connector 6"/>
        <xdr:cNvCxnSpPr/>
      </xdr:nvCxnSpPr>
      <xdr:spPr>
        <a:xfrm flipV="1">
          <a:off x="4368743" y="6475299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399142</xdr:colOff>
      <xdr:row>25</xdr:row>
      <xdr:rowOff>105077</xdr:rowOff>
    </xdr:from>
    <xdr:to>
      <xdr:col>3</xdr:col>
      <xdr:colOff>970642</xdr:colOff>
      <xdr:row>25</xdr:row>
      <xdr:rowOff>105077</xdr:rowOff>
    </xdr:to>
    <xdr:cxnSp macro="">
      <xdr:nvCxnSpPr>
        <xdr:cNvPr id="8" name="Straight Connector 7"/>
        <xdr:cNvCxnSpPr/>
      </xdr:nvCxnSpPr>
      <xdr:spPr>
        <a:xfrm>
          <a:off x="4379231" y="5003648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388654</xdr:colOff>
      <xdr:row>24</xdr:row>
      <xdr:rowOff>52727</xdr:rowOff>
    </xdr:from>
    <xdr:to>
      <xdr:col>4</xdr:col>
      <xdr:colOff>4251</xdr:colOff>
      <xdr:row>24</xdr:row>
      <xdr:rowOff>159884</xdr:rowOff>
    </xdr:to>
    <xdr:cxnSp macro="">
      <xdr:nvCxnSpPr>
        <xdr:cNvPr id="9" name="Straight Connector 8"/>
        <xdr:cNvCxnSpPr/>
      </xdr:nvCxnSpPr>
      <xdr:spPr>
        <a:xfrm flipV="1">
          <a:off x="4368743" y="476079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405946</xdr:colOff>
      <xdr:row>32</xdr:row>
      <xdr:rowOff>91470</xdr:rowOff>
    </xdr:from>
    <xdr:to>
      <xdr:col>10</xdr:col>
      <xdr:colOff>977446</xdr:colOff>
      <xdr:row>32</xdr:row>
      <xdr:rowOff>91470</xdr:rowOff>
    </xdr:to>
    <xdr:cxnSp macro="">
      <xdr:nvCxnSpPr>
        <xdr:cNvPr id="10" name="Straight Connector 9"/>
        <xdr:cNvCxnSpPr/>
      </xdr:nvCxnSpPr>
      <xdr:spPr>
        <a:xfrm>
          <a:off x="11448142" y="6330345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399143</xdr:colOff>
      <xdr:row>25</xdr:row>
      <xdr:rowOff>91470</xdr:rowOff>
    </xdr:from>
    <xdr:to>
      <xdr:col>10</xdr:col>
      <xdr:colOff>970643</xdr:colOff>
      <xdr:row>25</xdr:row>
      <xdr:rowOff>91470</xdr:rowOff>
    </xdr:to>
    <xdr:cxnSp macro="">
      <xdr:nvCxnSpPr>
        <xdr:cNvPr id="16" name="Straight Connector 15"/>
        <xdr:cNvCxnSpPr/>
      </xdr:nvCxnSpPr>
      <xdr:spPr>
        <a:xfrm>
          <a:off x="11441339" y="499004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388654</xdr:colOff>
      <xdr:row>31</xdr:row>
      <xdr:rowOff>25513</xdr:rowOff>
    </xdr:from>
    <xdr:to>
      <xdr:col>11</xdr:col>
      <xdr:colOff>4251</xdr:colOff>
      <xdr:row>31</xdr:row>
      <xdr:rowOff>132670</xdr:rowOff>
    </xdr:to>
    <xdr:cxnSp macro="">
      <xdr:nvCxnSpPr>
        <xdr:cNvPr id="18" name="Straight Connector 17"/>
        <xdr:cNvCxnSpPr/>
      </xdr:nvCxnSpPr>
      <xdr:spPr>
        <a:xfrm flipV="1">
          <a:off x="11430850" y="6073888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368244</xdr:colOff>
      <xdr:row>30</xdr:row>
      <xdr:rowOff>39120</xdr:rowOff>
    </xdr:from>
    <xdr:to>
      <xdr:col>10</xdr:col>
      <xdr:colOff>963556</xdr:colOff>
      <xdr:row>30</xdr:row>
      <xdr:rowOff>146277</xdr:rowOff>
    </xdr:to>
    <xdr:cxnSp macro="">
      <xdr:nvCxnSpPr>
        <xdr:cNvPr id="19" name="Straight Connector 18"/>
        <xdr:cNvCxnSpPr/>
      </xdr:nvCxnSpPr>
      <xdr:spPr>
        <a:xfrm flipV="1">
          <a:off x="11410440" y="589699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381850</xdr:colOff>
      <xdr:row>27</xdr:row>
      <xdr:rowOff>45924</xdr:rowOff>
    </xdr:from>
    <xdr:to>
      <xdr:col>10</xdr:col>
      <xdr:colOff>977162</xdr:colOff>
      <xdr:row>27</xdr:row>
      <xdr:rowOff>153081</xdr:rowOff>
    </xdr:to>
    <xdr:cxnSp macro="">
      <xdr:nvCxnSpPr>
        <xdr:cNvPr id="20" name="Straight Connector 19"/>
        <xdr:cNvCxnSpPr/>
      </xdr:nvCxnSpPr>
      <xdr:spPr>
        <a:xfrm flipV="1">
          <a:off x="11424046" y="5325495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381851</xdr:colOff>
      <xdr:row>26</xdr:row>
      <xdr:rowOff>45923</xdr:rowOff>
    </xdr:from>
    <xdr:to>
      <xdr:col>10</xdr:col>
      <xdr:colOff>977163</xdr:colOff>
      <xdr:row>26</xdr:row>
      <xdr:rowOff>153080</xdr:rowOff>
    </xdr:to>
    <xdr:cxnSp macro="">
      <xdr:nvCxnSpPr>
        <xdr:cNvPr id="21" name="Straight Connector 20"/>
        <xdr:cNvCxnSpPr/>
      </xdr:nvCxnSpPr>
      <xdr:spPr>
        <a:xfrm flipV="1">
          <a:off x="11424047" y="5134994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392340</xdr:colOff>
      <xdr:row>24</xdr:row>
      <xdr:rowOff>56697</xdr:rowOff>
    </xdr:from>
    <xdr:to>
      <xdr:col>10</xdr:col>
      <xdr:colOff>974726</xdr:colOff>
      <xdr:row>24</xdr:row>
      <xdr:rowOff>149226</xdr:rowOff>
    </xdr:to>
    <xdr:cxnSp macro="">
      <xdr:nvCxnSpPr>
        <xdr:cNvPr id="22" name="Straight Connector 21"/>
        <xdr:cNvCxnSpPr/>
      </xdr:nvCxnSpPr>
      <xdr:spPr>
        <a:xfrm>
          <a:off x="11434536" y="4764768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392339</xdr:colOff>
      <xdr:row>33</xdr:row>
      <xdr:rowOff>56697</xdr:rowOff>
    </xdr:from>
    <xdr:to>
      <xdr:col>10</xdr:col>
      <xdr:colOff>974725</xdr:colOff>
      <xdr:row>33</xdr:row>
      <xdr:rowOff>149226</xdr:rowOff>
    </xdr:to>
    <xdr:cxnSp macro="">
      <xdr:nvCxnSpPr>
        <xdr:cNvPr id="23" name="Straight Connector 22"/>
        <xdr:cNvCxnSpPr/>
      </xdr:nvCxnSpPr>
      <xdr:spPr>
        <a:xfrm>
          <a:off x="11434535" y="648607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366767</xdr:colOff>
      <xdr:row>28</xdr:row>
      <xdr:rowOff>50362</xdr:rowOff>
    </xdr:from>
    <xdr:to>
      <xdr:col>5</xdr:col>
      <xdr:colOff>3222</xdr:colOff>
      <xdr:row>28</xdr:row>
      <xdr:rowOff>142891</xdr:rowOff>
    </xdr:to>
    <xdr:cxnSp macro="">
      <xdr:nvCxnSpPr>
        <xdr:cNvPr id="36" name="Straight Connector 35"/>
        <xdr:cNvCxnSpPr/>
      </xdr:nvCxnSpPr>
      <xdr:spPr>
        <a:xfrm>
          <a:off x="4590612" y="556172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360198</xdr:colOff>
      <xdr:row>27</xdr:row>
      <xdr:rowOff>50362</xdr:rowOff>
    </xdr:from>
    <xdr:to>
      <xdr:col>4</xdr:col>
      <xdr:colOff>942584</xdr:colOff>
      <xdr:row>27</xdr:row>
      <xdr:rowOff>142891</xdr:rowOff>
    </xdr:to>
    <xdr:cxnSp macro="">
      <xdr:nvCxnSpPr>
        <xdr:cNvPr id="37" name="Straight Connector 36"/>
        <xdr:cNvCxnSpPr/>
      </xdr:nvCxnSpPr>
      <xdr:spPr>
        <a:xfrm>
          <a:off x="4584043" y="5371224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373336</xdr:colOff>
      <xdr:row>31</xdr:row>
      <xdr:rowOff>56931</xdr:rowOff>
    </xdr:from>
    <xdr:to>
      <xdr:col>5</xdr:col>
      <xdr:colOff>9791</xdr:colOff>
      <xdr:row>31</xdr:row>
      <xdr:rowOff>149460</xdr:rowOff>
    </xdr:to>
    <xdr:cxnSp macro="">
      <xdr:nvCxnSpPr>
        <xdr:cNvPr id="38" name="Straight Connector 37"/>
        <xdr:cNvCxnSpPr/>
      </xdr:nvCxnSpPr>
      <xdr:spPr>
        <a:xfrm>
          <a:off x="4597181" y="614636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366767</xdr:colOff>
      <xdr:row>32</xdr:row>
      <xdr:rowOff>56931</xdr:rowOff>
    </xdr:from>
    <xdr:to>
      <xdr:col>5</xdr:col>
      <xdr:colOff>3222</xdr:colOff>
      <xdr:row>32</xdr:row>
      <xdr:rowOff>149460</xdr:rowOff>
    </xdr:to>
    <xdr:cxnSp macro="">
      <xdr:nvCxnSpPr>
        <xdr:cNvPr id="39" name="Straight Connector 38"/>
        <xdr:cNvCxnSpPr/>
      </xdr:nvCxnSpPr>
      <xdr:spPr>
        <a:xfrm>
          <a:off x="4590612" y="633686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373337</xdr:colOff>
      <xdr:row>33</xdr:row>
      <xdr:rowOff>104372</xdr:rowOff>
    </xdr:from>
    <xdr:to>
      <xdr:col>4</xdr:col>
      <xdr:colOff>944837</xdr:colOff>
      <xdr:row>33</xdr:row>
      <xdr:rowOff>104372</xdr:rowOff>
    </xdr:to>
    <xdr:cxnSp macro="">
      <xdr:nvCxnSpPr>
        <xdr:cNvPr id="40" name="Straight Connector 39"/>
        <xdr:cNvCxnSpPr/>
      </xdr:nvCxnSpPr>
      <xdr:spPr>
        <a:xfrm>
          <a:off x="4597182" y="6574803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373336</xdr:colOff>
      <xdr:row>26</xdr:row>
      <xdr:rowOff>104372</xdr:rowOff>
    </xdr:from>
    <xdr:to>
      <xdr:col>4</xdr:col>
      <xdr:colOff>944836</xdr:colOff>
      <xdr:row>26</xdr:row>
      <xdr:rowOff>104372</xdr:rowOff>
    </xdr:to>
    <xdr:cxnSp macro="">
      <xdr:nvCxnSpPr>
        <xdr:cNvPr id="41" name="Straight Connector 40"/>
        <xdr:cNvCxnSpPr/>
      </xdr:nvCxnSpPr>
      <xdr:spPr>
        <a:xfrm>
          <a:off x="4597181" y="5234734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343844</xdr:colOff>
      <xdr:row>25</xdr:row>
      <xdr:rowOff>66099</xdr:rowOff>
    </xdr:from>
    <xdr:to>
      <xdr:col>4</xdr:col>
      <xdr:colOff>939156</xdr:colOff>
      <xdr:row>25</xdr:row>
      <xdr:rowOff>173256</xdr:rowOff>
    </xdr:to>
    <xdr:cxnSp macro="">
      <xdr:nvCxnSpPr>
        <xdr:cNvPr id="42" name="Straight Connector 41"/>
        <xdr:cNvCxnSpPr/>
      </xdr:nvCxnSpPr>
      <xdr:spPr>
        <a:xfrm flipV="1">
          <a:off x="4567689" y="5005961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363552</xdr:colOff>
      <xdr:row>34</xdr:row>
      <xdr:rowOff>72669</xdr:rowOff>
    </xdr:from>
    <xdr:to>
      <xdr:col>5</xdr:col>
      <xdr:colOff>12933</xdr:colOff>
      <xdr:row>34</xdr:row>
      <xdr:rowOff>179826</xdr:rowOff>
    </xdr:to>
    <xdr:cxnSp macro="">
      <xdr:nvCxnSpPr>
        <xdr:cNvPr id="43" name="Straight Connector 42"/>
        <xdr:cNvCxnSpPr/>
      </xdr:nvCxnSpPr>
      <xdr:spPr>
        <a:xfrm flipV="1">
          <a:off x="4587397" y="673360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356730</xdr:colOff>
      <xdr:row>27</xdr:row>
      <xdr:rowOff>52204</xdr:rowOff>
    </xdr:from>
    <xdr:to>
      <xdr:col>12</xdr:col>
      <xdr:colOff>6869</xdr:colOff>
      <xdr:row>27</xdr:row>
      <xdr:rowOff>159361</xdr:rowOff>
    </xdr:to>
    <xdr:cxnSp macro="">
      <xdr:nvCxnSpPr>
        <xdr:cNvPr id="60" name="Straight Connector 59"/>
        <xdr:cNvCxnSpPr/>
      </xdr:nvCxnSpPr>
      <xdr:spPr>
        <a:xfrm flipV="1">
          <a:off x="11537615" y="537155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342076</xdr:colOff>
      <xdr:row>28</xdr:row>
      <xdr:rowOff>52204</xdr:rowOff>
    </xdr:from>
    <xdr:to>
      <xdr:col>11</xdr:col>
      <xdr:colOff>937388</xdr:colOff>
      <xdr:row>28</xdr:row>
      <xdr:rowOff>159361</xdr:rowOff>
    </xdr:to>
    <xdr:cxnSp macro="">
      <xdr:nvCxnSpPr>
        <xdr:cNvPr id="61" name="Straight Connector 60"/>
        <xdr:cNvCxnSpPr/>
      </xdr:nvCxnSpPr>
      <xdr:spPr>
        <a:xfrm flipV="1">
          <a:off x="11522961" y="556205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349403</xdr:colOff>
      <xdr:row>31</xdr:row>
      <xdr:rowOff>44877</xdr:rowOff>
    </xdr:from>
    <xdr:to>
      <xdr:col>11</xdr:col>
      <xdr:colOff>944715</xdr:colOff>
      <xdr:row>31</xdr:row>
      <xdr:rowOff>152034</xdr:rowOff>
    </xdr:to>
    <xdr:cxnSp macro="">
      <xdr:nvCxnSpPr>
        <xdr:cNvPr id="62" name="Straight Connector 61"/>
        <xdr:cNvCxnSpPr/>
      </xdr:nvCxnSpPr>
      <xdr:spPr>
        <a:xfrm flipV="1">
          <a:off x="11530288" y="613355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342076</xdr:colOff>
      <xdr:row>32</xdr:row>
      <xdr:rowOff>44877</xdr:rowOff>
    </xdr:from>
    <xdr:to>
      <xdr:col>11</xdr:col>
      <xdr:colOff>937388</xdr:colOff>
      <xdr:row>32</xdr:row>
      <xdr:rowOff>152034</xdr:rowOff>
    </xdr:to>
    <xdr:cxnSp macro="">
      <xdr:nvCxnSpPr>
        <xdr:cNvPr id="63" name="Straight Connector 62"/>
        <xdr:cNvCxnSpPr/>
      </xdr:nvCxnSpPr>
      <xdr:spPr>
        <a:xfrm flipV="1">
          <a:off x="11522961" y="6324050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368788</xdr:colOff>
      <xdr:row>26</xdr:row>
      <xdr:rowOff>99320</xdr:rowOff>
    </xdr:from>
    <xdr:to>
      <xdr:col>11</xdr:col>
      <xdr:colOff>940288</xdr:colOff>
      <xdr:row>26</xdr:row>
      <xdr:rowOff>99320</xdr:rowOff>
    </xdr:to>
    <xdr:cxnSp macro="">
      <xdr:nvCxnSpPr>
        <xdr:cNvPr id="64" name="Straight Connector 63"/>
        <xdr:cNvCxnSpPr/>
      </xdr:nvCxnSpPr>
      <xdr:spPr>
        <a:xfrm>
          <a:off x="11549673" y="522816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383443</xdr:colOff>
      <xdr:row>33</xdr:row>
      <xdr:rowOff>84666</xdr:rowOff>
    </xdr:from>
    <xdr:to>
      <xdr:col>12</xdr:col>
      <xdr:colOff>9770</xdr:colOff>
      <xdr:row>33</xdr:row>
      <xdr:rowOff>84666</xdr:rowOff>
    </xdr:to>
    <xdr:cxnSp macro="">
      <xdr:nvCxnSpPr>
        <xdr:cNvPr id="65" name="Straight Connector 64"/>
        <xdr:cNvCxnSpPr/>
      </xdr:nvCxnSpPr>
      <xdr:spPr>
        <a:xfrm>
          <a:off x="11564328" y="6554339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361462</xdr:colOff>
      <xdr:row>25</xdr:row>
      <xdr:rowOff>41519</xdr:rowOff>
    </xdr:from>
    <xdr:to>
      <xdr:col>11</xdr:col>
      <xdr:colOff>943848</xdr:colOff>
      <xdr:row>25</xdr:row>
      <xdr:rowOff>134048</xdr:rowOff>
    </xdr:to>
    <xdr:cxnSp macro="">
      <xdr:nvCxnSpPr>
        <xdr:cNvPr id="66" name="Straight Connector 65"/>
        <xdr:cNvCxnSpPr/>
      </xdr:nvCxnSpPr>
      <xdr:spPr>
        <a:xfrm>
          <a:off x="11542347" y="4979865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354134</xdr:colOff>
      <xdr:row>34</xdr:row>
      <xdr:rowOff>48846</xdr:rowOff>
    </xdr:from>
    <xdr:to>
      <xdr:col>11</xdr:col>
      <xdr:colOff>936520</xdr:colOff>
      <xdr:row>34</xdr:row>
      <xdr:rowOff>141375</xdr:rowOff>
    </xdr:to>
    <xdr:cxnSp macro="">
      <xdr:nvCxnSpPr>
        <xdr:cNvPr id="67" name="Straight Connector 66"/>
        <xdr:cNvCxnSpPr/>
      </xdr:nvCxnSpPr>
      <xdr:spPr>
        <a:xfrm>
          <a:off x="11535019" y="6709019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449385</xdr:colOff>
      <xdr:row>32</xdr:row>
      <xdr:rowOff>56173</xdr:rowOff>
    </xdr:from>
    <xdr:to>
      <xdr:col>17</xdr:col>
      <xdr:colOff>1031771</xdr:colOff>
      <xdr:row>32</xdr:row>
      <xdr:rowOff>148702</xdr:rowOff>
    </xdr:to>
    <xdr:cxnSp macro="">
      <xdr:nvCxnSpPr>
        <xdr:cNvPr id="71" name="Straight Connector 70"/>
        <xdr:cNvCxnSpPr/>
      </xdr:nvCxnSpPr>
      <xdr:spPr>
        <a:xfrm>
          <a:off x="18246481" y="633534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442058</xdr:colOff>
      <xdr:row>31</xdr:row>
      <xdr:rowOff>56173</xdr:rowOff>
    </xdr:from>
    <xdr:to>
      <xdr:col>17</xdr:col>
      <xdr:colOff>1024444</xdr:colOff>
      <xdr:row>31</xdr:row>
      <xdr:rowOff>148702</xdr:rowOff>
    </xdr:to>
    <xdr:cxnSp macro="">
      <xdr:nvCxnSpPr>
        <xdr:cNvPr id="72" name="Straight Connector 71"/>
        <xdr:cNvCxnSpPr/>
      </xdr:nvCxnSpPr>
      <xdr:spPr>
        <a:xfrm>
          <a:off x="18239154" y="614484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449384</xdr:colOff>
      <xdr:row>28</xdr:row>
      <xdr:rowOff>48846</xdr:rowOff>
    </xdr:from>
    <xdr:to>
      <xdr:col>17</xdr:col>
      <xdr:colOff>1031770</xdr:colOff>
      <xdr:row>28</xdr:row>
      <xdr:rowOff>141375</xdr:rowOff>
    </xdr:to>
    <xdr:cxnSp macro="">
      <xdr:nvCxnSpPr>
        <xdr:cNvPr id="73" name="Straight Connector 72"/>
        <xdr:cNvCxnSpPr/>
      </xdr:nvCxnSpPr>
      <xdr:spPr>
        <a:xfrm>
          <a:off x="18246480" y="5558692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456712</xdr:colOff>
      <xdr:row>27</xdr:row>
      <xdr:rowOff>63500</xdr:rowOff>
    </xdr:from>
    <xdr:to>
      <xdr:col>17</xdr:col>
      <xdr:colOff>1039098</xdr:colOff>
      <xdr:row>27</xdr:row>
      <xdr:rowOff>156029</xdr:rowOff>
    </xdr:to>
    <xdr:cxnSp macro="">
      <xdr:nvCxnSpPr>
        <xdr:cNvPr id="74" name="Straight Connector 73"/>
        <xdr:cNvCxnSpPr/>
      </xdr:nvCxnSpPr>
      <xdr:spPr>
        <a:xfrm>
          <a:off x="18253808" y="5382846"/>
          <a:ext cx="582386" cy="9252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429999</xdr:colOff>
      <xdr:row>25</xdr:row>
      <xdr:rowOff>37550</xdr:rowOff>
    </xdr:from>
    <xdr:to>
      <xdr:col>17</xdr:col>
      <xdr:colOff>1025311</xdr:colOff>
      <xdr:row>25</xdr:row>
      <xdr:rowOff>144707</xdr:rowOff>
    </xdr:to>
    <xdr:cxnSp macro="">
      <xdr:nvCxnSpPr>
        <xdr:cNvPr id="75" name="Straight Connector 74"/>
        <xdr:cNvCxnSpPr/>
      </xdr:nvCxnSpPr>
      <xdr:spPr>
        <a:xfrm flipV="1">
          <a:off x="18227095" y="4975896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451980</xdr:colOff>
      <xdr:row>34</xdr:row>
      <xdr:rowOff>52204</xdr:rowOff>
    </xdr:from>
    <xdr:to>
      <xdr:col>18</xdr:col>
      <xdr:colOff>6869</xdr:colOff>
      <xdr:row>34</xdr:row>
      <xdr:rowOff>159361</xdr:rowOff>
    </xdr:to>
    <xdr:cxnSp macro="">
      <xdr:nvCxnSpPr>
        <xdr:cNvPr id="76" name="Straight Connector 75"/>
        <xdr:cNvCxnSpPr/>
      </xdr:nvCxnSpPr>
      <xdr:spPr>
        <a:xfrm flipV="1">
          <a:off x="18249076" y="6712377"/>
          <a:ext cx="595312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464039</xdr:colOff>
      <xdr:row>33</xdr:row>
      <xdr:rowOff>128628</xdr:rowOff>
    </xdr:from>
    <xdr:to>
      <xdr:col>17</xdr:col>
      <xdr:colOff>1035539</xdr:colOff>
      <xdr:row>33</xdr:row>
      <xdr:rowOff>128628</xdr:rowOff>
    </xdr:to>
    <xdr:cxnSp macro="">
      <xdr:nvCxnSpPr>
        <xdr:cNvPr id="77" name="Straight Connector 76"/>
        <xdr:cNvCxnSpPr/>
      </xdr:nvCxnSpPr>
      <xdr:spPr>
        <a:xfrm>
          <a:off x="18261135" y="659830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464038</xdr:colOff>
      <xdr:row>26</xdr:row>
      <xdr:rowOff>99320</xdr:rowOff>
    </xdr:from>
    <xdr:to>
      <xdr:col>17</xdr:col>
      <xdr:colOff>1035538</xdr:colOff>
      <xdr:row>26</xdr:row>
      <xdr:rowOff>99320</xdr:rowOff>
    </xdr:to>
    <xdr:cxnSp macro="">
      <xdr:nvCxnSpPr>
        <xdr:cNvPr id="78" name="Straight Connector 77"/>
        <xdr:cNvCxnSpPr/>
      </xdr:nvCxnSpPr>
      <xdr:spPr>
        <a:xfrm>
          <a:off x="18261134" y="5228166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8"/>
  <sheetViews>
    <sheetView view="pageLayout" topLeftCell="H7" zoomScale="70" zoomScaleNormal="90" zoomScalePageLayoutView="70" workbookViewId="0">
      <selection activeCell="J18" sqref="J18:J20"/>
    </sheetView>
  </sheetViews>
  <sheetFormatPr defaultRowHeight="15" x14ac:dyDescent="0.25"/>
  <cols>
    <col min="2" max="2" width="25.42578125" customWidth="1"/>
    <col min="3" max="3" width="20" customWidth="1"/>
    <col min="4" max="4" width="16.42578125" customWidth="1"/>
    <col min="5" max="5" width="12.7109375" customWidth="1"/>
    <col min="6" max="6" width="10" customWidth="1"/>
    <col min="7" max="7" width="25.42578125" customWidth="1"/>
    <col min="8" max="8" width="20" customWidth="1"/>
    <col min="9" max="9" width="15.42578125" customWidth="1"/>
    <col min="10" max="10" width="9.28515625" customWidth="1"/>
    <col min="11" max="11" width="7.85546875" customWidth="1"/>
    <col min="12" max="12" width="13.28515625" style="116" customWidth="1"/>
    <col min="13" max="13" width="25.42578125" customWidth="1"/>
    <col min="14" max="14" width="20" customWidth="1"/>
    <col min="15" max="15" width="15.42578125" customWidth="1"/>
    <col min="16" max="16" width="14.42578125" customWidth="1"/>
    <col min="17" max="17" width="10.7109375" customWidth="1"/>
    <col min="19" max="19" width="25.42578125" customWidth="1"/>
    <col min="20" max="20" width="20" customWidth="1"/>
    <col min="21" max="21" width="15.42578125" customWidth="1"/>
    <col min="22" max="22" width="14.140625" customWidth="1"/>
  </cols>
  <sheetData>
    <row r="1" spans="2:20" ht="15.75" thickBot="1" x14ac:dyDescent="0.3">
      <c r="B1" s="135" t="s">
        <v>47</v>
      </c>
      <c r="C1" s="135"/>
      <c r="G1" s="135" t="s">
        <v>39</v>
      </c>
      <c r="H1" s="135"/>
      <c r="M1" s="135" t="s">
        <v>40</v>
      </c>
      <c r="N1" s="135"/>
      <c r="S1" s="135" t="s">
        <v>41</v>
      </c>
      <c r="T1" s="135"/>
    </row>
    <row r="2" spans="2:20" x14ac:dyDescent="0.25">
      <c r="B2" s="9" t="s">
        <v>5</v>
      </c>
      <c r="C2" s="23">
        <v>70</v>
      </c>
      <c r="G2" s="9" t="s">
        <v>5</v>
      </c>
      <c r="H2" s="23">
        <v>70</v>
      </c>
      <c r="M2" s="9" t="s">
        <v>5</v>
      </c>
      <c r="N2" s="23">
        <v>70</v>
      </c>
      <c r="S2" s="9" t="s">
        <v>5</v>
      </c>
      <c r="T2" s="23">
        <v>70</v>
      </c>
    </row>
    <row r="3" spans="2:20" x14ac:dyDescent="0.25">
      <c r="B3" s="9" t="s">
        <v>2</v>
      </c>
      <c r="C3" s="23" t="s">
        <v>26</v>
      </c>
      <c r="G3" s="9" t="s">
        <v>2</v>
      </c>
      <c r="H3" s="23" t="s">
        <v>26</v>
      </c>
      <c r="M3" s="9" t="s">
        <v>2</v>
      </c>
      <c r="N3" s="23" t="s">
        <v>26</v>
      </c>
      <c r="S3" s="9" t="s">
        <v>2</v>
      </c>
      <c r="T3" s="23" t="s">
        <v>26</v>
      </c>
    </row>
    <row r="4" spans="2:20" ht="18" x14ac:dyDescent="0.25">
      <c r="B4" s="9" t="s">
        <v>6</v>
      </c>
      <c r="C4" s="23">
        <v>0.04</v>
      </c>
      <c r="G4" s="9" t="s">
        <v>6</v>
      </c>
      <c r="H4" s="23">
        <v>0.06</v>
      </c>
      <c r="M4" s="9" t="s">
        <v>6</v>
      </c>
      <c r="N4" s="23">
        <v>0.06</v>
      </c>
      <c r="S4" s="9" t="s">
        <v>6</v>
      </c>
      <c r="T4" s="23">
        <v>4.3999999999999997E-2</v>
      </c>
    </row>
    <row r="5" spans="2:20" x14ac:dyDescent="0.25">
      <c r="B5" s="9" t="s">
        <v>10</v>
      </c>
      <c r="C5" s="23">
        <v>1.6E-2</v>
      </c>
      <c r="G5" s="9" t="s">
        <v>10</v>
      </c>
      <c r="H5" s="23">
        <v>1.6E-2</v>
      </c>
      <c r="M5" s="9" t="s">
        <v>10</v>
      </c>
      <c r="N5" s="23">
        <v>1.6E-2</v>
      </c>
      <c r="S5" s="9" t="s">
        <v>10</v>
      </c>
      <c r="T5" s="23">
        <v>1.6E-2</v>
      </c>
    </row>
    <row r="6" spans="2:20" ht="18" x14ac:dyDescent="0.25">
      <c r="B6" s="9" t="s">
        <v>33</v>
      </c>
      <c r="C6" s="23">
        <v>250</v>
      </c>
      <c r="G6" s="9" t="s">
        <v>33</v>
      </c>
      <c r="H6" s="23">
        <v>250</v>
      </c>
      <c r="M6" s="9" t="s">
        <v>33</v>
      </c>
      <c r="N6" s="23">
        <v>250</v>
      </c>
      <c r="S6" s="9" t="s">
        <v>33</v>
      </c>
      <c r="T6" s="23">
        <v>250</v>
      </c>
    </row>
    <row r="7" spans="2:20" x14ac:dyDescent="0.25">
      <c r="B7" s="9" t="s">
        <v>9</v>
      </c>
      <c r="C7" s="23">
        <v>12</v>
      </c>
      <c r="G7" s="9" t="s">
        <v>9</v>
      </c>
      <c r="H7" s="23">
        <v>12</v>
      </c>
      <c r="M7" s="9" t="s">
        <v>9</v>
      </c>
      <c r="N7" s="23">
        <v>12</v>
      </c>
      <c r="S7" s="9" t="s">
        <v>9</v>
      </c>
      <c r="T7" s="23">
        <v>12</v>
      </c>
    </row>
    <row r="8" spans="2:20" x14ac:dyDescent="0.25">
      <c r="B8" s="9" t="s">
        <v>28</v>
      </c>
      <c r="C8" s="23">
        <v>3</v>
      </c>
      <c r="G8" s="9" t="s">
        <v>28</v>
      </c>
      <c r="H8" s="23">
        <v>3</v>
      </c>
      <c r="M8" s="9" t="s">
        <v>28</v>
      </c>
      <c r="N8" s="23">
        <v>3</v>
      </c>
      <c r="S8" s="9" t="s">
        <v>28</v>
      </c>
      <c r="T8" s="23">
        <v>3</v>
      </c>
    </row>
    <row r="9" spans="2:20" ht="15.75" thickBot="1" x14ac:dyDescent="0.3">
      <c r="B9" s="9"/>
      <c r="C9" s="2"/>
      <c r="G9" s="9"/>
      <c r="H9" s="2"/>
      <c r="M9" s="9"/>
      <c r="N9" s="2"/>
      <c r="S9" s="9"/>
      <c r="T9" s="2"/>
    </row>
    <row r="10" spans="2:20" ht="15.75" thickBot="1" x14ac:dyDescent="0.3">
      <c r="B10" s="19" t="s">
        <v>11</v>
      </c>
      <c r="C10" s="4" t="s">
        <v>27</v>
      </c>
      <c r="G10" s="19" t="s">
        <v>11</v>
      </c>
      <c r="H10" s="4" t="s">
        <v>27</v>
      </c>
      <c r="M10" s="19" t="s">
        <v>11</v>
      </c>
      <c r="N10" s="4" t="s">
        <v>27</v>
      </c>
      <c r="S10" s="19" t="s">
        <v>11</v>
      </c>
      <c r="T10" s="4" t="s">
        <v>27</v>
      </c>
    </row>
    <row r="11" spans="2:20" x14ac:dyDescent="0.25">
      <c r="B11" s="18" t="s">
        <v>31</v>
      </c>
      <c r="C11" s="20">
        <f>ROUNDUP(C6*((C4*3*C7)-(C5*C7)),0)</f>
        <v>312</v>
      </c>
      <c r="G11" s="18" t="s">
        <v>31</v>
      </c>
      <c r="H11" s="20">
        <f>ROUNDUP(H6*((H4*3*H7)-(H5*H7)),0)</f>
        <v>492</v>
      </c>
      <c r="M11" s="18" t="s">
        <v>31</v>
      </c>
      <c r="N11" s="20">
        <f>ROUNDUP(N6*((N4*3*N7)-(N5*N7)),0)</f>
        <v>492</v>
      </c>
      <c r="S11" s="18" t="s">
        <v>31</v>
      </c>
      <c r="T11" s="20">
        <f>ROUNDUP(T6*((T4*3*T7)-(T5*T7)),0)</f>
        <v>348</v>
      </c>
    </row>
    <row r="12" spans="2:20" x14ac:dyDescent="0.25">
      <c r="B12" s="7" t="s">
        <v>32</v>
      </c>
      <c r="C12" s="24">
        <v>325</v>
      </c>
      <c r="G12" s="7" t="s">
        <v>32</v>
      </c>
      <c r="H12" s="24">
        <v>500</v>
      </c>
      <c r="M12" s="7" t="s">
        <v>32</v>
      </c>
      <c r="N12" s="24">
        <v>500</v>
      </c>
      <c r="S12" s="7" t="s">
        <v>32</v>
      </c>
      <c r="T12" s="24">
        <v>350</v>
      </c>
    </row>
    <row r="13" spans="2:20" ht="18" x14ac:dyDescent="0.25">
      <c r="B13" s="27" t="s">
        <v>34</v>
      </c>
      <c r="C13" s="28">
        <f>C12/((C4*3*C7)-(C5*C7))</f>
        <v>260.41666666666669</v>
      </c>
      <c r="G13" s="27" t="s">
        <v>34</v>
      </c>
      <c r="H13" s="28">
        <f>H12/((H4*3*H7)-(H5*H7))</f>
        <v>254.06504065040647</v>
      </c>
      <c r="M13" s="27" t="s">
        <v>34</v>
      </c>
      <c r="N13" s="28">
        <f>N12/((N4*3*N7)-(N5*N7))</f>
        <v>254.06504065040647</v>
      </c>
      <c r="S13" s="27" t="s">
        <v>34</v>
      </c>
      <c r="T13" s="28">
        <f>T12/((T4*3*T7)-(T5*T7))</f>
        <v>251.43678160919538</v>
      </c>
    </row>
    <row r="14" spans="2:20" x14ac:dyDescent="0.25">
      <c r="B14" s="7" t="s">
        <v>29</v>
      </c>
      <c r="C14" s="6">
        <f>C13*C5*C7</f>
        <v>50</v>
      </c>
      <c r="G14" s="7" t="s">
        <v>29</v>
      </c>
      <c r="H14" s="6">
        <f>H13*H5*H7</f>
        <v>48.780487804878042</v>
      </c>
      <c r="M14" s="7" t="s">
        <v>29</v>
      </c>
      <c r="N14" s="6">
        <f>N13*N5*N7</f>
        <v>48.780487804878042</v>
      </c>
      <c r="S14" s="7" t="s">
        <v>29</v>
      </c>
      <c r="T14" s="6">
        <f>T13*T5*T7</f>
        <v>48.275862068965509</v>
      </c>
    </row>
    <row r="15" spans="2:20" x14ac:dyDescent="0.25">
      <c r="B15" s="7" t="s">
        <v>30</v>
      </c>
      <c r="C15" s="6">
        <f>C13*C5*2*C7</f>
        <v>100</v>
      </c>
      <c r="G15" s="7" t="s">
        <v>30</v>
      </c>
      <c r="H15" s="6">
        <f>H13*H5*2*H7</f>
        <v>97.560975609756085</v>
      </c>
      <c r="M15" s="7" t="s">
        <v>30</v>
      </c>
      <c r="N15" s="6">
        <f>N13*N5*2*N7</f>
        <v>97.560975609756085</v>
      </c>
      <c r="S15" s="7" t="s">
        <v>30</v>
      </c>
      <c r="T15" s="6">
        <f>T13*T5*2*T7</f>
        <v>96.551724137931018</v>
      </c>
    </row>
    <row r="16" spans="2:20" x14ac:dyDescent="0.25">
      <c r="B16" s="7" t="s">
        <v>21</v>
      </c>
      <c r="C16" s="32"/>
      <c r="G16" s="7" t="s">
        <v>21</v>
      </c>
      <c r="H16" s="118">
        <v>79024.060800000007</v>
      </c>
      <c r="M16" s="7" t="s">
        <v>21</v>
      </c>
      <c r="N16" s="22">
        <v>88485.628400000001</v>
      </c>
      <c r="S16" s="7"/>
      <c r="T16" s="31"/>
    </row>
    <row r="17" spans="2:24" x14ac:dyDescent="0.25">
      <c r="B17" s="7" t="s">
        <v>23</v>
      </c>
      <c r="C17" s="31"/>
      <c r="G17" s="7" t="s">
        <v>23</v>
      </c>
      <c r="H17" s="118">
        <v>79524.060800000007</v>
      </c>
      <c r="M17" s="7" t="s">
        <v>23</v>
      </c>
      <c r="N17" s="22">
        <v>88985.628400000001</v>
      </c>
      <c r="S17" s="7" t="s">
        <v>0</v>
      </c>
      <c r="T17" s="118">
        <v>98548.905100000004</v>
      </c>
    </row>
    <row r="18" spans="2:24" x14ac:dyDescent="0.25">
      <c r="B18" s="7" t="s">
        <v>24</v>
      </c>
      <c r="C18" s="29">
        <v>78512.941399999996</v>
      </c>
      <c r="G18" s="7" t="s">
        <v>24</v>
      </c>
      <c r="H18" s="118">
        <v>81419.945900000006</v>
      </c>
      <c r="M18" s="7" t="s">
        <v>24</v>
      </c>
      <c r="N18" s="22">
        <v>89208.335500000001</v>
      </c>
      <c r="S18" s="7" t="s">
        <v>1</v>
      </c>
      <c r="T18" s="118">
        <v>99947.066300000006</v>
      </c>
    </row>
    <row r="19" spans="2:24" x14ac:dyDescent="0.25">
      <c r="B19" s="7" t="s">
        <v>22</v>
      </c>
      <c r="C19" s="29">
        <v>78837.941399999996</v>
      </c>
      <c r="G19" s="7" t="s">
        <v>22</v>
      </c>
      <c r="H19" s="118">
        <v>81919.945900000006</v>
      </c>
      <c r="M19" s="7" t="s">
        <v>22</v>
      </c>
      <c r="N19" s="22">
        <v>89708.335500000001</v>
      </c>
      <c r="S19" s="7"/>
      <c r="T19" s="31"/>
    </row>
    <row r="20" spans="2:24" x14ac:dyDescent="0.25">
      <c r="B20" s="8" t="s">
        <v>17</v>
      </c>
      <c r="C20" s="24" t="s">
        <v>35</v>
      </c>
      <c r="G20" s="8" t="s">
        <v>17</v>
      </c>
      <c r="H20" s="24" t="s">
        <v>35</v>
      </c>
      <c r="M20" s="8" t="s">
        <v>17</v>
      </c>
      <c r="N20" s="24" t="s">
        <v>35</v>
      </c>
      <c r="S20" s="8" t="s">
        <v>17</v>
      </c>
      <c r="T20" s="24">
        <v>0.6</v>
      </c>
    </row>
    <row r="21" spans="2:24" x14ac:dyDescent="0.25">
      <c r="B21" s="8" t="s">
        <v>18</v>
      </c>
      <c r="C21" s="24" t="s">
        <v>35</v>
      </c>
      <c r="G21" s="8" t="s">
        <v>18</v>
      </c>
      <c r="H21" s="24" t="s">
        <v>35</v>
      </c>
      <c r="M21" s="8" t="s">
        <v>18</v>
      </c>
      <c r="N21" s="24" t="s">
        <v>35</v>
      </c>
      <c r="S21" s="8" t="s">
        <v>18</v>
      </c>
      <c r="T21" s="24">
        <v>0.6</v>
      </c>
    </row>
    <row r="22" spans="2:24" x14ac:dyDescent="0.25">
      <c r="B22" s="17"/>
      <c r="C22" s="12"/>
      <c r="G22" s="37"/>
      <c r="H22" s="38"/>
      <c r="I22" t="s">
        <v>93</v>
      </c>
      <c r="M22" s="17"/>
      <c r="N22" s="12"/>
      <c r="S22" s="17"/>
      <c r="T22" s="12"/>
    </row>
    <row r="23" spans="2:24" x14ac:dyDescent="0.25">
      <c r="B23" s="134" t="s">
        <v>43</v>
      </c>
      <c r="C23" s="134"/>
      <c r="G23" s="134" t="s">
        <v>43</v>
      </c>
      <c r="H23" s="134"/>
      <c r="M23" s="134" t="s">
        <v>43</v>
      </c>
      <c r="N23" s="134"/>
      <c r="S23" s="134" t="s">
        <v>43</v>
      </c>
      <c r="T23" s="134"/>
    </row>
    <row r="24" spans="2:24" ht="15.75" thickBot="1" x14ac:dyDescent="0.3">
      <c r="B24" s="13"/>
      <c r="C24" s="39" t="s">
        <v>19</v>
      </c>
      <c r="G24" s="13"/>
      <c r="H24" s="39" t="s">
        <v>19</v>
      </c>
      <c r="M24" s="13"/>
      <c r="N24" s="39" t="s">
        <v>19</v>
      </c>
      <c r="S24" s="13"/>
      <c r="T24" s="39" t="s">
        <v>19</v>
      </c>
      <c r="X24" s="114"/>
    </row>
    <row r="25" spans="2:24" x14ac:dyDescent="0.25">
      <c r="B25" s="10" t="s">
        <v>13</v>
      </c>
      <c r="C25" s="3">
        <f>C16-C15</f>
        <v>-100</v>
      </c>
      <c r="G25" s="10" t="s">
        <v>13</v>
      </c>
      <c r="H25" s="68">
        <f>H16-H15</f>
        <v>78926.499824390252</v>
      </c>
      <c r="J25" s="47"/>
      <c r="M25" s="10" t="s">
        <v>13</v>
      </c>
      <c r="N25" s="3">
        <f>N16-N15</f>
        <v>88388.067424390247</v>
      </c>
      <c r="P25" s="67" t="s">
        <v>91</v>
      </c>
      <c r="Q25" s="67"/>
      <c r="R25" s="114"/>
      <c r="S25" s="10" t="s">
        <v>13</v>
      </c>
      <c r="T25" s="3">
        <f>T26-T15</f>
        <v>98242.353375862076</v>
      </c>
      <c r="V25" s="67" t="s">
        <v>89</v>
      </c>
      <c r="X25" s="114"/>
    </row>
    <row r="26" spans="2:24" x14ac:dyDescent="0.25">
      <c r="B26" s="10" t="s">
        <v>14</v>
      </c>
      <c r="C26" s="3">
        <f>C16</f>
        <v>0</v>
      </c>
      <c r="G26" s="10" t="s">
        <v>14</v>
      </c>
      <c r="H26" s="68">
        <f>H16</f>
        <v>79024.060800000007</v>
      </c>
      <c r="J26" s="47"/>
      <c r="K26" s="10" t="s">
        <v>58</v>
      </c>
      <c r="L26" s="116">
        <f>(H28-C43)/((J28+E43)*36)</f>
        <v>280.86650000000293</v>
      </c>
      <c r="M26" s="10" t="s">
        <v>14</v>
      </c>
      <c r="N26" s="3">
        <f>N16</f>
        <v>88485.628400000001</v>
      </c>
      <c r="P26" s="67" t="s">
        <v>92</v>
      </c>
      <c r="Q26" s="67"/>
      <c r="R26" s="114"/>
      <c r="S26" s="10" t="s">
        <v>14</v>
      </c>
      <c r="T26" s="3">
        <f>T17-(T20*T12)</f>
        <v>98338.905100000004</v>
      </c>
      <c r="V26" s="67" t="s">
        <v>88</v>
      </c>
      <c r="X26" s="114"/>
    </row>
    <row r="27" spans="2:24" x14ac:dyDescent="0.25">
      <c r="B27" s="10" t="s">
        <v>46</v>
      </c>
      <c r="C27" s="3">
        <f>C16+C14</f>
        <v>50</v>
      </c>
      <c r="G27" s="10" t="s">
        <v>46</v>
      </c>
      <c r="H27" s="68">
        <f>H16+H15</f>
        <v>79121.621775609761</v>
      </c>
      <c r="J27" s="47"/>
      <c r="M27" s="10" t="s">
        <v>46</v>
      </c>
      <c r="N27" s="3">
        <f>N16+N15</f>
        <v>88583.189375609756</v>
      </c>
      <c r="P27" s="47">
        <v>1.6E-2</v>
      </c>
      <c r="Q27" s="10" t="s">
        <v>58</v>
      </c>
      <c r="R27" s="114">
        <f>(N28-N26)/((N4*36)-(N5*12))</f>
        <v>254.06504065040647</v>
      </c>
      <c r="S27" s="10" t="s">
        <v>46</v>
      </c>
      <c r="T27" s="3">
        <f>T26+T15</f>
        <v>98435.456824137931</v>
      </c>
      <c r="V27" s="47">
        <v>1.6E-2</v>
      </c>
      <c r="W27" s="10" t="s">
        <v>58</v>
      </c>
      <c r="X27" s="114">
        <f>(T28-T26)/((T4*36)-(T5*12))</f>
        <v>251.43678160919541</v>
      </c>
    </row>
    <row r="28" spans="2:24" x14ac:dyDescent="0.25">
      <c r="B28" s="10" t="s">
        <v>16</v>
      </c>
      <c r="C28" s="3">
        <f>C17</f>
        <v>0</v>
      </c>
      <c r="G28" s="10" t="s">
        <v>16</v>
      </c>
      <c r="H28" s="3">
        <f>H17</f>
        <v>79524.060800000007</v>
      </c>
      <c r="J28" s="47">
        <v>0.06</v>
      </c>
      <c r="M28" s="10" t="s">
        <v>16</v>
      </c>
      <c r="N28" s="3">
        <f>N17</f>
        <v>88985.628400000001</v>
      </c>
      <c r="P28" s="47">
        <v>0.06</v>
      </c>
      <c r="Q28" s="47"/>
      <c r="R28" s="114"/>
      <c r="S28" s="10" t="s">
        <v>16</v>
      </c>
      <c r="T28" s="3">
        <f>T26+T12</f>
        <v>98688.905100000004</v>
      </c>
      <c r="V28" s="47">
        <v>4.3999999999999997E-2</v>
      </c>
      <c r="W28" s="47"/>
      <c r="X28" s="114"/>
    </row>
    <row r="29" spans="2:24" ht="15.75" thickBot="1" x14ac:dyDescent="0.3">
      <c r="B29" s="14"/>
      <c r="C29" s="39" t="s">
        <v>20</v>
      </c>
      <c r="G29" s="14"/>
      <c r="H29" s="39" t="s">
        <v>20</v>
      </c>
      <c r="J29" s="47"/>
      <c r="M29" s="14"/>
      <c r="N29" s="39" t="s">
        <v>20</v>
      </c>
      <c r="R29" s="114"/>
      <c r="S29" s="14"/>
      <c r="T29" s="39" t="s">
        <v>20</v>
      </c>
      <c r="V29" s="47"/>
      <c r="X29" s="114"/>
    </row>
    <row r="30" spans="2:24" x14ac:dyDescent="0.25">
      <c r="B30" s="10" t="s">
        <v>16</v>
      </c>
      <c r="C30" s="3">
        <f>C18</f>
        <v>78512.941399999996</v>
      </c>
      <c r="E30" s="47">
        <v>0.04</v>
      </c>
      <c r="F30" s="47"/>
      <c r="G30" s="10" t="s">
        <v>16</v>
      </c>
      <c r="H30" s="3">
        <f>H18</f>
        <v>81419.945900000006</v>
      </c>
      <c r="J30" s="47">
        <v>0.06</v>
      </c>
      <c r="M30" s="10" t="s">
        <v>16</v>
      </c>
      <c r="N30" s="3">
        <f>N18</f>
        <v>89208.335500000001</v>
      </c>
      <c r="P30" s="47">
        <v>0.06</v>
      </c>
      <c r="Q30" s="47"/>
      <c r="R30" s="114"/>
      <c r="S30" s="10" t="s">
        <v>16</v>
      </c>
      <c r="T30" s="3">
        <f>T32-T12</f>
        <v>99807.066300000006</v>
      </c>
      <c r="V30" s="47">
        <v>4.3999999999999997E-2</v>
      </c>
      <c r="W30" s="47"/>
      <c r="X30" s="114"/>
    </row>
    <row r="31" spans="2:24" x14ac:dyDescent="0.25">
      <c r="B31" s="10" t="s">
        <v>46</v>
      </c>
      <c r="C31" s="68">
        <f>C19-C14</f>
        <v>78787.941399999996</v>
      </c>
      <c r="E31" s="47">
        <v>1.6E-2</v>
      </c>
      <c r="F31" s="47"/>
      <c r="G31" s="10" t="s">
        <v>46</v>
      </c>
      <c r="H31" s="3">
        <f>H19-H15</f>
        <v>81822.384924390251</v>
      </c>
      <c r="J31" s="47">
        <v>1.6E-2</v>
      </c>
      <c r="K31" s="10" t="s">
        <v>58</v>
      </c>
      <c r="L31" s="116">
        <f>(H32-H30)/((H4*36)-(H5*12))</f>
        <v>254.06504065040647</v>
      </c>
      <c r="M31" s="10" t="s">
        <v>46</v>
      </c>
      <c r="N31" s="3">
        <f>N19-N15</f>
        <v>89610.774524390246</v>
      </c>
      <c r="P31" s="47">
        <v>1.6E-2</v>
      </c>
      <c r="Q31" s="10" t="s">
        <v>58</v>
      </c>
      <c r="R31" s="114">
        <f>(N32-N30)/((N4*36)-(N5*12))</f>
        <v>254.06504065040647</v>
      </c>
      <c r="S31" s="10" t="s">
        <v>46</v>
      </c>
      <c r="T31" s="3">
        <f>T32-T15</f>
        <v>100060.51457586208</v>
      </c>
      <c r="V31" s="47">
        <v>1.6E-2</v>
      </c>
      <c r="W31" s="10" t="s">
        <v>58</v>
      </c>
      <c r="X31" s="114">
        <f>(T32-T30)/((T4*36)-(T5*12))</f>
        <v>251.43678160919541</v>
      </c>
    </row>
    <row r="32" spans="2:24" x14ac:dyDescent="0.25">
      <c r="B32" s="10" t="s">
        <v>14</v>
      </c>
      <c r="C32" s="68">
        <f>C19</f>
        <v>78837.941399999996</v>
      </c>
      <c r="E32" s="67" t="s">
        <v>88</v>
      </c>
      <c r="F32" s="47"/>
      <c r="G32" s="10" t="s">
        <v>14</v>
      </c>
      <c r="H32" s="3">
        <f>H19</f>
        <v>81919.945900000006</v>
      </c>
      <c r="J32" s="67" t="s">
        <v>88</v>
      </c>
      <c r="M32" s="10" t="s">
        <v>14</v>
      </c>
      <c r="N32" s="3">
        <f>N19</f>
        <v>89708.335500000001</v>
      </c>
      <c r="P32" s="67" t="s">
        <v>92</v>
      </c>
      <c r="Q32" s="67"/>
      <c r="R32" s="114"/>
      <c r="S32" s="10" t="s">
        <v>14</v>
      </c>
      <c r="T32" s="3">
        <f>T18+(T21*T12)</f>
        <v>100157.06630000001</v>
      </c>
      <c r="V32" s="67" t="s">
        <v>88</v>
      </c>
      <c r="W32" s="67"/>
      <c r="X32" s="114"/>
    </row>
    <row r="33" spans="2:24" x14ac:dyDescent="0.25">
      <c r="B33" s="10" t="s">
        <v>13</v>
      </c>
      <c r="C33" s="68">
        <f>C19+C15</f>
        <v>78937.941399999996</v>
      </c>
      <c r="E33" s="67" t="s">
        <v>89</v>
      </c>
      <c r="F33" s="47"/>
      <c r="G33" s="10" t="s">
        <v>13</v>
      </c>
      <c r="H33" s="3">
        <f>H19+H15</f>
        <v>82017.506875609761</v>
      </c>
      <c r="J33" s="67" t="s">
        <v>89</v>
      </c>
      <c r="M33" s="10" t="s">
        <v>13</v>
      </c>
      <c r="N33" s="3">
        <f>N19+N15</f>
        <v>89805.896475609756</v>
      </c>
      <c r="P33" s="67" t="s">
        <v>91</v>
      </c>
      <c r="Q33" s="67"/>
      <c r="R33" s="114"/>
      <c r="S33" s="10" t="s">
        <v>13</v>
      </c>
      <c r="T33" s="3">
        <f>T32+T15</f>
        <v>100253.61802413793</v>
      </c>
      <c r="V33" s="67" t="s">
        <v>89</v>
      </c>
      <c r="W33" s="67"/>
      <c r="X33" s="114"/>
    </row>
    <row r="34" spans="2:24" x14ac:dyDescent="0.25">
      <c r="J34" s="47"/>
      <c r="R34" s="114"/>
      <c r="V34" s="47"/>
      <c r="X34" s="114"/>
    </row>
    <row r="35" spans="2:24" x14ac:dyDescent="0.25">
      <c r="B35" s="134" t="s">
        <v>42</v>
      </c>
      <c r="C35" s="134"/>
      <c r="G35" s="134" t="s">
        <v>42</v>
      </c>
      <c r="H35" s="134"/>
      <c r="J35" s="47"/>
      <c r="M35" s="134" t="s">
        <v>42</v>
      </c>
      <c r="N35" s="134"/>
      <c r="R35" s="114"/>
      <c r="S35" s="134" t="s">
        <v>42</v>
      </c>
      <c r="T35" s="134"/>
      <c r="V35" s="47"/>
      <c r="X35" s="114"/>
    </row>
    <row r="36" spans="2:24" ht="15.75" thickBot="1" x14ac:dyDescent="0.3">
      <c r="B36" s="13"/>
      <c r="C36" s="39" t="s">
        <v>19</v>
      </c>
      <c r="G36" s="13"/>
      <c r="H36" s="39" t="s">
        <v>19</v>
      </c>
      <c r="J36" s="47"/>
      <c r="M36" s="13"/>
      <c r="N36" s="39" t="s">
        <v>19</v>
      </c>
      <c r="R36" s="114"/>
      <c r="S36" s="13"/>
      <c r="T36" s="39" t="s">
        <v>19</v>
      </c>
      <c r="V36" s="47"/>
      <c r="X36" s="114"/>
    </row>
    <row r="37" spans="2:24" x14ac:dyDescent="0.25">
      <c r="B37" s="10" t="s">
        <v>44</v>
      </c>
      <c r="C37" s="3">
        <f>C17</f>
        <v>0</v>
      </c>
      <c r="E37" s="133" t="s">
        <v>90</v>
      </c>
      <c r="F37" s="133"/>
      <c r="G37" s="10" t="s">
        <v>44</v>
      </c>
      <c r="H37" s="68">
        <f>H16</f>
        <v>79024.060800000007</v>
      </c>
      <c r="J37" s="47"/>
      <c r="M37" s="10" t="s">
        <v>44</v>
      </c>
      <c r="N37" s="3">
        <f>N16</f>
        <v>88485.628400000001</v>
      </c>
      <c r="P37" s="67" t="s">
        <v>91</v>
      </c>
      <c r="Q37" s="67"/>
      <c r="R37" s="114"/>
      <c r="S37" s="10" t="s">
        <v>44</v>
      </c>
      <c r="T37" s="3">
        <f>T17-(T20*T12)</f>
        <v>98338.905100000004</v>
      </c>
      <c r="V37" s="67" t="s">
        <v>89</v>
      </c>
      <c r="W37" s="67"/>
      <c r="X37" s="114"/>
    </row>
    <row r="38" spans="2:24" x14ac:dyDescent="0.25">
      <c r="B38" s="10" t="s">
        <v>45</v>
      </c>
      <c r="C38" s="3">
        <f>C17+C15</f>
        <v>100</v>
      </c>
      <c r="E38" s="133"/>
      <c r="F38" s="133"/>
      <c r="G38" s="10" t="s">
        <v>45</v>
      </c>
      <c r="H38" s="68">
        <f>H16+H14</f>
        <v>79072.841287804884</v>
      </c>
      <c r="J38" s="47"/>
      <c r="M38" s="10" t="s">
        <v>45</v>
      </c>
      <c r="N38" s="3">
        <f>N16+N14</f>
        <v>88534.408887804879</v>
      </c>
      <c r="P38" s="67" t="s">
        <v>92</v>
      </c>
      <c r="Q38" s="67"/>
      <c r="R38" s="114"/>
      <c r="S38" s="10" t="s">
        <v>45</v>
      </c>
      <c r="T38" s="3">
        <f>T37+T14</f>
        <v>98387.180962068975</v>
      </c>
      <c r="V38" s="67" t="s">
        <v>88</v>
      </c>
      <c r="W38" s="67"/>
      <c r="X38" s="114"/>
    </row>
    <row r="39" spans="2:24" x14ac:dyDescent="0.25">
      <c r="B39" s="10" t="s">
        <v>46</v>
      </c>
      <c r="C39" s="3">
        <f>C17+2*C15</f>
        <v>200</v>
      </c>
      <c r="G39" s="10" t="s">
        <v>46</v>
      </c>
      <c r="H39" s="68">
        <f>H16+2*H14</f>
        <v>79121.621775609761</v>
      </c>
      <c r="J39" s="47"/>
      <c r="M39" s="10" t="s">
        <v>46</v>
      </c>
      <c r="N39" s="3">
        <f>N16+2*N14</f>
        <v>88583.189375609756</v>
      </c>
      <c r="P39" s="47">
        <v>1.6E-2</v>
      </c>
      <c r="Q39" s="10" t="s">
        <v>58</v>
      </c>
      <c r="R39" s="114">
        <f>(N40-N38)/((N4*36)-(N5*24))</f>
        <v>254.06504065040687</v>
      </c>
      <c r="S39" s="10" t="s">
        <v>46</v>
      </c>
      <c r="T39" s="3">
        <f>T37+2*T14</f>
        <v>98435.456824137931</v>
      </c>
      <c r="V39" s="47">
        <v>1.6E-2</v>
      </c>
      <c r="W39" s="10" t="s">
        <v>58</v>
      </c>
      <c r="X39" s="114">
        <f>(T40-T38)/((T4*36)-(T5*24))</f>
        <v>251.43678160919086</v>
      </c>
    </row>
    <row r="40" spans="2:24" x14ac:dyDescent="0.25">
      <c r="B40" s="10" t="s">
        <v>16</v>
      </c>
      <c r="C40" s="3">
        <f>C18</f>
        <v>78512.941399999996</v>
      </c>
      <c r="G40" s="10" t="s">
        <v>16</v>
      </c>
      <c r="H40" s="3">
        <f>H17</f>
        <v>79524.060800000007</v>
      </c>
      <c r="J40" s="47">
        <v>0.06</v>
      </c>
      <c r="M40" s="10" t="s">
        <v>16</v>
      </c>
      <c r="N40" s="3">
        <f>N17</f>
        <v>88985.628400000001</v>
      </c>
      <c r="P40" s="47">
        <v>0.06</v>
      </c>
      <c r="Q40" s="47"/>
      <c r="R40" s="114"/>
      <c r="S40" s="10" t="s">
        <v>16</v>
      </c>
      <c r="T40" s="3">
        <f>T37+T12</f>
        <v>98688.905100000004</v>
      </c>
      <c r="V40" s="47">
        <v>4.3999999999999997E-2</v>
      </c>
      <c r="W40" s="47"/>
      <c r="X40" s="114"/>
    </row>
    <row r="41" spans="2:24" x14ac:dyDescent="0.25">
      <c r="B41" s="15"/>
      <c r="C41" s="16"/>
      <c r="G41" s="15"/>
      <c r="H41" s="16"/>
      <c r="J41" s="47"/>
      <c r="K41" s="47"/>
      <c r="M41" s="15"/>
      <c r="N41" s="16"/>
      <c r="R41" s="114"/>
      <c r="S41" s="10"/>
      <c r="T41" s="3"/>
      <c r="V41" s="47"/>
      <c r="X41" s="114"/>
    </row>
    <row r="42" spans="2:24" ht="15.75" thickBot="1" x14ac:dyDescent="0.3">
      <c r="B42" s="14"/>
      <c r="C42" s="39" t="s">
        <v>20</v>
      </c>
      <c r="G42" s="14"/>
      <c r="H42" s="39" t="s">
        <v>20</v>
      </c>
      <c r="J42" s="47"/>
      <c r="M42" s="14"/>
      <c r="N42" s="39" t="s">
        <v>20</v>
      </c>
      <c r="R42" s="114"/>
      <c r="S42" s="14"/>
      <c r="T42" s="39" t="s">
        <v>20</v>
      </c>
      <c r="V42" s="47"/>
      <c r="X42" s="114"/>
    </row>
    <row r="43" spans="2:24" x14ac:dyDescent="0.25">
      <c r="B43" s="10" t="s">
        <v>16</v>
      </c>
      <c r="C43" s="3">
        <f>C18</f>
        <v>78512.941399999996</v>
      </c>
      <c r="E43" s="47">
        <v>0.04</v>
      </c>
      <c r="F43" s="47"/>
      <c r="G43" s="10" t="s">
        <v>16</v>
      </c>
      <c r="H43" s="3">
        <f>H18</f>
        <v>81419.945900000006</v>
      </c>
      <c r="J43" s="47">
        <v>0.06</v>
      </c>
      <c r="K43" s="10" t="s">
        <v>55</v>
      </c>
      <c r="L43" s="116">
        <f>(H45-H43)/((H4*36)-(H5*24))</f>
        <v>254.06504065040687</v>
      </c>
      <c r="M43" s="10" t="s">
        <v>16</v>
      </c>
      <c r="N43" s="3">
        <f>N18</f>
        <v>89208.335500000001</v>
      </c>
      <c r="P43" s="47">
        <v>0.06</v>
      </c>
      <c r="Q43" s="47"/>
      <c r="R43" s="114"/>
      <c r="S43" s="10" t="s">
        <v>16</v>
      </c>
      <c r="T43" s="3">
        <f>T46-T12</f>
        <v>99807.066300000006</v>
      </c>
      <c r="V43" s="47">
        <v>4.3999999999999997E-2</v>
      </c>
      <c r="W43" s="47"/>
      <c r="X43" s="114"/>
    </row>
    <row r="44" spans="2:24" x14ac:dyDescent="0.25">
      <c r="B44" s="10" t="s">
        <v>46</v>
      </c>
      <c r="C44" s="68">
        <f>C46-2*C14</f>
        <v>78737.941399999996</v>
      </c>
      <c r="E44" s="47">
        <v>1.6E-2</v>
      </c>
      <c r="F44" s="47"/>
      <c r="G44" s="10" t="s">
        <v>46</v>
      </c>
      <c r="H44" s="3">
        <f>H46-2*H14</f>
        <v>81822.384924390251</v>
      </c>
      <c r="J44" s="47">
        <v>1.6E-2</v>
      </c>
      <c r="M44" s="10" t="s">
        <v>46</v>
      </c>
      <c r="N44" s="3">
        <f>N46-2*N14</f>
        <v>89610.774524390246</v>
      </c>
      <c r="P44" s="47">
        <v>1.6E-2</v>
      </c>
      <c r="Q44" s="10" t="s">
        <v>58</v>
      </c>
      <c r="R44" s="114">
        <f>(N45-N43)/((N4*36)-(N5*24))</f>
        <v>254.06504065040687</v>
      </c>
      <c r="S44" s="10" t="s">
        <v>46</v>
      </c>
      <c r="T44" s="3">
        <f>T46-2*T14</f>
        <v>100060.51457586208</v>
      </c>
      <c r="V44" s="47">
        <v>1.6E-2</v>
      </c>
      <c r="W44" s="10" t="s">
        <v>58</v>
      </c>
      <c r="X44" s="114">
        <f>(T45-T43)/((T4*36)-(T5*24))</f>
        <v>251.43678160919086</v>
      </c>
    </row>
    <row r="45" spans="2:24" x14ac:dyDescent="0.25">
      <c r="B45" s="10" t="s">
        <v>45</v>
      </c>
      <c r="C45" s="68">
        <f>C46-C14</f>
        <v>78787.941399999996</v>
      </c>
      <c r="E45" s="67" t="s">
        <v>88</v>
      </c>
      <c r="F45" s="47"/>
      <c r="G45" s="10" t="s">
        <v>45</v>
      </c>
      <c r="H45" s="3">
        <f>H46-H14</f>
        <v>81871.165412195129</v>
      </c>
      <c r="J45" s="67" t="s">
        <v>88</v>
      </c>
      <c r="M45" s="10" t="s">
        <v>45</v>
      </c>
      <c r="N45" s="3">
        <f>N46-N14</f>
        <v>89659.555012195124</v>
      </c>
      <c r="P45" s="67" t="s">
        <v>92</v>
      </c>
      <c r="Q45" s="67"/>
      <c r="R45" s="114"/>
      <c r="S45" s="10" t="s">
        <v>45</v>
      </c>
      <c r="T45" s="3">
        <f>T46-T14</f>
        <v>100108.79043793103</v>
      </c>
      <c r="V45" s="67" t="s">
        <v>88</v>
      </c>
      <c r="W45" s="67"/>
      <c r="X45" s="114"/>
    </row>
    <row r="46" spans="2:24" x14ac:dyDescent="0.25">
      <c r="B46" s="10" t="s">
        <v>44</v>
      </c>
      <c r="C46" s="68">
        <f>C19</f>
        <v>78837.941399999996</v>
      </c>
      <c r="E46" s="67" t="s">
        <v>89</v>
      </c>
      <c r="F46" s="47"/>
      <c r="G46" s="10" t="s">
        <v>44</v>
      </c>
      <c r="H46" s="3">
        <f>H19</f>
        <v>81919.945900000006</v>
      </c>
      <c r="J46" s="67" t="s">
        <v>89</v>
      </c>
      <c r="M46" s="10" t="s">
        <v>44</v>
      </c>
      <c r="N46" s="3">
        <f>N19</f>
        <v>89708.335500000001</v>
      </c>
      <c r="P46" s="67" t="s">
        <v>91</v>
      </c>
      <c r="Q46" s="67"/>
      <c r="R46" s="114"/>
      <c r="S46" s="10" t="s">
        <v>44</v>
      </c>
      <c r="T46" s="3">
        <f>T18+(T21*T12)</f>
        <v>100157.06630000001</v>
      </c>
      <c r="V46" s="67" t="s">
        <v>89</v>
      </c>
      <c r="X46" s="114"/>
    </row>
    <row r="47" spans="2:24" x14ac:dyDescent="0.25">
      <c r="J47" s="47"/>
      <c r="V47" s="47"/>
      <c r="X47" s="114"/>
    </row>
    <row r="48" spans="2:24" x14ac:dyDescent="0.25">
      <c r="X48" s="114"/>
    </row>
  </sheetData>
  <mergeCells count="13">
    <mergeCell ref="M1:N1"/>
    <mergeCell ref="S1:T1"/>
    <mergeCell ref="G23:H23"/>
    <mergeCell ref="G35:H35"/>
    <mergeCell ref="M23:N23"/>
    <mergeCell ref="M35:N35"/>
    <mergeCell ref="S23:T23"/>
    <mergeCell ref="S35:T35"/>
    <mergeCell ref="E37:F38"/>
    <mergeCell ref="B23:C23"/>
    <mergeCell ref="B35:C35"/>
    <mergeCell ref="B1:C1"/>
    <mergeCell ref="G1:H1"/>
  </mergeCells>
  <pageMargins left="0.7" right="0.7" top="0.75" bottom="0.75" header="0.3" footer="0.3"/>
  <pageSetup scale="95" orientation="portrait" r:id="rId1"/>
  <headerFooter>
    <oddHeader>&amp;RCalculated By:_&amp;UABS&amp;U__&amp;U_2/18/13&amp;U______
Checked By:_____________________</oddHeader>
    <oddFooter>&amp;C&amp;F,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37"/>
  <sheetViews>
    <sheetView view="pageLayout" topLeftCell="L7" zoomScale="80" zoomScaleNormal="100" zoomScaleSheetLayoutView="70" zoomScalePageLayoutView="80" workbookViewId="0">
      <selection activeCell="S36" sqref="S36"/>
    </sheetView>
  </sheetViews>
  <sheetFormatPr defaultRowHeight="15" x14ac:dyDescent="0.25"/>
  <cols>
    <col min="1" max="1" width="25.42578125" customWidth="1"/>
    <col min="2" max="2" width="19.42578125" customWidth="1"/>
    <col min="3" max="3" width="6.85546875" customWidth="1"/>
    <col min="4" max="4" width="13.7109375" customWidth="1"/>
    <col min="5" max="5" width="13" customWidth="1"/>
    <col min="6" max="6" width="7.42578125" customWidth="1"/>
    <col min="7" max="7" width="11" customWidth="1"/>
    <col min="8" max="8" width="25.85546875" customWidth="1"/>
    <col min="9" max="9" width="18.42578125" customWidth="1"/>
    <col min="10" max="10" width="6.42578125" customWidth="1"/>
    <col min="11" max="11" width="14.42578125" customWidth="1"/>
    <col min="12" max="12" width="13.85546875" customWidth="1"/>
    <col min="13" max="13" width="7.85546875" customWidth="1"/>
    <col min="14" max="14" width="12.5703125" customWidth="1"/>
    <col min="15" max="15" width="24.42578125" customWidth="1"/>
    <col min="16" max="16" width="17.85546875" customWidth="1"/>
    <col min="17" max="17" width="5.7109375" style="92" customWidth="1"/>
    <col min="18" max="18" width="13.140625" customWidth="1"/>
    <col min="19" max="19" width="14" customWidth="1"/>
    <col min="20" max="20" width="7.85546875" customWidth="1"/>
    <col min="21" max="21" width="10.7109375" customWidth="1"/>
    <col min="22" max="22" width="26" customWidth="1"/>
    <col min="23" max="23" width="18.28515625" customWidth="1"/>
    <col min="24" max="24" width="6.85546875" style="92" customWidth="1"/>
    <col min="25" max="25" width="14.42578125" customWidth="1"/>
    <col min="26" max="26" width="11.42578125" customWidth="1"/>
    <col min="27" max="27" width="8.7109375" customWidth="1"/>
    <col min="28" max="28" width="12.42578125" customWidth="1"/>
  </cols>
  <sheetData>
    <row r="1" spans="1:25" ht="15.75" thickBot="1" x14ac:dyDescent="0.3">
      <c r="A1" s="135" t="s">
        <v>48</v>
      </c>
      <c r="B1" s="135"/>
      <c r="C1" s="2"/>
      <c r="H1" s="135" t="s">
        <v>49</v>
      </c>
      <c r="I1" s="135"/>
      <c r="K1" s="2"/>
      <c r="O1" s="135" t="s">
        <v>50</v>
      </c>
      <c r="P1" s="135"/>
      <c r="Q1" s="103"/>
      <c r="R1" s="2"/>
      <c r="V1" s="135" t="s">
        <v>138</v>
      </c>
      <c r="W1" s="135"/>
      <c r="X1" s="103"/>
      <c r="Y1" s="2"/>
    </row>
    <row r="2" spans="1:25" x14ac:dyDescent="0.25">
      <c r="C2" s="2"/>
      <c r="I2" s="2"/>
      <c r="K2" s="2"/>
      <c r="P2" s="2"/>
      <c r="Q2" s="104"/>
      <c r="R2" s="2"/>
      <c r="W2" s="2"/>
      <c r="X2" s="104"/>
      <c r="Y2" s="2"/>
    </row>
    <row r="3" spans="1:25" x14ac:dyDescent="0.25">
      <c r="A3" s="9" t="s">
        <v>5</v>
      </c>
      <c r="B3" s="23">
        <v>50</v>
      </c>
      <c r="C3" s="2"/>
      <c r="H3" s="9" t="s">
        <v>5</v>
      </c>
      <c r="I3" s="23">
        <v>45</v>
      </c>
      <c r="K3" s="2"/>
      <c r="O3" s="9" t="s">
        <v>5</v>
      </c>
      <c r="P3" s="23">
        <v>45</v>
      </c>
      <c r="Q3" s="104"/>
      <c r="R3" s="2"/>
      <c r="V3" s="9" t="s">
        <v>5</v>
      </c>
      <c r="W3" s="23">
        <v>60</v>
      </c>
      <c r="X3" s="104"/>
      <c r="Y3" s="2"/>
    </row>
    <row r="4" spans="1:25" x14ac:dyDescent="0.25">
      <c r="A4" s="9" t="s">
        <v>2</v>
      </c>
      <c r="B4" s="23" t="s">
        <v>26</v>
      </c>
      <c r="C4" s="2"/>
      <c r="H4" s="9" t="s">
        <v>2</v>
      </c>
      <c r="I4" s="23" t="s">
        <v>7</v>
      </c>
      <c r="K4" s="2"/>
      <c r="O4" s="9" t="s">
        <v>2</v>
      </c>
      <c r="P4" s="23" t="s">
        <v>7</v>
      </c>
      <c r="Q4" s="104"/>
      <c r="R4" s="2"/>
      <c r="V4" s="9" t="s">
        <v>2</v>
      </c>
      <c r="W4" s="23" t="s">
        <v>26</v>
      </c>
      <c r="X4" s="104"/>
      <c r="Y4" s="2"/>
    </row>
    <row r="5" spans="1:25" ht="20.25" customHeight="1" x14ac:dyDescent="0.25">
      <c r="A5" s="9" t="s">
        <v>6</v>
      </c>
      <c r="B5" s="25">
        <v>5.8999999999999997E-2</v>
      </c>
      <c r="C5" s="2"/>
      <c r="H5" s="9" t="s">
        <v>6</v>
      </c>
      <c r="I5" s="23">
        <v>0.06</v>
      </c>
      <c r="K5" s="2"/>
      <c r="O5" s="9" t="s">
        <v>6</v>
      </c>
      <c r="P5" s="23">
        <v>0.06</v>
      </c>
      <c r="Q5" s="104"/>
      <c r="R5" s="2"/>
      <c r="V5" s="9" t="s">
        <v>6</v>
      </c>
      <c r="W5" s="23">
        <v>3.6999999999999998E-2</v>
      </c>
      <c r="X5" s="104"/>
      <c r="Y5" s="2"/>
    </row>
    <row r="6" spans="1:25" x14ac:dyDescent="0.25">
      <c r="A6" s="9" t="s">
        <v>10</v>
      </c>
      <c r="B6" s="23">
        <v>1.6E-2</v>
      </c>
      <c r="C6" s="2"/>
      <c r="H6" s="9" t="s">
        <v>10</v>
      </c>
      <c r="I6" s="23">
        <v>1.6E-2</v>
      </c>
      <c r="K6" s="2"/>
      <c r="O6" s="9" t="s">
        <v>10</v>
      </c>
      <c r="P6" s="23">
        <v>1.6E-2</v>
      </c>
      <c r="Q6" s="104"/>
      <c r="R6" s="2"/>
      <c r="V6" s="9" t="s">
        <v>51</v>
      </c>
      <c r="W6" s="23">
        <v>1.6E-2</v>
      </c>
      <c r="X6" s="104"/>
      <c r="Y6" s="2"/>
    </row>
    <row r="7" spans="1:25" x14ac:dyDescent="0.25">
      <c r="A7" s="9" t="s">
        <v>8</v>
      </c>
      <c r="B7" s="23">
        <v>200</v>
      </c>
      <c r="C7" s="2"/>
      <c r="H7" s="9" t="s">
        <v>8</v>
      </c>
      <c r="I7" s="23">
        <v>185</v>
      </c>
      <c r="K7" s="2"/>
      <c r="O7" s="9" t="s">
        <v>8</v>
      </c>
      <c r="P7" s="23">
        <v>185</v>
      </c>
      <c r="Q7" s="104"/>
      <c r="R7" s="2"/>
      <c r="V7" s="9" t="s">
        <v>52</v>
      </c>
      <c r="W7" s="23">
        <v>0.02</v>
      </c>
      <c r="X7" s="104"/>
      <c r="Y7" s="2"/>
    </row>
    <row r="8" spans="1:25" x14ac:dyDescent="0.25">
      <c r="A8" s="9" t="s">
        <v>9</v>
      </c>
      <c r="B8" s="23">
        <v>16</v>
      </c>
      <c r="C8" s="2"/>
      <c r="D8" t="s">
        <v>38</v>
      </c>
      <c r="H8" s="9" t="s">
        <v>9</v>
      </c>
      <c r="I8" s="23">
        <v>16</v>
      </c>
      <c r="K8" t="s">
        <v>38</v>
      </c>
      <c r="O8" s="9" t="s">
        <v>9</v>
      </c>
      <c r="P8" s="23">
        <v>16</v>
      </c>
      <c r="Q8" s="104"/>
      <c r="R8" t="s">
        <v>38</v>
      </c>
      <c r="V8" s="9" t="s">
        <v>8</v>
      </c>
      <c r="W8" s="23">
        <v>222</v>
      </c>
      <c r="X8" s="104"/>
      <c r="Y8" s="2"/>
    </row>
    <row r="9" spans="1:25" ht="15.75" thickBot="1" x14ac:dyDescent="0.3">
      <c r="A9" s="9"/>
      <c r="B9" s="2"/>
      <c r="C9" s="2"/>
      <c r="H9" s="9"/>
      <c r="I9" s="2"/>
      <c r="K9" s="2"/>
      <c r="O9" s="9"/>
      <c r="P9" s="2"/>
      <c r="Q9" s="104"/>
      <c r="R9" s="2"/>
      <c r="V9" s="9" t="s">
        <v>9</v>
      </c>
      <c r="W9" s="23">
        <v>16</v>
      </c>
      <c r="X9" s="104"/>
      <c r="Y9" t="s">
        <v>38</v>
      </c>
    </row>
    <row r="10" spans="1:25" ht="15.75" thickBot="1" x14ac:dyDescent="0.3">
      <c r="A10" s="19" t="s">
        <v>11</v>
      </c>
      <c r="B10" s="4" t="s">
        <v>12</v>
      </c>
      <c r="C10" s="2"/>
      <c r="H10" s="33" t="s">
        <v>11</v>
      </c>
      <c r="I10" s="34" t="s">
        <v>12</v>
      </c>
      <c r="K10" s="2"/>
      <c r="O10" s="33" t="s">
        <v>11</v>
      </c>
      <c r="P10" s="34" t="s">
        <v>12</v>
      </c>
      <c r="Q10" s="106"/>
      <c r="R10" s="2"/>
      <c r="V10" s="9"/>
      <c r="W10" s="2"/>
      <c r="X10" s="104"/>
      <c r="Y10" s="2"/>
    </row>
    <row r="11" spans="1:25" ht="15.75" thickBot="1" x14ac:dyDescent="0.3">
      <c r="A11" s="35" t="s">
        <v>31</v>
      </c>
      <c r="B11" s="5">
        <f>ROUNDUP(B8*B7*B5,0)</f>
        <v>189</v>
      </c>
      <c r="C11" s="2"/>
      <c r="H11" s="35" t="s">
        <v>31</v>
      </c>
      <c r="I11" s="5">
        <f>ROUNDUP(I8*I7*I5,0)</f>
        <v>178</v>
      </c>
      <c r="K11" s="2"/>
      <c r="O11" s="35" t="s">
        <v>31</v>
      </c>
      <c r="P11" s="5">
        <f>ROUNDUP(P8*P7*P5,0)</f>
        <v>178</v>
      </c>
      <c r="Q11" s="106"/>
      <c r="R11" s="2"/>
      <c r="V11" s="33" t="s">
        <v>11</v>
      </c>
      <c r="W11" s="34" t="s">
        <v>12</v>
      </c>
      <c r="X11" s="106"/>
      <c r="Y11" s="2"/>
    </row>
    <row r="12" spans="1:25" x14ac:dyDescent="0.25">
      <c r="A12" s="7" t="s">
        <v>32</v>
      </c>
      <c r="B12" s="24">
        <v>200</v>
      </c>
      <c r="C12" s="2"/>
      <c r="H12" s="7" t="s">
        <v>32</v>
      </c>
      <c r="I12" s="24">
        <v>178</v>
      </c>
      <c r="K12" s="2"/>
      <c r="O12" s="7" t="s">
        <v>32</v>
      </c>
      <c r="P12" s="24">
        <v>178</v>
      </c>
      <c r="Q12" s="106"/>
      <c r="R12" s="2"/>
      <c r="V12" s="35" t="s">
        <v>31</v>
      </c>
      <c r="W12" s="5">
        <f>ROUNDUP(W9*W8*W5,0)</f>
        <v>132</v>
      </c>
      <c r="X12" s="106"/>
      <c r="Y12" s="2"/>
    </row>
    <row r="13" spans="1:25" ht="18" x14ac:dyDescent="0.25">
      <c r="A13" s="7" t="s">
        <v>34</v>
      </c>
      <c r="B13" s="6">
        <f>B12/(B8*B5)</f>
        <v>211.86440677966104</v>
      </c>
      <c r="C13" s="2"/>
      <c r="H13" s="7" t="s">
        <v>34</v>
      </c>
      <c r="I13" s="6">
        <f>I12/(I8*I5)</f>
        <v>185.41666666666669</v>
      </c>
      <c r="K13" s="2"/>
      <c r="O13" s="7" t="s">
        <v>34</v>
      </c>
      <c r="P13" s="6">
        <f>P12/(P8*P5)</f>
        <v>185.41666666666669</v>
      </c>
      <c r="Q13" s="107"/>
      <c r="R13" s="2"/>
      <c r="V13" s="7" t="s">
        <v>32</v>
      </c>
      <c r="W13" s="24">
        <v>132</v>
      </c>
      <c r="X13" s="106"/>
      <c r="Y13" s="2"/>
    </row>
    <row r="14" spans="1:25" ht="18" x14ac:dyDescent="0.25">
      <c r="A14" s="7" t="s">
        <v>4</v>
      </c>
      <c r="B14" s="6">
        <f>(B6/B5)*B12</f>
        <v>54.237288135593218</v>
      </c>
      <c r="C14" s="2"/>
      <c r="H14" s="7" t="s">
        <v>4</v>
      </c>
      <c r="I14" s="6">
        <f>(I6/I5)*I12</f>
        <v>47.466666666666669</v>
      </c>
      <c r="K14" s="2"/>
      <c r="O14" s="7" t="s">
        <v>4</v>
      </c>
      <c r="P14" s="6">
        <f>(P6/P5)*P12</f>
        <v>47.466666666666669</v>
      </c>
      <c r="Q14" s="107"/>
      <c r="R14" s="2"/>
      <c r="V14" s="7" t="s">
        <v>34</v>
      </c>
      <c r="W14" s="6">
        <f>W13/(W9*W5)</f>
        <v>222.972972972973</v>
      </c>
      <c r="X14" s="107"/>
      <c r="Y14" s="2"/>
    </row>
    <row r="15" spans="1:25" x14ac:dyDescent="0.25">
      <c r="A15" s="7"/>
      <c r="B15" s="5"/>
      <c r="C15" s="2"/>
      <c r="H15" s="7"/>
      <c r="I15" s="5"/>
      <c r="K15" s="2"/>
      <c r="O15" s="7"/>
      <c r="P15" s="5"/>
      <c r="Q15" s="106"/>
      <c r="R15" s="2"/>
      <c r="V15" s="7" t="s">
        <v>53</v>
      </c>
      <c r="W15" s="6">
        <f>(W6/W5)*W13</f>
        <v>57.081081081081081</v>
      </c>
      <c r="X15" s="107"/>
      <c r="Y15" s="2"/>
    </row>
    <row r="16" spans="1:25" x14ac:dyDescent="0.25">
      <c r="A16" s="7" t="s">
        <v>21</v>
      </c>
      <c r="B16" s="22">
        <v>78493.4522</v>
      </c>
      <c r="C16" s="2"/>
      <c r="H16" s="7" t="s">
        <v>0</v>
      </c>
      <c r="I16" s="22">
        <v>79623.922999999995</v>
      </c>
      <c r="K16" s="2"/>
      <c r="O16" s="7" t="s">
        <v>0</v>
      </c>
      <c r="P16" s="22">
        <v>81645.859800000006</v>
      </c>
      <c r="Q16" s="108"/>
      <c r="R16" s="2"/>
      <c r="V16" s="7" t="s">
        <v>54</v>
      </c>
      <c r="W16" s="6">
        <f>(W7/W5)*W13</f>
        <v>71.351351351351354</v>
      </c>
      <c r="X16" s="107"/>
      <c r="Y16" s="2"/>
    </row>
    <row r="17" spans="1:26" x14ac:dyDescent="0.25">
      <c r="A17" s="7" t="s">
        <v>23</v>
      </c>
      <c r="B17" s="22">
        <v>78693.4522</v>
      </c>
      <c r="C17" s="2"/>
      <c r="H17" s="7" t="s">
        <v>1</v>
      </c>
      <c r="I17" s="22">
        <v>81103.975000000006</v>
      </c>
      <c r="K17" s="2"/>
      <c r="O17" s="7" t="s">
        <v>24</v>
      </c>
      <c r="P17" s="22">
        <v>81980.573300000004</v>
      </c>
      <c r="Q17" s="108"/>
      <c r="R17" s="2"/>
      <c r="V17" s="7" t="s">
        <v>23</v>
      </c>
      <c r="W17" s="22">
        <v>82180.573300000004</v>
      </c>
      <c r="X17" s="108"/>
      <c r="Y17" s="2"/>
    </row>
    <row r="18" spans="1:26" x14ac:dyDescent="0.25">
      <c r="A18" s="7" t="s">
        <v>24</v>
      </c>
      <c r="B18" s="22">
        <v>79024.533500000005</v>
      </c>
      <c r="C18" s="2"/>
      <c r="H18" s="8"/>
      <c r="I18" s="5"/>
      <c r="K18" s="2"/>
      <c r="O18" s="8" t="s">
        <v>23</v>
      </c>
      <c r="P18" s="29">
        <v>82180.573300000004</v>
      </c>
      <c r="Q18" s="115"/>
      <c r="R18" s="2"/>
      <c r="V18" s="7" t="s">
        <v>1</v>
      </c>
      <c r="W18" s="22">
        <v>82642.14</v>
      </c>
      <c r="X18" s="108"/>
      <c r="Y18" s="2"/>
    </row>
    <row r="19" spans="1:26" x14ac:dyDescent="0.25">
      <c r="A19" s="7" t="s">
        <v>22</v>
      </c>
      <c r="B19" s="22">
        <v>79224.533500000005</v>
      </c>
      <c r="C19" s="2"/>
      <c r="H19" s="36"/>
      <c r="I19" s="36"/>
      <c r="K19" s="2"/>
      <c r="O19" s="36"/>
      <c r="P19" s="36"/>
      <c r="Q19" s="109"/>
      <c r="R19" s="2"/>
      <c r="V19" s="8"/>
      <c r="W19" s="5"/>
      <c r="X19" s="106"/>
      <c r="Y19" s="2"/>
    </row>
    <row r="20" spans="1:26" x14ac:dyDescent="0.25">
      <c r="A20" s="8"/>
      <c r="B20" s="5"/>
      <c r="C20" s="2"/>
      <c r="H20" s="36"/>
      <c r="I20" s="36"/>
      <c r="K20" s="2"/>
      <c r="O20" s="36"/>
      <c r="P20" s="36"/>
      <c r="Q20" s="109"/>
      <c r="R20" s="2"/>
      <c r="V20" s="36"/>
      <c r="W20" s="36"/>
      <c r="X20" s="109"/>
      <c r="Y20" s="2"/>
    </row>
    <row r="21" spans="1:26" x14ac:dyDescent="0.25">
      <c r="A21" s="8" t="s">
        <v>17</v>
      </c>
      <c r="B21" s="24" t="s">
        <v>35</v>
      </c>
      <c r="C21" s="2"/>
      <c r="H21" s="8" t="s">
        <v>17</v>
      </c>
      <c r="I21" s="24">
        <v>0.67</v>
      </c>
      <c r="K21" s="2"/>
      <c r="O21" s="8" t="s">
        <v>17</v>
      </c>
      <c r="P21" s="24">
        <v>0.67</v>
      </c>
      <c r="Q21" s="106"/>
      <c r="R21" s="2"/>
      <c r="V21" s="36"/>
      <c r="W21" s="36"/>
      <c r="X21" s="109"/>
      <c r="Y21" s="2"/>
    </row>
    <row r="22" spans="1:26" x14ac:dyDescent="0.25">
      <c r="A22" s="8" t="s">
        <v>18</v>
      </c>
      <c r="B22" s="24" t="s">
        <v>35</v>
      </c>
      <c r="H22" s="8" t="s">
        <v>18</v>
      </c>
      <c r="I22" s="24">
        <v>0.67</v>
      </c>
      <c r="O22" s="8" t="s">
        <v>18</v>
      </c>
      <c r="P22" s="24">
        <v>0.67</v>
      </c>
      <c r="Q22" s="106"/>
      <c r="V22" s="8" t="s">
        <v>17</v>
      </c>
      <c r="W22" s="24"/>
      <c r="X22" s="106"/>
      <c r="Y22" s="2"/>
    </row>
    <row r="23" spans="1:26" x14ac:dyDescent="0.25">
      <c r="A23" s="17"/>
      <c r="B23" s="12"/>
      <c r="H23" s="37"/>
      <c r="I23" s="12"/>
      <c r="O23" s="37"/>
      <c r="P23" s="12"/>
      <c r="Q23" s="106"/>
      <c r="V23" s="8" t="s">
        <v>18</v>
      </c>
      <c r="W23" s="24">
        <v>0.6</v>
      </c>
      <c r="X23" s="106"/>
    </row>
    <row r="24" spans="1:26" ht="15.75" thickBot="1" x14ac:dyDescent="0.3">
      <c r="A24" s="13"/>
      <c r="B24" s="39" t="s">
        <v>19</v>
      </c>
      <c r="H24" s="14"/>
      <c r="I24" s="39" t="s">
        <v>19</v>
      </c>
      <c r="O24" s="14"/>
      <c r="P24" s="39" t="s">
        <v>19</v>
      </c>
      <c r="Q24" s="105"/>
      <c r="V24" s="37"/>
      <c r="W24" s="12"/>
      <c r="X24" s="106"/>
    </row>
    <row r="25" spans="1:26" ht="15.75" thickBot="1" x14ac:dyDescent="0.3">
      <c r="A25" s="40" t="s">
        <v>13</v>
      </c>
      <c r="B25" s="46">
        <f>B16-B14</f>
        <v>78439.214911864401</v>
      </c>
      <c r="D25" s="110"/>
      <c r="H25" s="40" t="s">
        <v>13</v>
      </c>
      <c r="I25" s="41">
        <f>I26-I14</f>
        <v>79457.196333333341</v>
      </c>
      <c r="K25" s="110"/>
      <c r="L25" s="48">
        <v>1.6E-2</v>
      </c>
      <c r="M25" s="48"/>
      <c r="N25" s="72"/>
      <c r="O25" s="40" t="s">
        <v>13</v>
      </c>
      <c r="P25" s="46">
        <f>P26-P14</f>
        <v>81479.133133333351</v>
      </c>
      <c r="Q25" s="108"/>
      <c r="R25" s="110"/>
      <c r="U25" s="114"/>
      <c r="V25" s="14"/>
      <c r="W25" s="39" t="s">
        <v>19</v>
      </c>
      <c r="X25" s="105"/>
    </row>
    <row r="26" spans="1:26" x14ac:dyDescent="0.25">
      <c r="A26" s="8" t="s">
        <v>14</v>
      </c>
      <c r="B26" s="45">
        <f>B16</f>
        <v>78493.4522</v>
      </c>
      <c r="D26" s="110"/>
      <c r="H26" s="8" t="s">
        <v>14</v>
      </c>
      <c r="I26" s="42">
        <f>I16-(I21*I12)</f>
        <v>79504.663</v>
      </c>
      <c r="K26" s="110"/>
      <c r="L26" s="48">
        <v>0</v>
      </c>
      <c r="M26" s="48"/>
      <c r="N26" s="72"/>
      <c r="O26" s="8" t="s">
        <v>14</v>
      </c>
      <c r="P26" s="45">
        <f>P16-(P21*P12)</f>
        <v>81526.599800000011</v>
      </c>
      <c r="Q26" s="108"/>
      <c r="R26" s="110"/>
      <c r="U26" s="114"/>
      <c r="V26" s="40" t="s">
        <v>13</v>
      </c>
      <c r="W26" s="41"/>
      <c r="X26" s="108"/>
      <c r="Y26" s="110"/>
    </row>
    <row r="27" spans="1:26" x14ac:dyDescent="0.25">
      <c r="A27" s="8" t="s">
        <v>15</v>
      </c>
      <c r="B27" s="42">
        <f>B16</f>
        <v>78493.4522</v>
      </c>
      <c r="C27" s="2"/>
      <c r="D27" s="110"/>
      <c r="E27" s="47">
        <v>1.6E-2</v>
      </c>
      <c r="F27" s="47"/>
      <c r="G27" s="47"/>
      <c r="H27" s="8" t="s">
        <v>15</v>
      </c>
      <c r="I27" s="42">
        <f>I26+I14</f>
        <v>79552.12966666666</v>
      </c>
      <c r="K27" s="110"/>
      <c r="L27" s="48">
        <v>1.6E-2</v>
      </c>
      <c r="M27" s="10" t="s">
        <v>58</v>
      </c>
      <c r="N27" s="116">
        <f>(I28-I26)/(I5*I8)</f>
        <v>185.41666666666669</v>
      </c>
      <c r="O27" s="8" t="s">
        <v>15</v>
      </c>
      <c r="P27" s="42">
        <f>P26+P14</f>
        <v>81574.066466666671</v>
      </c>
      <c r="Q27" s="108"/>
      <c r="R27" s="110"/>
      <c r="S27" s="47">
        <v>1.6E-2</v>
      </c>
      <c r="U27" s="114"/>
      <c r="V27" s="8" t="s">
        <v>14</v>
      </c>
      <c r="W27" s="42"/>
      <c r="X27" s="108"/>
      <c r="Y27" s="110"/>
    </row>
    <row r="28" spans="1:26" x14ac:dyDescent="0.25">
      <c r="A28" s="8" t="s">
        <v>16</v>
      </c>
      <c r="B28" s="42">
        <f>B17</f>
        <v>78693.4522</v>
      </c>
      <c r="C28" s="2"/>
      <c r="D28" s="110"/>
      <c r="E28" s="47">
        <v>5.8999999999999997E-2</v>
      </c>
      <c r="F28" s="10" t="s">
        <v>58</v>
      </c>
      <c r="G28" s="116">
        <f>(B28-B27)/((B5-B6)*B8)</f>
        <v>290.69767441860466</v>
      </c>
      <c r="H28" s="8" t="s">
        <v>16</v>
      </c>
      <c r="I28" s="42">
        <f>I16-(I21*I12)+I12</f>
        <v>79682.663</v>
      </c>
      <c r="K28" s="110"/>
      <c r="L28" s="48">
        <v>0.06</v>
      </c>
      <c r="M28" s="48"/>
      <c r="N28" s="116"/>
      <c r="O28" s="8" t="s">
        <v>16</v>
      </c>
      <c r="P28" s="42">
        <f>P16-(P21*P12)+P12</f>
        <v>81704.599800000011</v>
      </c>
      <c r="Q28" s="108"/>
      <c r="R28" s="110"/>
      <c r="S28" s="48">
        <v>0.06</v>
      </c>
      <c r="T28" s="10" t="s">
        <v>58</v>
      </c>
      <c r="U28" s="116">
        <f>(P28-P27)/((P5-P6)*P8)</f>
        <v>185.41666666667632</v>
      </c>
      <c r="V28" s="8" t="s">
        <v>15</v>
      </c>
      <c r="W28" s="42"/>
      <c r="X28" s="108"/>
      <c r="Y28" s="110"/>
    </row>
    <row r="29" spans="1:26" x14ac:dyDescent="0.25">
      <c r="A29" s="15"/>
      <c r="B29" s="16"/>
      <c r="H29" s="10"/>
      <c r="I29" s="2"/>
      <c r="N29" s="116"/>
      <c r="O29" s="10"/>
      <c r="P29" s="2"/>
      <c r="Q29" s="104"/>
      <c r="U29" s="114"/>
      <c r="V29" s="8" t="s">
        <v>16</v>
      </c>
      <c r="W29" s="42">
        <f>W17</f>
        <v>82180.573300000004</v>
      </c>
      <c r="X29" s="108"/>
      <c r="Y29" s="110"/>
      <c r="Z29" s="48">
        <v>3.6999999999999998E-2</v>
      </c>
    </row>
    <row r="30" spans="1:26" ht="15.75" thickBot="1" x14ac:dyDescent="0.3">
      <c r="A30" s="14"/>
      <c r="B30" s="39" t="s">
        <v>20</v>
      </c>
      <c r="H30" s="14"/>
      <c r="I30" s="39" t="s">
        <v>20</v>
      </c>
      <c r="N30" s="116"/>
      <c r="O30" s="14"/>
      <c r="P30" s="39" t="s">
        <v>20</v>
      </c>
      <c r="Q30" s="105"/>
      <c r="U30" s="114"/>
      <c r="V30" s="10"/>
      <c r="W30" s="2"/>
      <c r="X30" s="104"/>
      <c r="Z30" s="48"/>
    </row>
    <row r="31" spans="1:26" ht="15.75" thickBot="1" x14ac:dyDescent="0.3">
      <c r="A31" s="40" t="s">
        <v>16</v>
      </c>
      <c r="B31" s="41">
        <f>B18</f>
        <v>79024.533500000005</v>
      </c>
      <c r="D31" s="110"/>
      <c r="E31" s="47">
        <v>5.8999999999999997E-2</v>
      </c>
      <c r="F31" s="47"/>
      <c r="G31" s="47"/>
      <c r="H31" s="40" t="s">
        <v>16</v>
      </c>
      <c r="I31" s="41">
        <f>I17+(I22*I12)-I12</f>
        <v>81045.235000000001</v>
      </c>
      <c r="K31" s="110"/>
      <c r="L31" s="48">
        <v>0.06</v>
      </c>
      <c r="M31" s="48"/>
      <c r="N31" s="116"/>
      <c r="O31" s="40" t="s">
        <v>16</v>
      </c>
      <c r="P31" s="41">
        <f>P17</f>
        <v>81980.573300000004</v>
      </c>
      <c r="Q31" s="108"/>
      <c r="R31" s="110"/>
      <c r="S31" s="48">
        <v>0.06</v>
      </c>
      <c r="U31" s="114"/>
      <c r="V31" s="14"/>
      <c r="W31" s="39" t="s">
        <v>20</v>
      </c>
      <c r="X31" s="105"/>
      <c r="Z31" s="48"/>
    </row>
    <row r="32" spans="1:26" x14ac:dyDescent="0.25">
      <c r="A32" s="8" t="s">
        <v>15</v>
      </c>
      <c r="B32" s="42">
        <f>B19</f>
        <v>79224.533500000005</v>
      </c>
      <c r="D32" s="110"/>
      <c r="E32" s="47">
        <v>1.6E-2</v>
      </c>
      <c r="F32" s="10" t="s">
        <v>58</v>
      </c>
      <c r="G32" s="116">
        <f>(B32-B31)/((B5-B6)*B8)</f>
        <v>290.69767441860466</v>
      </c>
      <c r="H32" s="8" t="s">
        <v>15</v>
      </c>
      <c r="I32" s="42">
        <f>I33-I14</f>
        <v>81175.768333333341</v>
      </c>
      <c r="K32" s="110"/>
      <c r="L32" s="48">
        <v>1.6E-2</v>
      </c>
      <c r="M32" s="48"/>
      <c r="N32" s="116"/>
      <c r="O32" s="8" t="s">
        <v>15</v>
      </c>
      <c r="P32" s="42"/>
      <c r="Q32" s="108"/>
      <c r="R32" s="110"/>
      <c r="S32" s="43"/>
      <c r="T32" s="10" t="s">
        <v>58</v>
      </c>
      <c r="U32" s="116">
        <f>(P34-P31)/((S31-S34)*P8)</f>
        <v>543.47826086956525</v>
      </c>
      <c r="V32" s="40" t="s">
        <v>16</v>
      </c>
      <c r="W32" s="41">
        <f>W18+(W23*W13)-W13</f>
        <v>82589.34</v>
      </c>
      <c r="X32" s="108"/>
      <c r="Y32" s="110"/>
      <c r="Z32" s="48">
        <v>3.6999999999999998E-2</v>
      </c>
    </row>
    <row r="33" spans="1:28" x14ac:dyDescent="0.25">
      <c r="A33" s="8" t="s">
        <v>14</v>
      </c>
      <c r="B33" s="45">
        <f>B19</f>
        <v>79224.533500000005</v>
      </c>
      <c r="D33" s="110"/>
      <c r="H33" s="8" t="s">
        <v>14</v>
      </c>
      <c r="I33" s="42">
        <f>I17+(I22*I12)</f>
        <v>81223.235000000001</v>
      </c>
      <c r="K33" s="110"/>
      <c r="L33" s="48">
        <v>0</v>
      </c>
      <c r="M33" s="10" t="s">
        <v>58</v>
      </c>
      <c r="N33" s="116">
        <f>(I33-I31)/(I5*I8)</f>
        <v>185.41666666666669</v>
      </c>
      <c r="O33" s="8" t="s">
        <v>14</v>
      </c>
      <c r="P33" s="42"/>
      <c r="Q33" s="108"/>
      <c r="R33" s="110"/>
      <c r="U33" s="114"/>
      <c r="V33" s="8" t="s">
        <v>15</v>
      </c>
      <c r="W33" s="42">
        <f>W34-W16</f>
        <v>82649.98864864865</v>
      </c>
      <c r="X33" s="108"/>
      <c r="Y33" s="110"/>
      <c r="Z33" s="48">
        <v>0.02</v>
      </c>
    </row>
    <row r="34" spans="1:28" x14ac:dyDescent="0.25">
      <c r="A34" s="8" t="s">
        <v>13</v>
      </c>
      <c r="B34" s="45">
        <f>B19+B14</f>
        <v>79278.770788135604</v>
      </c>
      <c r="D34" s="110"/>
      <c r="H34" s="8" t="s">
        <v>13</v>
      </c>
      <c r="I34" s="42">
        <f>I33+I14</f>
        <v>81270.70166666666</v>
      </c>
      <c r="K34" s="110"/>
      <c r="L34" s="48">
        <v>1.6E-2</v>
      </c>
      <c r="M34" s="48"/>
      <c r="N34" s="72"/>
      <c r="O34" s="8" t="s">
        <v>16</v>
      </c>
      <c r="P34" s="42">
        <f>P18</f>
        <v>82180.573300000004</v>
      </c>
      <c r="Q34" s="108"/>
      <c r="R34" s="110"/>
      <c r="S34" s="47">
        <v>3.6999999999999998E-2</v>
      </c>
      <c r="U34" s="114"/>
      <c r="V34" s="8" t="s">
        <v>14</v>
      </c>
      <c r="W34" s="45">
        <f>W18+(W23*W13)</f>
        <v>82721.34</v>
      </c>
      <c r="X34" s="108"/>
      <c r="Y34" s="110"/>
      <c r="AA34" s="10" t="s">
        <v>58</v>
      </c>
      <c r="AB34" s="116">
        <f>(W33-W32)/((Z32-Z33)*W9)</f>
        <v>222.97297297299181</v>
      </c>
    </row>
    <row r="35" spans="1:28" x14ac:dyDescent="0.25">
      <c r="N35" s="114"/>
      <c r="V35" s="8" t="s">
        <v>13</v>
      </c>
      <c r="W35" s="45">
        <f>W34+W16</f>
        <v>82792.691351351343</v>
      </c>
      <c r="X35" s="108"/>
      <c r="Y35" s="110"/>
    </row>
    <row r="37" spans="1:28" x14ac:dyDescent="0.25">
      <c r="Y37" s="117" t="s">
        <v>137</v>
      </c>
      <c r="Z37" s="56">
        <v>82642.14</v>
      </c>
      <c r="AA37" s="114">
        <v>2.2200000000000001E-2</v>
      </c>
    </row>
  </sheetData>
  <mergeCells count="4">
    <mergeCell ref="H1:I1"/>
    <mergeCell ref="A1:B1"/>
    <mergeCell ref="O1:P1"/>
    <mergeCell ref="V1:W1"/>
  </mergeCells>
  <pageMargins left="0.7" right="0.45" top="1.25" bottom="2.1145833333333299" header="0.3" footer="0.3"/>
  <pageSetup scale="90" orientation="portrait" r:id="rId1"/>
  <headerFooter>
    <oddHeader>&amp;RCalculated By:_____&amp;UABS  2/18/13&amp;U_____
Checked By:_____________________</oddHeader>
    <oddFooter>&amp;C&amp;F, &amp;A</oddFooter>
  </headerFooter>
  <colBreaks count="3" manualBreakCount="3">
    <brk id="7" max="1048575" man="1"/>
    <brk id="14" max="1048575" man="1"/>
    <brk id="2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P35"/>
  <sheetViews>
    <sheetView view="pageLayout" topLeftCell="A4" zoomScale="80" zoomScaleNormal="90" zoomScalePageLayoutView="80" workbookViewId="0">
      <selection activeCell="G37" sqref="G37"/>
    </sheetView>
  </sheetViews>
  <sheetFormatPr defaultRowHeight="15" x14ac:dyDescent="0.25"/>
  <cols>
    <col min="2" max="2" width="25.85546875" customWidth="1"/>
    <col min="3" max="3" width="23" customWidth="1"/>
    <col min="4" max="4" width="7.42578125" style="92" customWidth="1"/>
    <col min="5" max="5" width="14.42578125" customWidth="1"/>
    <col min="9" max="9" width="10.85546875" customWidth="1"/>
    <col min="10" max="10" width="25.42578125" customWidth="1"/>
    <col min="11" max="11" width="21" customWidth="1"/>
    <col min="12" max="12" width="6" style="92" customWidth="1"/>
    <col min="13" max="13" width="13.7109375" customWidth="1"/>
  </cols>
  <sheetData>
    <row r="1" spans="2:13" ht="15.75" thickBot="1" x14ac:dyDescent="0.3">
      <c r="B1" s="135" t="s">
        <v>56</v>
      </c>
      <c r="C1" s="135"/>
      <c r="D1" s="103"/>
      <c r="E1" s="2"/>
      <c r="I1" s="2"/>
      <c r="J1" s="135" t="s">
        <v>57</v>
      </c>
      <c r="K1" s="135"/>
      <c r="L1" s="103"/>
    </row>
    <row r="2" spans="2:13" x14ac:dyDescent="0.25">
      <c r="C2" s="2"/>
      <c r="D2" s="104"/>
      <c r="E2" s="2"/>
      <c r="I2" s="2"/>
    </row>
    <row r="3" spans="2:13" x14ac:dyDescent="0.25">
      <c r="B3" s="9" t="s">
        <v>5</v>
      </c>
      <c r="C3" s="23">
        <v>55</v>
      </c>
      <c r="D3" s="104"/>
      <c r="E3" s="2"/>
      <c r="I3" s="2"/>
      <c r="J3" s="9" t="s">
        <v>5</v>
      </c>
      <c r="K3" s="23">
        <v>55</v>
      </c>
      <c r="L3" s="104"/>
    </row>
    <row r="4" spans="2:13" x14ac:dyDescent="0.25">
      <c r="B4" s="9" t="s">
        <v>2</v>
      </c>
      <c r="C4" s="23" t="s">
        <v>26</v>
      </c>
      <c r="D4" s="104"/>
      <c r="E4" s="2"/>
      <c r="I4" s="2"/>
      <c r="J4" s="9" t="s">
        <v>2</v>
      </c>
      <c r="K4" s="23" t="s">
        <v>26</v>
      </c>
      <c r="L4" s="104"/>
    </row>
    <row r="5" spans="2:13" ht="20.25" customHeight="1" x14ac:dyDescent="0.25">
      <c r="B5" s="9" t="s">
        <v>6</v>
      </c>
      <c r="C5" s="23">
        <v>2.3E-2</v>
      </c>
      <c r="D5" s="104"/>
      <c r="E5" s="2"/>
      <c r="I5" s="2"/>
      <c r="J5" s="9" t="s">
        <v>6</v>
      </c>
      <c r="K5" s="25">
        <v>0.06</v>
      </c>
      <c r="L5" s="111"/>
    </row>
    <row r="6" spans="2:13" x14ac:dyDescent="0.25">
      <c r="B6" s="9" t="s">
        <v>10</v>
      </c>
      <c r="C6" s="23">
        <v>1.6E-2</v>
      </c>
      <c r="D6" s="104"/>
      <c r="E6" s="2"/>
      <c r="I6" s="2"/>
      <c r="J6" s="9" t="s">
        <v>10</v>
      </c>
      <c r="K6" s="23">
        <v>1.6E-2</v>
      </c>
      <c r="L6" s="104"/>
    </row>
    <row r="7" spans="2:13" x14ac:dyDescent="0.25">
      <c r="B7" s="9" t="s">
        <v>8</v>
      </c>
      <c r="C7" s="23">
        <v>213</v>
      </c>
      <c r="D7" s="104"/>
      <c r="E7" s="2"/>
      <c r="I7" s="2"/>
      <c r="J7" s="9" t="s">
        <v>8</v>
      </c>
      <c r="K7" s="23">
        <v>213</v>
      </c>
      <c r="L7" s="104"/>
    </row>
    <row r="8" spans="2:13" x14ac:dyDescent="0.25">
      <c r="B8" s="9" t="s">
        <v>9</v>
      </c>
      <c r="C8" s="23">
        <v>16</v>
      </c>
      <c r="D8" s="104"/>
      <c r="E8" t="s">
        <v>38</v>
      </c>
      <c r="I8" s="2"/>
      <c r="J8" s="9" t="s">
        <v>9</v>
      </c>
      <c r="K8" s="23">
        <v>16</v>
      </c>
      <c r="L8" s="104"/>
      <c r="M8" t="s">
        <v>38</v>
      </c>
    </row>
    <row r="9" spans="2:13" ht="15.75" thickBot="1" x14ac:dyDescent="0.3">
      <c r="B9" s="9"/>
      <c r="C9" s="2"/>
      <c r="D9" s="104"/>
      <c r="E9" s="2"/>
      <c r="I9" s="2"/>
      <c r="J9" s="9"/>
      <c r="K9" s="2"/>
      <c r="L9" s="104"/>
    </row>
    <row r="10" spans="2:13" ht="15.75" thickBot="1" x14ac:dyDescent="0.3">
      <c r="B10" s="33" t="s">
        <v>11</v>
      </c>
      <c r="C10" s="34" t="s">
        <v>12</v>
      </c>
      <c r="D10" s="106"/>
      <c r="E10" s="2"/>
      <c r="I10" s="2"/>
      <c r="J10" s="19" t="s">
        <v>11</v>
      </c>
      <c r="K10" s="4" t="s">
        <v>12</v>
      </c>
      <c r="L10" s="105"/>
    </row>
    <row r="11" spans="2:13" x14ac:dyDescent="0.25">
      <c r="B11" s="35" t="s">
        <v>31</v>
      </c>
      <c r="C11" s="5">
        <f>ROUNDUP(C8*C7*C5,0)</f>
        <v>79</v>
      </c>
      <c r="D11" s="106"/>
      <c r="E11" s="2"/>
      <c r="I11" s="2"/>
      <c r="J11" s="35" t="s">
        <v>31</v>
      </c>
      <c r="K11" s="5">
        <f>ROUNDUP(K8*K7*K5,0)</f>
        <v>205</v>
      </c>
      <c r="L11" s="106"/>
    </row>
    <row r="12" spans="2:13" x14ac:dyDescent="0.25">
      <c r="B12" s="7" t="s">
        <v>32</v>
      </c>
      <c r="C12" s="24">
        <v>80</v>
      </c>
      <c r="D12" s="106"/>
      <c r="E12" s="2"/>
      <c r="I12" s="2"/>
      <c r="J12" s="7" t="s">
        <v>59</v>
      </c>
      <c r="K12" s="24">
        <v>200</v>
      </c>
      <c r="L12" s="106"/>
    </row>
    <row r="13" spans="2:13" ht="18" x14ac:dyDescent="0.25">
      <c r="B13" s="7" t="s">
        <v>34</v>
      </c>
      <c r="C13" s="6">
        <f>C12/(C8*C5)</f>
        <v>217.39130434782609</v>
      </c>
      <c r="D13" s="107"/>
      <c r="E13" s="2"/>
      <c r="I13" s="2"/>
      <c r="J13" s="7" t="s">
        <v>60</v>
      </c>
      <c r="K13" s="24">
        <v>300</v>
      </c>
      <c r="L13" s="106"/>
    </row>
    <row r="14" spans="2:13" ht="18" x14ac:dyDescent="0.25">
      <c r="B14" s="7" t="s">
        <v>4</v>
      </c>
      <c r="C14" s="6">
        <f>(C6/C5)*C12</f>
        <v>55.652173913043477</v>
      </c>
      <c r="D14" s="107"/>
      <c r="E14" s="2"/>
      <c r="I14" s="2"/>
      <c r="J14" s="7" t="s">
        <v>34</v>
      </c>
      <c r="K14" s="6">
        <f>K12/(K8*K5)</f>
        <v>208.33333333333334</v>
      </c>
      <c r="L14" s="107"/>
    </row>
    <row r="15" spans="2:13" x14ac:dyDescent="0.25">
      <c r="B15" s="7"/>
      <c r="C15" s="5"/>
      <c r="D15" s="106"/>
      <c r="E15" s="2"/>
      <c r="I15" s="2"/>
      <c r="J15" s="7" t="s">
        <v>4</v>
      </c>
      <c r="K15" s="6">
        <f>(K6/K5)*K12</f>
        <v>53.333333333333336</v>
      </c>
      <c r="L15" s="107"/>
    </row>
    <row r="16" spans="2:13" x14ac:dyDescent="0.25">
      <c r="B16" s="7" t="s">
        <v>0</v>
      </c>
      <c r="C16" s="22">
        <v>79139.727499999994</v>
      </c>
      <c r="D16" s="108"/>
      <c r="E16" s="2"/>
      <c r="I16" s="2"/>
      <c r="J16" s="7"/>
      <c r="K16" s="5"/>
      <c r="L16" s="106"/>
    </row>
    <row r="17" spans="2:16" x14ac:dyDescent="0.25">
      <c r="B17" s="7" t="s">
        <v>1</v>
      </c>
      <c r="C17" s="22">
        <v>80261.848700000002</v>
      </c>
      <c r="D17" s="108"/>
      <c r="E17" s="2"/>
      <c r="I17" s="2"/>
      <c r="J17" s="7" t="s">
        <v>21</v>
      </c>
      <c r="K17" s="22">
        <v>80346.041899999997</v>
      </c>
      <c r="L17" s="108"/>
    </row>
    <row r="18" spans="2:16" x14ac:dyDescent="0.25">
      <c r="B18" s="8"/>
      <c r="C18" s="5"/>
      <c r="D18" s="106"/>
      <c r="E18" s="2"/>
      <c r="I18" s="2"/>
      <c r="J18" s="7" t="s">
        <v>23</v>
      </c>
      <c r="K18" s="22">
        <v>80546.041899999997</v>
      </c>
      <c r="L18" s="108"/>
    </row>
    <row r="19" spans="2:16" x14ac:dyDescent="0.25">
      <c r="B19" s="36"/>
      <c r="C19" s="36"/>
      <c r="D19" s="109"/>
      <c r="E19" s="2"/>
      <c r="I19" s="2"/>
      <c r="J19" s="7" t="s">
        <v>24</v>
      </c>
      <c r="K19" s="22">
        <v>81253.009999999995</v>
      </c>
      <c r="L19" s="108"/>
    </row>
    <row r="20" spans="2:16" x14ac:dyDescent="0.25">
      <c r="B20" s="36"/>
      <c r="C20" s="36"/>
      <c r="D20" s="109"/>
      <c r="E20" s="2"/>
      <c r="I20" s="2"/>
      <c r="J20" s="7" t="s">
        <v>22</v>
      </c>
      <c r="K20" s="22">
        <v>81553.009999999995</v>
      </c>
      <c r="L20" s="108"/>
    </row>
    <row r="21" spans="2:16" x14ac:dyDescent="0.25">
      <c r="B21" s="8" t="s">
        <v>17</v>
      </c>
      <c r="C21" s="24">
        <v>0.5</v>
      </c>
      <c r="D21" s="106"/>
      <c r="E21" s="2"/>
      <c r="I21" s="2"/>
      <c r="J21" s="8"/>
      <c r="K21" s="5"/>
      <c r="L21" s="106"/>
    </row>
    <row r="22" spans="2:16" x14ac:dyDescent="0.25">
      <c r="B22" s="8" t="s">
        <v>18</v>
      </c>
      <c r="C22" s="24">
        <v>0.5</v>
      </c>
      <c r="D22" s="106"/>
      <c r="J22" s="8" t="s">
        <v>17</v>
      </c>
      <c r="K22" s="24" t="s">
        <v>35</v>
      </c>
      <c r="L22" s="106"/>
    </row>
    <row r="23" spans="2:16" x14ac:dyDescent="0.25">
      <c r="B23" s="37"/>
      <c r="C23" s="12"/>
      <c r="D23" s="106"/>
      <c r="J23" s="8" t="s">
        <v>18</v>
      </c>
      <c r="K23" s="24" t="s">
        <v>35</v>
      </c>
      <c r="L23" s="106"/>
    </row>
    <row r="24" spans="2:16" ht="15.75" thickBot="1" x14ac:dyDescent="0.3">
      <c r="B24" s="14"/>
      <c r="C24" s="39" t="s">
        <v>19</v>
      </c>
      <c r="D24" s="105"/>
      <c r="J24" s="17"/>
      <c r="K24" s="12"/>
      <c r="L24" s="106"/>
    </row>
    <row r="25" spans="2:16" ht="15.75" thickBot="1" x14ac:dyDescent="0.3">
      <c r="B25" s="40" t="s">
        <v>13</v>
      </c>
      <c r="C25" s="46">
        <f>C26-C14</f>
        <v>79044.075326086953</v>
      </c>
      <c r="D25" s="108"/>
      <c r="E25" s="110"/>
      <c r="J25" s="13"/>
      <c r="K25" s="39" t="s">
        <v>19</v>
      </c>
      <c r="L25" s="105"/>
    </row>
    <row r="26" spans="2:16" x14ac:dyDescent="0.25">
      <c r="B26" s="8" t="s">
        <v>14</v>
      </c>
      <c r="C26" s="45">
        <f>C16-(C21*C12)</f>
        <v>79099.727499999994</v>
      </c>
      <c r="D26" s="108"/>
      <c r="E26" s="110"/>
      <c r="J26" s="40" t="s">
        <v>13</v>
      </c>
      <c r="K26" s="41">
        <f>K17</f>
        <v>80346.041899999997</v>
      </c>
      <c r="L26" s="108"/>
      <c r="M26" s="110"/>
      <c r="N26" s="47">
        <v>1.6E-2</v>
      </c>
    </row>
    <row r="27" spans="2:16" x14ac:dyDescent="0.25">
      <c r="B27" s="8" t="s">
        <v>15</v>
      </c>
      <c r="C27" s="42">
        <f>C26+C14</f>
        <v>79155.379673913034</v>
      </c>
      <c r="D27" s="108"/>
      <c r="E27" s="110"/>
      <c r="F27" s="47">
        <v>1.6E-2</v>
      </c>
      <c r="G27" s="10" t="s">
        <v>58</v>
      </c>
      <c r="H27" s="116">
        <f>(C28-C27)/((C5-C6)*C8)</f>
        <v>217.39130434785434</v>
      </c>
      <c r="I27" s="2"/>
      <c r="J27" s="8" t="s">
        <v>14</v>
      </c>
      <c r="K27" s="45"/>
      <c r="L27" s="108"/>
      <c r="M27" s="110"/>
      <c r="N27" s="47"/>
      <c r="O27" s="10" t="s">
        <v>58</v>
      </c>
      <c r="P27" s="116">
        <f>(K29-K26)/((K5-K6)*K8)</f>
        <v>284.09090909090912</v>
      </c>
    </row>
    <row r="28" spans="2:16" x14ac:dyDescent="0.25">
      <c r="B28" s="8" t="s">
        <v>16</v>
      </c>
      <c r="C28" s="42">
        <f>C16-(C21*C12)+C12</f>
        <v>79179.727499999994</v>
      </c>
      <c r="D28" s="108"/>
      <c r="E28" s="110"/>
      <c r="F28" s="47">
        <v>2.3E-2</v>
      </c>
      <c r="G28" s="47"/>
      <c r="H28" s="114"/>
      <c r="I28" s="2"/>
      <c r="J28" s="8" t="s">
        <v>15</v>
      </c>
      <c r="K28" s="45"/>
      <c r="L28" s="108"/>
      <c r="M28" s="110"/>
      <c r="N28" s="47"/>
      <c r="P28" s="114"/>
    </row>
    <row r="29" spans="2:16" x14ac:dyDescent="0.25">
      <c r="B29" s="10"/>
      <c r="C29" s="2"/>
      <c r="D29" s="104"/>
      <c r="F29" s="47"/>
      <c r="G29" s="47"/>
      <c r="H29" s="114"/>
      <c r="J29" s="8" t="s">
        <v>16</v>
      </c>
      <c r="K29" s="42">
        <f>K18</f>
        <v>80546.041899999997</v>
      </c>
      <c r="L29" s="108"/>
      <c r="M29" s="110"/>
      <c r="N29" s="48">
        <v>0.06</v>
      </c>
      <c r="P29" s="114"/>
    </row>
    <row r="30" spans="2:16" ht="15.75" thickBot="1" x14ac:dyDescent="0.3">
      <c r="B30" s="14"/>
      <c r="C30" s="39" t="s">
        <v>20</v>
      </c>
      <c r="D30" s="105"/>
      <c r="F30" s="47"/>
      <c r="G30" s="47"/>
      <c r="H30" s="114"/>
      <c r="J30" s="15"/>
      <c r="K30" s="16"/>
      <c r="L30" s="106"/>
      <c r="P30" s="114"/>
    </row>
    <row r="31" spans="2:16" ht="15.75" thickBot="1" x14ac:dyDescent="0.3">
      <c r="B31" s="40" t="s">
        <v>16</v>
      </c>
      <c r="C31" s="41">
        <f>C17+(C22*C12)-C12</f>
        <v>80221.848700000002</v>
      </c>
      <c r="D31" s="108"/>
      <c r="E31" s="110"/>
      <c r="F31" s="47">
        <v>2.3E-2</v>
      </c>
      <c r="G31" s="10" t="s">
        <v>58</v>
      </c>
      <c r="H31" s="116">
        <f>(C32-C31)/((C5-C6)*C8)</f>
        <v>217.39130434785434</v>
      </c>
      <c r="J31" s="14"/>
      <c r="K31" s="39" t="s">
        <v>20</v>
      </c>
      <c r="L31" s="105"/>
      <c r="P31" s="114"/>
    </row>
    <row r="32" spans="2:16" x14ac:dyDescent="0.25">
      <c r="B32" s="8" t="s">
        <v>15</v>
      </c>
      <c r="C32" s="42">
        <f>C33-C14</f>
        <v>80246.196526086962</v>
      </c>
      <c r="D32" s="108"/>
      <c r="E32" s="110"/>
      <c r="F32" s="47">
        <v>1.6E-2</v>
      </c>
      <c r="G32" s="47"/>
      <c r="J32" s="40" t="s">
        <v>16</v>
      </c>
      <c r="K32" s="41">
        <f>K19</f>
        <v>81253.009999999995</v>
      </c>
      <c r="L32" s="108"/>
      <c r="M32" s="110"/>
      <c r="N32" s="48">
        <v>0.06</v>
      </c>
      <c r="P32" s="114"/>
    </row>
    <row r="33" spans="2:16" x14ac:dyDescent="0.25">
      <c r="B33" s="8" t="s">
        <v>14</v>
      </c>
      <c r="C33" s="45">
        <f>C17+(C22*C12)</f>
        <v>80301.848700000002</v>
      </c>
      <c r="D33" s="108"/>
      <c r="E33" s="110"/>
      <c r="J33" s="8" t="s">
        <v>15</v>
      </c>
      <c r="K33" s="42">
        <v>81400</v>
      </c>
      <c r="L33" s="108"/>
      <c r="M33" s="110"/>
      <c r="N33" s="48">
        <v>0.02</v>
      </c>
      <c r="O33" s="10" t="s">
        <v>58</v>
      </c>
      <c r="P33" s="116">
        <f>(K33-K32)/((K5-0.02)*K8)</f>
        <v>229.67187500000821</v>
      </c>
    </row>
    <row r="34" spans="2:16" x14ac:dyDescent="0.25">
      <c r="B34" s="8" t="s">
        <v>13</v>
      </c>
      <c r="C34" s="45">
        <f>C33+C14</f>
        <v>80357.500873913043</v>
      </c>
      <c r="D34" s="108"/>
      <c r="E34" s="110"/>
      <c r="J34" s="8" t="s">
        <v>14</v>
      </c>
      <c r="K34" s="42">
        <f>K20</f>
        <v>81553.009999999995</v>
      </c>
      <c r="L34" s="108"/>
      <c r="M34" s="110"/>
      <c r="N34" s="48">
        <v>0.02</v>
      </c>
    </row>
    <row r="35" spans="2:16" x14ac:dyDescent="0.25">
      <c r="J35" s="8" t="s">
        <v>13</v>
      </c>
      <c r="K35" s="42"/>
      <c r="L35" s="108"/>
      <c r="M35" s="110"/>
    </row>
  </sheetData>
  <mergeCells count="2">
    <mergeCell ref="J1:K1"/>
    <mergeCell ref="B1:C1"/>
  </mergeCells>
  <pageMargins left="0.7" right="0.45" top="1.25" bottom="2.1145833333333299" header="0.3" footer="0.3"/>
  <pageSetup scale="84" orientation="portrait" r:id="rId1"/>
  <headerFooter>
    <oddHeader>&amp;RCalculated By:____&amp;UABS  2/18/13&amp;U______
Checked By:_____________________</oddHeader>
    <oddFooter>&amp;C&amp;F, &amp;A</oddFooter>
  </headerFooter>
  <colBreaks count="1" manualBreakCount="1">
    <brk id="8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9"/>
  <sheetViews>
    <sheetView showWhiteSpace="0" view="pageLayout" topLeftCell="F1" zoomScale="85" zoomScaleNormal="80" zoomScalePageLayoutView="85" workbookViewId="0">
      <selection activeCell="J1" sqref="J1:K1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7.7109375" style="92" customWidth="1"/>
    <col min="5" max="5" width="13.140625" customWidth="1"/>
    <col min="6" max="6" width="10.85546875" customWidth="1"/>
    <col min="7" max="7" width="11.5703125" customWidth="1"/>
    <col min="8" max="8" width="13" customWidth="1"/>
    <col min="10" max="10" width="24.5703125" customWidth="1"/>
    <col min="11" max="11" width="24" customWidth="1"/>
    <col min="12" max="12" width="7.140625" style="92" customWidth="1"/>
    <col min="13" max="13" width="12.85546875" customWidth="1"/>
    <col min="14" max="14" width="9.5703125" customWidth="1"/>
    <col min="15" max="15" width="12.140625" customWidth="1"/>
    <col min="16" max="16" width="13.85546875" customWidth="1"/>
    <col min="18" max="18" width="25.42578125" customWidth="1"/>
    <col min="19" max="19" width="22.28515625" customWidth="1"/>
    <col min="20" max="20" width="8.140625" style="92" customWidth="1"/>
    <col min="21" max="21" width="11.85546875" customWidth="1"/>
    <col min="24" max="24" width="12.140625" customWidth="1"/>
  </cols>
  <sheetData>
    <row r="1" spans="1:22" ht="15.75" thickBot="1" x14ac:dyDescent="0.3">
      <c r="A1" s="2"/>
      <c r="B1" s="135" t="s">
        <v>61</v>
      </c>
      <c r="C1" s="135"/>
      <c r="D1" s="103"/>
      <c r="J1" s="135" t="s">
        <v>62</v>
      </c>
      <c r="K1" s="135"/>
      <c r="L1" s="103"/>
      <c r="M1" s="2"/>
      <c r="N1" s="2"/>
      <c r="R1" s="135" t="s">
        <v>143</v>
      </c>
      <c r="S1" s="135"/>
      <c r="T1" s="103"/>
      <c r="U1" s="2"/>
      <c r="V1" s="2"/>
    </row>
    <row r="2" spans="1:22" x14ac:dyDescent="0.25">
      <c r="A2" s="2"/>
      <c r="K2" s="2"/>
      <c r="L2" s="104"/>
      <c r="M2" s="2"/>
      <c r="N2" s="2"/>
      <c r="S2" s="2"/>
      <c r="T2" s="104"/>
      <c r="U2" s="2"/>
      <c r="V2" s="2"/>
    </row>
    <row r="3" spans="1:22" x14ac:dyDescent="0.25">
      <c r="A3" s="2"/>
      <c r="B3" s="9" t="s">
        <v>5</v>
      </c>
      <c r="C3" s="23">
        <v>60</v>
      </c>
      <c r="D3" s="104"/>
      <c r="J3" s="9" t="s">
        <v>5</v>
      </c>
      <c r="K3" s="23">
        <v>50</v>
      </c>
      <c r="L3" s="104"/>
      <c r="M3" s="2"/>
      <c r="N3" s="2"/>
      <c r="R3" s="9" t="s">
        <v>5</v>
      </c>
      <c r="S3" s="23">
        <v>25</v>
      </c>
      <c r="T3" s="104"/>
      <c r="U3" s="2"/>
      <c r="V3" s="2"/>
    </row>
    <row r="4" spans="1:22" x14ac:dyDescent="0.25">
      <c r="A4" s="2"/>
      <c r="B4" s="9" t="s">
        <v>2</v>
      </c>
      <c r="C4" s="23" t="s">
        <v>26</v>
      </c>
      <c r="D4" s="104"/>
      <c r="J4" s="9" t="s">
        <v>2</v>
      </c>
      <c r="K4" s="23" t="s">
        <v>26</v>
      </c>
      <c r="L4" s="104"/>
      <c r="M4" s="2"/>
      <c r="N4" s="2"/>
      <c r="R4" s="9" t="s">
        <v>2</v>
      </c>
      <c r="S4" s="23" t="s">
        <v>7</v>
      </c>
      <c r="T4" s="104"/>
      <c r="U4" s="2"/>
      <c r="V4" s="2"/>
    </row>
    <row r="5" spans="1:22" ht="20.25" customHeight="1" x14ac:dyDescent="0.25">
      <c r="A5" s="2"/>
      <c r="B5" s="9" t="s">
        <v>6</v>
      </c>
      <c r="C5" s="25">
        <v>5.2999999999999999E-2</v>
      </c>
      <c r="D5" s="111"/>
      <c r="J5" s="9" t="s">
        <v>6</v>
      </c>
      <c r="K5" s="23">
        <v>0.06</v>
      </c>
      <c r="L5" s="104"/>
      <c r="M5" s="2"/>
      <c r="N5" s="2"/>
      <c r="R5" s="9" t="s">
        <v>6</v>
      </c>
      <c r="S5" s="23">
        <v>3.6999999999999998E-2</v>
      </c>
      <c r="T5" s="104"/>
      <c r="U5" s="2"/>
      <c r="V5" s="2"/>
    </row>
    <row r="6" spans="1:22" x14ac:dyDescent="0.25">
      <c r="A6" s="2"/>
      <c r="B6" s="9" t="s">
        <v>10</v>
      </c>
      <c r="C6" s="23">
        <v>1.6E-2</v>
      </c>
      <c r="D6" s="104"/>
      <c r="J6" s="9" t="s">
        <v>10</v>
      </c>
      <c r="K6" s="23">
        <v>1.6E-2</v>
      </c>
      <c r="L6" s="104"/>
      <c r="M6" s="2"/>
      <c r="N6" s="2"/>
      <c r="R6" s="9" t="s">
        <v>10</v>
      </c>
      <c r="S6" s="23">
        <v>1.6E-2</v>
      </c>
      <c r="T6" s="104"/>
      <c r="U6" s="2"/>
      <c r="V6" s="2"/>
    </row>
    <row r="7" spans="1:22" x14ac:dyDescent="0.25">
      <c r="A7" s="2"/>
      <c r="B7" s="9" t="s">
        <v>8</v>
      </c>
      <c r="C7" s="23">
        <v>222</v>
      </c>
      <c r="D7" s="104"/>
      <c r="J7" s="9" t="s">
        <v>8</v>
      </c>
      <c r="K7" s="23">
        <v>200</v>
      </c>
      <c r="L7" s="104"/>
      <c r="M7" s="2"/>
      <c r="N7" s="2"/>
      <c r="R7" s="9" t="s">
        <v>8</v>
      </c>
      <c r="S7" s="23">
        <v>143</v>
      </c>
      <c r="T7" s="104"/>
      <c r="U7" s="2"/>
      <c r="V7" s="2"/>
    </row>
    <row r="8" spans="1:22" x14ac:dyDescent="0.25">
      <c r="A8" s="2"/>
      <c r="B8" s="9" t="s">
        <v>9</v>
      </c>
      <c r="C8" s="23">
        <v>16</v>
      </c>
      <c r="D8" t="s">
        <v>38</v>
      </c>
      <c r="J8" s="9" t="s">
        <v>9</v>
      </c>
      <c r="K8" s="23">
        <v>16</v>
      </c>
      <c r="L8" s="104"/>
      <c r="M8" t="s">
        <v>38</v>
      </c>
      <c r="R8" s="9" t="s">
        <v>9</v>
      </c>
      <c r="S8" s="23">
        <v>16</v>
      </c>
      <c r="T8" s="104"/>
      <c r="U8" t="s">
        <v>38</v>
      </c>
    </row>
    <row r="9" spans="1:22" ht="15.75" thickBot="1" x14ac:dyDescent="0.3">
      <c r="A9" s="2"/>
      <c r="B9" s="9"/>
      <c r="C9" s="2"/>
      <c r="D9" s="104"/>
      <c r="J9" s="9"/>
      <c r="K9" s="2"/>
      <c r="L9" s="104"/>
      <c r="M9" s="2"/>
      <c r="N9" s="2"/>
      <c r="R9" s="9"/>
      <c r="S9" s="2"/>
      <c r="T9" s="104"/>
      <c r="U9" s="2"/>
      <c r="V9" s="2"/>
    </row>
    <row r="10" spans="1:22" ht="15.75" thickBot="1" x14ac:dyDescent="0.3">
      <c r="A10" s="2"/>
      <c r="B10" s="19" t="s">
        <v>11</v>
      </c>
      <c r="C10" s="4" t="s">
        <v>12</v>
      </c>
      <c r="D10" s="105"/>
      <c r="J10" s="52" t="s">
        <v>11</v>
      </c>
      <c r="K10" s="53" t="s">
        <v>12</v>
      </c>
      <c r="L10" s="105"/>
      <c r="M10" s="2"/>
      <c r="N10" s="2"/>
      <c r="R10" s="52" t="s">
        <v>11</v>
      </c>
      <c r="S10" s="53" t="s">
        <v>12</v>
      </c>
      <c r="T10" s="105"/>
      <c r="U10" s="2"/>
      <c r="V10" s="2"/>
    </row>
    <row r="11" spans="1:22" x14ac:dyDescent="0.25">
      <c r="A11" s="2"/>
      <c r="B11" s="35" t="s">
        <v>31</v>
      </c>
      <c r="C11" s="5">
        <f>ROUNDUP(C8*C7*C5,0)</f>
        <v>189</v>
      </c>
      <c r="D11" s="106"/>
      <c r="J11" s="35" t="s">
        <v>31</v>
      </c>
      <c r="K11" s="5">
        <f>ROUNDUP(K8*K7*K5,0)</f>
        <v>192</v>
      </c>
      <c r="L11" s="106"/>
      <c r="M11" s="2"/>
      <c r="N11" s="2"/>
      <c r="R11" s="35" t="s">
        <v>31</v>
      </c>
      <c r="S11" s="5">
        <f>ROUNDUP(S8*S7*S5,0)</f>
        <v>85</v>
      </c>
      <c r="T11" s="106"/>
      <c r="U11" s="2"/>
      <c r="V11" s="2"/>
    </row>
    <row r="12" spans="1:22" x14ac:dyDescent="0.25">
      <c r="A12" s="2"/>
      <c r="B12" s="7" t="s">
        <v>32</v>
      </c>
      <c r="C12" s="24">
        <v>200</v>
      </c>
      <c r="D12" s="106"/>
      <c r="J12" s="7" t="s">
        <v>32</v>
      </c>
      <c r="K12" s="24">
        <v>192</v>
      </c>
      <c r="L12" s="106"/>
      <c r="M12" s="2"/>
      <c r="N12" s="2"/>
      <c r="R12" s="7" t="s">
        <v>32</v>
      </c>
      <c r="S12" s="24">
        <v>85</v>
      </c>
      <c r="T12" s="106"/>
      <c r="U12" s="2"/>
      <c r="V12" s="2"/>
    </row>
    <row r="13" spans="1:22" ht="18" x14ac:dyDescent="0.25">
      <c r="A13" s="2"/>
      <c r="B13" s="7" t="s">
        <v>34</v>
      </c>
      <c r="C13" s="6">
        <f>C12/(C8*C5)</f>
        <v>235.84905660377359</v>
      </c>
      <c r="D13" s="107"/>
      <c r="J13" s="7" t="s">
        <v>34</v>
      </c>
      <c r="K13" s="6">
        <f>K12/(K8*K5)</f>
        <v>200</v>
      </c>
      <c r="L13" s="107"/>
      <c r="M13" s="2"/>
      <c r="N13" s="2"/>
      <c r="R13" s="7" t="s">
        <v>34</v>
      </c>
      <c r="S13" s="6">
        <f>S12/(S8*S5)</f>
        <v>143.58108108108109</v>
      </c>
      <c r="T13" s="107"/>
      <c r="U13" s="2"/>
      <c r="V13" s="2"/>
    </row>
    <row r="14" spans="1:22" x14ac:dyDescent="0.25">
      <c r="A14" s="2"/>
      <c r="B14" s="7" t="s">
        <v>4</v>
      </c>
      <c r="C14" s="6">
        <f>(C6/C5)*C12</f>
        <v>60.377358490566039</v>
      </c>
      <c r="D14" s="107"/>
      <c r="J14" s="7" t="s">
        <v>4</v>
      </c>
      <c r="K14" s="6">
        <f>(K6/K5)*K12</f>
        <v>51.2</v>
      </c>
      <c r="L14" s="107"/>
      <c r="M14" s="2"/>
      <c r="N14" s="2"/>
      <c r="R14" s="7" t="s">
        <v>4</v>
      </c>
      <c r="S14" s="6">
        <f>(S6/S5)*S12</f>
        <v>36.756756756756758</v>
      </c>
      <c r="T14" s="107"/>
      <c r="U14" s="2"/>
      <c r="V14" s="2"/>
    </row>
    <row r="15" spans="1:22" x14ac:dyDescent="0.25">
      <c r="A15" s="2"/>
      <c r="B15" s="7"/>
      <c r="C15" s="5"/>
      <c r="D15" s="106"/>
      <c r="J15" s="7"/>
      <c r="K15" s="5"/>
      <c r="L15" s="106"/>
      <c r="M15" s="2"/>
      <c r="N15" s="2"/>
      <c r="R15" s="7"/>
      <c r="S15" s="5"/>
      <c r="T15" s="106"/>
      <c r="U15" s="2"/>
      <c r="V15" s="2"/>
    </row>
    <row r="16" spans="1:22" x14ac:dyDescent="0.25">
      <c r="A16" s="2"/>
      <c r="B16" s="7" t="s">
        <v>21</v>
      </c>
      <c r="C16" s="22">
        <v>85257.012400000007</v>
      </c>
      <c r="D16" s="108"/>
      <c r="J16" s="7" t="s">
        <v>63</v>
      </c>
      <c r="K16" s="22">
        <v>85617.319699999993</v>
      </c>
      <c r="L16" s="108"/>
      <c r="M16" s="2"/>
      <c r="N16" s="2"/>
      <c r="R16" s="7" t="s">
        <v>63</v>
      </c>
      <c r="S16" s="22">
        <v>85971.12</v>
      </c>
      <c r="T16" s="108"/>
      <c r="U16" s="2"/>
      <c r="V16" s="2"/>
    </row>
    <row r="17" spans="1:24" x14ac:dyDescent="0.25">
      <c r="A17" s="2"/>
      <c r="B17" s="7" t="s">
        <v>23</v>
      </c>
      <c r="C17" s="22">
        <v>85457.012400000007</v>
      </c>
      <c r="D17" s="108"/>
      <c r="J17" s="7" t="s">
        <v>1</v>
      </c>
      <c r="K17" s="22">
        <v>85817.319699999993</v>
      </c>
      <c r="L17" s="108"/>
      <c r="M17" s="2"/>
      <c r="N17" s="2"/>
      <c r="R17" s="7" t="s">
        <v>1</v>
      </c>
      <c r="S17" s="22">
        <v>86101.17</v>
      </c>
      <c r="T17" s="108"/>
      <c r="U17" s="2"/>
      <c r="V17" s="2"/>
    </row>
    <row r="18" spans="1:24" x14ac:dyDescent="0.25">
      <c r="A18" s="2"/>
      <c r="B18" s="7" t="s">
        <v>63</v>
      </c>
      <c r="C18" s="22">
        <v>85617.319699999993</v>
      </c>
      <c r="D18" s="108"/>
      <c r="J18" s="8"/>
      <c r="K18" s="5"/>
      <c r="L18" s="106"/>
      <c r="M18" s="2"/>
      <c r="N18" s="2"/>
      <c r="R18" s="8"/>
      <c r="S18" s="5"/>
      <c r="T18" s="106"/>
      <c r="U18" s="2"/>
      <c r="V18" s="2"/>
    </row>
    <row r="19" spans="1:24" x14ac:dyDescent="0.25">
      <c r="A19" s="2"/>
      <c r="B19" s="7"/>
      <c r="C19" s="22"/>
      <c r="D19" s="108"/>
      <c r="J19" s="36"/>
      <c r="K19" s="36"/>
      <c r="L19" s="109"/>
      <c r="M19" s="2"/>
      <c r="N19" s="2"/>
      <c r="R19" s="36"/>
      <c r="S19" s="36"/>
      <c r="T19" s="109"/>
      <c r="U19" s="2"/>
      <c r="V19" s="2"/>
    </row>
    <row r="20" spans="1:24" x14ac:dyDescent="0.25">
      <c r="A20" s="2"/>
      <c r="B20" s="8"/>
      <c r="C20" s="5"/>
      <c r="D20" s="106"/>
      <c r="J20" s="36"/>
      <c r="K20" s="36"/>
      <c r="L20" s="109"/>
      <c r="M20" s="2"/>
      <c r="N20" s="2"/>
      <c r="R20" s="36"/>
      <c r="S20" s="36"/>
      <c r="T20" s="109"/>
      <c r="U20" s="2"/>
      <c r="V20" s="2"/>
    </row>
    <row r="21" spans="1:24" x14ac:dyDescent="0.25">
      <c r="A21" s="2"/>
      <c r="B21" s="8" t="s">
        <v>17</v>
      </c>
      <c r="C21" s="24" t="s">
        <v>35</v>
      </c>
      <c r="D21" s="106"/>
      <c r="J21" s="8" t="s">
        <v>17</v>
      </c>
      <c r="K21" s="54">
        <v>0.67</v>
      </c>
      <c r="L21" s="107"/>
      <c r="M21" s="2"/>
      <c r="N21" s="2"/>
      <c r="R21" s="8" t="s">
        <v>17</v>
      </c>
      <c r="S21" s="54">
        <v>0.66020000000000001</v>
      </c>
      <c r="T21" s="107"/>
      <c r="U21" s="2"/>
      <c r="V21" s="2"/>
    </row>
    <row r="22" spans="1:24" x14ac:dyDescent="0.25">
      <c r="B22" s="8" t="s">
        <v>18</v>
      </c>
      <c r="C22" s="24">
        <v>0.67</v>
      </c>
      <c r="D22" s="106"/>
      <c r="J22" s="8" t="s">
        <v>18</v>
      </c>
      <c r="K22" s="54">
        <v>0.5</v>
      </c>
      <c r="L22" s="107"/>
      <c r="R22" s="8" t="s">
        <v>18</v>
      </c>
      <c r="S22" s="54">
        <v>0.5</v>
      </c>
      <c r="T22" s="107"/>
    </row>
    <row r="23" spans="1:24" x14ac:dyDescent="0.25">
      <c r="B23" s="17"/>
      <c r="C23" s="12"/>
      <c r="D23" s="106"/>
      <c r="J23" s="37"/>
      <c r="K23" s="12"/>
      <c r="L23" s="106"/>
      <c r="R23" s="37"/>
      <c r="S23" s="12"/>
      <c r="T23" s="106"/>
    </row>
    <row r="24" spans="1:24" ht="15.75" thickBot="1" x14ac:dyDescent="0.3">
      <c r="B24" s="13"/>
      <c r="C24" s="39" t="s">
        <v>19</v>
      </c>
      <c r="D24" s="105"/>
      <c r="J24" s="14"/>
      <c r="K24" s="39" t="s">
        <v>19</v>
      </c>
      <c r="L24" s="105"/>
      <c r="R24" s="14"/>
      <c r="S24" s="39" t="s">
        <v>19</v>
      </c>
      <c r="T24" s="105"/>
    </row>
    <row r="25" spans="1:24" x14ac:dyDescent="0.25">
      <c r="B25" s="40" t="s">
        <v>13</v>
      </c>
      <c r="C25" s="76">
        <f>C16-C14</f>
        <v>85196.635041509435</v>
      </c>
      <c r="D25" s="108"/>
      <c r="J25" s="40" t="s">
        <v>13</v>
      </c>
      <c r="K25" s="79">
        <f>K26-K14</f>
        <v>85437.479699999996</v>
      </c>
      <c r="L25" s="108"/>
      <c r="M25" s="110"/>
      <c r="N25" s="48">
        <v>1.6E-2</v>
      </c>
      <c r="O25" s="10" t="s">
        <v>58</v>
      </c>
      <c r="P25" s="48">
        <f>(K28-C31)/((N28-F31)*K8)</f>
        <v>1155.0000000000052</v>
      </c>
      <c r="R25" s="40" t="s">
        <v>13</v>
      </c>
      <c r="S25" s="76">
        <f>S26-S14</f>
        <v>85878.246243243237</v>
      </c>
      <c r="T25" s="108"/>
      <c r="U25" s="110"/>
      <c r="V25" s="48">
        <v>1.6E-2</v>
      </c>
      <c r="W25" s="10" t="s">
        <v>58</v>
      </c>
      <c r="X25" s="48">
        <f>(S28-K31)/((0.06+0.03716)*S8)</f>
        <v>179.26828170029091</v>
      </c>
    </row>
    <row r="26" spans="1:24" x14ac:dyDescent="0.25">
      <c r="B26" s="8" t="s">
        <v>14</v>
      </c>
      <c r="C26" s="50">
        <f>C16</f>
        <v>85257.012400000007</v>
      </c>
      <c r="D26" s="108"/>
      <c r="E26" s="110"/>
      <c r="F26" s="48">
        <v>0.02</v>
      </c>
      <c r="G26" s="48"/>
      <c r="J26" s="8" t="s">
        <v>14</v>
      </c>
      <c r="K26" s="78">
        <f>K16-(K21*K12)</f>
        <v>85488.679699999993</v>
      </c>
      <c r="L26" s="108"/>
      <c r="M26" s="110"/>
      <c r="N26" s="48">
        <v>0</v>
      </c>
      <c r="P26" s="48"/>
      <c r="R26" s="8" t="s">
        <v>14</v>
      </c>
      <c r="S26" s="77">
        <f>S16-(S21*S12)</f>
        <v>85915.002999999997</v>
      </c>
      <c r="T26" s="108"/>
      <c r="U26" s="110"/>
      <c r="V26" s="48">
        <v>0</v>
      </c>
      <c r="X26" s="48"/>
    </row>
    <row r="27" spans="1:24" x14ac:dyDescent="0.25">
      <c r="A27" s="2"/>
      <c r="B27" s="8" t="s">
        <v>15</v>
      </c>
      <c r="C27" s="77">
        <f>C16+C14</f>
        <v>85317.389758490579</v>
      </c>
      <c r="D27" s="108"/>
      <c r="E27" s="110"/>
      <c r="F27" s="47"/>
      <c r="G27" s="10" t="s">
        <v>58</v>
      </c>
      <c r="H27" s="51">
        <f>(C28-C26)/(C5*C8)</f>
        <v>235.84905660377359</v>
      </c>
      <c r="J27" s="8" t="s">
        <v>15</v>
      </c>
      <c r="K27" s="78">
        <f>K26+K14</f>
        <v>85539.87969999999</v>
      </c>
      <c r="L27" s="108"/>
      <c r="M27" s="110"/>
      <c r="N27" s="48">
        <v>1.6E-2</v>
      </c>
      <c r="P27" s="48"/>
      <c r="R27" s="8" t="s">
        <v>15</v>
      </c>
      <c r="S27" s="77">
        <f>S26+S14</f>
        <v>85951.759756756757</v>
      </c>
      <c r="T27" s="108"/>
      <c r="U27" s="110"/>
      <c r="V27" s="48">
        <v>1.6E-2</v>
      </c>
      <c r="X27" s="48"/>
    </row>
    <row r="28" spans="1:24" x14ac:dyDescent="0.25">
      <c r="A28" s="2"/>
      <c r="B28" s="8" t="s">
        <v>16</v>
      </c>
      <c r="C28" s="42">
        <f>C16+C12</f>
        <v>85457.012400000007</v>
      </c>
      <c r="D28" s="108"/>
      <c r="E28" s="110"/>
      <c r="F28" s="47">
        <v>5.2999999999999999E-2</v>
      </c>
      <c r="G28" s="47"/>
      <c r="H28" s="47"/>
      <c r="J28" s="8" t="s">
        <v>16</v>
      </c>
      <c r="K28" s="42">
        <f>K16-(K21*K12)+K12</f>
        <v>85680.679699999993</v>
      </c>
      <c r="L28" s="108"/>
      <c r="M28" s="110"/>
      <c r="N28" s="48">
        <v>0.06</v>
      </c>
      <c r="P28" s="48"/>
      <c r="R28" s="8" t="s">
        <v>16</v>
      </c>
      <c r="S28" s="50">
        <f>S16-(S21*S12)+S12</f>
        <v>86000.002999999997</v>
      </c>
      <c r="T28" s="108"/>
      <c r="U28" s="110"/>
      <c r="V28" s="48">
        <v>3.7159999999999999E-2</v>
      </c>
      <c r="X28" s="48"/>
    </row>
    <row r="29" spans="1:24" x14ac:dyDescent="0.25">
      <c r="B29" s="15"/>
      <c r="C29" s="16"/>
      <c r="D29" s="106"/>
      <c r="J29" s="10"/>
      <c r="K29" s="2"/>
      <c r="L29" s="104"/>
      <c r="R29" s="10"/>
      <c r="S29" s="59"/>
      <c r="T29" s="104"/>
    </row>
    <row r="30" spans="1:24" ht="15.75" thickBot="1" x14ac:dyDescent="0.3">
      <c r="B30" s="14"/>
      <c r="C30" s="39" t="s">
        <v>20</v>
      </c>
      <c r="D30" s="105"/>
      <c r="J30" s="14"/>
      <c r="K30" s="39" t="s">
        <v>20</v>
      </c>
      <c r="L30" s="105"/>
      <c r="R30" s="14"/>
      <c r="S30" s="58" t="s">
        <v>20</v>
      </c>
      <c r="T30" s="105"/>
    </row>
    <row r="31" spans="1:24" x14ac:dyDescent="0.25">
      <c r="B31" s="40" t="s">
        <v>16</v>
      </c>
      <c r="C31" s="41">
        <f>C33-C12</f>
        <v>85551.319699999993</v>
      </c>
      <c r="D31" s="108"/>
      <c r="E31" s="110"/>
      <c r="F31" s="47">
        <v>5.2999999999999999E-2</v>
      </c>
      <c r="G31" s="47"/>
      <c r="H31" s="47"/>
      <c r="J31" s="40" t="s">
        <v>16</v>
      </c>
      <c r="K31" s="41">
        <f>K17+(K22*K12)-K12</f>
        <v>85721.319699999993</v>
      </c>
      <c r="L31" s="108"/>
      <c r="M31" s="110"/>
      <c r="N31" s="48">
        <v>0.06</v>
      </c>
      <c r="P31" s="48"/>
      <c r="R31" s="40" t="s">
        <v>16</v>
      </c>
      <c r="S31" s="76">
        <f>S17+(S22*S12)-S12</f>
        <v>86058.67</v>
      </c>
      <c r="T31" s="108"/>
      <c r="U31" s="110"/>
      <c r="V31" s="48">
        <v>3.6999999999999998E-2</v>
      </c>
      <c r="X31" s="48"/>
    </row>
    <row r="32" spans="1:24" x14ac:dyDescent="0.25">
      <c r="B32" s="8" t="s">
        <v>15</v>
      </c>
      <c r="C32" s="77">
        <f>C33-C14</f>
        <v>85690.942341509421</v>
      </c>
      <c r="D32" s="108"/>
      <c r="E32" s="110"/>
      <c r="F32" s="47"/>
      <c r="G32" s="47"/>
      <c r="H32" s="47"/>
      <c r="J32" s="8" t="s">
        <v>15</v>
      </c>
      <c r="K32" s="78">
        <f>K33-K14</f>
        <v>85862.119699999996</v>
      </c>
      <c r="L32" s="108"/>
      <c r="M32" s="110"/>
      <c r="N32" s="48">
        <v>1.6E-2</v>
      </c>
      <c r="P32" s="48"/>
      <c r="R32" s="8" t="s">
        <v>15</v>
      </c>
      <c r="S32" s="77">
        <f>S33-S14</f>
        <v>86106.913243243238</v>
      </c>
      <c r="T32" s="108"/>
      <c r="U32" s="110"/>
      <c r="V32" s="48">
        <v>1.6E-2</v>
      </c>
      <c r="X32" s="48"/>
    </row>
    <row r="33" spans="2:24" x14ac:dyDescent="0.25">
      <c r="B33" s="8" t="s">
        <v>14</v>
      </c>
      <c r="C33" s="77">
        <f>C18+(C22*C12)</f>
        <v>85751.319699999993</v>
      </c>
      <c r="D33" s="108"/>
      <c r="E33" s="110"/>
      <c r="J33" s="8" t="s">
        <v>14</v>
      </c>
      <c r="K33" s="78">
        <f>K17+(K22*K12)</f>
        <v>85913.319699999993</v>
      </c>
      <c r="L33" s="108"/>
      <c r="M33" s="110"/>
      <c r="N33" s="48">
        <v>0</v>
      </c>
      <c r="O33" s="10"/>
      <c r="P33" s="48"/>
      <c r="R33" s="8" t="s">
        <v>14</v>
      </c>
      <c r="S33" s="77">
        <f>S17+(S22*S12)</f>
        <v>86143.67</v>
      </c>
      <c r="T33" s="108"/>
      <c r="U33" s="110"/>
      <c r="V33" s="48">
        <v>0</v>
      </c>
      <c r="W33" s="10"/>
      <c r="X33" s="48"/>
    </row>
    <row r="34" spans="2:24" x14ac:dyDescent="0.25">
      <c r="B34" s="8" t="s">
        <v>13</v>
      </c>
      <c r="C34" s="77">
        <f>C33+C14</f>
        <v>85811.697058490565</v>
      </c>
      <c r="D34" s="108"/>
      <c r="E34" s="110"/>
      <c r="J34" s="8" t="s">
        <v>13</v>
      </c>
      <c r="K34" s="78">
        <f>K33+K14</f>
        <v>85964.51969999999</v>
      </c>
      <c r="L34" s="108"/>
      <c r="M34" s="110"/>
      <c r="N34" s="48">
        <v>1.6E-2</v>
      </c>
      <c r="P34" s="48"/>
      <c r="R34" s="8" t="s">
        <v>13</v>
      </c>
      <c r="S34" s="77">
        <f>S33+S14</f>
        <v>86180.426756756759</v>
      </c>
      <c r="T34" s="108"/>
      <c r="U34" s="110"/>
      <c r="V34" s="48">
        <v>1.6E-2</v>
      </c>
    </row>
    <row r="36" spans="2:24" x14ac:dyDescent="0.25">
      <c r="J36" s="55"/>
      <c r="K36" s="91"/>
      <c r="L36" s="91"/>
      <c r="M36" s="92"/>
      <c r="N36" s="93"/>
      <c r="O36" s="92"/>
      <c r="P36" s="92"/>
      <c r="R36" s="87" t="s">
        <v>132</v>
      </c>
      <c r="S36" s="88">
        <v>86000</v>
      </c>
      <c r="T36" s="91"/>
      <c r="U36" s="89"/>
      <c r="V36" s="90">
        <v>-3.7159999999999999E-2</v>
      </c>
    </row>
    <row r="37" spans="2:24" x14ac:dyDescent="0.25">
      <c r="J37" s="92"/>
      <c r="K37" s="92"/>
      <c r="M37" s="92"/>
      <c r="N37" s="92"/>
      <c r="O37" s="92"/>
      <c r="P37" s="92"/>
    </row>
    <row r="38" spans="2:24" x14ac:dyDescent="0.25">
      <c r="J38" s="94"/>
      <c r="K38" s="91"/>
      <c r="L38" s="91"/>
      <c r="M38" s="92"/>
      <c r="N38" s="95"/>
      <c r="O38" s="94"/>
      <c r="P38" s="96"/>
      <c r="R38" s="10" t="s">
        <v>71</v>
      </c>
      <c r="S38" s="56">
        <v>86044.02</v>
      </c>
      <c r="T38" s="91"/>
      <c r="V38" s="47">
        <v>-1.8200000000000001E-2</v>
      </c>
      <c r="W38" s="10" t="s">
        <v>58</v>
      </c>
      <c r="X38" s="48">
        <f>(S38-S28)/((0.03716-0.0182)*16)</f>
        <v>145.09823312238629</v>
      </c>
    </row>
    <row r="39" spans="2:24" x14ac:dyDescent="0.25">
      <c r="J39" s="92"/>
      <c r="K39" s="92"/>
      <c r="M39" s="92"/>
      <c r="N39" s="92"/>
      <c r="O39" s="92"/>
      <c r="P39" s="92"/>
      <c r="W39" s="48" t="s">
        <v>135</v>
      </c>
      <c r="X39" s="48"/>
    </row>
  </sheetData>
  <mergeCells count="3">
    <mergeCell ref="B1:C1"/>
    <mergeCell ref="J1:K1"/>
    <mergeCell ref="R1:S1"/>
  </mergeCells>
  <pageMargins left="0.7" right="0.7" top="1" bottom="2.1145833333333299" header="0.3" footer="0.3"/>
  <pageSetup scale="78" orientation="portrait" r:id="rId1"/>
  <headerFooter>
    <oddHeader xml:space="preserve">&amp;RCalculated By:__&amp;U_ABS   2/18/13 &amp;U______
Checked By:_____________________
Updated By:&amp;U  ___ABS  1/3/14  ______&amp;U
</oddHeader>
    <oddFooter>&amp;C&amp;F, &amp;A</oddFooter>
  </headerFooter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view="pageLayout" zoomScale="70" zoomScaleNormal="90" zoomScalePageLayoutView="70" workbookViewId="0">
      <selection activeCell="E19" sqref="E19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9" max="9" width="25.85546875" customWidth="1"/>
    <col min="10" max="10" width="24" customWidth="1"/>
    <col min="11" max="12" width="14.42578125" customWidth="1"/>
    <col min="13" max="14" width="13.85546875" customWidth="1"/>
  </cols>
  <sheetData>
    <row r="1" spans="1:12" ht="15.75" thickBot="1" x14ac:dyDescent="0.3">
      <c r="A1" s="2"/>
      <c r="B1" s="135" t="s">
        <v>65</v>
      </c>
      <c r="C1" s="135"/>
      <c r="I1" s="135" t="s">
        <v>64</v>
      </c>
      <c r="J1" s="135"/>
      <c r="K1" s="2"/>
      <c r="L1" s="2"/>
    </row>
    <row r="2" spans="1:12" x14ac:dyDescent="0.25">
      <c r="A2" s="2"/>
      <c r="J2" s="2"/>
      <c r="K2" s="2"/>
      <c r="L2" s="2"/>
    </row>
    <row r="3" spans="1:12" x14ac:dyDescent="0.25">
      <c r="A3" s="2"/>
      <c r="B3" s="9" t="s">
        <v>5</v>
      </c>
      <c r="C3" s="23">
        <v>60</v>
      </c>
      <c r="I3" s="9" t="s">
        <v>5</v>
      </c>
      <c r="J3" s="23">
        <v>50</v>
      </c>
      <c r="K3" s="2"/>
      <c r="L3" s="2"/>
    </row>
    <row r="4" spans="1:12" x14ac:dyDescent="0.25">
      <c r="A4" s="2"/>
      <c r="B4" s="9" t="s">
        <v>2</v>
      </c>
      <c r="C4" s="23" t="s">
        <v>26</v>
      </c>
      <c r="I4" s="9" t="s">
        <v>2</v>
      </c>
      <c r="J4" s="23" t="s">
        <v>26</v>
      </c>
      <c r="K4" s="2"/>
      <c r="L4" s="2"/>
    </row>
    <row r="5" spans="1:12" ht="20.25" customHeight="1" x14ac:dyDescent="0.25">
      <c r="A5" s="2"/>
      <c r="B5" s="9" t="s">
        <v>6</v>
      </c>
      <c r="C5" s="25">
        <v>3.6999999999999998E-2</v>
      </c>
      <c r="I5" s="9" t="s">
        <v>6</v>
      </c>
      <c r="J5" s="23">
        <v>5.8999999999999997E-2</v>
      </c>
      <c r="K5" s="2"/>
      <c r="L5" s="2"/>
    </row>
    <row r="6" spans="1:12" x14ac:dyDescent="0.25">
      <c r="A6" s="2"/>
      <c r="B6" s="9" t="s">
        <v>66</v>
      </c>
      <c r="C6" s="23">
        <v>1.6E-2</v>
      </c>
      <c r="I6" s="9" t="s">
        <v>10</v>
      </c>
      <c r="J6" s="23">
        <v>1.6E-2</v>
      </c>
      <c r="K6" s="2"/>
      <c r="L6" s="2"/>
    </row>
    <row r="7" spans="1:12" x14ac:dyDescent="0.25">
      <c r="A7" s="2"/>
      <c r="B7" s="9" t="s">
        <v>67</v>
      </c>
      <c r="C7" s="23">
        <v>0.02</v>
      </c>
      <c r="I7" s="9" t="s">
        <v>8</v>
      </c>
      <c r="J7" s="23">
        <v>200</v>
      </c>
      <c r="K7" s="2"/>
      <c r="L7" s="2"/>
    </row>
    <row r="8" spans="1:12" x14ac:dyDescent="0.25">
      <c r="A8" s="2"/>
      <c r="B8" s="9" t="s">
        <v>8</v>
      </c>
      <c r="C8" s="23">
        <v>222</v>
      </c>
      <c r="I8" s="9" t="s">
        <v>9</v>
      </c>
      <c r="J8" s="23">
        <v>16</v>
      </c>
      <c r="K8" t="s">
        <v>38</v>
      </c>
    </row>
    <row r="9" spans="1:12" ht="15.75" thickBot="1" x14ac:dyDescent="0.3">
      <c r="A9" s="2"/>
      <c r="B9" s="9" t="s">
        <v>9</v>
      </c>
      <c r="C9" s="23">
        <v>16</v>
      </c>
      <c r="D9" t="s">
        <v>38</v>
      </c>
      <c r="I9" s="9"/>
      <c r="J9" s="2"/>
      <c r="K9" s="2"/>
      <c r="L9" s="2"/>
    </row>
    <row r="10" spans="1:12" ht="15.75" thickBot="1" x14ac:dyDescent="0.3">
      <c r="A10" s="2"/>
      <c r="B10" s="9"/>
      <c r="C10" s="2"/>
      <c r="I10" s="52" t="s">
        <v>11</v>
      </c>
      <c r="J10" s="53" t="s">
        <v>12</v>
      </c>
      <c r="K10" s="2"/>
      <c r="L10" s="2"/>
    </row>
    <row r="11" spans="1:12" ht="15.75" thickBot="1" x14ac:dyDescent="0.3">
      <c r="A11" s="2"/>
      <c r="B11" s="19" t="s">
        <v>11</v>
      </c>
      <c r="C11" s="4" t="s">
        <v>12</v>
      </c>
      <c r="I11" s="35" t="s">
        <v>31</v>
      </c>
      <c r="J11" s="5">
        <f>ROUNDUP(J8*J7*J5,0)</f>
        <v>189</v>
      </c>
      <c r="K11" s="2"/>
      <c r="L11" s="2"/>
    </row>
    <row r="12" spans="1:12" x14ac:dyDescent="0.25">
      <c r="A12" s="2"/>
      <c r="B12" s="35" t="s">
        <v>31</v>
      </c>
      <c r="C12" s="5">
        <f>ROUNDUP(C9*C8*C5,0)</f>
        <v>132</v>
      </c>
      <c r="I12" s="7" t="s">
        <v>32</v>
      </c>
      <c r="J12" s="24">
        <v>189</v>
      </c>
      <c r="K12" s="2"/>
      <c r="L12" s="2"/>
    </row>
    <row r="13" spans="1:12" ht="18" x14ac:dyDescent="0.25">
      <c r="A13" s="2"/>
      <c r="B13" s="7" t="s">
        <v>32</v>
      </c>
      <c r="C13" s="24">
        <v>132</v>
      </c>
      <c r="I13" s="7" t="s">
        <v>34</v>
      </c>
      <c r="J13" s="6">
        <f>J12/(J8*J5)</f>
        <v>200.21186440677968</v>
      </c>
      <c r="K13" s="2"/>
      <c r="L13" s="2"/>
    </row>
    <row r="14" spans="1:12" ht="18" x14ac:dyDescent="0.25">
      <c r="A14" s="2"/>
      <c r="B14" s="7" t="s">
        <v>34</v>
      </c>
      <c r="C14" s="6">
        <f>C13/(C9*C5)</f>
        <v>222.972972972973</v>
      </c>
      <c r="I14" s="7" t="s">
        <v>4</v>
      </c>
      <c r="J14" s="6">
        <f>(J6/J5)*J12</f>
        <v>51.254237288135592</v>
      </c>
      <c r="K14" s="2"/>
      <c r="L14" s="2"/>
    </row>
    <row r="15" spans="1:12" x14ac:dyDescent="0.25">
      <c r="A15" s="2"/>
      <c r="B15" s="7" t="s">
        <v>68</v>
      </c>
      <c r="C15" s="6">
        <f>(C6/C5)*C13</f>
        <v>57.081081081081081</v>
      </c>
      <c r="I15" s="7"/>
      <c r="J15" s="5"/>
      <c r="K15" s="2"/>
      <c r="L15" s="2"/>
    </row>
    <row r="16" spans="1:12" x14ac:dyDescent="0.25">
      <c r="A16" s="2"/>
      <c r="B16" s="7" t="s">
        <v>69</v>
      </c>
      <c r="C16" s="6">
        <f>(C7/C5)*C13</f>
        <v>71.351351351351354</v>
      </c>
      <c r="I16" s="7" t="s">
        <v>63</v>
      </c>
      <c r="J16" s="22">
        <v>85526.063800000004</v>
      </c>
      <c r="K16" s="2"/>
      <c r="L16" s="2"/>
    </row>
    <row r="17" spans="1:14" x14ac:dyDescent="0.25">
      <c r="A17" s="2"/>
      <c r="B17" s="7"/>
      <c r="C17" s="60"/>
      <c r="I17" s="7" t="s">
        <v>1</v>
      </c>
      <c r="J17" s="22">
        <v>85714.258600000001</v>
      </c>
      <c r="K17" s="2"/>
      <c r="L17" s="2"/>
    </row>
    <row r="18" spans="1:14" x14ac:dyDescent="0.25">
      <c r="A18" s="2"/>
      <c r="B18" s="7" t="s">
        <v>0</v>
      </c>
      <c r="C18" s="22">
        <v>84964.313299999994</v>
      </c>
      <c r="I18" s="8"/>
      <c r="J18" s="5"/>
      <c r="K18" s="2"/>
      <c r="L18" s="2"/>
    </row>
    <row r="19" spans="1:14" x14ac:dyDescent="0.25">
      <c r="A19" s="2"/>
      <c r="B19" s="7" t="s">
        <v>63</v>
      </c>
      <c r="C19" s="22">
        <v>85526.063800000004</v>
      </c>
      <c r="I19" s="36"/>
      <c r="J19" s="36"/>
      <c r="K19" s="2"/>
      <c r="L19" s="2"/>
    </row>
    <row r="20" spans="1:14" x14ac:dyDescent="0.25">
      <c r="A20" s="2"/>
      <c r="B20" s="7"/>
      <c r="C20" s="60"/>
      <c r="I20" s="36"/>
      <c r="J20" s="36"/>
      <c r="K20" s="2"/>
      <c r="L20" s="2"/>
    </row>
    <row r="21" spans="1:14" x14ac:dyDescent="0.25">
      <c r="A21" s="2"/>
      <c r="B21" s="8"/>
      <c r="C21" s="5"/>
      <c r="I21" s="8" t="s">
        <v>17</v>
      </c>
      <c r="J21" s="54">
        <v>0.67</v>
      </c>
      <c r="K21" s="2"/>
      <c r="L21" s="2"/>
    </row>
    <row r="22" spans="1:14" x14ac:dyDescent="0.25">
      <c r="B22" s="8" t="s">
        <v>17</v>
      </c>
      <c r="C22" s="24">
        <v>0.5</v>
      </c>
      <c r="I22" s="8" t="s">
        <v>18</v>
      </c>
      <c r="J22" s="54">
        <v>0.67</v>
      </c>
    </row>
    <row r="23" spans="1:14" x14ac:dyDescent="0.25">
      <c r="B23" s="8" t="s">
        <v>18</v>
      </c>
      <c r="C23" s="24">
        <v>0.67</v>
      </c>
      <c r="I23" s="37"/>
      <c r="J23" s="12"/>
    </row>
    <row r="24" spans="1:14" ht="15.75" thickBot="1" x14ac:dyDescent="0.3">
      <c r="B24" s="17"/>
      <c r="C24" s="12"/>
      <c r="I24" s="14"/>
      <c r="J24" s="39" t="s">
        <v>19</v>
      </c>
    </row>
    <row r="25" spans="1:14" ht="15.75" thickBot="1" x14ac:dyDescent="0.3">
      <c r="B25" s="13"/>
      <c r="C25" s="39" t="s">
        <v>19</v>
      </c>
      <c r="F25" s="10" t="s">
        <v>70</v>
      </c>
      <c r="G25" s="61">
        <v>84964.313299999994</v>
      </c>
      <c r="I25" s="40" t="s">
        <v>13</v>
      </c>
      <c r="J25" s="46">
        <f>J26-J14</f>
        <v>85348.17956271187</v>
      </c>
      <c r="K25" s="99"/>
      <c r="L25" s="48">
        <v>1.6E-2</v>
      </c>
      <c r="M25" s="10" t="s">
        <v>58</v>
      </c>
      <c r="N25" s="48">
        <f>(J28-C32)/((0.06-0.037)*J8)</f>
        <v>287.85326086954626</v>
      </c>
    </row>
    <row r="26" spans="1:14" x14ac:dyDescent="0.25">
      <c r="B26" s="40" t="s">
        <v>13</v>
      </c>
      <c r="C26" s="46">
        <f>C27-C16</f>
        <v>84826.961948648648</v>
      </c>
      <c r="D26" s="99"/>
      <c r="E26" s="48"/>
      <c r="I26" s="8" t="s">
        <v>14</v>
      </c>
      <c r="J26" s="45">
        <f>J16-(J21*J12)</f>
        <v>85399.433799999999</v>
      </c>
      <c r="K26" s="99"/>
      <c r="L26" s="48">
        <v>0</v>
      </c>
      <c r="N26" s="48"/>
    </row>
    <row r="27" spans="1:14" x14ac:dyDescent="0.25">
      <c r="A27" s="2"/>
      <c r="B27" s="8" t="s">
        <v>14</v>
      </c>
      <c r="C27" s="45">
        <f>C18-(C22*C13)</f>
        <v>84898.313299999994</v>
      </c>
      <c r="D27" s="99"/>
      <c r="E27" s="48"/>
      <c r="F27" s="48"/>
      <c r="I27" s="8" t="s">
        <v>15</v>
      </c>
      <c r="J27" s="45">
        <f>J26+J14</f>
        <v>85450.688037288128</v>
      </c>
      <c r="K27" s="99"/>
      <c r="L27" s="48">
        <v>1.6E-2</v>
      </c>
      <c r="N27" s="48"/>
    </row>
    <row r="28" spans="1:14" x14ac:dyDescent="0.25">
      <c r="A28" s="2"/>
      <c r="B28" s="8" t="s">
        <v>15</v>
      </c>
      <c r="C28" s="50">
        <f>C27+C16</f>
        <v>84969.664651351341</v>
      </c>
      <c r="D28" s="99"/>
      <c r="E28" s="48">
        <v>0.02</v>
      </c>
      <c r="F28" s="10" t="s">
        <v>58</v>
      </c>
      <c r="G28" s="51">
        <f>(C29-G25)/((E29-E28)*C9)</f>
        <v>242.64705882352945</v>
      </c>
      <c r="I28" s="8" t="s">
        <v>16</v>
      </c>
      <c r="J28" s="50">
        <f>J16-(J21*J12)+J12</f>
        <v>85588.433799999999</v>
      </c>
      <c r="K28" s="99"/>
      <c r="L28" s="48">
        <v>5.8999999999999997E-2</v>
      </c>
      <c r="N28" s="48"/>
    </row>
    <row r="29" spans="1:14" x14ac:dyDescent="0.25">
      <c r="B29" s="8" t="s">
        <v>16</v>
      </c>
      <c r="C29" s="50">
        <f>C18-(C22*C13)+C13</f>
        <v>85030.313299999994</v>
      </c>
      <c r="D29" s="99"/>
      <c r="E29" s="48">
        <v>3.6999999999999998E-2</v>
      </c>
      <c r="F29" s="47"/>
      <c r="G29" s="47"/>
      <c r="I29" s="10"/>
      <c r="J29" s="59"/>
    </row>
    <row r="30" spans="1:14" ht="15.75" thickBot="1" x14ac:dyDescent="0.3">
      <c r="B30" s="15"/>
      <c r="C30" s="57"/>
      <c r="I30" s="14"/>
      <c r="J30" s="58" t="s">
        <v>20</v>
      </c>
    </row>
    <row r="31" spans="1:14" ht="15.75" thickBot="1" x14ac:dyDescent="0.3">
      <c r="B31" s="14"/>
      <c r="C31" s="58" t="s">
        <v>20</v>
      </c>
      <c r="I31" s="40" t="s">
        <v>16</v>
      </c>
      <c r="J31" s="49">
        <f>J17+(J22*J12)-J12</f>
        <v>85651.888600000006</v>
      </c>
      <c r="K31" s="99"/>
      <c r="L31" s="48">
        <v>5.8999999999999997E-2</v>
      </c>
      <c r="N31" s="48"/>
    </row>
    <row r="32" spans="1:14" x14ac:dyDescent="0.25">
      <c r="B32" s="40" t="s">
        <v>16</v>
      </c>
      <c r="C32" s="49">
        <f>C34-C13</f>
        <v>85482.503800000006</v>
      </c>
      <c r="D32" s="99"/>
      <c r="E32" s="47">
        <v>3.6999999999999998E-2</v>
      </c>
      <c r="F32" s="47"/>
      <c r="G32" s="47"/>
      <c r="I32" s="8" t="s">
        <v>15</v>
      </c>
      <c r="J32" s="50">
        <f>J33-J14</f>
        <v>85789.634362711877</v>
      </c>
      <c r="K32" s="99"/>
      <c r="L32" s="48">
        <v>1.6E-2</v>
      </c>
      <c r="N32" s="48"/>
    </row>
    <row r="33" spans="2:14" x14ac:dyDescent="0.25">
      <c r="B33" s="8" t="s">
        <v>15</v>
      </c>
      <c r="C33" s="45">
        <f>C34-C15</f>
        <v>85557.422718918926</v>
      </c>
      <c r="D33" s="99"/>
      <c r="E33" s="47"/>
      <c r="F33" s="47"/>
      <c r="G33" s="47"/>
      <c r="I33" s="8" t="s">
        <v>14</v>
      </c>
      <c r="J33" s="45">
        <f>J17+(J22*J12)</f>
        <v>85840.888600000006</v>
      </c>
      <c r="K33" s="99"/>
      <c r="L33" s="48"/>
      <c r="M33" s="10" t="s">
        <v>58</v>
      </c>
      <c r="N33" s="48">
        <f>(J33-J31)/(J5*16)</f>
        <v>200.21186440677968</v>
      </c>
    </row>
    <row r="34" spans="2:14" x14ac:dyDescent="0.25">
      <c r="B34" s="8" t="s">
        <v>14</v>
      </c>
      <c r="C34" s="45">
        <f>C19+(C23*C13)</f>
        <v>85614.503800000006</v>
      </c>
      <c r="D34" s="99"/>
      <c r="I34" s="8" t="s">
        <v>13</v>
      </c>
      <c r="J34" s="45">
        <f>J33+J14</f>
        <v>85892.142837288135</v>
      </c>
      <c r="K34" s="99"/>
      <c r="L34" s="48"/>
      <c r="N34" s="48"/>
    </row>
    <row r="35" spans="2:14" x14ac:dyDescent="0.25">
      <c r="B35" s="8" t="s">
        <v>13</v>
      </c>
      <c r="C35" s="45">
        <f>C34+C15</f>
        <v>85671.584881081086</v>
      </c>
      <c r="D35" s="99"/>
    </row>
    <row r="38" spans="2:14" x14ac:dyDescent="0.25">
      <c r="J38" s="56">
        <v>85920</v>
      </c>
      <c r="K38" s="99"/>
      <c r="L38" s="48">
        <v>1.6E-2</v>
      </c>
    </row>
    <row r="39" spans="2:14" x14ac:dyDescent="0.25">
      <c r="J39" s="56">
        <v>85950</v>
      </c>
      <c r="K39" s="99"/>
      <c r="L39" s="84">
        <v>2.1600000000000001E-2</v>
      </c>
      <c r="M39" s="10" t="s">
        <v>58</v>
      </c>
      <c r="N39" s="48">
        <f>(J39-J38)/((0.0216-0.016)*J8)</f>
        <v>334.8214285714285</v>
      </c>
    </row>
    <row r="40" spans="2:14" x14ac:dyDescent="0.25">
      <c r="K40" s="99"/>
    </row>
    <row r="41" spans="2:14" x14ac:dyDescent="0.25">
      <c r="I41" s="55" t="s">
        <v>71</v>
      </c>
      <c r="J41" s="86" t="s">
        <v>133</v>
      </c>
      <c r="K41" s="99"/>
      <c r="L41" s="47">
        <v>2.1600000000000001E-2</v>
      </c>
    </row>
  </sheetData>
  <mergeCells count="2">
    <mergeCell ref="B1:C1"/>
    <mergeCell ref="I1:J1"/>
  </mergeCells>
  <pageMargins left="0.7" right="0.7" top="1" bottom="2.1145822397200349" header="0.3" footer="0.3"/>
  <pageSetup scale="78" orientation="portrait" r:id="rId1"/>
  <headerFooter>
    <oddHeader>&amp;RCalculated By:_____&amp;UABS      2/18/13&amp;U_____
Checked By:_____________________
Updated By:___&amp;UABS         1/3/14_&amp;U______</oddHeader>
    <oddFooter>&amp;C&amp;F, &amp;A</oddFooter>
  </headerFooter>
  <colBreaks count="1" manualBreakCount="1">
    <brk id="7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7"/>
  <sheetViews>
    <sheetView tabSelected="1" view="pageLayout" topLeftCell="D1" zoomScale="70" zoomScaleNormal="90" zoomScalePageLayoutView="70" workbookViewId="0">
      <selection activeCell="K40" sqref="K40"/>
    </sheetView>
  </sheetViews>
  <sheetFormatPr defaultRowHeight="15" x14ac:dyDescent="0.25"/>
  <cols>
    <col min="1" max="1" width="10.85546875" customWidth="1"/>
    <col min="2" max="2" width="25.42578125" customWidth="1"/>
    <col min="3" max="3" width="18" customWidth="1"/>
    <col min="4" max="4" width="6.28515625" style="92" customWidth="1"/>
    <col min="5" max="5" width="13.7109375" customWidth="1"/>
    <col min="6" max="8" width="13" customWidth="1"/>
    <col min="10" max="10" width="25.85546875" customWidth="1"/>
    <col min="11" max="11" width="19.42578125" customWidth="1"/>
    <col min="12" max="12" width="5.42578125" style="92" customWidth="1"/>
    <col min="13" max="14" width="14.42578125" customWidth="1"/>
    <col min="15" max="16" width="13.85546875" customWidth="1"/>
  </cols>
  <sheetData>
    <row r="1" spans="1:14" ht="15.75" thickBot="1" x14ac:dyDescent="0.3">
      <c r="A1" s="2"/>
      <c r="B1" s="135" t="s">
        <v>77</v>
      </c>
      <c r="C1" s="135"/>
      <c r="D1" s="103"/>
      <c r="J1" s="135" t="s">
        <v>78</v>
      </c>
      <c r="K1" s="135"/>
      <c r="L1" s="103"/>
      <c r="M1" s="2"/>
      <c r="N1" s="2"/>
    </row>
    <row r="2" spans="1:14" x14ac:dyDescent="0.25">
      <c r="A2" s="2"/>
      <c r="K2" s="2"/>
      <c r="L2" s="104"/>
      <c r="M2" s="2"/>
      <c r="N2" s="2"/>
    </row>
    <row r="3" spans="1:14" x14ac:dyDescent="0.25">
      <c r="A3" s="2"/>
      <c r="B3" s="9" t="s">
        <v>5</v>
      </c>
      <c r="C3" s="23">
        <v>45</v>
      </c>
      <c r="D3" s="104"/>
      <c r="J3" s="9" t="s">
        <v>5</v>
      </c>
      <c r="K3" s="23">
        <v>60</v>
      </c>
      <c r="L3" s="104"/>
      <c r="M3" s="2"/>
      <c r="N3" s="2"/>
    </row>
    <row r="4" spans="1:14" x14ac:dyDescent="0.25">
      <c r="A4" s="2"/>
      <c r="B4" s="9" t="s">
        <v>2</v>
      </c>
      <c r="C4" s="23" t="s">
        <v>7</v>
      </c>
      <c r="D4" s="104"/>
      <c r="J4" s="9" t="s">
        <v>2</v>
      </c>
      <c r="K4" s="23" t="s">
        <v>26</v>
      </c>
      <c r="L4" s="104"/>
      <c r="M4" s="2"/>
      <c r="N4" s="2"/>
    </row>
    <row r="5" spans="1:14" ht="20.25" customHeight="1" x14ac:dyDescent="0.25">
      <c r="A5" s="2"/>
      <c r="B5" s="9" t="s">
        <v>6</v>
      </c>
      <c r="C5" s="25">
        <v>4.5999999999999999E-2</v>
      </c>
      <c r="D5" s="111"/>
      <c r="J5" s="9" t="s">
        <v>6</v>
      </c>
      <c r="K5" s="23">
        <v>3.3000000000000002E-2</v>
      </c>
      <c r="L5" s="104"/>
      <c r="M5" s="2"/>
      <c r="N5" s="2"/>
    </row>
    <row r="6" spans="1:14" x14ac:dyDescent="0.25">
      <c r="A6" s="2"/>
      <c r="B6" s="9" t="s">
        <v>66</v>
      </c>
      <c r="C6" s="23">
        <v>1.6E-2</v>
      </c>
      <c r="D6" s="104"/>
      <c r="J6" s="9" t="s">
        <v>51</v>
      </c>
      <c r="K6" s="23">
        <v>1.6E-2</v>
      </c>
      <c r="L6" s="104"/>
      <c r="M6" s="2"/>
      <c r="N6" s="2"/>
    </row>
    <row r="7" spans="1:14" x14ac:dyDescent="0.25">
      <c r="A7" s="2"/>
      <c r="B7" s="9" t="s">
        <v>67</v>
      </c>
      <c r="C7" s="23"/>
      <c r="D7" s="104"/>
      <c r="J7" s="9" t="s">
        <v>52</v>
      </c>
      <c r="K7" s="23">
        <v>0.02</v>
      </c>
      <c r="L7" s="104"/>
      <c r="M7" s="2"/>
      <c r="N7" s="2"/>
    </row>
    <row r="8" spans="1:14" x14ac:dyDescent="0.25">
      <c r="A8" s="2"/>
      <c r="B8" s="9" t="s">
        <v>8</v>
      </c>
      <c r="C8" s="23">
        <v>185</v>
      </c>
      <c r="D8" s="104"/>
      <c r="J8" s="9" t="s">
        <v>8</v>
      </c>
      <c r="K8" s="23">
        <v>222</v>
      </c>
      <c r="L8" s="104"/>
      <c r="M8" s="2"/>
      <c r="N8" s="2"/>
    </row>
    <row r="9" spans="1:14" x14ac:dyDescent="0.25">
      <c r="A9" s="2"/>
      <c r="B9" s="9" t="s">
        <v>9</v>
      </c>
      <c r="C9" s="23">
        <v>16</v>
      </c>
      <c r="D9" s="104"/>
      <c r="E9" t="s">
        <v>38</v>
      </c>
      <c r="J9" s="9" t="s">
        <v>9</v>
      </c>
      <c r="K9" s="23">
        <v>16</v>
      </c>
      <c r="L9" s="104"/>
      <c r="M9" t="s">
        <v>38</v>
      </c>
    </row>
    <row r="10" spans="1:14" ht="15.75" thickBot="1" x14ac:dyDescent="0.3">
      <c r="A10" s="2"/>
      <c r="B10" s="9"/>
      <c r="C10" s="2"/>
      <c r="D10" s="104"/>
      <c r="J10" s="9"/>
      <c r="K10" s="2"/>
      <c r="L10" s="104"/>
      <c r="M10" s="2"/>
      <c r="N10" s="2"/>
    </row>
    <row r="11" spans="1:14" ht="15.75" thickBot="1" x14ac:dyDescent="0.3">
      <c r="A11" s="2"/>
      <c r="B11" s="19" t="s">
        <v>11</v>
      </c>
      <c r="C11" s="4" t="s">
        <v>12</v>
      </c>
      <c r="D11" s="105"/>
      <c r="J11" s="52" t="s">
        <v>11</v>
      </c>
      <c r="K11" s="53" t="s">
        <v>12</v>
      </c>
      <c r="L11" s="105"/>
      <c r="M11" s="2"/>
      <c r="N11" s="2"/>
    </row>
    <row r="12" spans="1:14" x14ac:dyDescent="0.25">
      <c r="A12" s="2"/>
      <c r="B12" s="35" t="s">
        <v>31</v>
      </c>
      <c r="C12" s="5">
        <f>ROUNDUP(C9*C8*C5,0)</f>
        <v>137</v>
      </c>
      <c r="D12" s="106"/>
      <c r="J12" s="35" t="s">
        <v>31</v>
      </c>
      <c r="K12" s="5">
        <f>ROUNDUP(K9*K8*K5,0)</f>
        <v>118</v>
      </c>
      <c r="L12" s="106"/>
      <c r="M12" s="2"/>
      <c r="N12" s="2"/>
    </row>
    <row r="13" spans="1:14" x14ac:dyDescent="0.25">
      <c r="A13" s="2"/>
      <c r="B13" s="7" t="s">
        <v>32</v>
      </c>
      <c r="C13" s="24">
        <v>140</v>
      </c>
      <c r="D13" s="106"/>
      <c r="J13" s="7" t="s">
        <v>32</v>
      </c>
      <c r="K13" s="24">
        <v>120</v>
      </c>
      <c r="L13" s="106"/>
      <c r="M13" s="2"/>
      <c r="N13" s="2"/>
    </row>
    <row r="14" spans="1:14" ht="18" x14ac:dyDescent="0.25">
      <c r="A14" s="2"/>
      <c r="B14" s="7" t="s">
        <v>34</v>
      </c>
      <c r="C14" s="6">
        <f>C13/(C9*C5)</f>
        <v>190.21739130434784</v>
      </c>
      <c r="D14" s="107"/>
      <c r="J14" s="7" t="s">
        <v>34</v>
      </c>
      <c r="K14" s="6">
        <f>K13/(K9*K5)</f>
        <v>227.27272727272725</v>
      </c>
      <c r="L14" s="107"/>
      <c r="M14" s="2"/>
      <c r="N14" s="2"/>
    </row>
    <row r="15" spans="1:14" x14ac:dyDescent="0.25">
      <c r="A15" s="2"/>
      <c r="B15" s="7" t="s">
        <v>68</v>
      </c>
      <c r="C15" s="6">
        <f>(C6/C5)*C13</f>
        <v>48.695652173913039</v>
      </c>
      <c r="D15" s="107"/>
      <c r="J15" s="7" t="s">
        <v>53</v>
      </c>
      <c r="K15" s="6">
        <f>(K6/K5)*K13</f>
        <v>58.181818181818187</v>
      </c>
      <c r="L15" s="107"/>
      <c r="M15" s="2"/>
      <c r="N15" s="2"/>
    </row>
    <row r="16" spans="1:14" x14ac:dyDescent="0.25">
      <c r="A16" s="2"/>
      <c r="B16" s="7" t="s">
        <v>69</v>
      </c>
      <c r="C16" s="6">
        <f>(C7/C5)*C13</f>
        <v>0</v>
      </c>
      <c r="D16" s="107"/>
      <c r="J16" s="7" t="s">
        <v>54</v>
      </c>
      <c r="K16" s="6">
        <f>(K7/K5)*K13</f>
        <v>72.727272727272734</v>
      </c>
      <c r="L16" s="107"/>
      <c r="M16" s="2"/>
      <c r="N16" s="2"/>
    </row>
    <row r="17" spans="1:16" x14ac:dyDescent="0.25">
      <c r="A17" s="2"/>
      <c r="B17" s="7"/>
      <c r="C17" s="60"/>
      <c r="D17" s="108"/>
      <c r="J17" s="7" t="s">
        <v>63</v>
      </c>
      <c r="K17" s="22">
        <v>86519.428</v>
      </c>
      <c r="L17" s="108"/>
      <c r="M17" s="2"/>
      <c r="N17" s="2"/>
    </row>
    <row r="18" spans="1:16" x14ac:dyDescent="0.25">
      <c r="A18" s="2"/>
      <c r="B18" s="7" t="s">
        <v>0</v>
      </c>
      <c r="C18" s="22">
        <v>86344.428</v>
      </c>
      <c r="D18" s="108"/>
      <c r="J18" s="7" t="s">
        <v>1</v>
      </c>
      <c r="K18" s="22">
        <v>87372.919800000003</v>
      </c>
      <c r="L18" s="108"/>
      <c r="M18" s="2"/>
      <c r="N18" s="2"/>
    </row>
    <row r="19" spans="1:16" x14ac:dyDescent="0.25">
      <c r="A19" s="2"/>
      <c r="B19" s="7" t="s">
        <v>63</v>
      </c>
      <c r="C19" s="22">
        <v>86519.428</v>
      </c>
      <c r="D19" s="108"/>
      <c r="J19" s="8"/>
      <c r="K19" s="5"/>
      <c r="L19" s="106"/>
      <c r="M19" s="2"/>
      <c r="N19" s="2"/>
    </row>
    <row r="20" spans="1:16" x14ac:dyDescent="0.25">
      <c r="A20" s="2"/>
      <c r="B20" s="7"/>
      <c r="C20" s="60"/>
      <c r="D20" s="108"/>
      <c r="J20" s="36"/>
      <c r="K20" s="36"/>
      <c r="L20" s="109"/>
      <c r="M20" s="2"/>
      <c r="N20" s="2"/>
    </row>
    <row r="21" spans="1:16" x14ac:dyDescent="0.25">
      <c r="A21" s="2"/>
      <c r="B21" s="8"/>
      <c r="C21" s="5"/>
      <c r="D21" s="106"/>
      <c r="J21" s="36"/>
      <c r="K21" s="36"/>
      <c r="L21" s="109"/>
      <c r="M21" s="2"/>
      <c r="N21" s="2"/>
    </row>
    <row r="22" spans="1:16" x14ac:dyDescent="0.25">
      <c r="B22" s="8" t="s">
        <v>17</v>
      </c>
      <c r="C22" s="54">
        <v>0.7</v>
      </c>
      <c r="D22" s="107"/>
      <c r="J22" s="8" t="s">
        <v>17</v>
      </c>
      <c r="K22" s="54">
        <v>0.7</v>
      </c>
      <c r="L22" s="107"/>
      <c r="M22" s="2"/>
      <c r="N22" s="2"/>
    </row>
    <row r="23" spans="1:16" x14ac:dyDescent="0.25">
      <c r="B23" s="8" t="s">
        <v>18</v>
      </c>
      <c r="C23" s="54">
        <v>0.7</v>
      </c>
      <c r="D23" s="107"/>
      <c r="J23" s="8" t="s">
        <v>18</v>
      </c>
      <c r="K23" s="54">
        <v>0.6</v>
      </c>
      <c r="L23" s="107"/>
    </row>
    <row r="24" spans="1:16" x14ac:dyDescent="0.25">
      <c r="B24" s="17"/>
      <c r="C24" s="12"/>
      <c r="D24" s="106"/>
      <c r="J24" s="37"/>
      <c r="K24" s="12"/>
      <c r="L24" s="106"/>
    </row>
    <row r="25" spans="1:16" ht="15.75" thickBot="1" x14ac:dyDescent="0.3">
      <c r="B25" s="13"/>
      <c r="C25" s="39" t="s">
        <v>19</v>
      </c>
      <c r="D25" s="105"/>
      <c r="G25" s="10" t="s">
        <v>72</v>
      </c>
      <c r="H25" s="61">
        <v>86300</v>
      </c>
      <c r="J25" s="14"/>
      <c r="K25" s="39" t="s">
        <v>19</v>
      </c>
      <c r="L25" s="105"/>
    </row>
    <row r="26" spans="1:16" x14ac:dyDescent="0.25">
      <c r="B26" s="40" t="s">
        <v>13</v>
      </c>
      <c r="C26" s="46">
        <f>C27-C15</f>
        <v>86197.732347826081</v>
      </c>
      <c r="D26" s="108"/>
      <c r="E26" s="110"/>
      <c r="F26" s="48"/>
      <c r="H26" s="47">
        <v>1.7500000000000002E-2</v>
      </c>
      <c r="J26" s="40" t="s">
        <v>13</v>
      </c>
      <c r="K26" s="46">
        <f>K27-K15</f>
        <v>86377.246181818176</v>
      </c>
      <c r="L26" s="108"/>
      <c r="M26" s="110"/>
      <c r="N26" s="48">
        <v>1.6E-2</v>
      </c>
      <c r="O26" s="10" t="s">
        <v>58</v>
      </c>
      <c r="P26" s="48">
        <f>(K29-C32)/((0.046-0.033)*K9)</f>
        <v>375.00000000000006</v>
      </c>
    </row>
    <row r="27" spans="1:16" x14ac:dyDescent="0.25">
      <c r="A27" s="2"/>
      <c r="B27" s="8" t="s">
        <v>14</v>
      </c>
      <c r="C27" s="45">
        <f>C18-(C22*C13)</f>
        <v>86246.428</v>
      </c>
      <c r="D27" s="108"/>
      <c r="E27" s="110"/>
      <c r="F27" s="48"/>
      <c r="G27" s="48"/>
      <c r="J27" s="8" t="s">
        <v>14</v>
      </c>
      <c r="K27" s="45">
        <f>K17-(K22*K13)</f>
        <v>86435.428</v>
      </c>
      <c r="L27" s="108"/>
      <c r="M27" s="110"/>
      <c r="N27" s="48">
        <v>0</v>
      </c>
      <c r="P27" s="48"/>
    </row>
    <row r="28" spans="1:16" x14ac:dyDescent="0.25">
      <c r="A28" s="2"/>
      <c r="B28" s="8" t="s">
        <v>15</v>
      </c>
      <c r="C28" s="45">
        <f>C27+C15</f>
        <v>86295.123652173919</v>
      </c>
      <c r="D28" s="108"/>
      <c r="E28" s="110"/>
      <c r="F28" s="48">
        <v>1.6E-2</v>
      </c>
      <c r="G28" s="10" t="s">
        <v>58</v>
      </c>
      <c r="H28" s="51">
        <f>(C29-H25)/((F29-H26)*C9)</f>
        <v>189.53508771929802</v>
      </c>
      <c r="J28" s="8" t="s">
        <v>15</v>
      </c>
      <c r="K28" s="45">
        <f>K27+K15</f>
        <v>86493.609818181823</v>
      </c>
      <c r="L28" s="108"/>
      <c r="M28" s="110"/>
      <c r="N28" s="48">
        <v>1.6E-2</v>
      </c>
      <c r="P28" s="48"/>
    </row>
    <row r="29" spans="1:16" x14ac:dyDescent="0.25">
      <c r="B29" s="8" t="s">
        <v>16</v>
      </c>
      <c r="C29" s="50">
        <f>C18-(C22*C13)+C13</f>
        <v>86386.428</v>
      </c>
      <c r="D29" s="108"/>
      <c r="E29" s="110"/>
      <c r="F29" s="48">
        <v>4.5999999999999999E-2</v>
      </c>
      <c r="G29" s="47"/>
      <c r="H29" s="47"/>
      <c r="J29" s="8" t="s">
        <v>16</v>
      </c>
      <c r="K29" s="50">
        <f>K17-(K22*K13)+K13</f>
        <v>86555.428</v>
      </c>
      <c r="L29" s="108"/>
      <c r="M29" s="110"/>
      <c r="N29" s="48">
        <v>3.3000000000000002E-2</v>
      </c>
      <c r="P29" s="48"/>
    </row>
    <row r="30" spans="1:16" x14ac:dyDescent="0.25">
      <c r="B30" s="15"/>
      <c r="C30" s="57"/>
      <c r="D30" s="106"/>
      <c r="F30" s="47"/>
      <c r="J30" s="10"/>
      <c r="K30" s="59"/>
      <c r="L30" s="104"/>
      <c r="M30" s="110"/>
    </row>
    <row r="31" spans="1:16" ht="15.75" thickBot="1" x14ac:dyDescent="0.3">
      <c r="B31" s="14"/>
      <c r="C31" s="58" t="s">
        <v>20</v>
      </c>
      <c r="D31" s="105"/>
      <c r="F31" s="47"/>
      <c r="J31" s="14"/>
      <c r="K31" s="58" t="s">
        <v>20</v>
      </c>
      <c r="L31" s="105"/>
    </row>
    <row r="32" spans="1:16" x14ac:dyDescent="0.25">
      <c r="B32" s="40" t="s">
        <v>16</v>
      </c>
      <c r="C32" s="49">
        <f>C34-C13</f>
        <v>86477.428</v>
      </c>
      <c r="D32" s="108"/>
      <c r="E32" s="110"/>
      <c r="F32" s="47">
        <v>4.5999999999999999E-2</v>
      </c>
      <c r="G32" s="47"/>
      <c r="H32" s="47"/>
      <c r="J32" s="40" t="s">
        <v>16</v>
      </c>
      <c r="K32" s="49">
        <f>K18+(K23*K13)-K13</f>
        <v>87324.919800000003</v>
      </c>
      <c r="L32" s="108"/>
      <c r="M32" s="110"/>
      <c r="N32" s="48">
        <v>3.3000000000000002E-2</v>
      </c>
      <c r="P32" s="48"/>
    </row>
    <row r="33" spans="2:16" x14ac:dyDescent="0.25">
      <c r="B33" s="8" t="s">
        <v>15</v>
      </c>
      <c r="C33" s="45">
        <f>C34-C15</f>
        <v>86568.732347826081</v>
      </c>
      <c r="D33" s="108"/>
      <c r="E33" s="110"/>
      <c r="F33" s="47"/>
      <c r="G33" s="47"/>
      <c r="H33" s="47"/>
      <c r="J33" s="8" t="s">
        <v>15</v>
      </c>
      <c r="K33" s="45">
        <f>K34-K16</f>
        <v>87372.192527272724</v>
      </c>
      <c r="L33" s="108"/>
      <c r="M33" s="110"/>
      <c r="N33" s="48">
        <v>0.02</v>
      </c>
      <c r="P33" s="48"/>
    </row>
    <row r="34" spans="2:16" x14ac:dyDescent="0.25">
      <c r="B34" s="8" t="s">
        <v>14</v>
      </c>
      <c r="C34" s="45">
        <f>C19+(C23*C13)</f>
        <v>86617.428</v>
      </c>
      <c r="D34" s="108"/>
      <c r="E34" s="110"/>
      <c r="F34" s="47"/>
      <c r="J34" s="8" t="s">
        <v>14</v>
      </c>
      <c r="K34" s="45">
        <f>K18+(K23*K13)</f>
        <v>87444.919800000003</v>
      </c>
      <c r="L34" s="108"/>
      <c r="M34" s="110"/>
      <c r="N34" s="48"/>
      <c r="O34" s="10" t="s">
        <v>58</v>
      </c>
      <c r="P34" s="48">
        <f>(N37-K32)/((K5-K7)*16)</f>
        <v>230.76923076923075</v>
      </c>
    </row>
    <row r="35" spans="2:16" x14ac:dyDescent="0.25">
      <c r="B35" s="8" t="s">
        <v>13</v>
      </c>
      <c r="C35" s="45">
        <f>C34+C15</f>
        <v>86666.123652173919</v>
      </c>
      <c r="D35" s="108"/>
      <c r="E35" s="110"/>
      <c r="F35" s="47"/>
      <c r="J35" s="8" t="s">
        <v>13</v>
      </c>
      <c r="K35" s="45">
        <f>K34+K16</f>
        <v>87517.647072727283</v>
      </c>
      <c r="L35" s="108"/>
      <c r="M35" s="110"/>
      <c r="N35" s="48"/>
      <c r="P35" s="48"/>
    </row>
    <row r="36" spans="2:16" x14ac:dyDescent="0.25">
      <c r="K36" s="56"/>
      <c r="L36" s="91"/>
      <c r="N36" s="48"/>
    </row>
    <row r="37" spans="2:16" x14ac:dyDescent="0.25">
      <c r="J37" s="55"/>
      <c r="M37" s="10" t="s">
        <v>73</v>
      </c>
      <c r="N37" s="56">
        <v>87372.919800000003</v>
      </c>
      <c r="O37" s="47" t="s">
        <v>74</v>
      </c>
      <c r="P37" s="48"/>
    </row>
  </sheetData>
  <mergeCells count="2">
    <mergeCell ref="B1:C1"/>
    <mergeCell ref="J1:K1"/>
  </mergeCells>
  <pageMargins left="0.7" right="0.45" top="0.75" bottom="2.1145833333333299" header="0.3" footer="0.3"/>
  <pageSetup scale="78" orientation="portrait" r:id="rId1"/>
  <headerFooter>
    <oddHeader>&amp;RCalculated By:____&amp;UABS    2/18/13&amp;U______
Checked By:_____________________</oddHeader>
    <oddFooter>&amp;C&amp;F, &amp;A</oddFooter>
  </headerFooter>
  <colBreaks count="1" manualBreakCount="1">
    <brk id="8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40"/>
  <sheetViews>
    <sheetView view="pageLayout" topLeftCell="G1" zoomScale="70" zoomScaleNormal="100" zoomScalePageLayoutView="70" workbookViewId="0">
      <selection activeCell="N28" sqref="N28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8" max="8" width="10.85546875" customWidth="1"/>
    <col min="9" max="9" width="25.42578125" customWidth="1"/>
    <col min="10" max="10" width="21" customWidth="1"/>
    <col min="11" max="11" width="13.7109375" customWidth="1"/>
    <col min="12" max="14" width="13" customWidth="1"/>
    <col min="16" max="16" width="25.85546875" customWidth="1"/>
    <col min="17" max="17" width="24" customWidth="1"/>
    <col min="18" max="19" width="14.42578125" customWidth="1"/>
    <col min="20" max="21" width="13.85546875" customWidth="1"/>
  </cols>
  <sheetData>
    <row r="1" spans="1:19" ht="15.75" thickBot="1" x14ac:dyDescent="0.3">
      <c r="A1" s="2"/>
      <c r="B1" s="135" t="s">
        <v>134</v>
      </c>
      <c r="C1" s="135"/>
      <c r="H1" s="2"/>
      <c r="I1" s="135" t="s">
        <v>75</v>
      </c>
      <c r="J1" s="135"/>
      <c r="P1" s="135" t="s">
        <v>76</v>
      </c>
      <c r="Q1" s="135"/>
      <c r="R1" s="2"/>
      <c r="S1" s="2"/>
    </row>
    <row r="2" spans="1:19" x14ac:dyDescent="0.25">
      <c r="A2" s="2"/>
      <c r="H2" s="2"/>
      <c r="Q2" s="2"/>
      <c r="R2" s="2"/>
      <c r="S2" s="2"/>
    </row>
    <row r="3" spans="1:19" x14ac:dyDescent="0.25">
      <c r="A3" s="2"/>
      <c r="B3" s="9" t="s">
        <v>5</v>
      </c>
      <c r="C3" s="23">
        <v>25</v>
      </c>
      <c r="H3" s="2"/>
      <c r="I3" s="9" t="s">
        <v>5</v>
      </c>
      <c r="J3" s="23">
        <v>45</v>
      </c>
      <c r="P3" s="9" t="s">
        <v>5</v>
      </c>
      <c r="Q3" s="23">
        <v>60</v>
      </c>
      <c r="R3" s="2"/>
      <c r="S3" s="2"/>
    </row>
    <row r="4" spans="1:19" x14ac:dyDescent="0.25">
      <c r="A4" s="2"/>
      <c r="B4" s="9" t="s">
        <v>2</v>
      </c>
      <c r="C4" s="23" t="s">
        <v>7</v>
      </c>
      <c r="H4" s="2"/>
      <c r="I4" s="9" t="s">
        <v>2</v>
      </c>
      <c r="J4" s="23" t="s">
        <v>7</v>
      </c>
      <c r="P4" s="9" t="s">
        <v>2</v>
      </c>
      <c r="Q4" s="23" t="s">
        <v>26</v>
      </c>
      <c r="R4" s="2"/>
      <c r="S4" s="2"/>
    </row>
    <row r="5" spans="1:19" ht="20.25" customHeight="1" x14ac:dyDescent="0.25">
      <c r="A5" s="2"/>
      <c r="B5" s="9" t="s">
        <v>6</v>
      </c>
      <c r="C5" s="25">
        <v>0.04</v>
      </c>
      <c r="H5" s="2"/>
      <c r="I5" s="9" t="s">
        <v>6</v>
      </c>
      <c r="J5" s="25">
        <v>5.7000000000000002E-2</v>
      </c>
      <c r="P5" s="9" t="s">
        <v>6</v>
      </c>
      <c r="Q5" s="23">
        <v>5.5E-2</v>
      </c>
      <c r="R5" s="2"/>
      <c r="S5" s="2"/>
    </row>
    <row r="6" spans="1:19" x14ac:dyDescent="0.25">
      <c r="A6" s="2"/>
      <c r="B6" s="9" t="s">
        <v>66</v>
      </c>
      <c r="C6" s="23">
        <v>1.6E-2</v>
      </c>
      <c r="H6" s="2"/>
      <c r="I6" s="9" t="s">
        <v>66</v>
      </c>
      <c r="J6" s="23">
        <v>1.6E-2</v>
      </c>
      <c r="P6" s="9" t="s">
        <v>51</v>
      </c>
      <c r="Q6" s="23">
        <v>1.6E-2</v>
      </c>
      <c r="R6" s="2"/>
      <c r="S6" s="2"/>
    </row>
    <row r="7" spans="1:19" x14ac:dyDescent="0.25">
      <c r="A7" s="2"/>
      <c r="B7" s="9" t="s">
        <v>67</v>
      </c>
      <c r="C7" s="23">
        <v>1.6E-2</v>
      </c>
      <c r="H7" s="2"/>
      <c r="I7" s="9" t="s">
        <v>67</v>
      </c>
      <c r="J7" s="23"/>
      <c r="P7" s="9" t="s">
        <v>52</v>
      </c>
      <c r="Q7" s="23">
        <v>0.02</v>
      </c>
      <c r="R7" s="2"/>
      <c r="S7" s="2"/>
    </row>
    <row r="8" spans="1:19" x14ac:dyDescent="0.25">
      <c r="A8" s="2"/>
      <c r="B8" s="9" t="s">
        <v>8</v>
      </c>
      <c r="C8" s="23">
        <v>143</v>
      </c>
      <c r="H8" s="2"/>
      <c r="I8" s="9" t="s">
        <v>8</v>
      </c>
      <c r="J8" s="23">
        <v>185</v>
      </c>
      <c r="P8" s="9" t="s">
        <v>8</v>
      </c>
      <c r="Q8" s="23">
        <v>222</v>
      </c>
      <c r="R8" s="2"/>
      <c r="S8" s="2"/>
    </row>
    <row r="9" spans="1:19" x14ac:dyDescent="0.25">
      <c r="A9" s="2"/>
      <c r="B9" s="9" t="s">
        <v>9</v>
      </c>
      <c r="C9" s="23">
        <v>16</v>
      </c>
      <c r="D9" t="s">
        <v>38</v>
      </c>
      <c r="H9" s="2"/>
      <c r="I9" s="9" t="s">
        <v>9</v>
      </c>
      <c r="J9" s="23">
        <v>16</v>
      </c>
      <c r="K9" t="s">
        <v>38</v>
      </c>
      <c r="P9" s="9" t="s">
        <v>9</v>
      </c>
      <c r="Q9" s="23">
        <v>16</v>
      </c>
      <c r="R9" t="s">
        <v>38</v>
      </c>
    </row>
    <row r="10" spans="1:19" ht="15.75" thickBot="1" x14ac:dyDescent="0.3">
      <c r="A10" s="2"/>
      <c r="B10" s="9"/>
      <c r="C10" s="2"/>
      <c r="H10" s="2"/>
      <c r="I10" s="9"/>
      <c r="J10" s="2"/>
      <c r="P10" s="9"/>
      <c r="Q10" s="2"/>
      <c r="R10" s="2"/>
      <c r="S10" s="2"/>
    </row>
    <row r="11" spans="1:19" ht="15.75" thickBot="1" x14ac:dyDescent="0.3">
      <c r="A11" s="2"/>
      <c r="B11" s="19" t="s">
        <v>11</v>
      </c>
      <c r="C11" s="4" t="s">
        <v>12</v>
      </c>
      <c r="H11" s="2"/>
      <c r="I11" s="19" t="s">
        <v>11</v>
      </c>
      <c r="J11" s="4" t="s">
        <v>12</v>
      </c>
      <c r="P11" s="52" t="s">
        <v>11</v>
      </c>
      <c r="Q11" s="53" t="s">
        <v>12</v>
      </c>
      <c r="R11" s="2"/>
      <c r="S11" s="2"/>
    </row>
    <row r="12" spans="1:19" x14ac:dyDescent="0.25">
      <c r="A12" s="2"/>
      <c r="B12" s="35" t="s">
        <v>31</v>
      </c>
      <c r="C12" s="5">
        <f>ROUNDUP(C9*C8*C5,0)</f>
        <v>92</v>
      </c>
      <c r="H12" s="2"/>
      <c r="I12" s="35" t="s">
        <v>31</v>
      </c>
      <c r="J12" s="5">
        <f>ROUNDUP(J9*J8*J5,0)</f>
        <v>169</v>
      </c>
      <c r="P12" s="35" t="s">
        <v>31</v>
      </c>
      <c r="Q12" s="5">
        <f>ROUNDUP(Q9*Q8*Q5,0)</f>
        <v>196</v>
      </c>
      <c r="R12" s="2"/>
      <c r="S12" s="2"/>
    </row>
    <row r="13" spans="1:19" x14ac:dyDescent="0.25">
      <c r="A13" s="2"/>
      <c r="B13" s="7" t="s">
        <v>32</v>
      </c>
      <c r="C13" s="24">
        <v>92</v>
      </c>
      <c r="H13" s="2"/>
      <c r="I13" s="7" t="s">
        <v>32</v>
      </c>
      <c r="J13" s="24">
        <v>170</v>
      </c>
      <c r="P13" s="7" t="s">
        <v>32</v>
      </c>
      <c r="Q13" s="24">
        <v>200</v>
      </c>
      <c r="R13" s="2"/>
      <c r="S13" s="2"/>
    </row>
    <row r="14" spans="1:19" ht="18" x14ac:dyDescent="0.25">
      <c r="A14" s="2"/>
      <c r="B14" s="7" t="s">
        <v>34</v>
      </c>
      <c r="C14" s="6">
        <f>C13/(C9*C5)</f>
        <v>143.75</v>
      </c>
      <c r="H14" s="2"/>
      <c r="I14" s="7" t="s">
        <v>34</v>
      </c>
      <c r="J14" s="6">
        <f>J13/(J9*J5)</f>
        <v>186.40350877192981</v>
      </c>
      <c r="P14" s="7" t="s">
        <v>34</v>
      </c>
      <c r="Q14" s="6">
        <f>Q13/(Q9*Q5)</f>
        <v>227.27272727272728</v>
      </c>
      <c r="R14" s="2"/>
      <c r="S14" s="2"/>
    </row>
    <row r="15" spans="1:19" x14ac:dyDescent="0.25">
      <c r="A15" s="2"/>
      <c r="B15" s="7" t="s">
        <v>68</v>
      </c>
      <c r="C15" s="6">
        <f>(C6/C5)*C13</f>
        <v>36.800000000000004</v>
      </c>
      <c r="H15" s="2"/>
      <c r="I15" s="7" t="s">
        <v>68</v>
      </c>
      <c r="J15" s="6">
        <f>(J6/J5)*J13</f>
        <v>47.719298245614034</v>
      </c>
      <c r="P15" s="7" t="s">
        <v>53</v>
      </c>
      <c r="Q15" s="6">
        <f>(Q6/Q5)*Q13</f>
        <v>58.18181818181818</v>
      </c>
      <c r="R15" s="2"/>
      <c r="S15" s="2"/>
    </row>
    <row r="16" spans="1:19" x14ac:dyDescent="0.25">
      <c r="A16" s="2"/>
      <c r="B16" s="7" t="s">
        <v>69</v>
      </c>
      <c r="C16" s="6">
        <f>(C7/C5)*C13</f>
        <v>36.800000000000004</v>
      </c>
      <c r="H16" s="2"/>
      <c r="I16" s="7" t="s">
        <v>69</v>
      </c>
      <c r="J16" s="6">
        <f>(J7/J5)*J13</f>
        <v>0</v>
      </c>
      <c r="P16" s="7" t="s">
        <v>54</v>
      </c>
      <c r="Q16" s="6">
        <f>(Q7/Q5)*Q13</f>
        <v>72.727272727272734</v>
      </c>
      <c r="R16" s="2"/>
      <c r="S16" s="2"/>
    </row>
    <row r="17" spans="1:21" x14ac:dyDescent="0.25">
      <c r="A17" s="2"/>
      <c r="B17" s="7"/>
      <c r="C17" s="60"/>
      <c r="H17" s="2"/>
      <c r="I17" s="7"/>
      <c r="J17" s="60"/>
      <c r="P17" s="7" t="s">
        <v>63</v>
      </c>
      <c r="Q17" s="22">
        <v>86775.691800000001</v>
      </c>
      <c r="R17" s="2"/>
      <c r="S17" s="138" t="s">
        <v>102</v>
      </c>
      <c r="T17" s="138"/>
      <c r="U17" s="138"/>
    </row>
    <row r="18" spans="1:21" x14ac:dyDescent="0.25">
      <c r="A18" s="2"/>
      <c r="B18" s="7" t="s">
        <v>0</v>
      </c>
      <c r="C18" s="22">
        <v>86085.77</v>
      </c>
      <c r="H18" s="2"/>
      <c r="I18" s="7" t="s">
        <v>0</v>
      </c>
      <c r="J18" s="22">
        <v>86575.691800000001</v>
      </c>
      <c r="P18" s="7" t="s">
        <v>24</v>
      </c>
      <c r="Q18" s="22">
        <v>87008.188399999999</v>
      </c>
      <c r="R18" s="2"/>
      <c r="S18" s="138"/>
      <c r="T18" s="138"/>
      <c r="U18" s="138"/>
    </row>
    <row r="19" spans="1:21" x14ac:dyDescent="0.25">
      <c r="A19" s="2"/>
      <c r="B19" s="7" t="s">
        <v>63</v>
      </c>
      <c r="C19" s="22">
        <v>86399.59</v>
      </c>
      <c r="H19" s="2"/>
      <c r="I19" s="7" t="s">
        <v>63</v>
      </c>
      <c r="J19" s="22">
        <v>86775.691800000001</v>
      </c>
      <c r="P19" s="8" t="s">
        <v>22</v>
      </c>
      <c r="Q19" s="30">
        <v>87208.188399999999</v>
      </c>
      <c r="R19" s="2"/>
      <c r="S19" s="2"/>
    </row>
    <row r="20" spans="1:21" x14ac:dyDescent="0.25">
      <c r="A20" s="2"/>
      <c r="B20" s="7"/>
      <c r="C20" s="60"/>
      <c r="H20" s="2"/>
      <c r="I20" s="7"/>
      <c r="J20" s="60"/>
      <c r="P20" s="36"/>
      <c r="Q20" s="36"/>
      <c r="R20" s="2"/>
      <c r="S20" s="2"/>
    </row>
    <row r="21" spans="1:21" x14ac:dyDescent="0.25">
      <c r="A21" s="2"/>
      <c r="B21" s="8"/>
      <c r="C21" s="5"/>
      <c r="H21" s="2"/>
      <c r="I21" s="8"/>
      <c r="J21" s="5"/>
      <c r="P21" s="36"/>
      <c r="Q21" s="36"/>
      <c r="R21" s="2"/>
      <c r="S21" s="2"/>
    </row>
    <row r="22" spans="1:21" x14ac:dyDescent="0.25">
      <c r="B22" s="8" t="s">
        <v>17</v>
      </c>
      <c r="C22" s="54">
        <v>0.5</v>
      </c>
      <c r="I22" s="8" t="s">
        <v>17</v>
      </c>
      <c r="J22" s="54">
        <v>0.6</v>
      </c>
      <c r="P22" s="8" t="s">
        <v>17</v>
      </c>
      <c r="Q22" s="54">
        <v>0.7</v>
      </c>
      <c r="R22" s="2"/>
      <c r="S22" s="2"/>
    </row>
    <row r="23" spans="1:21" x14ac:dyDescent="0.25">
      <c r="B23" s="8" t="s">
        <v>18</v>
      </c>
      <c r="C23" s="54">
        <v>0.5</v>
      </c>
      <c r="I23" s="8" t="s">
        <v>18</v>
      </c>
      <c r="J23" s="54">
        <v>0.7</v>
      </c>
      <c r="P23" s="8" t="s">
        <v>18</v>
      </c>
      <c r="Q23" s="54">
        <v>0.6</v>
      </c>
    </row>
    <row r="24" spans="1:21" x14ac:dyDescent="0.25">
      <c r="B24" s="17"/>
      <c r="C24" s="12"/>
      <c r="I24" s="17"/>
      <c r="J24" s="12"/>
      <c r="P24" s="37"/>
      <c r="Q24" s="12"/>
    </row>
    <row r="25" spans="1:21" ht="15.75" thickBot="1" x14ac:dyDescent="0.3">
      <c r="B25" s="13"/>
      <c r="C25" s="39" t="s">
        <v>19</v>
      </c>
      <c r="F25" s="10"/>
      <c r="G25" s="61"/>
      <c r="I25" s="13"/>
      <c r="J25" s="39" t="s">
        <v>19</v>
      </c>
      <c r="M25" s="10"/>
      <c r="N25" s="61"/>
      <c r="P25" s="14"/>
      <c r="Q25" s="39" t="s">
        <v>19</v>
      </c>
    </row>
    <row r="26" spans="1:21" x14ac:dyDescent="0.25">
      <c r="B26" s="40" t="s">
        <v>13</v>
      </c>
      <c r="C26" s="46">
        <f>C27-C15</f>
        <v>86002.97</v>
      </c>
      <c r="D26" s="98"/>
      <c r="E26" s="48"/>
      <c r="G26" s="47"/>
      <c r="I26" s="40" t="s">
        <v>13</v>
      </c>
      <c r="J26" s="46">
        <f>J27-J15</f>
        <v>86425.972501754382</v>
      </c>
      <c r="K26" s="98"/>
      <c r="L26" s="48"/>
      <c r="N26" s="47"/>
      <c r="P26" s="40" t="s">
        <v>13</v>
      </c>
      <c r="Q26" s="46">
        <f>Q27-Q15</f>
        <v>86577.509981818177</v>
      </c>
      <c r="R26" s="98"/>
      <c r="S26" s="72">
        <v>1.6E-2</v>
      </c>
      <c r="T26" s="10" t="s">
        <v>58</v>
      </c>
      <c r="U26" s="48">
        <f>(Q29-J32)/((L32-S29)*Q9)</f>
        <v>3468.7499999999968</v>
      </c>
    </row>
    <row r="27" spans="1:21" x14ac:dyDescent="0.25">
      <c r="A27" s="2"/>
      <c r="B27" s="8" t="s">
        <v>14</v>
      </c>
      <c r="C27" s="45">
        <f>C18-(C22*C13)</f>
        <v>86039.77</v>
      </c>
      <c r="D27" s="98"/>
      <c r="E27" s="48"/>
      <c r="F27" s="48"/>
      <c r="H27" s="2"/>
      <c r="I27" s="8" t="s">
        <v>14</v>
      </c>
      <c r="J27" s="45">
        <f>J18-(J22*J13)</f>
        <v>86473.691800000001</v>
      </c>
      <c r="K27" s="98"/>
      <c r="L27" s="48"/>
      <c r="M27" s="48"/>
      <c r="P27" s="8" t="s">
        <v>14</v>
      </c>
      <c r="Q27" s="45">
        <f>Q17-(Q22*Q13)</f>
        <v>86635.691800000001</v>
      </c>
      <c r="R27" s="98"/>
      <c r="S27" s="72">
        <v>0</v>
      </c>
      <c r="U27" s="48"/>
    </row>
    <row r="28" spans="1:21" x14ac:dyDescent="0.25">
      <c r="A28" s="2"/>
      <c r="B28" s="8" t="s">
        <v>15</v>
      </c>
      <c r="C28" s="45">
        <f>C27+C15</f>
        <v>86076.57</v>
      </c>
      <c r="D28" s="98"/>
      <c r="E28" s="72">
        <v>1.6E-2</v>
      </c>
      <c r="H28" s="2"/>
      <c r="I28" s="8" t="s">
        <v>15</v>
      </c>
      <c r="J28" s="50">
        <f>J27+J15</f>
        <v>86521.411098245619</v>
      </c>
      <c r="K28" s="98"/>
      <c r="L28" s="72">
        <v>1.6E-2</v>
      </c>
      <c r="M28" s="10" t="s">
        <v>58</v>
      </c>
      <c r="N28" s="51">
        <f>(J29-J28)/((L29-L28)*J9)</f>
        <v>186.40350877192358</v>
      </c>
      <c r="P28" s="8" t="s">
        <v>15</v>
      </c>
      <c r="Q28" s="45">
        <f>Q27+Q15</f>
        <v>86693.873618181824</v>
      </c>
      <c r="R28" s="98"/>
      <c r="S28" s="72">
        <v>1.6E-2</v>
      </c>
      <c r="U28" s="48"/>
    </row>
    <row r="29" spans="1:21" x14ac:dyDescent="0.25">
      <c r="B29" s="8" t="s">
        <v>16</v>
      </c>
      <c r="C29" s="45">
        <f>C18-(C22*C13)+C13</f>
        <v>86131.77</v>
      </c>
      <c r="D29" s="98"/>
      <c r="E29" s="72">
        <v>0.04</v>
      </c>
      <c r="F29" s="47"/>
      <c r="G29" s="47"/>
      <c r="I29" s="8" t="s">
        <v>16</v>
      </c>
      <c r="J29" s="50">
        <f>J18-(J22*J13)+J13</f>
        <v>86643.691800000001</v>
      </c>
      <c r="K29" s="98"/>
      <c r="L29" s="72">
        <v>5.7000000000000002E-2</v>
      </c>
      <c r="M29" s="47"/>
      <c r="N29" s="47"/>
      <c r="P29" s="8" t="s">
        <v>16</v>
      </c>
      <c r="Q29" s="50">
        <f>Q17-(Q22*Q13)+Q13</f>
        <v>86835.691800000001</v>
      </c>
      <c r="R29" s="98"/>
      <c r="S29" s="72">
        <v>5.5E-2</v>
      </c>
      <c r="U29" s="48"/>
    </row>
    <row r="30" spans="1:21" x14ac:dyDescent="0.25">
      <c r="B30" s="15"/>
      <c r="C30" s="57"/>
      <c r="E30" s="86"/>
      <c r="I30" s="15"/>
      <c r="J30" s="57"/>
      <c r="L30" s="86"/>
      <c r="P30" s="10"/>
      <c r="Q30" s="59"/>
      <c r="S30" s="86"/>
    </row>
    <row r="31" spans="1:21" ht="15.75" thickBot="1" x14ac:dyDescent="0.3">
      <c r="B31" s="14"/>
      <c r="C31" s="58" t="s">
        <v>20</v>
      </c>
      <c r="E31" s="86"/>
      <c r="I31" s="14"/>
      <c r="J31" s="58" t="s">
        <v>20</v>
      </c>
      <c r="L31" s="86"/>
      <c r="P31" s="14"/>
      <c r="Q31" s="58" t="s">
        <v>20</v>
      </c>
      <c r="S31" s="86"/>
    </row>
    <row r="32" spans="1:21" x14ac:dyDescent="0.25">
      <c r="B32" s="40" t="s">
        <v>16</v>
      </c>
      <c r="C32" s="49">
        <f>C34-C13</f>
        <v>86353.59</v>
      </c>
      <c r="D32" s="98"/>
      <c r="E32" s="86">
        <v>0.04</v>
      </c>
      <c r="F32" s="47"/>
      <c r="G32" s="47"/>
      <c r="I32" s="40" t="s">
        <v>16</v>
      </c>
      <c r="J32" s="49">
        <f>J34-J13</f>
        <v>86724.691800000001</v>
      </c>
      <c r="K32" s="98"/>
      <c r="L32" s="86">
        <v>5.7000000000000002E-2</v>
      </c>
      <c r="M32" s="47"/>
      <c r="N32" s="47"/>
      <c r="P32" s="40" t="s">
        <v>16</v>
      </c>
      <c r="Q32" s="49">
        <f>Q18</f>
        <v>87008.188399999999</v>
      </c>
      <c r="R32" s="98"/>
      <c r="S32" s="72">
        <v>5.5E-2</v>
      </c>
      <c r="U32" s="48"/>
    </row>
    <row r="33" spans="2:21" x14ac:dyDescent="0.25">
      <c r="B33" s="8" t="s">
        <v>15</v>
      </c>
      <c r="C33" s="50">
        <f>C34-C15</f>
        <v>86408.79</v>
      </c>
      <c r="D33" s="98"/>
      <c r="E33" s="86">
        <v>1.6E-2</v>
      </c>
      <c r="F33" s="47"/>
      <c r="G33" s="47"/>
      <c r="I33" s="8" t="s">
        <v>15</v>
      </c>
      <c r="J33" s="45">
        <f>J34-J15</f>
        <v>86846.972501754382</v>
      </c>
      <c r="K33" s="98"/>
      <c r="L33" s="86">
        <v>1.6E-2</v>
      </c>
      <c r="M33" s="47"/>
      <c r="N33" s="47"/>
      <c r="P33" s="8" t="s">
        <v>15</v>
      </c>
      <c r="Q33" s="50">
        <f>Q19</f>
        <v>87208.188399999999</v>
      </c>
      <c r="R33" s="98"/>
      <c r="S33" s="72">
        <v>0.02</v>
      </c>
      <c r="U33" s="48"/>
    </row>
    <row r="34" spans="2:21" x14ac:dyDescent="0.25">
      <c r="B34" s="8" t="s">
        <v>14</v>
      </c>
      <c r="C34" s="50">
        <f>C19+(C23*C13)</f>
        <v>86445.59</v>
      </c>
      <c r="D34" s="98"/>
      <c r="F34" s="10" t="s">
        <v>58</v>
      </c>
      <c r="G34" s="51">
        <f>(C35-C32)/((C5+C7)*C9)</f>
        <v>143.75000000000324</v>
      </c>
      <c r="I34" s="8" t="s">
        <v>14</v>
      </c>
      <c r="J34" s="45">
        <f>J19+(J23*J13)</f>
        <v>86894.691800000001</v>
      </c>
      <c r="K34" s="98"/>
      <c r="P34" s="8" t="s">
        <v>14</v>
      </c>
      <c r="Q34" s="45">
        <f>Q18+(Q23*Q13)</f>
        <v>87128.188399999999</v>
      </c>
      <c r="R34" s="98"/>
      <c r="S34" s="72"/>
      <c r="T34" s="10" t="s">
        <v>58</v>
      </c>
      <c r="U34" s="48">
        <f>(Q33-Q32)/((Q5-Q7)*Q9)</f>
        <v>357.14285714285711</v>
      </c>
    </row>
    <row r="35" spans="2:21" x14ac:dyDescent="0.25">
      <c r="B35" s="8" t="s">
        <v>13</v>
      </c>
      <c r="C35" s="50">
        <f>C34+C15</f>
        <v>86482.39</v>
      </c>
      <c r="D35" s="98"/>
      <c r="I35" s="8" t="s">
        <v>13</v>
      </c>
      <c r="J35" s="45">
        <f>J34+J15</f>
        <v>86942.411098245619</v>
      </c>
      <c r="K35" s="98"/>
      <c r="P35" s="8" t="s">
        <v>13</v>
      </c>
      <c r="Q35" s="45">
        <f>Q34+Q16</f>
        <v>87200.915672727278</v>
      </c>
      <c r="R35" s="98"/>
      <c r="S35" s="72"/>
      <c r="U35" s="48"/>
    </row>
    <row r="36" spans="2:21" x14ac:dyDescent="0.25">
      <c r="C36" s="97"/>
      <c r="Q36" s="56"/>
      <c r="S36" s="48"/>
    </row>
    <row r="37" spans="2:21" x14ac:dyDescent="0.25">
      <c r="P37" s="55"/>
      <c r="R37" s="10" t="s">
        <v>73</v>
      </c>
      <c r="S37" s="61">
        <v>87208.188399999999</v>
      </c>
      <c r="T37" s="10" t="s">
        <v>74</v>
      </c>
      <c r="U37" s="48"/>
    </row>
    <row r="39" spans="2:21" x14ac:dyDescent="0.25">
      <c r="B39" s="10" t="s">
        <v>71</v>
      </c>
      <c r="C39" s="56">
        <v>86171.29</v>
      </c>
      <c r="E39" s="47">
        <v>1.7399999999999999E-2</v>
      </c>
      <c r="F39" s="10" t="s">
        <v>58</v>
      </c>
      <c r="G39" s="51">
        <f>(C32-C39)/((0.04+0.0174)*16)</f>
        <v>198.49738675958505</v>
      </c>
    </row>
    <row r="40" spans="2:21" x14ac:dyDescent="0.25">
      <c r="E40" s="48" t="s">
        <v>131</v>
      </c>
    </row>
  </sheetData>
  <mergeCells count="4">
    <mergeCell ref="I1:J1"/>
    <mergeCell ref="P1:Q1"/>
    <mergeCell ref="S17:U18"/>
    <mergeCell ref="B1:C1"/>
  </mergeCells>
  <pageMargins left="0.7" right="0.7" top="1" bottom="2.1145833333333299" header="0.3" footer="0.3"/>
  <pageSetup scale="78" orientation="portrait" r:id="rId1"/>
  <headerFooter>
    <oddHeader>&amp;RCalculated By:___&amp;UABS       2/18/13 &amp;U______
Checked By:_____________________
Updated By.:&amp;U___ABS   1/3/14_________</oddHeader>
    <oddFooter>&amp;C&amp;F, &amp;A</oddFooter>
  </headerFooter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7"/>
  <sheetViews>
    <sheetView view="pageLayout" zoomScale="70" zoomScaleNormal="100" zoomScalePageLayoutView="70" workbookViewId="0">
      <selection activeCell="E38" sqref="E38"/>
    </sheetView>
  </sheetViews>
  <sheetFormatPr defaultRowHeight="15" x14ac:dyDescent="0.25"/>
  <cols>
    <col min="1" max="1" width="10.85546875" customWidth="1"/>
    <col min="2" max="2" width="25.42578125" customWidth="1"/>
    <col min="3" max="3" width="18.85546875" customWidth="1"/>
    <col min="4" max="4" width="7.28515625" style="92" customWidth="1"/>
    <col min="5" max="5" width="13.7109375" customWidth="1"/>
    <col min="6" max="8" width="13" customWidth="1"/>
  </cols>
  <sheetData>
    <row r="1" spans="1:5" ht="15.75" thickBot="1" x14ac:dyDescent="0.3">
      <c r="A1" s="2"/>
      <c r="B1" s="135" t="s">
        <v>79</v>
      </c>
      <c r="C1" s="135"/>
      <c r="D1" s="103"/>
    </row>
    <row r="2" spans="1:5" x14ac:dyDescent="0.25">
      <c r="A2" s="2"/>
    </row>
    <row r="3" spans="1:5" x14ac:dyDescent="0.25">
      <c r="A3" s="2"/>
      <c r="B3" s="9" t="s">
        <v>5</v>
      </c>
      <c r="C3" s="23">
        <v>60</v>
      </c>
      <c r="D3" s="104"/>
    </row>
    <row r="4" spans="1:5" x14ac:dyDescent="0.25">
      <c r="A4" s="2"/>
      <c r="B4" s="9" t="s">
        <v>2</v>
      </c>
      <c r="C4" s="23" t="s">
        <v>26</v>
      </c>
      <c r="D4" s="104"/>
    </row>
    <row r="5" spans="1:5" ht="20.25" customHeight="1" x14ac:dyDescent="0.25">
      <c r="A5" s="2"/>
      <c r="B5" s="9" t="s">
        <v>6</v>
      </c>
      <c r="C5" s="25">
        <v>4.4999999999999998E-2</v>
      </c>
      <c r="D5" s="111"/>
    </row>
    <row r="6" spans="1:5" x14ac:dyDescent="0.25">
      <c r="A6" s="2"/>
      <c r="B6" s="9" t="s">
        <v>80</v>
      </c>
      <c r="C6" s="25">
        <v>0.02</v>
      </c>
      <c r="D6" s="111"/>
    </row>
    <row r="7" spans="1:5" x14ac:dyDescent="0.25">
      <c r="A7" s="2"/>
      <c r="B7" s="9" t="s">
        <v>66</v>
      </c>
      <c r="C7" s="23">
        <v>1.6E-2</v>
      </c>
      <c r="D7" s="104"/>
    </row>
    <row r="8" spans="1:5" x14ac:dyDescent="0.25">
      <c r="A8" s="2"/>
      <c r="B8" s="9" t="s">
        <v>8</v>
      </c>
      <c r="C8" s="23">
        <v>222</v>
      </c>
      <c r="D8" s="104"/>
    </row>
    <row r="9" spans="1:5" x14ac:dyDescent="0.25">
      <c r="A9" s="2"/>
      <c r="B9" s="9" t="s">
        <v>9</v>
      </c>
      <c r="C9" s="23">
        <v>16</v>
      </c>
      <c r="D9" s="104"/>
      <c r="E9" t="s">
        <v>38</v>
      </c>
    </row>
    <row r="10" spans="1:5" ht="15.75" thickBot="1" x14ac:dyDescent="0.3">
      <c r="A10" s="2"/>
      <c r="B10" s="9"/>
      <c r="C10" s="2"/>
      <c r="D10" s="104"/>
    </row>
    <row r="11" spans="1:5" ht="15.75" thickBot="1" x14ac:dyDescent="0.3">
      <c r="A11" s="2"/>
      <c r="B11" s="19" t="s">
        <v>11</v>
      </c>
      <c r="C11" s="4" t="s">
        <v>12</v>
      </c>
      <c r="D11" s="105"/>
    </row>
    <row r="12" spans="1:5" x14ac:dyDescent="0.25">
      <c r="A12" s="2"/>
      <c r="B12" s="35" t="s">
        <v>31</v>
      </c>
      <c r="C12" s="5">
        <f>ROUNDUP(C9*C8*C5,0)</f>
        <v>160</v>
      </c>
      <c r="D12" s="106"/>
    </row>
    <row r="13" spans="1:5" x14ac:dyDescent="0.25">
      <c r="A13" s="2"/>
      <c r="B13" s="7" t="s">
        <v>32</v>
      </c>
      <c r="C13" s="24">
        <v>160</v>
      </c>
      <c r="D13" s="106"/>
    </row>
    <row r="14" spans="1:5" ht="18" x14ac:dyDescent="0.25">
      <c r="A14" s="2"/>
      <c r="B14" s="7" t="s">
        <v>34</v>
      </c>
      <c r="C14" s="6">
        <f>C13/(C9*C5)</f>
        <v>222.22222222222223</v>
      </c>
      <c r="D14" s="107"/>
    </row>
    <row r="15" spans="1:5" x14ac:dyDescent="0.25">
      <c r="A15" s="2"/>
      <c r="B15" s="7" t="s">
        <v>81</v>
      </c>
      <c r="C15" s="6">
        <f>(C6/C5)*C13</f>
        <v>71.111111111111114</v>
      </c>
      <c r="D15" s="107"/>
    </row>
    <row r="16" spans="1:5" x14ac:dyDescent="0.25">
      <c r="A16" s="2"/>
      <c r="B16" s="7" t="s">
        <v>82</v>
      </c>
      <c r="C16" s="6">
        <f>(C7/C5)*C13</f>
        <v>56.888888888888893</v>
      </c>
      <c r="D16" s="107"/>
    </row>
    <row r="17" spans="1:8" x14ac:dyDescent="0.25">
      <c r="A17" s="2"/>
      <c r="B17" s="7" t="s">
        <v>21</v>
      </c>
      <c r="C17" s="22">
        <v>91368.108200000002</v>
      </c>
      <c r="D17" s="108"/>
    </row>
    <row r="18" spans="1:8" x14ac:dyDescent="0.25">
      <c r="A18" s="2"/>
      <c r="B18" s="7" t="s">
        <v>23</v>
      </c>
      <c r="C18" s="22">
        <v>91568.108200000002</v>
      </c>
      <c r="D18" s="108"/>
    </row>
    <row r="19" spans="1:8" x14ac:dyDescent="0.25">
      <c r="A19" s="2"/>
      <c r="B19" s="7" t="s">
        <v>1</v>
      </c>
      <c r="C19" s="22">
        <v>92096.277700000006</v>
      </c>
      <c r="D19" s="108"/>
    </row>
    <row r="20" spans="1:8" x14ac:dyDescent="0.25">
      <c r="A20" s="2"/>
      <c r="B20" s="7"/>
      <c r="C20" s="22"/>
      <c r="D20" s="108"/>
    </row>
    <row r="21" spans="1:8" x14ac:dyDescent="0.25">
      <c r="A21" s="2"/>
      <c r="B21" s="8"/>
      <c r="C21" s="5"/>
      <c r="D21" s="106"/>
    </row>
    <row r="22" spans="1:8" x14ac:dyDescent="0.25">
      <c r="B22" s="8" t="s">
        <v>17</v>
      </c>
      <c r="C22" s="24" t="s">
        <v>35</v>
      </c>
      <c r="D22" s="106"/>
    </row>
    <row r="23" spans="1:8" x14ac:dyDescent="0.25">
      <c r="B23" s="8" t="s">
        <v>18</v>
      </c>
      <c r="C23" s="24">
        <v>0.67</v>
      </c>
      <c r="D23" s="106"/>
    </row>
    <row r="24" spans="1:8" x14ac:dyDescent="0.25">
      <c r="B24" s="17"/>
      <c r="C24" s="12"/>
      <c r="D24" s="106"/>
      <c r="E24" t="s">
        <v>83</v>
      </c>
    </row>
    <row r="25" spans="1:8" ht="15.75" thickBot="1" x14ac:dyDescent="0.3">
      <c r="B25" s="13"/>
      <c r="C25" s="39" t="s">
        <v>19</v>
      </c>
      <c r="D25" s="105"/>
    </row>
    <row r="26" spans="1:8" x14ac:dyDescent="0.25">
      <c r="B26" s="40" t="s">
        <v>13</v>
      </c>
      <c r="C26" s="46">
        <f>C17-C15</f>
        <v>91296.997088888893</v>
      </c>
      <c r="D26" s="108"/>
      <c r="E26" s="110"/>
    </row>
    <row r="27" spans="1:8" x14ac:dyDescent="0.25">
      <c r="A27" s="2"/>
      <c r="B27" s="8" t="s">
        <v>14</v>
      </c>
      <c r="C27" s="45">
        <f>C17</f>
        <v>91368.108200000002</v>
      </c>
      <c r="D27" s="108"/>
      <c r="E27" s="110"/>
      <c r="F27" s="48"/>
      <c r="G27" s="48"/>
    </row>
    <row r="28" spans="1:8" x14ac:dyDescent="0.25">
      <c r="A28" s="2"/>
      <c r="B28" s="8" t="s">
        <v>15</v>
      </c>
      <c r="C28" s="50">
        <f>C17</f>
        <v>91368.108200000002</v>
      </c>
      <c r="D28" s="108"/>
      <c r="E28" s="110"/>
      <c r="F28" s="48">
        <v>0.02</v>
      </c>
      <c r="G28" s="10" t="s">
        <v>58</v>
      </c>
      <c r="H28" s="51">
        <f>(C29-C28)/((C5-C6)*C9)</f>
        <v>500.00000000000006</v>
      </c>
    </row>
    <row r="29" spans="1:8" x14ac:dyDescent="0.25">
      <c r="B29" s="8" t="s">
        <v>16</v>
      </c>
      <c r="C29" s="50">
        <f>C18</f>
        <v>91568.108200000002</v>
      </c>
      <c r="D29" s="108"/>
      <c r="E29" s="110"/>
      <c r="F29" s="47">
        <v>4.4999999999999998E-2</v>
      </c>
      <c r="G29" s="47"/>
      <c r="H29" s="47"/>
    </row>
    <row r="30" spans="1:8" x14ac:dyDescent="0.25">
      <c r="B30" s="15"/>
      <c r="C30" s="57"/>
      <c r="D30" s="106"/>
    </row>
    <row r="31" spans="1:8" ht="15.75" thickBot="1" x14ac:dyDescent="0.3">
      <c r="B31" s="14"/>
      <c r="C31" s="58" t="s">
        <v>20</v>
      </c>
      <c r="D31" s="105"/>
    </row>
    <row r="32" spans="1:8" x14ac:dyDescent="0.25">
      <c r="B32" s="40" t="s">
        <v>16</v>
      </c>
      <c r="C32" s="49">
        <f>C34-C13</f>
        <v>92043.477700000003</v>
      </c>
      <c r="D32" s="108"/>
      <c r="E32" s="110"/>
      <c r="F32" s="47">
        <v>4.4999999999999998E-2</v>
      </c>
      <c r="G32" s="47"/>
      <c r="H32" s="47"/>
    </row>
    <row r="33" spans="2:8" x14ac:dyDescent="0.25">
      <c r="B33" s="8" t="s">
        <v>15</v>
      </c>
      <c r="C33" s="50">
        <f>C34-C16</f>
        <v>92146.588811111113</v>
      </c>
      <c r="D33" s="108"/>
      <c r="E33" s="110"/>
      <c r="F33" s="47">
        <v>1.6E-2</v>
      </c>
      <c r="G33" s="10" t="s">
        <v>58</v>
      </c>
      <c r="H33" s="51">
        <f>(C34-C32)/(C5*C9)</f>
        <v>222.22222222222223</v>
      </c>
    </row>
    <row r="34" spans="2:8" x14ac:dyDescent="0.25">
      <c r="B34" s="8" t="s">
        <v>14</v>
      </c>
      <c r="C34" s="45">
        <f>C19+(C23*C13)</f>
        <v>92203.477700000003</v>
      </c>
      <c r="D34" s="108"/>
      <c r="E34" s="110"/>
    </row>
    <row r="35" spans="2:8" x14ac:dyDescent="0.25">
      <c r="B35" s="8" t="s">
        <v>13</v>
      </c>
      <c r="C35" s="45">
        <f>C34+C16</f>
        <v>92260.366588888894</v>
      </c>
      <c r="D35" s="108"/>
      <c r="E35" s="110"/>
    </row>
    <row r="37" spans="2:8" x14ac:dyDescent="0.25">
      <c r="E37" t="s">
        <v>136</v>
      </c>
    </row>
  </sheetData>
  <mergeCells count="1">
    <mergeCell ref="B1:C1"/>
  </mergeCells>
  <pageMargins left="0.7" right="0.45" top="1.25" bottom="2.1145833333333299" header="0.3" footer="0.3"/>
  <pageSetup scale="78" orientation="portrait" r:id="rId1"/>
  <headerFooter>
    <oddHeader>&amp;RCalculated By:______&amp;UABS     2/18/13&amp;U__
Checked By:__________________
Updated By:____&amp;UABS  1/16/14&amp;U_____</oddHeader>
    <oddFooter>&amp;C&amp;F, &amp;A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7"/>
  <sheetViews>
    <sheetView view="pageLayout" zoomScale="80" zoomScaleNormal="100" zoomScalePageLayoutView="80" workbookViewId="0">
      <selection activeCell="M5" sqref="M5:N6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8" max="8" width="10.85546875" customWidth="1"/>
    <col min="9" max="9" width="25.42578125" customWidth="1"/>
    <col min="10" max="10" width="21" customWidth="1"/>
    <col min="11" max="11" width="13.7109375" customWidth="1"/>
    <col min="12" max="14" width="13" customWidth="1"/>
  </cols>
  <sheetData>
    <row r="1" spans="1:12" ht="15.75" thickBot="1" x14ac:dyDescent="0.3">
      <c r="A1" s="2"/>
      <c r="B1" s="135" t="s">
        <v>84</v>
      </c>
      <c r="C1" s="135"/>
      <c r="H1" s="2"/>
      <c r="I1" s="135" t="s">
        <v>85</v>
      </c>
      <c r="J1" s="135"/>
    </row>
    <row r="2" spans="1:12" x14ac:dyDescent="0.25">
      <c r="A2" s="2"/>
      <c r="H2" s="2"/>
    </row>
    <row r="3" spans="1:12" x14ac:dyDescent="0.25">
      <c r="A3" s="2"/>
      <c r="B3" s="9" t="s">
        <v>5</v>
      </c>
      <c r="C3" s="23">
        <v>60</v>
      </c>
      <c r="H3" s="2"/>
      <c r="I3" s="9" t="s">
        <v>5</v>
      </c>
      <c r="J3" s="23">
        <v>35</v>
      </c>
    </row>
    <row r="4" spans="1:12" x14ac:dyDescent="0.25">
      <c r="A4" s="2"/>
      <c r="B4" s="9" t="s">
        <v>2</v>
      </c>
      <c r="C4" s="23" t="s">
        <v>26</v>
      </c>
      <c r="H4" s="2"/>
      <c r="I4" s="9" t="s">
        <v>2</v>
      </c>
      <c r="J4" s="23" t="s">
        <v>7</v>
      </c>
    </row>
    <row r="5" spans="1:12" ht="20.25" customHeight="1" x14ac:dyDescent="0.25">
      <c r="A5" s="2"/>
      <c r="B5" s="9" t="s">
        <v>6</v>
      </c>
      <c r="C5" s="25">
        <v>3.6999999999999998E-2</v>
      </c>
      <c r="H5" s="2"/>
      <c r="I5" s="9" t="s">
        <v>6</v>
      </c>
      <c r="J5" s="25">
        <v>2.1000000000000001E-2</v>
      </c>
    </row>
    <row r="6" spans="1:12" x14ac:dyDescent="0.25">
      <c r="A6" s="2"/>
      <c r="B6" s="9" t="s">
        <v>80</v>
      </c>
      <c r="C6" s="25">
        <v>0.02</v>
      </c>
      <c r="H6" s="2"/>
      <c r="I6" s="9" t="s">
        <v>10</v>
      </c>
      <c r="J6" s="25">
        <v>1.6E-2</v>
      </c>
    </row>
    <row r="7" spans="1:12" x14ac:dyDescent="0.25">
      <c r="A7" s="2"/>
      <c r="B7" s="9" t="s">
        <v>66</v>
      </c>
      <c r="C7" s="23">
        <v>1.6E-2</v>
      </c>
      <c r="H7" s="2"/>
      <c r="I7" s="9"/>
      <c r="J7" s="23"/>
    </row>
    <row r="8" spans="1:12" x14ac:dyDescent="0.25">
      <c r="A8" s="2"/>
      <c r="B8" s="9" t="s">
        <v>8</v>
      </c>
      <c r="C8" s="23">
        <v>222</v>
      </c>
      <c r="H8" s="2"/>
      <c r="I8" s="9" t="s">
        <v>8</v>
      </c>
      <c r="J8" s="23">
        <v>161</v>
      </c>
    </row>
    <row r="9" spans="1:12" x14ac:dyDescent="0.25">
      <c r="A9" s="2"/>
      <c r="B9" s="9" t="s">
        <v>9</v>
      </c>
      <c r="C9" s="23">
        <v>16</v>
      </c>
      <c r="D9" t="s">
        <v>38</v>
      </c>
      <c r="H9" s="2"/>
      <c r="I9" s="9" t="s">
        <v>9</v>
      </c>
      <c r="J9" s="23">
        <v>16</v>
      </c>
      <c r="K9" t="s">
        <v>38</v>
      </c>
    </row>
    <row r="10" spans="1:12" ht="15.75" thickBot="1" x14ac:dyDescent="0.3">
      <c r="A10" s="2"/>
      <c r="B10" s="9"/>
      <c r="C10" s="2"/>
      <c r="H10" s="2"/>
      <c r="I10" s="9"/>
      <c r="J10" s="2"/>
    </row>
    <row r="11" spans="1:12" ht="15.75" thickBot="1" x14ac:dyDescent="0.3">
      <c r="A11" s="2"/>
      <c r="B11" s="19" t="s">
        <v>11</v>
      </c>
      <c r="C11" s="4" t="s">
        <v>12</v>
      </c>
      <c r="H11" s="2"/>
      <c r="I11" s="19" t="s">
        <v>11</v>
      </c>
      <c r="J11" s="4" t="s">
        <v>12</v>
      </c>
    </row>
    <row r="12" spans="1:12" x14ac:dyDescent="0.25">
      <c r="A12" s="2"/>
      <c r="B12" s="35" t="s">
        <v>31</v>
      </c>
      <c r="C12" s="5">
        <f>ROUNDUP(C9*C8*C5,0)</f>
        <v>132</v>
      </c>
      <c r="H12" s="2"/>
      <c r="I12" s="35" t="s">
        <v>31</v>
      </c>
      <c r="J12" s="5">
        <f>ROUNDUP(J9*J8*J5,0)</f>
        <v>55</v>
      </c>
    </row>
    <row r="13" spans="1:12" x14ac:dyDescent="0.25">
      <c r="A13" s="2"/>
      <c r="B13" s="7" t="s">
        <v>32</v>
      </c>
      <c r="C13" s="24">
        <v>132</v>
      </c>
      <c r="H13" s="2"/>
      <c r="I13" s="7" t="s">
        <v>32</v>
      </c>
      <c r="J13" s="24">
        <v>55</v>
      </c>
    </row>
    <row r="14" spans="1:12" ht="18" x14ac:dyDescent="0.25">
      <c r="A14" s="2"/>
      <c r="B14" s="7" t="s">
        <v>34</v>
      </c>
      <c r="C14" s="6">
        <f>C13/(C9*C5)</f>
        <v>222.972972972973</v>
      </c>
      <c r="H14" s="2"/>
      <c r="I14" s="7" t="s">
        <v>34</v>
      </c>
      <c r="J14" s="6">
        <f>J13/(J9*J5)</f>
        <v>163.69047619047618</v>
      </c>
    </row>
    <row r="15" spans="1:12" x14ac:dyDescent="0.25">
      <c r="A15" s="2"/>
      <c r="B15" s="7" t="s">
        <v>81</v>
      </c>
      <c r="C15" s="6">
        <f>(C6/C5)*C13</f>
        <v>71.351351351351354</v>
      </c>
      <c r="H15" s="2"/>
      <c r="I15" s="7" t="s">
        <v>81</v>
      </c>
      <c r="J15" s="6">
        <f>(J6/J5)*J13</f>
        <v>41.904761904761905</v>
      </c>
    </row>
    <row r="16" spans="1:12" x14ac:dyDescent="0.25">
      <c r="A16" s="2"/>
      <c r="B16" s="7" t="s">
        <v>82</v>
      </c>
      <c r="C16" s="6">
        <f>(C7/C5)*C13</f>
        <v>57.081081081081081</v>
      </c>
      <c r="H16" s="2"/>
      <c r="I16" s="7" t="s">
        <v>82</v>
      </c>
      <c r="J16" s="6">
        <f>(J7/J5)*J13</f>
        <v>0</v>
      </c>
      <c r="K16" s="65"/>
      <c r="L16" s="65"/>
    </row>
    <row r="17" spans="1:14" x14ac:dyDescent="0.25">
      <c r="A17" s="2"/>
      <c r="B17" s="7"/>
      <c r="C17" s="22"/>
      <c r="H17" s="2"/>
      <c r="I17" s="7"/>
      <c r="J17" s="22"/>
    </row>
    <row r="18" spans="1:14" x14ac:dyDescent="0.25">
      <c r="A18" s="2"/>
      <c r="B18" s="7" t="s">
        <v>0</v>
      </c>
      <c r="C18" s="22">
        <v>91222.552200000006</v>
      </c>
      <c r="H18" s="2"/>
      <c r="I18" s="7" t="s">
        <v>0</v>
      </c>
      <c r="J18" s="22">
        <v>92270.510299999994</v>
      </c>
    </row>
    <row r="19" spans="1:14" x14ac:dyDescent="0.25">
      <c r="A19" s="2"/>
      <c r="B19" s="7" t="s">
        <v>1</v>
      </c>
      <c r="C19" s="22">
        <v>91920.974700000006</v>
      </c>
      <c r="H19" s="2"/>
      <c r="I19" s="7" t="s">
        <v>1</v>
      </c>
      <c r="J19" s="22">
        <v>92367.956099999996</v>
      </c>
    </row>
    <row r="20" spans="1:14" x14ac:dyDescent="0.25">
      <c r="A20" s="2"/>
      <c r="B20" s="7"/>
      <c r="C20" s="22"/>
      <c r="H20" s="2"/>
      <c r="I20" s="7"/>
      <c r="J20" s="22"/>
      <c r="K20" s="63"/>
      <c r="L20" s="64"/>
    </row>
    <row r="21" spans="1:14" x14ac:dyDescent="0.25">
      <c r="A21" s="2"/>
      <c r="B21" s="8"/>
      <c r="C21" s="5"/>
      <c r="H21" s="2"/>
      <c r="I21" s="8"/>
      <c r="J21" s="5"/>
    </row>
    <row r="22" spans="1:14" x14ac:dyDescent="0.25">
      <c r="B22" s="8" t="s">
        <v>17</v>
      </c>
      <c r="C22" s="54">
        <v>0.5</v>
      </c>
      <c r="I22" s="8" t="s">
        <v>17</v>
      </c>
      <c r="J22" s="54">
        <v>0.67</v>
      </c>
    </row>
    <row r="23" spans="1:14" x14ac:dyDescent="0.25">
      <c r="B23" s="8" t="s">
        <v>18</v>
      </c>
      <c r="C23" s="24">
        <v>0.67</v>
      </c>
      <c r="I23" s="8" t="s">
        <v>18</v>
      </c>
      <c r="J23" s="54">
        <v>0.5</v>
      </c>
    </row>
    <row r="24" spans="1:14" x14ac:dyDescent="0.25">
      <c r="B24" s="17"/>
      <c r="C24" s="12"/>
      <c r="D24" t="s">
        <v>86</v>
      </c>
      <c r="G24" s="62">
        <v>91222.552200000006</v>
      </c>
      <c r="I24" s="17"/>
      <c r="J24" s="12"/>
    </row>
    <row r="25" spans="1:14" ht="15.75" thickBot="1" x14ac:dyDescent="0.3">
      <c r="B25" s="13"/>
      <c r="C25" s="39" t="s">
        <v>19</v>
      </c>
      <c r="I25" s="13"/>
      <c r="J25" s="39" t="s">
        <v>19</v>
      </c>
    </row>
    <row r="26" spans="1:14" x14ac:dyDescent="0.25">
      <c r="B26" s="40" t="s">
        <v>13</v>
      </c>
      <c r="C26" s="46">
        <f>C27-C15</f>
        <v>91085.200848648659</v>
      </c>
      <c r="D26" s="98"/>
      <c r="E26" s="112"/>
      <c r="I26" s="40" t="s">
        <v>13</v>
      </c>
      <c r="J26" s="49">
        <f>J27-J15</f>
        <v>92191.755538095225</v>
      </c>
      <c r="K26" s="98"/>
      <c r="L26" s="112"/>
    </row>
    <row r="27" spans="1:14" x14ac:dyDescent="0.25">
      <c r="A27" s="2"/>
      <c r="B27" s="8" t="s">
        <v>14</v>
      </c>
      <c r="C27" s="45">
        <f>C18-(C22*C13)</f>
        <v>91156.552200000006</v>
      </c>
      <c r="D27" s="98"/>
      <c r="E27" s="72"/>
      <c r="F27" s="48"/>
      <c r="H27" s="2"/>
      <c r="I27" s="8" t="s">
        <v>14</v>
      </c>
      <c r="J27" s="50">
        <f>J18-(J22*J13)</f>
        <v>92233.660299999989</v>
      </c>
      <c r="K27" s="98"/>
      <c r="L27" s="72"/>
      <c r="M27" s="48"/>
    </row>
    <row r="28" spans="1:14" x14ac:dyDescent="0.25">
      <c r="A28" s="2"/>
      <c r="B28" s="8" t="s">
        <v>15</v>
      </c>
      <c r="C28" s="50">
        <f>C27+C15</f>
        <v>91227.903551351352</v>
      </c>
      <c r="D28" s="98"/>
      <c r="E28" s="72">
        <v>0.02</v>
      </c>
      <c r="F28" s="10" t="s">
        <v>58</v>
      </c>
      <c r="G28" s="51">
        <f>(C29-G24)/((0.037-0.02)*C9)</f>
        <v>242.64705882352945</v>
      </c>
      <c r="H28" s="2"/>
      <c r="I28" s="8" t="s">
        <v>15</v>
      </c>
      <c r="J28" s="50">
        <f>J27+J15</f>
        <v>92275.565061904752</v>
      </c>
      <c r="K28" s="98"/>
      <c r="L28" s="72">
        <v>1.6E-2</v>
      </c>
      <c r="M28" s="10" t="s">
        <v>58</v>
      </c>
      <c r="N28" s="51">
        <f>(J29-J27)/(J5*J9)</f>
        <v>163.69047619047618</v>
      </c>
    </row>
    <row r="29" spans="1:14" x14ac:dyDescent="0.25">
      <c r="B29" s="8" t="s">
        <v>16</v>
      </c>
      <c r="C29" s="50">
        <f>C18-(C22*C13)+C13</f>
        <v>91288.552200000006</v>
      </c>
      <c r="D29" s="98"/>
      <c r="E29" s="112">
        <v>3.6999999999999998E-2</v>
      </c>
      <c r="F29" s="47"/>
      <c r="G29" s="47"/>
      <c r="I29" s="8" t="s">
        <v>16</v>
      </c>
      <c r="J29" s="50">
        <f>J18-(J22*J13)+J13</f>
        <v>92288.660299999989</v>
      </c>
      <c r="K29" s="98"/>
      <c r="L29" s="112">
        <v>2.1000000000000001E-2</v>
      </c>
      <c r="M29" s="47"/>
      <c r="N29" s="47"/>
    </row>
    <row r="30" spans="1:14" x14ac:dyDescent="0.25">
      <c r="B30" s="15"/>
      <c r="C30" s="57"/>
      <c r="E30" s="112"/>
      <c r="I30" s="15"/>
      <c r="J30" s="57"/>
      <c r="L30" s="112"/>
    </row>
    <row r="31" spans="1:14" ht="15.75" thickBot="1" x14ac:dyDescent="0.3">
      <c r="B31" s="14"/>
      <c r="C31" s="58" t="s">
        <v>20</v>
      </c>
      <c r="E31" s="112"/>
      <c r="I31" s="14"/>
      <c r="J31" s="58" t="s">
        <v>20</v>
      </c>
      <c r="L31" s="112"/>
    </row>
    <row r="32" spans="1:14" x14ac:dyDescent="0.25">
      <c r="B32" s="40" t="s">
        <v>16</v>
      </c>
      <c r="C32" s="49">
        <f>C34-C13</f>
        <v>91877.414700000008</v>
      </c>
      <c r="D32" s="98"/>
      <c r="E32" s="112">
        <v>3.6999999999999998E-2</v>
      </c>
      <c r="F32" s="47"/>
      <c r="G32" s="47"/>
      <c r="I32" s="40" t="s">
        <v>16</v>
      </c>
      <c r="J32" s="49">
        <v>92335</v>
      </c>
      <c r="K32" s="98"/>
      <c r="L32" s="112">
        <v>2.1000000000000001E-2</v>
      </c>
      <c r="M32" s="47"/>
      <c r="N32" s="47"/>
    </row>
    <row r="33" spans="2:14" x14ac:dyDescent="0.25">
      <c r="B33" s="8" t="s">
        <v>15</v>
      </c>
      <c r="C33" s="50">
        <f>C34-C16</f>
        <v>91952.333618918929</v>
      </c>
      <c r="D33" s="98"/>
      <c r="E33" s="112">
        <v>1.6E-2</v>
      </c>
      <c r="F33" s="10" t="s">
        <v>58</v>
      </c>
      <c r="G33" s="51">
        <f>(C34-C32)/(C5*C9)</f>
        <v>222.972972972973</v>
      </c>
      <c r="I33" s="8" t="s">
        <v>15</v>
      </c>
      <c r="J33" s="50">
        <f>J34-J15</f>
        <v>92353.551338095232</v>
      </c>
      <c r="K33" s="98"/>
      <c r="L33" s="112">
        <v>1.6E-2</v>
      </c>
      <c r="M33" s="10" t="s">
        <v>58</v>
      </c>
      <c r="N33" s="51">
        <f>(L37-J32)/((J5+M37)*J9)</f>
        <v>162.20472440948032</v>
      </c>
    </row>
    <row r="34" spans="2:14" x14ac:dyDescent="0.25">
      <c r="B34" s="8" t="s">
        <v>14</v>
      </c>
      <c r="C34" s="45">
        <f>C19+(C23*C13)</f>
        <v>92009.414700000008</v>
      </c>
      <c r="D34" s="98"/>
      <c r="E34" s="112"/>
      <c r="I34" s="8" t="s">
        <v>14</v>
      </c>
      <c r="J34" s="45">
        <f>J19+(J23*J13)</f>
        <v>92395.456099999996</v>
      </c>
      <c r="K34" s="98"/>
      <c r="L34" s="112"/>
    </row>
    <row r="35" spans="2:14" x14ac:dyDescent="0.25">
      <c r="B35" s="8" t="s">
        <v>13</v>
      </c>
      <c r="C35" s="45">
        <f>C34+C16</f>
        <v>92066.495781081088</v>
      </c>
      <c r="D35" s="98"/>
      <c r="E35" s="112"/>
      <c r="I35" s="8" t="s">
        <v>13</v>
      </c>
      <c r="J35" s="45">
        <f>J34+J15</f>
        <v>92437.360861904759</v>
      </c>
      <c r="K35" s="98"/>
      <c r="L35" s="112"/>
    </row>
    <row r="37" spans="2:14" x14ac:dyDescent="0.25">
      <c r="K37" s="10" t="s">
        <v>87</v>
      </c>
      <c r="L37" s="56">
        <v>92367.96</v>
      </c>
      <c r="M37" s="26">
        <v>-8.3000000000000001E-3</v>
      </c>
    </row>
  </sheetData>
  <mergeCells count="2">
    <mergeCell ref="B1:C1"/>
    <mergeCell ref="I1:J1"/>
  </mergeCells>
  <pageMargins left="0.7" right="0.7" top="1.25" bottom="2.1145833333333299" header="0.3" footer="0.3"/>
  <pageSetup scale="78" orientation="portrait" r:id="rId1"/>
  <headerFooter>
    <oddHeader>&amp;RCalculated By:_____&amp;UABS   2/19/13&amp;U____
Checked By:_____________________
Updated By:_____________________</oddHeader>
    <oddFooter>&amp;C&amp;F, &amp;A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7"/>
  <sheetViews>
    <sheetView view="pageLayout" zoomScale="80" zoomScaleNormal="90" zoomScalePageLayoutView="80" workbookViewId="0">
      <selection activeCell="H7" sqref="H7"/>
    </sheetView>
  </sheetViews>
  <sheetFormatPr defaultRowHeight="15" x14ac:dyDescent="0.25"/>
  <cols>
    <col min="1" max="1" width="10.85546875" customWidth="1"/>
    <col min="2" max="2" width="25.42578125" customWidth="1"/>
    <col min="3" max="3" width="18.28515625" customWidth="1"/>
    <col min="4" max="4" width="6" style="92" customWidth="1"/>
    <col min="5" max="5" width="13.7109375" customWidth="1"/>
    <col min="6" max="8" width="13" customWidth="1"/>
    <col min="9" max="9" width="10.85546875" customWidth="1"/>
    <col min="10" max="10" width="25.42578125" customWidth="1"/>
    <col min="11" max="11" width="18.28515625" customWidth="1"/>
    <col min="12" max="12" width="7" style="92" customWidth="1"/>
    <col min="13" max="13" width="13.7109375" customWidth="1"/>
    <col min="14" max="16" width="13" customWidth="1"/>
    <col min="18" max="18" width="10.7109375" bestFit="1" customWidth="1"/>
  </cols>
  <sheetData>
    <row r="1" spans="1:13" ht="15.75" thickBot="1" x14ac:dyDescent="0.3">
      <c r="A1" s="2"/>
      <c r="B1" s="135" t="s">
        <v>94</v>
      </c>
      <c r="C1" s="135"/>
      <c r="D1" s="103"/>
      <c r="I1" s="2"/>
      <c r="J1" s="135" t="s">
        <v>95</v>
      </c>
      <c r="K1" s="135"/>
      <c r="L1" s="103"/>
    </row>
    <row r="2" spans="1:13" x14ac:dyDescent="0.25">
      <c r="A2" s="2"/>
      <c r="I2" s="2"/>
    </row>
    <row r="3" spans="1:13" x14ac:dyDescent="0.25">
      <c r="A3" s="2"/>
      <c r="B3" s="9" t="s">
        <v>5</v>
      </c>
      <c r="C3" s="23">
        <v>50</v>
      </c>
      <c r="D3" s="104"/>
      <c r="I3" s="2"/>
      <c r="J3" s="9" t="s">
        <v>5</v>
      </c>
      <c r="K3" s="23">
        <v>60</v>
      </c>
      <c r="L3" s="104"/>
    </row>
    <row r="4" spans="1:13" x14ac:dyDescent="0.25">
      <c r="A4" s="2"/>
      <c r="B4" s="9" t="s">
        <v>2</v>
      </c>
      <c r="C4" s="23" t="s">
        <v>26</v>
      </c>
      <c r="D4" s="104"/>
      <c r="I4" s="2"/>
      <c r="J4" s="9" t="s">
        <v>2</v>
      </c>
      <c r="K4" s="23" t="s">
        <v>26</v>
      </c>
      <c r="L4" s="104"/>
    </row>
    <row r="5" spans="1:13" ht="20.25" customHeight="1" x14ac:dyDescent="0.25">
      <c r="A5" s="2"/>
      <c r="B5" s="9" t="s">
        <v>6</v>
      </c>
      <c r="C5" s="25">
        <v>3.5000000000000003E-2</v>
      </c>
      <c r="D5" s="111"/>
      <c r="I5" s="2"/>
      <c r="J5" s="9" t="s">
        <v>6</v>
      </c>
      <c r="K5" s="25">
        <v>3.6999999999999998E-2</v>
      </c>
      <c r="L5" s="111"/>
    </row>
    <row r="6" spans="1:13" x14ac:dyDescent="0.25">
      <c r="A6" s="2"/>
      <c r="B6" s="9" t="s">
        <v>80</v>
      </c>
      <c r="C6" s="25">
        <v>1.6E-2</v>
      </c>
      <c r="D6" s="111"/>
      <c r="I6" s="2"/>
      <c r="J6" s="9" t="s">
        <v>80</v>
      </c>
      <c r="K6" s="25">
        <v>1.6E-2</v>
      </c>
      <c r="L6" s="111"/>
    </row>
    <row r="7" spans="1:13" x14ac:dyDescent="0.25">
      <c r="A7" s="2"/>
      <c r="B7" s="9" t="s">
        <v>66</v>
      </c>
      <c r="C7" s="23"/>
      <c r="D7" s="104"/>
      <c r="I7" s="2"/>
      <c r="J7" s="9" t="s">
        <v>66</v>
      </c>
      <c r="K7" s="23">
        <v>0.02</v>
      </c>
      <c r="L7" s="104"/>
    </row>
    <row r="8" spans="1:13" x14ac:dyDescent="0.25">
      <c r="A8" s="2"/>
      <c r="B8" s="9" t="s">
        <v>8</v>
      </c>
      <c r="C8" s="23">
        <v>200</v>
      </c>
      <c r="D8" s="104"/>
      <c r="I8" s="2"/>
      <c r="J8" s="9" t="s">
        <v>8</v>
      </c>
      <c r="K8" s="23">
        <v>222</v>
      </c>
      <c r="L8" s="104"/>
    </row>
    <row r="9" spans="1:13" x14ac:dyDescent="0.25">
      <c r="A9" s="2"/>
      <c r="B9" s="9" t="s">
        <v>9</v>
      </c>
      <c r="C9" s="23">
        <v>16</v>
      </c>
      <c r="D9" s="104"/>
      <c r="E9" t="s">
        <v>38</v>
      </c>
      <c r="I9" s="2"/>
      <c r="J9" s="9" t="s">
        <v>9</v>
      </c>
      <c r="K9" s="23">
        <v>16</v>
      </c>
      <c r="L9" s="104"/>
      <c r="M9" t="s">
        <v>38</v>
      </c>
    </row>
    <row r="10" spans="1:13" ht="15.75" thickBot="1" x14ac:dyDescent="0.3">
      <c r="A10" s="2"/>
      <c r="B10" s="9"/>
      <c r="C10" s="2"/>
      <c r="D10" s="104"/>
      <c r="I10" s="2"/>
      <c r="J10" s="9"/>
      <c r="K10" s="2"/>
      <c r="L10" s="104"/>
    </row>
    <row r="11" spans="1:13" ht="15.75" thickBot="1" x14ac:dyDescent="0.3">
      <c r="A11" s="2"/>
      <c r="B11" s="19" t="s">
        <v>11</v>
      </c>
      <c r="C11" s="4" t="s">
        <v>12</v>
      </c>
      <c r="D11" s="105"/>
      <c r="I11" s="2"/>
      <c r="J11" s="19" t="s">
        <v>11</v>
      </c>
      <c r="K11" s="4" t="s">
        <v>12</v>
      </c>
      <c r="L11" s="105"/>
    </row>
    <row r="12" spans="1:13" x14ac:dyDescent="0.25">
      <c r="A12" s="2"/>
      <c r="B12" s="35" t="s">
        <v>31</v>
      </c>
      <c r="C12" s="5">
        <f>ROUNDUP(C9*C8*C5,0)</f>
        <v>112</v>
      </c>
      <c r="D12" s="106"/>
      <c r="I12" s="2"/>
      <c r="J12" s="35" t="s">
        <v>31</v>
      </c>
      <c r="K12" s="5">
        <f>ROUNDUP(K9*K8*K5,0)</f>
        <v>132</v>
      </c>
      <c r="L12" s="106"/>
    </row>
    <row r="13" spans="1:13" x14ac:dyDescent="0.25">
      <c r="A13" s="2"/>
      <c r="B13" s="7" t="s">
        <v>32</v>
      </c>
      <c r="C13" s="24">
        <v>115</v>
      </c>
      <c r="D13" s="106"/>
      <c r="I13" s="2"/>
      <c r="J13" s="7" t="s">
        <v>32</v>
      </c>
      <c r="K13" s="24">
        <v>135</v>
      </c>
      <c r="L13" s="106"/>
    </row>
    <row r="14" spans="1:13" ht="18" x14ac:dyDescent="0.25">
      <c r="A14" s="2"/>
      <c r="B14" s="7" t="s">
        <v>34</v>
      </c>
      <c r="C14" s="6">
        <f>C13/(C9*C5)</f>
        <v>205.35714285714283</v>
      </c>
      <c r="D14" s="107"/>
      <c r="I14" s="2"/>
      <c r="J14" s="7" t="s">
        <v>34</v>
      </c>
      <c r="K14" s="6">
        <f>K13/(K9*K5)</f>
        <v>228.04054054054055</v>
      </c>
      <c r="L14" s="107"/>
    </row>
    <row r="15" spans="1:13" x14ac:dyDescent="0.25">
      <c r="A15" s="2"/>
      <c r="B15" s="7" t="s">
        <v>81</v>
      </c>
      <c r="C15" s="6">
        <f>(C6/C5)*C13</f>
        <v>52.571428571428569</v>
      </c>
      <c r="D15" s="107"/>
      <c r="I15" s="2"/>
      <c r="J15" s="7" t="s">
        <v>81</v>
      </c>
      <c r="K15" s="6">
        <f>(K6/K5)*K13</f>
        <v>58.378378378378379</v>
      </c>
      <c r="L15" s="107"/>
    </row>
    <row r="16" spans="1:13" x14ac:dyDescent="0.25">
      <c r="A16" s="2"/>
      <c r="B16" s="7" t="s">
        <v>82</v>
      </c>
      <c r="C16" s="6">
        <f>(C7/C5)*C13</f>
        <v>0</v>
      </c>
      <c r="D16" s="107"/>
      <c r="I16" s="2"/>
      <c r="J16" s="7" t="s">
        <v>82</v>
      </c>
      <c r="K16" s="6">
        <f>(K7/K5)*K13</f>
        <v>72.972972972972983</v>
      </c>
      <c r="L16" s="107"/>
    </row>
    <row r="17" spans="1:16" x14ac:dyDescent="0.25">
      <c r="A17" s="2"/>
      <c r="B17" s="7"/>
      <c r="C17" s="22"/>
      <c r="D17" s="108"/>
      <c r="I17" s="2"/>
      <c r="J17" s="7"/>
      <c r="K17" s="22"/>
      <c r="L17" s="108"/>
    </row>
    <row r="18" spans="1:16" x14ac:dyDescent="0.25">
      <c r="A18" s="2"/>
      <c r="B18" s="7" t="s">
        <v>0</v>
      </c>
      <c r="C18" s="22">
        <v>92952.596399999995</v>
      </c>
      <c r="D18" s="108"/>
      <c r="I18" s="2"/>
      <c r="J18" s="7" t="s">
        <v>63</v>
      </c>
      <c r="K18" s="22">
        <v>93338.7114</v>
      </c>
      <c r="L18" s="108"/>
    </row>
    <row r="19" spans="1:16" x14ac:dyDescent="0.25">
      <c r="A19" s="2"/>
      <c r="B19" s="7" t="s">
        <v>63</v>
      </c>
      <c r="C19" s="22">
        <v>93338.7114</v>
      </c>
      <c r="D19" s="108"/>
      <c r="I19" s="2"/>
      <c r="J19" s="7" t="s">
        <v>1</v>
      </c>
      <c r="K19" s="22">
        <v>93710.7114</v>
      </c>
      <c r="L19" s="108"/>
    </row>
    <row r="20" spans="1:16" x14ac:dyDescent="0.25">
      <c r="A20" s="2"/>
      <c r="B20" s="7"/>
      <c r="C20" s="22"/>
      <c r="D20" s="108"/>
      <c r="I20" s="2"/>
      <c r="J20" s="7"/>
      <c r="K20" s="22"/>
      <c r="L20" s="108"/>
    </row>
    <row r="21" spans="1:16" x14ac:dyDescent="0.25">
      <c r="A21" s="2"/>
      <c r="B21" s="8"/>
      <c r="C21" s="5"/>
      <c r="D21" s="106"/>
      <c r="I21" s="2"/>
      <c r="J21" s="8"/>
      <c r="K21" s="5"/>
      <c r="L21" s="106"/>
      <c r="P21" s="69">
        <v>93328.7114</v>
      </c>
    </row>
    <row r="22" spans="1:16" x14ac:dyDescent="0.25">
      <c r="B22" s="8" t="s">
        <v>17</v>
      </c>
      <c r="C22" s="54">
        <v>0.6</v>
      </c>
      <c r="D22" s="107"/>
      <c r="J22" s="8" t="s">
        <v>17</v>
      </c>
      <c r="K22" s="54">
        <v>0.7</v>
      </c>
      <c r="L22" s="107"/>
      <c r="P22" s="69">
        <v>93348.7114</v>
      </c>
    </row>
    <row r="23" spans="1:16" x14ac:dyDescent="0.25">
      <c r="B23" s="8" t="s">
        <v>18</v>
      </c>
      <c r="C23" s="54">
        <v>0.6</v>
      </c>
      <c r="D23" s="107"/>
      <c r="F23" t="s">
        <v>96</v>
      </c>
      <c r="J23" s="8" t="s">
        <v>18</v>
      </c>
      <c r="K23" s="54">
        <v>0.54049999999999998</v>
      </c>
      <c r="L23" s="107"/>
      <c r="N23" t="s">
        <v>103</v>
      </c>
    </row>
    <row r="24" spans="1:16" x14ac:dyDescent="0.25">
      <c r="B24" s="17"/>
      <c r="C24" s="12"/>
      <c r="D24" s="106"/>
      <c r="F24" t="s">
        <v>97</v>
      </c>
      <c r="J24" s="17"/>
      <c r="K24" s="12"/>
      <c r="L24" s="106"/>
      <c r="O24" s="10" t="s">
        <v>58</v>
      </c>
      <c r="P24" s="47">
        <f>(P22-P21)/((0.037-0.035)*K9)</f>
        <v>625.00000000000159</v>
      </c>
    </row>
    <row r="25" spans="1:16" ht="15.75" thickBot="1" x14ac:dyDescent="0.3">
      <c r="B25" s="13"/>
      <c r="C25" s="39" t="s">
        <v>19</v>
      </c>
      <c r="D25" s="105"/>
      <c r="G25" s="10" t="s">
        <v>58</v>
      </c>
      <c r="H25" s="51">
        <f>(93050.78-93025.78)/((0.035-0.0316)*C9)</f>
        <v>459.55882352941171</v>
      </c>
      <c r="J25" s="13"/>
      <c r="K25" s="39" t="s">
        <v>19</v>
      </c>
      <c r="L25" s="105"/>
    </row>
    <row r="26" spans="1:16" x14ac:dyDescent="0.25">
      <c r="B26" s="40" t="s">
        <v>13</v>
      </c>
      <c r="C26" s="46">
        <f>C27-C15</f>
        <v>92831.02497142856</v>
      </c>
      <c r="D26" s="108"/>
      <c r="E26" s="110"/>
      <c r="J26" s="40" t="s">
        <v>13</v>
      </c>
      <c r="K26" s="46">
        <f>K27-K15</f>
        <v>93185.833021621627</v>
      </c>
      <c r="L26" s="108"/>
      <c r="M26" s="110"/>
    </row>
    <row r="27" spans="1:16" x14ac:dyDescent="0.25">
      <c r="A27" s="2"/>
      <c r="B27" s="8" t="s">
        <v>14</v>
      </c>
      <c r="C27" s="45">
        <f>C18-(C22*C13)</f>
        <v>92883.596399999995</v>
      </c>
      <c r="D27" s="108"/>
      <c r="E27" s="110"/>
      <c r="F27" s="48"/>
      <c r="G27" s="48"/>
      <c r="I27" s="2"/>
      <c r="J27" s="8" t="s">
        <v>14</v>
      </c>
      <c r="K27" s="45">
        <f>K18-(K22*K13)</f>
        <v>93244.2114</v>
      </c>
      <c r="L27" s="108"/>
      <c r="M27" s="110"/>
      <c r="N27" s="48"/>
      <c r="O27" s="48"/>
    </row>
    <row r="28" spans="1:16" x14ac:dyDescent="0.25">
      <c r="A28" s="2"/>
      <c r="B28" s="8" t="s">
        <v>15</v>
      </c>
      <c r="C28" s="45">
        <f>C27+C15</f>
        <v>92936.16782857143</v>
      </c>
      <c r="D28" s="108"/>
      <c r="E28" s="110"/>
      <c r="F28" s="48">
        <v>1.6E-2</v>
      </c>
      <c r="G28" s="10"/>
      <c r="H28" s="51"/>
      <c r="I28" s="2"/>
      <c r="J28" s="8" t="s">
        <v>15</v>
      </c>
      <c r="K28" s="45">
        <f>K27+K15</f>
        <v>93302.589778378373</v>
      </c>
      <c r="L28" s="108"/>
      <c r="M28" s="110"/>
      <c r="N28" s="48">
        <v>1.6E-2</v>
      </c>
      <c r="O28" s="10"/>
      <c r="P28" s="51"/>
    </row>
    <row r="29" spans="1:16" x14ac:dyDescent="0.25">
      <c r="B29" s="8" t="s">
        <v>16</v>
      </c>
      <c r="C29" s="45">
        <f>C18-(C13*C22)+C13</f>
        <v>92998.596399999995</v>
      </c>
      <c r="D29" s="108"/>
      <c r="E29" s="110"/>
      <c r="F29" s="47">
        <v>3.5000000000000003E-2</v>
      </c>
      <c r="G29" s="47"/>
      <c r="H29" s="47"/>
      <c r="J29" s="8" t="s">
        <v>16</v>
      </c>
      <c r="K29" s="50">
        <f>K18-(K13*K22)+K13</f>
        <v>93379.2114</v>
      </c>
      <c r="L29" s="108"/>
      <c r="M29" s="110"/>
      <c r="N29" s="47">
        <v>3.6999999999999998E-2</v>
      </c>
      <c r="O29" s="47"/>
      <c r="P29" s="47"/>
    </row>
    <row r="30" spans="1:16" x14ac:dyDescent="0.25">
      <c r="B30" s="15"/>
      <c r="C30" s="57"/>
      <c r="D30" s="106"/>
      <c r="J30" s="15"/>
      <c r="K30" s="57"/>
      <c r="L30" s="106"/>
    </row>
    <row r="31" spans="1:16" ht="15.75" thickBot="1" x14ac:dyDescent="0.3">
      <c r="B31" s="14"/>
      <c r="C31" s="58" t="s">
        <v>20</v>
      </c>
      <c r="D31" s="105"/>
      <c r="J31" s="14"/>
      <c r="K31" s="58" t="s">
        <v>20</v>
      </c>
      <c r="L31" s="105"/>
    </row>
    <row r="32" spans="1:16" x14ac:dyDescent="0.25">
      <c r="B32" s="40" t="s">
        <v>16</v>
      </c>
      <c r="C32" s="49">
        <f>C34-C13</f>
        <v>93292.7114</v>
      </c>
      <c r="D32" s="108"/>
      <c r="E32" s="110"/>
      <c r="F32" s="47">
        <v>3.5000000000000003E-2</v>
      </c>
      <c r="G32" s="47"/>
      <c r="H32" s="47"/>
      <c r="J32" s="40" t="s">
        <v>16</v>
      </c>
      <c r="K32" s="49">
        <f>K34-K13</f>
        <v>93648.678899999999</v>
      </c>
      <c r="L32" s="108"/>
      <c r="M32" s="110"/>
      <c r="N32" s="47">
        <v>3.6999999999999998E-2</v>
      </c>
      <c r="O32" s="47"/>
      <c r="P32" s="47"/>
    </row>
    <row r="33" spans="2:16" x14ac:dyDescent="0.25">
      <c r="B33" s="8" t="s">
        <v>15</v>
      </c>
      <c r="C33" s="45">
        <f>C34-C15</f>
        <v>93355.139971428565</v>
      </c>
      <c r="D33" s="108"/>
      <c r="E33" s="110"/>
      <c r="F33" s="47">
        <v>1.6E-2</v>
      </c>
      <c r="G33" s="10" t="s">
        <v>58</v>
      </c>
      <c r="H33" s="51">
        <f>(C34-C32)/(C5*C9)</f>
        <v>205.35714285714283</v>
      </c>
      <c r="J33" s="8" t="s">
        <v>15</v>
      </c>
      <c r="K33" s="50">
        <f>K34-K16</f>
        <v>93710.705927027026</v>
      </c>
      <c r="L33" s="108"/>
      <c r="M33" s="110"/>
      <c r="N33" s="48">
        <v>0.02</v>
      </c>
      <c r="O33" s="10" t="s">
        <v>58</v>
      </c>
      <c r="P33" s="51">
        <f>(K33-K32)/((K5-K7)*K9)</f>
        <v>228.04054054053913</v>
      </c>
    </row>
    <row r="34" spans="2:16" x14ac:dyDescent="0.25">
      <c r="B34" s="8" t="s">
        <v>14</v>
      </c>
      <c r="C34" s="45">
        <f>C19+(C23*C13)</f>
        <v>93407.7114</v>
      </c>
      <c r="D34" s="108"/>
      <c r="E34" s="110"/>
      <c r="J34" s="8" t="s">
        <v>14</v>
      </c>
      <c r="K34" s="45">
        <f>K19+(K23*K13)</f>
        <v>93783.678899999999</v>
      </c>
      <c r="L34" s="108"/>
      <c r="M34" s="110"/>
    </row>
    <row r="35" spans="2:16" x14ac:dyDescent="0.25">
      <c r="B35" s="8" t="s">
        <v>13</v>
      </c>
      <c r="C35" s="45">
        <f>C34+C15</f>
        <v>93460.282828571435</v>
      </c>
      <c r="D35" s="108"/>
      <c r="E35" s="110"/>
      <c r="J35" s="8" t="s">
        <v>13</v>
      </c>
      <c r="K35" s="45">
        <f>K34+K16</f>
        <v>93856.651872972972</v>
      </c>
      <c r="L35" s="108"/>
      <c r="M35" s="110"/>
    </row>
    <row r="37" spans="2:16" x14ac:dyDescent="0.25">
      <c r="M37" t="s">
        <v>83</v>
      </c>
    </row>
  </sheetData>
  <mergeCells count="2">
    <mergeCell ref="B1:C1"/>
    <mergeCell ref="J1:K1"/>
  </mergeCells>
  <pageMargins left="0.7" right="0.7" top="1.25" bottom="2.1145833333333299" header="0.3" footer="0.3"/>
  <pageSetup scale="78" orientation="portrait" r:id="rId1"/>
  <headerFooter>
    <oddHeader>&amp;RCalculated By:___&amp;UABS  2/22/13  &amp;U______
Checked By:_____________________
Updated By:_____________________</oddHeader>
    <oddFooter>&amp;C&amp;F, &amp;A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9"/>
  <sheetViews>
    <sheetView view="pageLayout" zoomScale="70" zoomScaleNormal="90" zoomScalePageLayoutView="70" workbookViewId="0">
      <selection activeCell="J43" sqref="J43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8" max="8" width="10.85546875" customWidth="1"/>
    <col min="9" max="9" width="25.42578125" customWidth="1"/>
    <col min="10" max="10" width="21" customWidth="1"/>
    <col min="11" max="11" width="13.7109375" customWidth="1"/>
    <col min="12" max="14" width="13" customWidth="1"/>
  </cols>
  <sheetData>
    <row r="1" spans="1:12" ht="15.75" thickBot="1" x14ac:dyDescent="0.3">
      <c r="A1" s="2"/>
      <c r="B1" s="135" t="s">
        <v>98</v>
      </c>
      <c r="C1" s="135"/>
      <c r="H1" s="2"/>
      <c r="I1" s="135" t="s">
        <v>99</v>
      </c>
      <c r="J1" s="135"/>
    </row>
    <row r="2" spans="1:12" x14ac:dyDescent="0.25">
      <c r="A2" s="2"/>
      <c r="H2" s="2"/>
    </row>
    <row r="3" spans="1:12" x14ac:dyDescent="0.25">
      <c r="A3" s="2"/>
      <c r="B3" s="9" t="s">
        <v>5</v>
      </c>
      <c r="C3" s="23">
        <v>50</v>
      </c>
      <c r="H3" s="2"/>
      <c r="I3" s="9" t="s">
        <v>5</v>
      </c>
      <c r="J3" s="23">
        <v>60</v>
      </c>
    </row>
    <row r="4" spans="1:12" x14ac:dyDescent="0.25">
      <c r="A4" s="2"/>
      <c r="B4" s="9" t="s">
        <v>2</v>
      </c>
      <c r="C4" s="23" t="s">
        <v>26</v>
      </c>
      <c r="H4" s="2"/>
      <c r="I4" s="9" t="s">
        <v>2</v>
      </c>
      <c r="J4" s="23" t="s">
        <v>26</v>
      </c>
    </row>
    <row r="5" spans="1:12" ht="20.25" customHeight="1" x14ac:dyDescent="0.25">
      <c r="A5" s="2"/>
      <c r="B5" s="9" t="s">
        <v>6</v>
      </c>
      <c r="C5" s="25">
        <v>3.5000000000000003E-2</v>
      </c>
      <c r="H5" s="2"/>
      <c r="I5" s="9" t="s">
        <v>6</v>
      </c>
      <c r="J5" s="25">
        <v>2.7E-2</v>
      </c>
    </row>
    <row r="6" spans="1:12" x14ac:dyDescent="0.25">
      <c r="A6" s="2"/>
      <c r="B6" s="9" t="s">
        <v>80</v>
      </c>
      <c r="C6" s="25">
        <v>1.6E-2</v>
      </c>
      <c r="H6" s="2"/>
      <c r="I6" s="9" t="s">
        <v>10</v>
      </c>
      <c r="J6" s="25">
        <v>0.02</v>
      </c>
    </row>
    <row r="7" spans="1:12" x14ac:dyDescent="0.25">
      <c r="A7" s="2"/>
      <c r="B7" s="9" t="s">
        <v>66</v>
      </c>
      <c r="C7" s="23">
        <v>1.6E-2</v>
      </c>
      <c r="H7" s="2"/>
      <c r="I7" s="9"/>
      <c r="J7" s="23"/>
    </row>
    <row r="8" spans="1:12" x14ac:dyDescent="0.25">
      <c r="A8" s="2"/>
      <c r="B8" s="9" t="s">
        <v>8</v>
      </c>
      <c r="C8" s="23">
        <v>200</v>
      </c>
      <c r="H8" s="2"/>
      <c r="I8" s="9" t="s">
        <v>8</v>
      </c>
      <c r="J8" s="23">
        <v>222</v>
      </c>
    </row>
    <row r="9" spans="1:12" x14ac:dyDescent="0.25">
      <c r="A9" s="2"/>
      <c r="B9" s="9" t="s">
        <v>9</v>
      </c>
      <c r="C9" s="23">
        <v>16</v>
      </c>
      <c r="D9" t="s">
        <v>38</v>
      </c>
      <c r="H9" s="2"/>
      <c r="I9" s="9" t="s">
        <v>9</v>
      </c>
      <c r="J9" s="23">
        <v>16</v>
      </c>
      <c r="K9" t="s">
        <v>38</v>
      </c>
    </row>
    <row r="10" spans="1:12" ht="15.75" thickBot="1" x14ac:dyDescent="0.3">
      <c r="A10" s="2"/>
      <c r="B10" s="9"/>
      <c r="C10" s="2"/>
      <c r="H10" s="2"/>
      <c r="I10" s="9"/>
      <c r="J10" s="2"/>
    </row>
    <row r="11" spans="1:12" ht="15.75" thickBot="1" x14ac:dyDescent="0.3">
      <c r="A11" s="2"/>
      <c r="B11" s="19" t="s">
        <v>11</v>
      </c>
      <c r="C11" s="4" t="s">
        <v>12</v>
      </c>
      <c r="H11" s="2"/>
      <c r="I11" s="19" t="s">
        <v>11</v>
      </c>
      <c r="J11" s="4" t="s">
        <v>12</v>
      </c>
    </row>
    <row r="12" spans="1:12" x14ac:dyDescent="0.25">
      <c r="A12" s="2"/>
      <c r="B12" s="35" t="s">
        <v>31</v>
      </c>
      <c r="C12" s="5">
        <f>ROUNDUP(C9*C8*C5,0)</f>
        <v>112</v>
      </c>
      <c r="H12" s="2"/>
      <c r="I12" s="35" t="s">
        <v>31</v>
      </c>
      <c r="J12" s="5">
        <f>ROUNDUP(J9*J8*J5,0)</f>
        <v>96</v>
      </c>
    </row>
    <row r="13" spans="1:12" x14ac:dyDescent="0.25">
      <c r="A13" s="2"/>
      <c r="B13" s="7" t="s">
        <v>32</v>
      </c>
      <c r="C13" s="24">
        <v>115</v>
      </c>
      <c r="H13" s="2"/>
      <c r="I13" s="7" t="s">
        <v>32</v>
      </c>
      <c r="J13" s="24">
        <v>100</v>
      </c>
    </row>
    <row r="14" spans="1:12" ht="18" x14ac:dyDescent="0.25">
      <c r="A14" s="2"/>
      <c r="B14" s="7" t="s">
        <v>34</v>
      </c>
      <c r="C14" s="6">
        <f>C13/(C9*C5)</f>
        <v>205.35714285714283</v>
      </c>
      <c r="H14" s="2"/>
      <c r="I14" s="7" t="s">
        <v>34</v>
      </c>
      <c r="J14" s="6">
        <f>J13/(J9*J5)</f>
        <v>231.4814814814815</v>
      </c>
    </row>
    <row r="15" spans="1:12" x14ac:dyDescent="0.25">
      <c r="A15" s="2"/>
      <c r="B15" s="7" t="s">
        <v>81</v>
      </c>
      <c r="C15" s="6">
        <f>(C6/C5)*C13</f>
        <v>52.571428571428569</v>
      </c>
      <c r="H15" s="2"/>
      <c r="I15" s="7" t="s">
        <v>81</v>
      </c>
      <c r="J15" s="6">
        <f>(J6/J5)*J13</f>
        <v>74.074074074074076</v>
      </c>
    </row>
    <row r="16" spans="1:12" x14ac:dyDescent="0.25">
      <c r="A16" s="2"/>
      <c r="B16" s="7" t="s">
        <v>82</v>
      </c>
      <c r="C16" s="6">
        <f>(C7/C5)*C13</f>
        <v>52.571428571428569</v>
      </c>
      <c r="H16" s="2"/>
      <c r="I16" s="7" t="s">
        <v>82</v>
      </c>
      <c r="J16" s="6">
        <f>(J7/J5)*J13</f>
        <v>0</v>
      </c>
      <c r="K16" s="65"/>
      <c r="L16" s="65"/>
    </row>
    <row r="17" spans="1:14" x14ac:dyDescent="0.25">
      <c r="A17" s="2"/>
      <c r="B17" s="7"/>
      <c r="C17" s="22"/>
      <c r="H17" s="2"/>
      <c r="I17" s="7"/>
      <c r="J17" s="22"/>
    </row>
    <row r="18" spans="1:14" x14ac:dyDescent="0.25">
      <c r="A18" s="2"/>
      <c r="B18" s="7" t="s">
        <v>0</v>
      </c>
      <c r="C18" s="22">
        <v>92610.678799999994</v>
      </c>
      <c r="H18" s="2"/>
      <c r="I18" s="7" t="s">
        <v>63</v>
      </c>
      <c r="J18" s="22">
        <v>93239.431800000006</v>
      </c>
    </row>
    <row r="19" spans="1:14" x14ac:dyDescent="0.25">
      <c r="A19" s="2"/>
      <c r="B19" s="7" t="s">
        <v>63</v>
      </c>
      <c r="C19" s="22">
        <v>93239.431800000006</v>
      </c>
      <c r="H19" s="2"/>
      <c r="I19" s="7" t="s">
        <v>1</v>
      </c>
      <c r="J19" s="22">
        <v>93571.431800000006</v>
      </c>
    </row>
    <row r="20" spans="1:14" x14ac:dyDescent="0.25">
      <c r="A20" s="2"/>
      <c r="B20" s="7"/>
      <c r="C20" s="22"/>
      <c r="H20" s="2"/>
      <c r="I20" s="7"/>
      <c r="J20" s="22"/>
      <c r="K20" s="63"/>
      <c r="L20" s="64"/>
    </row>
    <row r="21" spans="1:14" x14ac:dyDescent="0.25">
      <c r="A21" s="2"/>
      <c r="B21" s="8"/>
      <c r="C21" s="5"/>
      <c r="H21" s="2"/>
      <c r="I21" s="8"/>
      <c r="J21" s="5"/>
    </row>
    <row r="22" spans="1:14" x14ac:dyDescent="0.25">
      <c r="B22" s="8" t="s">
        <v>17</v>
      </c>
      <c r="C22" s="54">
        <v>0.5</v>
      </c>
      <c r="E22" s="10" t="s">
        <v>101</v>
      </c>
      <c r="F22" s="56">
        <v>92900</v>
      </c>
      <c r="G22" s="66">
        <v>3.5000000000000003E-2</v>
      </c>
      <c r="I22" s="8" t="s">
        <v>17</v>
      </c>
      <c r="J22" s="54">
        <v>0.5</v>
      </c>
    </row>
    <row r="23" spans="1:14" x14ac:dyDescent="0.25">
      <c r="B23" s="8" t="s">
        <v>18</v>
      </c>
      <c r="C23" s="54">
        <v>0.5</v>
      </c>
      <c r="I23" s="8" t="s">
        <v>18</v>
      </c>
      <c r="J23" s="54">
        <v>0.7</v>
      </c>
    </row>
    <row r="24" spans="1:14" x14ac:dyDescent="0.25">
      <c r="B24" s="17"/>
      <c r="C24" s="12"/>
      <c r="I24" s="17"/>
      <c r="J24" s="12"/>
    </row>
    <row r="25" spans="1:14" ht="15.75" thickBot="1" x14ac:dyDescent="0.3">
      <c r="B25" s="13"/>
      <c r="C25" s="39" t="s">
        <v>19</v>
      </c>
      <c r="I25" s="13"/>
      <c r="J25" s="39" t="s">
        <v>19</v>
      </c>
    </row>
    <row r="26" spans="1:14" x14ac:dyDescent="0.25">
      <c r="B26" s="40" t="s">
        <v>13</v>
      </c>
      <c r="C26" s="46">
        <f>C27-C15</f>
        <v>92500.607371428559</v>
      </c>
      <c r="D26" s="98"/>
      <c r="E26" s="112">
        <v>1.6E-2</v>
      </c>
      <c r="I26" s="40" t="s">
        <v>13</v>
      </c>
      <c r="J26" s="46">
        <f>J27-J15</f>
        <v>93115.357725925933</v>
      </c>
      <c r="K26" s="98"/>
      <c r="L26" s="112"/>
    </row>
    <row r="27" spans="1:14" x14ac:dyDescent="0.25">
      <c r="A27" s="2"/>
      <c r="B27" s="8" t="s">
        <v>14</v>
      </c>
      <c r="C27" s="45">
        <f>C18-(C22*C13)</f>
        <v>92553.178799999994</v>
      </c>
      <c r="D27" s="98"/>
      <c r="E27" s="72">
        <v>0</v>
      </c>
      <c r="F27" s="48"/>
      <c r="H27" s="2"/>
      <c r="I27" s="8" t="s">
        <v>14</v>
      </c>
      <c r="J27" s="45">
        <f>J18-(J22*J13)</f>
        <v>93189.431800000006</v>
      </c>
      <c r="K27" s="98"/>
      <c r="L27" s="72"/>
      <c r="M27" s="48" t="s">
        <v>100</v>
      </c>
    </row>
    <row r="28" spans="1:14" x14ac:dyDescent="0.25">
      <c r="A28" s="2"/>
      <c r="B28" s="8" t="s">
        <v>15</v>
      </c>
      <c r="C28" s="45">
        <f>C27+C15</f>
        <v>92605.750228571429</v>
      </c>
      <c r="D28" s="98"/>
      <c r="E28" s="72">
        <v>1.6E-2</v>
      </c>
      <c r="F28" s="10"/>
      <c r="G28" s="51"/>
      <c r="H28" s="2"/>
      <c r="I28" s="8" t="s">
        <v>15</v>
      </c>
      <c r="J28" s="45">
        <f>J27+J15</f>
        <v>93263.505874074079</v>
      </c>
      <c r="K28" s="98"/>
      <c r="L28" s="72">
        <v>1.6E-2</v>
      </c>
      <c r="M28" s="10" t="s">
        <v>58</v>
      </c>
      <c r="N28" s="51">
        <f>(J29-C32)/((C5-J5)*J9)</f>
        <v>839.84374999999966</v>
      </c>
    </row>
    <row r="29" spans="1:14" x14ac:dyDescent="0.25">
      <c r="B29" s="8" t="s">
        <v>16</v>
      </c>
      <c r="C29" s="45">
        <f>C18-(C22*C13)+C13</f>
        <v>92668.178799999994</v>
      </c>
      <c r="D29" s="98"/>
      <c r="E29" s="112">
        <v>3.5000000000000003E-2</v>
      </c>
      <c r="F29" s="47"/>
      <c r="G29" s="47"/>
      <c r="I29" s="8" t="s">
        <v>16</v>
      </c>
      <c r="J29" s="50">
        <f>J18-(J22*J13)+J13</f>
        <v>93289.431800000006</v>
      </c>
      <c r="K29" s="98"/>
      <c r="L29" s="112">
        <v>2.7E-2</v>
      </c>
      <c r="M29" s="47"/>
      <c r="N29" s="47"/>
    </row>
    <row r="30" spans="1:14" x14ac:dyDescent="0.25">
      <c r="B30" s="15"/>
      <c r="C30" s="57"/>
      <c r="E30" s="112"/>
      <c r="I30" s="15"/>
      <c r="J30" s="57"/>
      <c r="L30" s="112"/>
    </row>
    <row r="31" spans="1:14" ht="15.75" thickBot="1" x14ac:dyDescent="0.3">
      <c r="B31" s="14"/>
      <c r="C31" s="58" t="s">
        <v>20</v>
      </c>
      <c r="E31" s="112"/>
      <c r="I31" s="14"/>
      <c r="J31" s="58" t="s">
        <v>20</v>
      </c>
      <c r="L31" s="112"/>
    </row>
    <row r="32" spans="1:14" x14ac:dyDescent="0.25">
      <c r="B32" s="40" t="s">
        <v>16</v>
      </c>
      <c r="C32" s="49">
        <f>C34-C13</f>
        <v>93181.931800000006</v>
      </c>
      <c r="D32" s="98"/>
      <c r="E32" s="112">
        <v>3.5000000000000003E-2</v>
      </c>
      <c r="F32" s="47"/>
      <c r="G32" s="47"/>
      <c r="I32" s="40" t="s">
        <v>16</v>
      </c>
      <c r="J32" s="49">
        <f>J34-J13</f>
        <v>93541.431800000006</v>
      </c>
      <c r="K32" s="98"/>
      <c r="L32" s="112">
        <v>2.7E-2</v>
      </c>
      <c r="M32" s="47"/>
      <c r="N32" s="47"/>
    </row>
    <row r="33" spans="2:14" x14ac:dyDescent="0.25">
      <c r="B33" s="8" t="s">
        <v>15</v>
      </c>
      <c r="C33" s="45">
        <f>C34-C16</f>
        <v>93244.360371428571</v>
      </c>
      <c r="D33" s="98"/>
      <c r="E33" s="112">
        <v>1.6E-2</v>
      </c>
      <c r="F33" s="10"/>
      <c r="G33" s="51"/>
      <c r="I33" s="8" t="s">
        <v>15</v>
      </c>
      <c r="J33" s="45">
        <f>J34-J15</f>
        <v>93567.357725925933</v>
      </c>
      <c r="K33" s="98"/>
      <c r="L33" s="112">
        <v>0.02</v>
      </c>
      <c r="M33" s="10" t="s">
        <v>58</v>
      </c>
      <c r="N33" s="51">
        <f>(N39-J32)/((J5-J6)*J9)</f>
        <v>267.85714285714289</v>
      </c>
    </row>
    <row r="34" spans="2:14" x14ac:dyDescent="0.25">
      <c r="B34" s="8" t="s">
        <v>14</v>
      </c>
      <c r="C34" s="45">
        <f>C19+(C23*C13)</f>
        <v>93296.931800000006</v>
      </c>
      <c r="D34" s="98"/>
      <c r="E34" s="72">
        <v>0</v>
      </c>
      <c r="I34" s="8" t="s">
        <v>14</v>
      </c>
      <c r="J34" s="45">
        <f>J19+(J23*J13)</f>
        <v>93641.431800000006</v>
      </c>
      <c r="K34" s="98"/>
      <c r="L34" s="112"/>
    </row>
    <row r="35" spans="2:14" x14ac:dyDescent="0.25">
      <c r="B35" s="8" t="s">
        <v>13</v>
      </c>
      <c r="C35" s="45">
        <f>C34+C16</f>
        <v>93349.503228571441</v>
      </c>
      <c r="D35" s="98"/>
      <c r="E35" s="112">
        <v>1.6E-2</v>
      </c>
      <c r="I35" s="8" t="s">
        <v>13</v>
      </c>
      <c r="J35" s="45">
        <f>J34+J15</f>
        <v>93715.505874074079</v>
      </c>
      <c r="K35" s="98"/>
      <c r="L35" s="112"/>
    </row>
    <row r="39" spans="2:14" x14ac:dyDescent="0.25">
      <c r="K39" t="s">
        <v>86</v>
      </c>
      <c r="N39" s="62">
        <v>93571.431800000006</v>
      </c>
    </row>
  </sheetData>
  <mergeCells count="2">
    <mergeCell ref="B1:C1"/>
    <mergeCell ref="I1:J1"/>
  </mergeCells>
  <pageMargins left="0.7" right="0.7" top="1.25" bottom="2.1145833333333299" header="0.3" footer="0.3"/>
  <pageSetup scale="78" orientation="portrait" r:id="rId1"/>
  <headerFooter>
    <oddHeader xml:space="preserve">&amp;RCalculated By:____&amp;UABS  2/22/13&amp;U______
Checked By:_____________________
Updated By:_____________________
</oddHeader>
    <oddFooter>&amp;C&amp;F,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view="pageLayout" zoomScale="70" zoomScaleNormal="90" zoomScalePageLayoutView="70" workbookViewId="0">
      <selection activeCell="K18" sqref="K18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8" max="8" width="9.140625" customWidth="1"/>
    <col min="9" max="9" width="12.140625" customWidth="1"/>
    <col min="10" max="10" width="24.28515625" customWidth="1"/>
    <col min="11" max="11" width="17.7109375" customWidth="1"/>
    <col min="12" max="15" width="13.140625" customWidth="1"/>
  </cols>
  <sheetData>
    <row r="1" spans="1:12" ht="15.75" thickBot="1" x14ac:dyDescent="0.3">
      <c r="A1" s="2"/>
      <c r="B1" s="135" t="s">
        <v>130</v>
      </c>
      <c r="C1" s="135"/>
      <c r="I1" s="2"/>
      <c r="J1" s="135" t="s">
        <v>129</v>
      </c>
      <c r="K1" s="135"/>
    </row>
    <row r="2" spans="1:12" x14ac:dyDescent="0.25">
      <c r="A2" s="2"/>
      <c r="I2" s="2"/>
    </row>
    <row r="3" spans="1:12" x14ac:dyDescent="0.25">
      <c r="A3" s="2"/>
      <c r="B3" s="9" t="s">
        <v>5</v>
      </c>
      <c r="C3" s="23">
        <v>35</v>
      </c>
      <c r="I3" s="2"/>
      <c r="J3" s="9" t="s">
        <v>5</v>
      </c>
      <c r="K3" s="23">
        <v>30</v>
      </c>
    </row>
    <row r="4" spans="1:12" x14ac:dyDescent="0.25">
      <c r="A4" s="2"/>
      <c r="B4" s="9" t="s">
        <v>2</v>
      </c>
      <c r="C4" s="23" t="s">
        <v>7</v>
      </c>
      <c r="I4" s="2"/>
      <c r="J4" s="9" t="s">
        <v>2</v>
      </c>
      <c r="K4" s="23" t="s">
        <v>7</v>
      </c>
    </row>
    <row r="5" spans="1:12" ht="20.25" customHeight="1" x14ac:dyDescent="0.25">
      <c r="A5" s="2"/>
      <c r="B5" s="9" t="s">
        <v>6</v>
      </c>
      <c r="C5" s="25">
        <v>0.06</v>
      </c>
      <c r="I5" s="2"/>
      <c r="J5" s="9" t="s">
        <v>6</v>
      </c>
      <c r="K5" s="25">
        <v>4.4999999999999998E-2</v>
      </c>
    </row>
    <row r="6" spans="1:12" x14ac:dyDescent="0.25">
      <c r="A6" s="2"/>
      <c r="B6" s="9" t="s">
        <v>10</v>
      </c>
      <c r="C6" s="23">
        <v>0.02</v>
      </c>
      <c r="I6" s="2"/>
      <c r="J6" s="9" t="s">
        <v>10</v>
      </c>
      <c r="K6" s="23">
        <v>1.6E-2</v>
      </c>
    </row>
    <row r="7" spans="1:12" x14ac:dyDescent="0.25">
      <c r="A7" s="2"/>
      <c r="B7" s="9" t="s">
        <v>8</v>
      </c>
      <c r="C7" s="23">
        <v>161</v>
      </c>
      <c r="I7" s="2"/>
      <c r="J7" s="9" t="s">
        <v>8</v>
      </c>
      <c r="K7" s="23">
        <v>152</v>
      </c>
    </row>
    <row r="8" spans="1:12" x14ac:dyDescent="0.25">
      <c r="A8" s="2"/>
      <c r="B8" s="9" t="s">
        <v>9</v>
      </c>
      <c r="C8" s="23">
        <v>16</v>
      </c>
      <c r="D8" t="s">
        <v>38</v>
      </c>
      <c r="I8" s="2"/>
      <c r="J8" s="9" t="s">
        <v>9</v>
      </c>
      <c r="K8" s="23">
        <v>16</v>
      </c>
      <c r="L8" t="s">
        <v>38</v>
      </c>
    </row>
    <row r="9" spans="1:12" ht="15.75" thickBot="1" x14ac:dyDescent="0.3">
      <c r="A9" s="2"/>
      <c r="B9" s="9"/>
      <c r="C9" s="2"/>
      <c r="I9" s="2"/>
      <c r="J9" s="9"/>
      <c r="K9" s="2"/>
    </row>
    <row r="10" spans="1:12" ht="15.75" thickBot="1" x14ac:dyDescent="0.3">
      <c r="A10" s="2"/>
      <c r="B10" s="19" t="s">
        <v>11</v>
      </c>
      <c r="C10" s="4" t="s">
        <v>12</v>
      </c>
      <c r="I10" s="2"/>
      <c r="J10" s="19" t="s">
        <v>11</v>
      </c>
      <c r="K10" s="4" t="s">
        <v>12</v>
      </c>
    </row>
    <row r="11" spans="1:12" x14ac:dyDescent="0.25">
      <c r="A11" s="2"/>
      <c r="B11" s="35" t="s">
        <v>31</v>
      </c>
      <c r="C11" s="5">
        <f>ROUNDUP(C8*C7*C5,0)</f>
        <v>155</v>
      </c>
      <c r="I11" s="2"/>
      <c r="J11" s="35" t="s">
        <v>31</v>
      </c>
      <c r="K11" s="5">
        <f>ROUNDUP(K8*K7*K5,0)</f>
        <v>110</v>
      </c>
    </row>
    <row r="12" spans="1:12" x14ac:dyDescent="0.25">
      <c r="A12" s="2"/>
      <c r="B12" s="7" t="s">
        <v>32</v>
      </c>
      <c r="C12" s="24">
        <v>155</v>
      </c>
      <c r="I12" s="2"/>
      <c r="J12" s="7" t="s">
        <v>32</v>
      </c>
      <c r="K12" s="24">
        <v>135</v>
      </c>
    </row>
    <row r="13" spans="1:12" ht="18" x14ac:dyDescent="0.25">
      <c r="A13" s="2"/>
      <c r="B13" s="7" t="s">
        <v>34</v>
      </c>
      <c r="C13" s="6">
        <f>C12/(C8*C5)</f>
        <v>161.45833333333334</v>
      </c>
      <c r="I13" s="2"/>
      <c r="J13" s="7" t="s">
        <v>34</v>
      </c>
      <c r="K13" s="6">
        <f>K12/(K8*K5)</f>
        <v>187.5</v>
      </c>
    </row>
    <row r="14" spans="1:12" x14ac:dyDescent="0.25">
      <c r="A14" s="2"/>
      <c r="B14" s="7" t="s">
        <v>4</v>
      </c>
      <c r="C14" s="6">
        <f>(C6/C5)*C12</f>
        <v>51.666666666666671</v>
      </c>
      <c r="I14" s="2"/>
      <c r="J14" s="7" t="s">
        <v>4</v>
      </c>
      <c r="K14" s="6">
        <f>(K6/K5)*K12</f>
        <v>48</v>
      </c>
    </row>
    <row r="15" spans="1:12" x14ac:dyDescent="0.25">
      <c r="A15" s="2"/>
      <c r="B15" s="7"/>
      <c r="C15" s="5"/>
      <c r="I15" s="2"/>
      <c r="J15" s="7"/>
      <c r="K15" s="5"/>
    </row>
    <row r="16" spans="1:12" x14ac:dyDescent="0.25">
      <c r="A16" s="2"/>
      <c r="B16" s="7"/>
      <c r="C16" s="22"/>
      <c r="I16" s="2"/>
      <c r="J16" s="7"/>
      <c r="K16" s="22"/>
    </row>
    <row r="17" spans="1:15" x14ac:dyDescent="0.25">
      <c r="A17" s="2"/>
      <c r="B17" s="7" t="s">
        <v>0</v>
      </c>
      <c r="C17" s="22">
        <v>75506.429999999993</v>
      </c>
      <c r="I17" s="2"/>
      <c r="J17" s="7" t="s">
        <v>0</v>
      </c>
      <c r="K17" s="22">
        <v>75820.84</v>
      </c>
    </row>
    <row r="18" spans="1:15" x14ac:dyDescent="0.25">
      <c r="A18" s="2"/>
      <c r="B18" s="7" t="s">
        <v>1</v>
      </c>
      <c r="C18" s="22">
        <v>75820.84</v>
      </c>
      <c r="I18" s="2"/>
      <c r="J18" s="7" t="s">
        <v>1</v>
      </c>
      <c r="K18" s="22">
        <v>75944.44</v>
      </c>
    </row>
    <row r="19" spans="1:15" x14ac:dyDescent="0.25">
      <c r="A19" s="2"/>
      <c r="B19" s="7"/>
      <c r="C19" s="22"/>
      <c r="I19" s="2"/>
      <c r="J19" s="7"/>
      <c r="K19" s="22"/>
    </row>
    <row r="20" spans="1:15" x14ac:dyDescent="0.25">
      <c r="A20" s="2"/>
      <c r="B20" s="8"/>
      <c r="C20" s="5"/>
      <c r="I20" s="2"/>
      <c r="J20" s="8"/>
      <c r="K20" s="5"/>
    </row>
    <row r="21" spans="1:15" x14ac:dyDescent="0.25">
      <c r="A21" s="2"/>
      <c r="B21" s="8" t="s">
        <v>17</v>
      </c>
      <c r="C21" s="24">
        <v>0.5</v>
      </c>
      <c r="I21" s="2"/>
      <c r="J21" s="8" t="s">
        <v>17</v>
      </c>
      <c r="K21" s="24">
        <v>0.7</v>
      </c>
    </row>
    <row r="22" spans="1:15" x14ac:dyDescent="0.25">
      <c r="B22" s="8" t="s">
        <v>18</v>
      </c>
      <c r="C22" s="24">
        <v>0.7</v>
      </c>
      <c r="J22" s="8" t="s">
        <v>18</v>
      </c>
      <c r="K22" s="24">
        <v>0.5</v>
      </c>
    </row>
    <row r="23" spans="1:15" x14ac:dyDescent="0.25">
      <c r="B23" s="17"/>
      <c r="C23" s="12"/>
      <c r="J23" s="17"/>
      <c r="K23" s="12"/>
    </row>
    <row r="24" spans="1:15" ht="15.75" thickBot="1" x14ac:dyDescent="0.3">
      <c r="B24" s="13"/>
      <c r="C24" s="39" t="s">
        <v>19</v>
      </c>
      <c r="J24" s="13"/>
      <c r="K24" s="39" t="s">
        <v>19</v>
      </c>
    </row>
    <row r="25" spans="1:15" x14ac:dyDescent="0.25">
      <c r="B25" s="40" t="s">
        <v>13</v>
      </c>
      <c r="C25" s="46">
        <f>C26-C14</f>
        <v>75377.263333333321</v>
      </c>
      <c r="J25" s="40" t="s">
        <v>13</v>
      </c>
      <c r="K25" s="46">
        <f>K26-K14</f>
        <v>75678.34</v>
      </c>
    </row>
    <row r="26" spans="1:15" x14ac:dyDescent="0.25">
      <c r="B26" s="8" t="s">
        <v>14</v>
      </c>
      <c r="C26" s="45">
        <f>C17-(C21*C12)</f>
        <v>75428.929999999993</v>
      </c>
      <c r="E26" s="48"/>
      <c r="F26" s="48"/>
      <c r="J26" s="8" t="s">
        <v>14</v>
      </c>
      <c r="K26" s="45">
        <f>K17-(K21*K12)</f>
        <v>75726.34</v>
      </c>
      <c r="M26" s="48"/>
      <c r="N26" s="48"/>
    </row>
    <row r="27" spans="1:15" x14ac:dyDescent="0.25">
      <c r="A27" s="2"/>
      <c r="B27" s="8" t="s">
        <v>15</v>
      </c>
      <c r="C27" s="50">
        <f>C26+C14</f>
        <v>75480.596666666665</v>
      </c>
      <c r="E27" s="47">
        <v>0.02</v>
      </c>
      <c r="F27" s="10" t="s">
        <v>58</v>
      </c>
      <c r="G27" s="51">
        <f>(C28-C26)/(C5*C8)</f>
        <v>161.45833333333334</v>
      </c>
      <c r="I27" s="2"/>
      <c r="J27" s="8" t="s">
        <v>15</v>
      </c>
      <c r="K27" s="75">
        <f>K26+K14</f>
        <v>75774.34</v>
      </c>
      <c r="M27" s="47">
        <v>0.02</v>
      </c>
      <c r="N27" s="10" t="s">
        <v>58</v>
      </c>
      <c r="O27" s="51">
        <f>(K28-K26)/(K5*K8)</f>
        <v>187.5</v>
      </c>
    </row>
    <row r="28" spans="1:15" x14ac:dyDescent="0.25">
      <c r="A28" s="2"/>
      <c r="B28" s="8" t="s">
        <v>16</v>
      </c>
      <c r="C28" s="50">
        <f>C17-(C21*C12)+C12</f>
        <v>75583.929999999993</v>
      </c>
      <c r="E28" s="47">
        <v>0.06</v>
      </c>
      <c r="F28" s="47"/>
      <c r="G28" s="47"/>
      <c r="I28" s="2"/>
      <c r="J28" s="8" t="s">
        <v>16</v>
      </c>
      <c r="K28" s="120">
        <f>K17-(K21*K12)+K12</f>
        <v>75861.34</v>
      </c>
      <c r="M28" s="47">
        <v>5.1999999999999998E-2</v>
      </c>
      <c r="N28" s="47"/>
      <c r="O28" s="47"/>
    </row>
    <row r="29" spans="1:15" x14ac:dyDescent="0.25">
      <c r="B29" s="15"/>
      <c r="C29" s="57"/>
      <c r="J29" s="15"/>
      <c r="K29" s="57"/>
    </row>
    <row r="30" spans="1:15" ht="15.75" thickBot="1" x14ac:dyDescent="0.3">
      <c r="B30" s="14"/>
      <c r="C30" s="58" t="s">
        <v>20</v>
      </c>
      <c r="J30" s="14"/>
      <c r="K30" s="58" t="s">
        <v>20</v>
      </c>
    </row>
    <row r="31" spans="1:15" x14ac:dyDescent="0.25">
      <c r="B31" s="40" t="s">
        <v>16</v>
      </c>
      <c r="C31" s="74">
        <f>C33-C12</f>
        <v>75774.34</v>
      </c>
      <c r="E31" s="47">
        <v>0.06</v>
      </c>
      <c r="F31" s="47"/>
      <c r="G31" s="47"/>
      <c r="J31" s="40" t="s">
        <v>16</v>
      </c>
      <c r="K31" s="119">
        <f>C31</f>
        <v>75774.34</v>
      </c>
      <c r="M31" s="47">
        <v>0.06</v>
      </c>
      <c r="N31" s="47"/>
      <c r="O31" s="47"/>
    </row>
    <row r="32" spans="1:15" x14ac:dyDescent="0.25">
      <c r="B32" s="8" t="s">
        <v>15</v>
      </c>
      <c r="C32" s="75">
        <f>C33-C14</f>
        <v>75877.673333333325</v>
      </c>
      <c r="E32" s="47">
        <v>0.02</v>
      </c>
      <c r="F32" s="10" t="s">
        <v>58</v>
      </c>
      <c r="G32" s="51">
        <f>(C33-C31)/(C5*C8)</f>
        <v>161.45833333333334</v>
      </c>
      <c r="J32" s="8" t="s">
        <v>15</v>
      </c>
      <c r="K32" s="60">
        <v>75897</v>
      </c>
      <c r="M32" s="47">
        <v>1.0625000000000001E-2</v>
      </c>
      <c r="N32" s="10" t="s">
        <v>58</v>
      </c>
      <c r="O32" s="51">
        <f>(K32-K31)/((M31-M32)*K8)</f>
        <v>155.26582278481456</v>
      </c>
    </row>
    <row r="33" spans="2:15" x14ac:dyDescent="0.25">
      <c r="B33" s="8" t="s">
        <v>14</v>
      </c>
      <c r="C33" s="45">
        <f>C18+(C22*C12)</f>
        <v>75929.34</v>
      </c>
      <c r="E33" s="48">
        <v>0</v>
      </c>
      <c r="J33" s="8" t="s">
        <v>14</v>
      </c>
      <c r="K33" s="45">
        <f>K18+(K22*K12)</f>
        <v>76011.94</v>
      </c>
      <c r="M33" s="48"/>
    </row>
    <row r="34" spans="2:15" x14ac:dyDescent="0.25">
      <c r="B34" s="8" t="s">
        <v>13</v>
      </c>
      <c r="C34" s="45">
        <f>C33+C14</f>
        <v>75981.006666666668</v>
      </c>
      <c r="E34" s="47">
        <v>0.02</v>
      </c>
      <c r="J34" s="8" t="s">
        <v>13</v>
      </c>
      <c r="K34" s="45">
        <f>K33+K14</f>
        <v>76059.94</v>
      </c>
      <c r="M34" s="47"/>
    </row>
    <row r="39" spans="2:15" x14ac:dyDescent="0.25">
      <c r="H39" s="136" t="s">
        <v>139</v>
      </c>
      <c r="I39" s="136"/>
      <c r="J39" s="136"/>
      <c r="K39" s="136"/>
      <c r="L39" s="136"/>
      <c r="M39" s="136"/>
      <c r="N39" s="136"/>
      <c r="O39" s="136"/>
    </row>
    <row r="40" spans="2:15" x14ac:dyDescent="0.25">
      <c r="H40" s="136"/>
      <c r="I40" s="136"/>
      <c r="J40" s="136"/>
      <c r="K40" s="136"/>
      <c r="L40" s="136"/>
      <c r="M40" s="136"/>
      <c r="N40" s="136"/>
      <c r="O40" s="136"/>
    </row>
    <row r="41" spans="2:15" x14ac:dyDescent="0.25">
      <c r="H41" s="136"/>
      <c r="I41" s="136"/>
      <c r="J41" s="136"/>
      <c r="K41" s="136"/>
      <c r="L41" s="136"/>
      <c r="M41" s="136"/>
      <c r="N41" s="136"/>
      <c r="O41" s="136"/>
    </row>
    <row r="42" spans="2:15" x14ac:dyDescent="0.25">
      <c r="H42" s="136"/>
      <c r="I42" s="136"/>
      <c r="J42" s="136"/>
      <c r="K42" s="136"/>
      <c r="L42" s="136"/>
      <c r="M42" s="136"/>
      <c r="N42" s="136"/>
      <c r="O42" s="136"/>
    </row>
  </sheetData>
  <mergeCells count="3">
    <mergeCell ref="B1:C1"/>
    <mergeCell ref="J1:K1"/>
    <mergeCell ref="H39:O42"/>
  </mergeCells>
  <pageMargins left="0.7" right="0.7" top="0.75" bottom="2.1145833333333299" header="0.3" footer="0.3"/>
  <pageSetup scale="78" orientation="portrait" r:id="rId1"/>
  <headerFooter>
    <oddHeader>&amp;RCalculated By:_&amp;U_        _ABS   5/3/14&amp;U______
Checked By:_____________________</oddHeader>
    <oddFooter>&amp;C&amp;F, &amp;A</oddFooter>
  </headerFooter>
  <colBreaks count="1" manualBreakCount="1">
    <brk id="7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L5" sqref="L5"/>
    </sheetView>
  </sheetViews>
  <sheetFormatPr defaultRowHeight="15" x14ac:dyDescent="0.25"/>
  <cols>
    <col min="1" max="1" width="20.7109375" customWidth="1"/>
    <col min="2" max="2" width="16.42578125" customWidth="1"/>
    <col min="7" max="7" width="22.140625" customWidth="1"/>
    <col min="8" max="8" width="14.28515625" customWidth="1"/>
    <col min="9" max="9" width="16.42578125" customWidth="1"/>
    <col min="11" max="11" width="25.42578125" customWidth="1"/>
    <col min="12" max="12" width="20" customWidth="1"/>
    <col min="13" max="13" width="15.42578125" customWidth="1"/>
  </cols>
  <sheetData>
    <row r="1" spans="1:12" x14ac:dyDescent="0.25">
      <c r="G1" s="139" t="s">
        <v>36</v>
      </c>
      <c r="H1" s="139"/>
      <c r="K1" s="139" t="s">
        <v>37</v>
      </c>
      <c r="L1" s="139"/>
    </row>
    <row r="3" spans="1:12" x14ac:dyDescent="0.25">
      <c r="A3" s="9" t="s">
        <v>5</v>
      </c>
      <c r="B3" s="23">
        <v>50</v>
      </c>
      <c r="G3" s="9" t="s">
        <v>5</v>
      </c>
      <c r="H3" s="23">
        <v>70</v>
      </c>
      <c r="K3" s="9" t="s">
        <v>5</v>
      </c>
      <c r="L3" s="23">
        <v>70</v>
      </c>
    </row>
    <row r="4" spans="1:12" x14ac:dyDescent="0.25">
      <c r="A4" s="9" t="s">
        <v>2</v>
      </c>
      <c r="B4" s="23" t="s">
        <v>26</v>
      </c>
      <c r="G4" s="9" t="s">
        <v>2</v>
      </c>
      <c r="H4" s="23" t="s">
        <v>26</v>
      </c>
      <c r="K4" s="9" t="s">
        <v>2</v>
      </c>
      <c r="L4" s="23" t="s">
        <v>26</v>
      </c>
    </row>
    <row r="5" spans="1:12" ht="18" x14ac:dyDescent="0.25">
      <c r="A5" s="9" t="s">
        <v>6</v>
      </c>
      <c r="B5" s="23"/>
      <c r="G5" s="9" t="s">
        <v>6</v>
      </c>
      <c r="H5" s="23"/>
      <c r="K5" s="9" t="s">
        <v>6</v>
      </c>
      <c r="L5" s="23"/>
    </row>
    <row r="6" spans="1:12" x14ac:dyDescent="0.25">
      <c r="A6" s="9" t="s">
        <v>10</v>
      </c>
      <c r="B6" s="23"/>
      <c r="G6" s="9" t="s">
        <v>10</v>
      </c>
      <c r="H6" s="23"/>
      <c r="K6" s="9" t="s">
        <v>10</v>
      </c>
      <c r="L6" s="23"/>
    </row>
    <row r="7" spans="1:12" ht="18" x14ac:dyDescent="0.25">
      <c r="A7" s="9" t="s">
        <v>8</v>
      </c>
      <c r="B7" s="23"/>
      <c r="G7" s="9" t="s">
        <v>8</v>
      </c>
      <c r="H7" s="23"/>
      <c r="K7" s="9" t="s">
        <v>33</v>
      </c>
      <c r="L7" s="23"/>
    </row>
    <row r="8" spans="1:12" x14ac:dyDescent="0.25">
      <c r="A8" s="9" t="s">
        <v>9</v>
      </c>
      <c r="B8" s="23"/>
      <c r="C8" t="s">
        <v>25</v>
      </c>
      <c r="G8" s="9" t="s">
        <v>9</v>
      </c>
      <c r="H8" s="23"/>
      <c r="K8" s="9" t="s">
        <v>9</v>
      </c>
      <c r="L8" s="23"/>
    </row>
    <row r="9" spans="1:12" x14ac:dyDescent="0.25">
      <c r="A9" s="9" t="s">
        <v>28</v>
      </c>
      <c r="B9" s="23"/>
      <c r="G9" s="9" t="s">
        <v>28</v>
      </c>
      <c r="H9" s="23"/>
      <c r="K9" s="9" t="s">
        <v>28</v>
      </c>
      <c r="L9" s="23"/>
    </row>
    <row r="10" spans="1:12" ht="15.75" thickBot="1" x14ac:dyDescent="0.3">
      <c r="A10" s="9"/>
      <c r="B10" s="2"/>
      <c r="G10" s="9"/>
      <c r="H10" s="2"/>
      <c r="K10" s="9"/>
      <c r="L10" s="2"/>
    </row>
    <row r="11" spans="1:12" ht="15.75" thickBot="1" x14ac:dyDescent="0.3">
      <c r="A11" s="19" t="s">
        <v>11</v>
      </c>
      <c r="B11" s="4" t="s">
        <v>12</v>
      </c>
      <c r="G11" s="19" t="s">
        <v>11</v>
      </c>
      <c r="H11" s="4" t="s">
        <v>27</v>
      </c>
      <c r="K11" s="19" t="s">
        <v>11</v>
      </c>
      <c r="L11" s="4" t="s">
        <v>27</v>
      </c>
    </row>
    <row r="12" spans="1:12" x14ac:dyDescent="0.25">
      <c r="A12" s="18" t="s">
        <v>3</v>
      </c>
      <c r="B12" s="20">
        <f>ROUNDUP(B8*B7*B5,0)</f>
        <v>0</v>
      </c>
      <c r="G12" s="18" t="s">
        <v>3</v>
      </c>
      <c r="H12" s="20">
        <f>ROUNDUP(H7*((H5*3*H8)-(H6*H8)),0)</f>
        <v>0</v>
      </c>
      <c r="K12" s="18" t="s">
        <v>31</v>
      </c>
      <c r="L12" s="20">
        <f>ROUNDUP(L7*((L5*3*L8)-(L6*L8)),0)</f>
        <v>0</v>
      </c>
    </row>
    <row r="13" spans="1:12" x14ac:dyDescent="0.25">
      <c r="A13" s="7" t="s">
        <v>4</v>
      </c>
      <c r="B13" s="6" t="e">
        <f>(B6/B5)*B12</f>
        <v>#DIV/0!</v>
      </c>
      <c r="G13" s="7" t="s">
        <v>32</v>
      </c>
      <c r="H13" s="5">
        <v>500</v>
      </c>
      <c r="K13" s="7" t="s">
        <v>32</v>
      </c>
      <c r="L13" s="5">
        <v>350</v>
      </c>
    </row>
    <row r="14" spans="1:12" ht="18" x14ac:dyDescent="0.25">
      <c r="A14" s="7"/>
      <c r="B14" s="5"/>
      <c r="G14" s="27" t="s">
        <v>34</v>
      </c>
      <c r="H14" s="28" t="e">
        <f>H13/((H5*3*H8)-(H6*H8))</f>
        <v>#DIV/0!</v>
      </c>
      <c r="K14" s="27" t="s">
        <v>34</v>
      </c>
      <c r="L14" s="28" t="e">
        <f>L13/((L5*3*L8)-(L6*L8))</f>
        <v>#DIV/0!</v>
      </c>
    </row>
    <row r="15" spans="1:12" x14ac:dyDescent="0.25">
      <c r="A15" s="7" t="s">
        <v>21</v>
      </c>
      <c r="B15" s="21"/>
      <c r="G15" s="7" t="s">
        <v>29</v>
      </c>
      <c r="H15" s="6">
        <f>H7*H6*H8</f>
        <v>0</v>
      </c>
      <c r="K15" s="7" t="s">
        <v>29</v>
      </c>
      <c r="L15" s="6" t="e">
        <f>L14*L6*L8</f>
        <v>#DIV/0!</v>
      </c>
    </row>
    <row r="16" spans="1:12" x14ac:dyDescent="0.25">
      <c r="A16" s="7" t="s">
        <v>23</v>
      </c>
      <c r="B16" s="22">
        <v>80288.240000000005</v>
      </c>
      <c r="G16" s="7" t="s">
        <v>30</v>
      </c>
      <c r="H16" s="6">
        <f>H7*H6*2*H8</f>
        <v>0</v>
      </c>
      <c r="K16" s="7" t="s">
        <v>30</v>
      </c>
      <c r="L16" s="6" t="e">
        <f>L14*L6*2*L8</f>
        <v>#DIV/0!</v>
      </c>
    </row>
    <row r="17" spans="1:12" x14ac:dyDescent="0.25">
      <c r="A17" s="7" t="s">
        <v>24</v>
      </c>
      <c r="B17" s="22">
        <v>80379.55</v>
      </c>
      <c r="G17" s="7" t="s">
        <v>21</v>
      </c>
      <c r="H17" s="21"/>
      <c r="K17" s="7"/>
      <c r="L17" s="31"/>
    </row>
    <row r="18" spans="1:12" x14ac:dyDescent="0.25">
      <c r="A18" s="7" t="s">
        <v>22</v>
      </c>
      <c r="B18" s="22">
        <v>80579.55</v>
      </c>
      <c r="G18" s="7" t="s">
        <v>23</v>
      </c>
      <c r="H18" s="22">
        <v>80288.240000000005</v>
      </c>
      <c r="K18" s="7" t="s">
        <v>0</v>
      </c>
      <c r="L18" s="31">
        <v>98548.905100000004</v>
      </c>
    </row>
    <row r="19" spans="1:12" x14ac:dyDescent="0.25">
      <c r="A19" s="8"/>
      <c r="B19" s="5"/>
      <c r="G19" s="7" t="s">
        <v>24</v>
      </c>
      <c r="H19" s="22">
        <v>80379.55</v>
      </c>
      <c r="K19" s="7" t="s">
        <v>1</v>
      </c>
      <c r="L19" s="31">
        <v>99947.066300000006</v>
      </c>
    </row>
    <row r="20" spans="1:12" x14ac:dyDescent="0.25">
      <c r="A20" s="8" t="s">
        <v>17</v>
      </c>
      <c r="B20" s="24">
        <v>0.5</v>
      </c>
      <c r="G20" s="7" t="s">
        <v>22</v>
      </c>
      <c r="H20" s="22">
        <v>80579.55</v>
      </c>
      <c r="K20" s="7"/>
      <c r="L20" s="31"/>
    </row>
    <row r="21" spans="1:12" x14ac:dyDescent="0.25">
      <c r="A21" s="8" t="s">
        <v>18</v>
      </c>
      <c r="B21" s="24">
        <v>0.6</v>
      </c>
      <c r="E21" s="1"/>
      <c r="G21" s="8"/>
      <c r="H21" s="5"/>
      <c r="K21" s="8"/>
      <c r="L21" s="5"/>
    </row>
    <row r="22" spans="1:12" x14ac:dyDescent="0.25">
      <c r="A22" s="17"/>
      <c r="B22" s="12"/>
      <c r="G22" s="8" t="s">
        <v>17</v>
      </c>
      <c r="H22" s="24" t="s">
        <v>35</v>
      </c>
      <c r="K22" s="8" t="s">
        <v>17</v>
      </c>
      <c r="L22" s="24">
        <v>0.6</v>
      </c>
    </row>
    <row r="23" spans="1:12" ht="15.75" thickBot="1" x14ac:dyDescent="0.3">
      <c r="A23" s="13"/>
      <c r="B23" s="11" t="s">
        <v>19</v>
      </c>
      <c r="G23" s="8" t="s">
        <v>18</v>
      </c>
      <c r="H23" s="24" t="s">
        <v>35</v>
      </c>
      <c r="K23" s="8" t="s">
        <v>18</v>
      </c>
      <c r="L23" s="24">
        <v>0.6</v>
      </c>
    </row>
    <row r="24" spans="1:12" x14ac:dyDescent="0.25">
      <c r="A24" s="10" t="s">
        <v>13</v>
      </c>
      <c r="B24" s="3" t="e">
        <f>B15-B13</f>
        <v>#DIV/0!</v>
      </c>
      <c r="G24" s="17"/>
      <c r="H24" s="12"/>
      <c r="K24" s="17"/>
      <c r="L24" s="12"/>
    </row>
    <row r="25" spans="1:12" ht="15.75" thickBot="1" x14ac:dyDescent="0.3">
      <c r="A25" s="10" t="s">
        <v>14</v>
      </c>
      <c r="B25" s="3">
        <f>B15</f>
        <v>0</v>
      </c>
      <c r="G25" s="13"/>
      <c r="H25" s="11" t="s">
        <v>19</v>
      </c>
      <c r="K25" s="13"/>
      <c r="L25" s="11" t="s">
        <v>19</v>
      </c>
    </row>
    <row r="26" spans="1:12" x14ac:dyDescent="0.25">
      <c r="A26" s="10" t="s">
        <v>15</v>
      </c>
      <c r="B26" s="3" t="e">
        <f>B15+B13</f>
        <v>#DIV/0!</v>
      </c>
      <c r="G26" s="10" t="s">
        <v>13</v>
      </c>
      <c r="H26" s="3">
        <f>H17-H16</f>
        <v>0</v>
      </c>
      <c r="K26" s="10" t="s">
        <v>13</v>
      </c>
      <c r="L26" s="3" t="e">
        <f>L27-L16</f>
        <v>#DIV/0!</v>
      </c>
    </row>
    <row r="27" spans="1:12" x14ac:dyDescent="0.25">
      <c r="A27" s="10" t="s">
        <v>16</v>
      </c>
      <c r="B27" s="3">
        <f>B16</f>
        <v>80288.240000000005</v>
      </c>
      <c r="G27" s="10" t="s">
        <v>14</v>
      </c>
      <c r="H27" s="3">
        <f>H17</f>
        <v>0</v>
      </c>
      <c r="K27" s="10" t="s">
        <v>14</v>
      </c>
      <c r="L27" s="3">
        <f>L18-(L22*L13)</f>
        <v>98338.905100000004</v>
      </c>
    </row>
    <row r="28" spans="1:12" x14ac:dyDescent="0.25">
      <c r="A28" s="15"/>
      <c r="B28" s="16"/>
      <c r="G28" s="10" t="s">
        <v>15</v>
      </c>
      <c r="H28" s="3">
        <f>H17+H15</f>
        <v>0</v>
      </c>
      <c r="K28" s="10" t="s">
        <v>15</v>
      </c>
      <c r="L28" s="3" t="e">
        <f>L27+L16</f>
        <v>#DIV/0!</v>
      </c>
    </row>
    <row r="29" spans="1:12" ht="15.75" thickBot="1" x14ac:dyDescent="0.3">
      <c r="A29" s="14"/>
      <c r="B29" s="11" t="s">
        <v>20</v>
      </c>
      <c r="G29" s="10" t="s">
        <v>16</v>
      </c>
      <c r="H29" s="3">
        <f>H18</f>
        <v>80288.240000000005</v>
      </c>
      <c r="K29" s="10" t="s">
        <v>16</v>
      </c>
      <c r="L29" s="3">
        <f>L27+L13</f>
        <v>98688.905100000004</v>
      </c>
    </row>
    <row r="30" spans="1:12" x14ac:dyDescent="0.25">
      <c r="A30" s="10" t="s">
        <v>16</v>
      </c>
      <c r="B30" s="3">
        <f>B17</f>
        <v>80379.55</v>
      </c>
      <c r="G30" s="15"/>
      <c r="H30" s="16"/>
      <c r="K30" s="15"/>
      <c r="L30" s="16"/>
    </row>
    <row r="31" spans="1:12" ht="15.75" thickBot="1" x14ac:dyDescent="0.3">
      <c r="A31" s="10" t="s">
        <v>15</v>
      </c>
      <c r="B31" s="3" t="e">
        <f>B18-B13</f>
        <v>#DIV/0!</v>
      </c>
      <c r="G31" s="14"/>
      <c r="H31" s="11" t="s">
        <v>20</v>
      </c>
      <c r="K31" s="14"/>
      <c r="L31" s="11" t="s">
        <v>20</v>
      </c>
    </row>
    <row r="32" spans="1:12" x14ac:dyDescent="0.25">
      <c r="A32" s="10" t="s">
        <v>14</v>
      </c>
      <c r="B32" s="3">
        <f>B18</f>
        <v>80579.55</v>
      </c>
      <c r="G32" s="10" t="s">
        <v>16</v>
      </c>
      <c r="H32" s="3">
        <f>H19</f>
        <v>80379.55</v>
      </c>
      <c r="K32" s="10" t="s">
        <v>16</v>
      </c>
      <c r="L32" s="3">
        <f>L34-L13</f>
        <v>99807.066300000006</v>
      </c>
    </row>
    <row r="33" spans="1:12" x14ac:dyDescent="0.25">
      <c r="A33" s="10" t="s">
        <v>13</v>
      </c>
      <c r="B33" s="3" t="e">
        <f>B18+B13</f>
        <v>#DIV/0!</v>
      </c>
      <c r="G33" s="10" t="s">
        <v>15</v>
      </c>
      <c r="H33" s="3">
        <f>H20-H15</f>
        <v>80579.55</v>
      </c>
      <c r="K33" s="10" t="s">
        <v>15</v>
      </c>
      <c r="L33" s="3" t="e">
        <f>L34-L16</f>
        <v>#DIV/0!</v>
      </c>
    </row>
    <row r="34" spans="1:12" x14ac:dyDescent="0.25">
      <c r="G34" s="10" t="s">
        <v>14</v>
      </c>
      <c r="H34" s="3">
        <f>H20</f>
        <v>80579.55</v>
      </c>
      <c r="K34" s="10" t="s">
        <v>14</v>
      </c>
      <c r="L34" s="3">
        <f>L19+(L23*L13)</f>
        <v>100157.06630000001</v>
      </c>
    </row>
    <row r="35" spans="1:12" x14ac:dyDescent="0.25">
      <c r="G35" s="10" t="s">
        <v>13</v>
      </c>
      <c r="H35" s="3">
        <f>H20+H16</f>
        <v>80579.55</v>
      </c>
      <c r="K35" s="10" t="s">
        <v>13</v>
      </c>
      <c r="L35" s="3" t="e">
        <f>L34+L16</f>
        <v>#DIV/0!</v>
      </c>
    </row>
  </sheetData>
  <mergeCells count="2">
    <mergeCell ref="G1:H1"/>
    <mergeCell ref="K1:L1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N39"/>
  <sheetViews>
    <sheetView view="pageLayout" zoomScale="85" zoomScaleNormal="100" zoomScalePageLayoutView="85" workbookViewId="0">
      <selection activeCell="L33" sqref="L33"/>
    </sheetView>
  </sheetViews>
  <sheetFormatPr defaultRowHeight="15" x14ac:dyDescent="0.25"/>
  <cols>
    <col min="2" max="2" width="25.42578125" customWidth="1"/>
    <col min="3" max="3" width="21" customWidth="1"/>
    <col min="4" max="4" width="13.7109375" customWidth="1"/>
    <col min="5" max="5" width="9" customWidth="1"/>
    <col min="6" max="6" width="7.28515625" customWidth="1"/>
    <col min="7" max="7" width="13" customWidth="1"/>
    <col min="9" max="9" width="25.42578125" customWidth="1"/>
    <col min="10" max="10" width="21" customWidth="1"/>
    <col min="11" max="11" width="13.7109375" customWidth="1"/>
    <col min="12" max="12" width="9" customWidth="1"/>
    <col min="13" max="13" width="7.28515625" customWidth="1"/>
    <col min="14" max="14" width="13" customWidth="1"/>
  </cols>
  <sheetData>
    <row r="1" spans="2:10" ht="15.75" thickBot="1" x14ac:dyDescent="0.3">
      <c r="B1" s="135" t="s">
        <v>123</v>
      </c>
      <c r="C1" s="135"/>
      <c r="I1" s="135" t="s">
        <v>124</v>
      </c>
      <c r="J1" s="135"/>
    </row>
    <row r="3" spans="2:10" x14ac:dyDescent="0.25">
      <c r="B3" s="9" t="s">
        <v>5</v>
      </c>
      <c r="C3" s="23">
        <v>60</v>
      </c>
      <c r="I3" s="9" t="s">
        <v>5</v>
      </c>
      <c r="J3" s="23">
        <v>20</v>
      </c>
    </row>
    <row r="4" spans="2:10" x14ac:dyDescent="0.25">
      <c r="B4" s="9" t="s">
        <v>2</v>
      </c>
      <c r="C4" s="23" t="s">
        <v>26</v>
      </c>
      <c r="I4" s="9" t="s">
        <v>2</v>
      </c>
      <c r="J4" s="23" t="s">
        <v>125</v>
      </c>
    </row>
    <row r="5" spans="2:10" ht="20.25" customHeight="1" x14ac:dyDescent="0.25">
      <c r="B5" s="9" t="s">
        <v>6</v>
      </c>
      <c r="C5" s="25">
        <v>3.6999999999999998E-2</v>
      </c>
      <c r="I5" s="9" t="s">
        <v>6</v>
      </c>
      <c r="J5" s="25">
        <v>1.6E-2</v>
      </c>
    </row>
    <row r="6" spans="2:10" x14ac:dyDescent="0.25">
      <c r="B6" s="9" t="s">
        <v>51</v>
      </c>
      <c r="C6" s="23">
        <v>1.8499999999999999E-2</v>
      </c>
      <c r="I6" s="9" t="s">
        <v>10</v>
      </c>
      <c r="J6" s="23">
        <v>1.6E-2</v>
      </c>
    </row>
    <row r="7" spans="2:10" x14ac:dyDescent="0.25">
      <c r="B7" s="9" t="s">
        <v>52</v>
      </c>
      <c r="C7" s="23">
        <v>1.6E-2</v>
      </c>
      <c r="I7" s="9"/>
      <c r="J7" s="23"/>
    </row>
    <row r="8" spans="2:10" x14ac:dyDescent="0.25">
      <c r="B8" s="9" t="s">
        <v>8</v>
      </c>
      <c r="C8" s="23">
        <v>222</v>
      </c>
      <c r="I8" s="9" t="s">
        <v>8</v>
      </c>
      <c r="J8" s="23">
        <v>135</v>
      </c>
    </row>
    <row r="9" spans="2:10" x14ac:dyDescent="0.25">
      <c r="B9" s="9" t="s">
        <v>9</v>
      </c>
      <c r="C9" s="23">
        <v>16</v>
      </c>
      <c r="I9" s="9" t="s">
        <v>9</v>
      </c>
      <c r="J9" s="23">
        <v>16</v>
      </c>
    </row>
    <row r="10" spans="2:10" ht="15.75" thickBot="1" x14ac:dyDescent="0.3">
      <c r="B10" s="9"/>
      <c r="C10" s="2"/>
      <c r="I10" s="9"/>
      <c r="J10" s="2"/>
    </row>
    <row r="11" spans="2:10" ht="15.75" thickBot="1" x14ac:dyDescent="0.3">
      <c r="B11" s="19" t="s">
        <v>11</v>
      </c>
      <c r="C11" s="4" t="s">
        <v>12</v>
      </c>
      <c r="I11" s="19" t="s">
        <v>11</v>
      </c>
      <c r="J11" s="4" t="s">
        <v>12</v>
      </c>
    </row>
    <row r="12" spans="2:10" x14ac:dyDescent="0.25">
      <c r="B12" s="35" t="s">
        <v>31</v>
      </c>
      <c r="C12" s="5">
        <f>ROUNDUP(C9*C8*C5,0)</f>
        <v>132</v>
      </c>
      <c r="I12" s="35" t="s">
        <v>31</v>
      </c>
      <c r="J12" s="5">
        <f>ROUNDUP(J9*J8*J5,0)</f>
        <v>35</v>
      </c>
    </row>
    <row r="13" spans="2:10" x14ac:dyDescent="0.25">
      <c r="B13" s="7" t="s">
        <v>32</v>
      </c>
      <c r="C13" s="24">
        <v>150</v>
      </c>
      <c r="I13" s="7" t="s">
        <v>32</v>
      </c>
      <c r="J13" s="24">
        <v>35</v>
      </c>
    </row>
    <row r="14" spans="2:10" ht="18" x14ac:dyDescent="0.25">
      <c r="B14" s="7" t="s">
        <v>34</v>
      </c>
      <c r="C14" s="6">
        <f>C13/(C9*C5)</f>
        <v>253.37837837837839</v>
      </c>
      <c r="I14" s="7" t="s">
        <v>34</v>
      </c>
      <c r="J14" s="6">
        <f>J13/(J9*J5)</f>
        <v>136.71875</v>
      </c>
    </row>
    <row r="15" spans="2:10" x14ac:dyDescent="0.25">
      <c r="B15" s="7" t="s">
        <v>53</v>
      </c>
      <c r="C15" s="6">
        <f>(C6/C5)*C13</f>
        <v>75</v>
      </c>
      <c r="I15" s="7" t="s">
        <v>4</v>
      </c>
      <c r="J15" s="6">
        <f>(J6/J5)*J13</f>
        <v>35</v>
      </c>
    </row>
    <row r="16" spans="2:10" x14ac:dyDescent="0.25">
      <c r="B16" s="7" t="s">
        <v>54</v>
      </c>
      <c r="C16" s="6">
        <f>(C7/C5)*C13</f>
        <v>64.86486486486487</v>
      </c>
      <c r="I16" s="7"/>
      <c r="J16" s="6"/>
    </row>
    <row r="17" spans="2:14" x14ac:dyDescent="0.25">
      <c r="B17" s="7"/>
      <c r="C17" s="22"/>
      <c r="I17" s="7"/>
      <c r="J17" s="22"/>
    </row>
    <row r="18" spans="2:14" x14ac:dyDescent="0.25">
      <c r="B18" s="7" t="s">
        <v>0</v>
      </c>
      <c r="C18" s="22">
        <v>74584.929999999993</v>
      </c>
      <c r="I18" s="7" t="s">
        <v>0</v>
      </c>
      <c r="J18" s="22">
        <v>75581.990000000005</v>
      </c>
    </row>
    <row r="19" spans="2:14" x14ac:dyDescent="0.25">
      <c r="B19" s="7" t="s">
        <v>1</v>
      </c>
      <c r="C19" s="22">
        <v>75082.05</v>
      </c>
      <c r="I19" s="7" t="s">
        <v>1</v>
      </c>
      <c r="J19" s="22">
        <v>75731.990000000005</v>
      </c>
    </row>
    <row r="20" spans="2:14" x14ac:dyDescent="0.25">
      <c r="B20" s="7"/>
      <c r="C20" s="22"/>
      <c r="I20" s="7"/>
      <c r="J20" s="22"/>
    </row>
    <row r="21" spans="2:14" x14ac:dyDescent="0.25">
      <c r="B21" s="8"/>
      <c r="C21" s="5"/>
      <c r="I21" s="8"/>
      <c r="J21" s="5"/>
    </row>
    <row r="22" spans="2:14" x14ac:dyDescent="0.25">
      <c r="B22" s="8" t="s">
        <v>17</v>
      </c>
      <c r="C22" s="24">
        <v>0.5</v>
      </c>
      <c r="I22" s="8" t="s">
        <v>17</v>
      </c>
      <c r="J22" s="24">
        <v>0.5</v>
      </c>
    </row>
    <row r="23" spans="2:14" x14ac:dyDescent="0.25">
      <c r="B23" s="8" t="s">
        <v>18</v>
      </c>
      <c r="C23" s="24">
        <v>0.5</v>
      </c>
      <c r="I23" s="8" t="s">
        <v>18</v>
      </c>
      <c r="J23" s="24">
        <v>0.5</v>
      </c>
    </row>
    <row r="24" spans="2:14" x14ac:dyDescent="0.25">
      <c r="B24" s="17"/>
      <c r="C24" s="12"/>
      <c r="I24" s="17"/>
      <c r="J24" s="12"/>
    </row>
    <row r="25" spans="2:14" ht="15.75" thickBot="1" x14ac:dyDescent="0.3">
      <c r="B25" s="13"/>
      <c r="C25" s="39" t="s">
        <v>19</v>
      </c>
      <c r="I25" s="13"/>
      <c r="J25" s="39" t="s">
        <v>19</v>
      </c>
    </row>
    <row r="26" spans="2:14" x14ac:dyDescent="0.25">
      <c r="B26" s="40" t="s">
        <v>13</v>
      </c>
      <c r="C26" s="76">
        <f>C27-C15</f>
        <v>74434.929999999993</v>
      </c>
      <c r="D26" s="98"/>
      <c r="E26" s="48">
        <v>0.02</v>
      </c>
      <c r="I26" s="40" t="s">
        <v>13</v>
      </c>
      <c r="J26" s="76">
        <f>J27-J15</f>
        <v>75529.490000000005</v>
      </c>
      <c r="K26" s="99"/>
      <c r="L26" s="48">
        <v>1.6E-2</v>
      </c>
    </row>
    <row r="27" spans="2:14" x14ac:dyDescent="0.25">
      <c r="B27" s="8" t="s">
        <v>14</v>
      </c>
      <c r="C27" s="77">
        <f>C18-(C22*C13)</f>
        <v>74509.929999999993</v>
      </c>
      <c r="D27" s="98"/>
      <c r="E27" s="48">
        <v>0</v>
      </c>
      <c r="F27" s="48"/>
      <c r="I27" s="8" t="s">
        <v>14</v>
      </c>
      <c r="J27" s="77">
        <f>J18-(J22*J13)</f>
        <v>75564.490000000005</v>
      </c>
      <c r="K27" s="99"/>
      <c r="L27" s="48">
        <v>0</v>
      </c>
      <c r="M27" s="48"/>
    </row>
    <row r="28" spans="2:14" x14ac:dyDescent="0.25">
      <c r="B28" s="8" t="s">
        <v>15</v>
      </c>
      <c r="C28" s="50">
        <f>C27+C15</f>
        <v>74584.929999999993</v>
      </c>
      <c r="D28" s="98"/>
      <c r="E28" s="84">
        <v>1.8499999999999999E-2</v>
      </c>
      <c r="F28" s="85" t="s">
        <v>58</v>
      </c>
      <c r="G28" s="51">
        <f>(C29-C27)/((0.037)*C9)</f>
        <v>253.37837837837839</v>
      </c>
      <c r="I28" s="8" t="s">
        <v>15</v>
      </c>
      <c r="J28" s="50">
        <f>J27+J15</f>
        <v>75599.490000000005</v>
      </c>
      <c r="K28" s="99"/>
      <c r="L28" s="48">
        <v>1.6E-2</v>
      </c>
      <c r="M28" s="10" t="s">
        <v>58</v>
      </c>
      <c r="N28" s="51">
        <f>(J29-J27)/((J5)*J9)</f>
        <v>136.71875</v>
      </c>
    </row>
    <row r="29" spans="2:14" x14ac:dyDescent="0.25">
      <c r="B29" s="8" t="s">
        <v>16</v>
      </c>
      <c r="C29" s="50">
        <f>C27+C13</f>
        <v>74659.929999999993</v>
      </c>
      <c r="D29" s="98"/>
      <c r="E29" s="48">
        <v>3.6999999999999998E-2</v>
      </c>
      <c r="F29" s="47"/>
      <c r="G29" s="47"/>
      <c r="I29" s="8" t="s">
        <v>16</v>
      </c>
      <c r="J29" s="50">
        <f>J27+J13</f>
        <v>75599.490000000005</v>
      </c>
      <c r="K29" s="99"/>
      <c r="L29" s="48">
        <v>1.6E-2</v>
      </c>
      <c r="M29" s="47"/>
      <c r="N29" s="47"/>
    </row>
    <row r="30" spans="2:14" x14ac:dyDescent="0.25">
      <c r="B30" s="15"/>
      <c r="C30" s="57"/>
      <c r="I30" s="15"/>
      <c r="J30" s="57"/>
      <c r="K30" s="100"/>
    </row>
    <row r="31" spans="2:14" ht="15.75" thickBot="1" x14ac:dyDescent="0.3">
      <c r="B31" s="14"/>
      <c r="C31" s="58" t="s">
        <v>20</v>
      </c>
      <c r="I31" s="14"/>
      <c r="J31" s="58" t="s">
        <v>20</v>
      </c>
      <c r="K31" s="100"/>
    </row>
    <row r="32" spans="2:14" x14ac:dyDescent="0.25">
      <c r="B32" s="40" t="s">
        <v>16</v>
      </c>
      <c r="C32" s="49">
        <f>C34-C13</f>
        <v>75007.05</v>
      </c>
      <c r="D32" s="98"/>
      <c r="E32" s="47">
        <v>3.6999999999999998E-2</v>
      </c>
      <c r="F32" s="47"/>
      <c r="G32" s="47"/>
      <c r="I32" s="40" t="s">
        <v>16</v>
      </c>
      <c r="J32" s="49">
        <f>J34-J13</f>
        <v>75714.490000000005</v>
      </c>
      <c r="K32" s="99"/>
      <c r="L32" s="47">
        <v>1.6E-2</v>
      </c>
      <c r="M32" s="47"/>
      <c r="N32" s="47"/>
    </row>
    <row r="33" spans="2:14" x14ac:dyDescent="0.25">
      <c r="B33" s="8" t="s">
        <v>15</v>
      </c>
      <c r="C33" s="50">
        <f>C34-C16</f>
        <v>75092.185135135136</v>
      </c>
      <c r="D33" s="98"/>
      <c r="E33" s="48">
        <v>1.6E-2</v>
      </c>
      <c r="F33" s="10" t="s">
        <v>58</v>
      </c>
      <c r="G33" s="51">
        <f>(C34-C32)/((0.037)*C9)</f>
        <v>253.37837837837839</v>
      </c>
      <c r="I33" s="8" t="s">
        <v>15</v>
      </c>
      <c r="J33" s="50">
        <f>J34-J15</f>
        <v>75714.490000000005</v>
      </c>
      <c r="K33" s="99"/>
      <c r="L33" s="48">
        <v>1.6E-2</v>
      </c>
      <c r="M33" s="10" t="s">
        <v>58</v>
      </c>
      <c r="N33" s="51">
        <f>(J34-J32)/((J5)*J9)</f>
        <v>136.71875</v>
      </c>
    </row>
    <row r="34" spans="2:14" x14ac:dyDescent="0.25">
      <c r="B34" s="8" t="s">
        <v>14</v>
      </c>
      <c r="C34" s="77">
        <f>C19+(C23*C13)</f>
        <v>75157.05</v>
      </c>
      <c r="D34" s="98"/>
      <c r="E34" s="48">
        <v>0</v>
      </c>
      <c r="I34" s="8" t="s">
        <v>14</v>
      </c>
      <c r="J34" s="78">
        <f>J19+(J23*J13)</f>
        <v>75749.490000000005</v>
      </c>
      <c r="K34" s="99"/>
      <c r="L34" s="48">
        <v>0</v>
      </c>
    </row>
    <row r="35" spans="2:14" x14ac:dyDescent="0.25">
      <c r="B35" s="8" t="s">
        <v>13</v>
      </c>
      <c r="C35" s="77">
        <f>C34+C16</f>
        <v>75221.91486486487</v>
      </c>
      <c r="D35" s="98"/>
      <c r="E35" s="47">
        <v>1.6E-2</v>
      </c>
      <c r="I35" s="8" t="s">
        <v>13</v>
      </c>
      <c r="J35" s="78">
        <f>J34+J15</f>
        <v>75784.490000000005</v>
      </c>
      <c r="K35" s="99"/>
      <c r="L35" s="47">
        <v>1.6E-2</v>
      </c>
    </row>
    <row r="36" spans="2:14" x14ac:dyDescent="0.25">
      <c r="K36" s="100"/>
      <c r="L36" s="100"/>
    </row>
    <row r="38" spans="2:14" x14ac:dyDescent="0.25">
      <c r="D38" s="137"/>
      <c r="E38" s="137"/>
      <c r="F38" s="137"/>
      <c r="G38" s="137"/>
      <c r="K38" s="137"/>
      <c r="L38" s="137"/>
      <c r="M38" s="137"/>
      <c r="N38" s="137"/>
    </row>
    <row r="39" spans="2:14" x14ac:dyDescent="0.25">
      <c r="D39" s="137"/>
      <c r="E39" s="137"/>
      <c r="F39" s="137"/>
      <c r="G39" s="137"/>
      <c r="K39" s="137"/>
      <c r="L39" s="137"/>
      <c r="M39" s="137"/>
      <c r="N39" s="137"/>
    </row>
  </sheetData>
  <mergeCells count="4">
    <mergeCell ref="I1:J1"/>
    <mergeCell ref="B1:C1"/>
    <mergeCell ref="D38:G39"/>
    <mergeCell ref="K38:N39"/>
  </mergeCells>
  <pageMargins left="0.7" right="0.7" top="0.75" bottom="0.75" header="0.3" footer="0.3"/>
  <pageSetup scale="87" orientation="portrait" r:id="rId1"/>
  <headerFooter>
    <oddHeader>&amp;RCalculated By:___&amp;UABS  9/14/13 _&amp;U_____
Checked By:_____________________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6"/>
  <sheetViews>
    <sheetView view="pageLayout" zoomScale="70" zoomScaleNormal="90" zoomScalePageLayoutView="70" workbookViewId="0">
      <selection activeCell="C31" sqref="C31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8" max="8" width="10.85546875" customWidth="1"/>
    <col min="9" max="9" width="25.42578125" customWidth="1"/>
    <col min="10" max="10" width="21" customWidth="1"/>
    <col min="11" max="11" width="13.7109375" customWidth="1"/>
    <col min="12" max="14" width="13" customWidth="1"/>
  </cols>
  <sheetData>
    <row r="1" spans="1:11" ht="15.75" thickBot="1" x14ac:dyDescent="0.3">
      <c r="A1" s="2"/>
      <c r="B1" s="135" t="s">
        <v>104</v>
      </c>
      <c r="C1" s="135"/>
      <c r="H1" s="2"/>
      <c r="I1" s="135" t="s">
        <v>126</v>
      </c>
      <c r="J1" s="135"/>
    </row>
    <row r="2" spans="1:11" x14ac:dyDescent="0.25">
      <c r="A2" s="2"/>
      <c r="H2" s="2"/>
    </row>
    <row r="3" spans="1:11" x14ac:dyDescent="0.25">
      <c r="A3" s="2"/>
      <c r="B3" s="9" t="s">
        <v>5</v>
      </c>
      <c r="C3" s="23">
        <v>20</v>
      </c>
      <c r="H3" s="2"/>
      <c r="I3" s="9" t="s">
        <v>5</v>
      </c>
      <c r="J3" s="23">
        <v>45</v>
      </c>
    </row>
    <row r="4" spans="1:11" x14ac:dyDescent="0.25">
      <c r="A4" s="2"/>
      <c r="B4" s="9" t="s">
        <v>2</v>
      </c>
      <c r="C4" s="23" t="s">
        <v>125</v>
      </c>
      <c r="H4" s="2"/>
      <c r="I4" s="9" t="s">
        <v>2</v>
      </c>
      <c r="J4" s="23" t="s">
        <v>7</v>
      </c>
    </row>
    <row r="5" spans="1:11" ht="20.25" customHeight="1" x14ac:dyDescent="0.25">
      <c r="A5" s="2"/>
      <c r="B5" s="9" t="s">
        <v>6</v>
      </c>
      <c r="C5" s="25">
        <v>0.02</v>
      </c>
      <c r="H5" s="2"/>
      <c r="I5" s="9" t="s">
        <v>6</v>
      </c>
      <c r="J5" s="25">
        <v>4.2999999999999997E-2</v>
      </c>
    </row>
    <row r="6" spans="1:11" x14ac:dyDescent="0.25">
      <c r="A6" s="2"/>
      <c r="B6" s="9" t="s">
        <v>10</v>
      </c>
      <c r="C6" s="23">
        <v>1.6E-2</v>
      </c>
      <c r="H6" s="2"/>
      <c r="I6" s="9" t="s">
        <v>10</v>
      </c>
      <c r="J6" s="23">
        <v>1.6E-2</v>
      </c>
    </row>
    <row r="7" spans="1:11" x14ac:dyDescent="0.25">
      <c r="A7" s="2"/>
      <c r="B7" s="9" t="s">
        <v>8</v>
      </c>
      <c r="C7" s="23">
        <v>135</v>
      </c>
      <c r="H7" s="2"/>
      <c r="I7" s="9" t="s">
        <v>8</v>
      </c>
      <c r="J7" s="23">
        <v>185</v>
      </c>
    </row>
    <row r="8" spans="1:11" x14ac:dyDescent="0.25">
      <c r="A8" s="2"/>
      <c r="B8" s="9" t="s">
        <v>9</v>
      </c>
      <c r="C8" s="23">
        <v>16</v>
      </c>
      <c r="D8" t="s">
        <v>38</v>
      </c>
      <c r="H8" s="2"/>
      <c r="I8" s="9" t="s">
        <v>9</v>
      </c>
      <c r="J8" s="23">
        <v>16</v>
      </c>
      <c r="K8" t="s">
        <v>38</v>
      </c>
    </row>
    <row r="9" spans="1:11" ht="15.75" thickBot="1" x14ac:dyDescent="0.3">
      <c r="A9" s="2"/>
      <c r="B9" s="9"/>
      <c r="C9" s="2"/>
      <c r="H9" s="2"/>
      <c r="I9" s="9"/>
      <c r="J9" s="2"/>
    </row>
    <row r="10" spans="1:11" ht="15.75" thickBot="1" x14ac:dyDescent="0.3">
      <c r="A10" s="2"/>
      <c r="B10" s="19" t="s">
        <v>11</v>
      </c>
      <c r="C10" s="4" t="s">
        <v>12</v>
      </c>
      <c r="H10" s="2"/>
      <c r="I10" s="19" t="s">
        <v>11</v>
      </c>
      <c r="J10" s="4" t="s">
        <v>12</v>
      </c>
    </row>
    <row r="11" spans="1:11" x14ac:dyDescent="0.25">
      <c r="A11" s="2"/>
      <c r="B11" s="35" t="s">
        <v>31</v>
      </c>
      <c r="C11" s="5">
        <f>ROUNDUP(C8*C7*C5,0)</f>
        <v>44</v>
      </c>
      <c r="H11" s="2"/>
      <c r="I11" s="35" t="s">
        <v>31</v>
      </c>
      <c r="J11" s="5">
        <f>ROUNDUP(J8*J7*J5,0)</f>
        <v>128</v>
      </c>
    </row>
    <row r="12" spans="1:11" x14ac:dyDescent="0.25">
      <c r="A12" s="2"/>
      <c r="B12" s="7" t="s">
        <v>32</v>
      </c>
      <c r="C12" s="24">
        <v>50</v>
      </c>
      <c r="H12" s="2"/>
      <c r="I12" s="7" t="s">
        <v>32</v>
      </c>
      <c r="J12" s="24">
        <v>128</v>
      </c>
    </row>
    <row r="13" spans="1:11" ht="18" x14ac:dyDescent="0.25">
      <c r="A13" s="2"/>
      <c r="B13" s="7" t="s">
        <v>34</v>
      </c>
      <c r="C13" s="6">
        <f>C12/(C8*C5)</f>
        <v>156.25</v>
      </c>
      <c r="H13" s="2"/>
      <c r="I13" s="7" t="s">
        <v>34</v>
      </c>
      <c r="J13" s="6">
        <f>J12/(J8*J5)</f>
        <v>186.04651162790699</v>
      </c>
    </row>
    <row r="14" spans="1:11" x14ac:dyDescent="0.25">
      <c r="A14" s="2"/>
      <c r="B14" s="7" t="s">
        <v>4</v>
      </c>
      <c r="C14" s="6">
        <f>(C6/C5)*C12</f>
        <v>40</v>
      </c>
      <c r="H14" s="2"/>
      <c r="I14" s="7" t="s">
        <v>4</v>
      </c>
      <c r="J14" s="6">
        <f>(J6/J5)*J12</f>
        <v>47.627906976744192</v>
      </c>
    </row>
    <row r="15" spans="1:11" x14ac:dyDescent="0.25">
      <c r="A15" s="2"/>
      <c r="B15" s="7"/>
      <c r="C15" s="5"/>
      <c r="H15" s="2"/>
      <c r="I15" s="7"/>
      <c r="J15" s="5"/>
    </row>
    <row r="16" spans="1:11" x14ac:dyDescent="0.25">
      <c r="A16" s="2"/>
      <c r="B16" s="7"/>
      <c r="C16" s="22"/>
      <c r="H16" s="2"/>
      <c r="I16" s="7"/>
      <c r="J16" s="22"/>
    </row>
    <row r="17" spans="1:14" x14ac:dyDescent="0.25">
      <c r="A17" s="2"/>
      <c r="B17" s="7" t="s">
        <v>0</v>
      </c>
      <c r="C17" s="22">
        <v>77749.3</v>
      </c>
      <c r="H17" s="2"/>
      <c r="I17" s="7" t="s">
        <v>0</v>
      </c>
      <c r="J17" s="22">
        <v>78461</v>
      </c>
    </row>
    <row r="18" spans="1:14" x14ac:dyDescent="0.25">
      <c r="A18" s="2"/>
      <c r="B18" s="7" t="s">
        <v>1</v>
      </c>
      <c r="C18" s="22">
        <v>77938.39</v>
      </c>
      <c r="H18" s="2"/>
      <c r="I18" s="7" t="s">
        <v>1</v>
      </c>
      <c r="J18" s="22">
        <v>79471.820000000007</v>
      </c>
    </row>
    <row r="19" spans="1:14" x14ac:dyDescent="0.25">
      <c r="A19" s="2"/>
      <c r="B19" s="7"/>
      <c r="C19" s="22"/>
      <c r="H19" s="2"/>
      <c r="I19" s="7"/>
      <c r="J19" s="22"/>
    </row>
    <row r="20" spans="1:14" x14ac:dyDescent="0.25">
      <c r="A20" s="2"/>
      <c r="B20" s="8"/>
      <c r="C20" s="5"/>
      <c r="H20" s="2"/>
      <c r="I20" s="8"/>
      <c r="J20" s="5"/>
    </row>
    <row r="21" spans="1:14" x14ac:dyDescent="0.25">
      <c r="A21" s="2"/>
      <c r="B21" s="8" t="s">
        <v>17</v>
      </c>
      <c r="C21" s="24">
        <v>0.5</v>
      </c>
      <c r="H21" s="2"/>
      <c r="I21" s="8" t="s">
        <v>17</v>
      </c>
      <c r="J21" s="24">
        <v>0.5</v>
      </c>
    </row>
    <row r="22" spans="1:14" x14ac:dyDescent="0.25">
      <c r="B22" s="8" t="s">
        <v>18</v>
      </c>
      <c r="C22" s="24">
        <v>0.5</v>
      </c>
      <c r="I22" s="8" t="s">
        <v>18</v>
      </c>
      <c r="J22" s="24">
        <v>0.25535000000000002</v>
      </c>
    </row>
    <row r="23" spans="1:14" x14ac:dyDescent="0.25">
      <c r="B23" s="17"/>
      <c r="C23" s="12"/>
      <c r="I23" s="17"/>
      <c r="J23" s="12"/>
    </row>
    <row r="24" spans="1:14" ht="15.75" thickBot="1" x14ac:dyDescent="0.3">
      <c r="B24" s="13"/>
      <c r="C24" s="39" t="s">
        <v>19</v>
      </c>
      <c r="I24" s="13"/>
      <c r="J24" s="39" t="s">
        <v>19</v>
      </c>
    </row>
    <row r="25" spans="1:14" x14ac:dyDescent="0.25">
      <c r="B25" s="40" t="s">
        <v>13</v>
      </c>
      <c r="C25" s="80">
        <f>C26-C14</f>
        <v>77684.3</v>
      </c>
      <c r="I25" s="40" t="s">
        <v>13</v>
      </c>
      <c r="J25" s="46">
        <f>J26-J14</f>
        <v>78349.372093023252</v>
      </c>
    </row>
    <row r="26" spans="1:14" x14ac:dyDescent="0.25">
      <c r="B26" s="8" t="s">
        <v>14</v>
      </c>
      <c r="C26" s="81">
        <f>C17-(C21*C12)</f>
        <v>77724.3</v>
      </c>
      <c r="E26" s="48"/>
      <c r="F26" s="48"/>
      <c r="I26" s="8" t="s">
        <v>14</v>
      </c>
      <c r="J26" s="45">
        <f>J17-(J21*J12)</f>
        <v>78397</v>
      </c>
      <c r="L26" s="48"/>
      <c r="M26" s="48"/>
    </row>
    <row r="27" spans="1:14" x14ac:dyDescent="0.25">
      <c r="A27" s="2"/>
      <c r="B27" s="8" t="s">
        <v>15</v>
      </c>
      <c r="C27" s="126">
        <v>77788.070000000007</v>
      </c>
      <c r="E27" s="47">
        <v>5.7780000000000001E-3</v>
      </c>
      <c r="F27" s="10" t="s">
        <v>58</v>
      </c>
      <c r="G27" s="51">
        <f>(C28-C27)/((E28-E27)*C8)</f>
        <v>140.31957530583347</v>
      </c>
      <c r="H27" s="2"/>
      <c r="I27" s="8" t="s">
        <v>15</v>
      </c>
      <c r="J27" s="50">
        <f>J26+J14</f>
        <v>78444.627906976748</v>
      </c>
      <c r="L27" s="47">
        <v>1.6E-2</v>
      </c>
      <c r="M27" s="10" t="s">
        <v>58</v>
      </c>
      <c r="N27" s="51">
        <f>(J28-J26)/(J5*J8)</f>
        <v>186.04651162790699</v>
      </c>
    </row>
    <row r="28" spans="1:14" x14ac:dyDescent="0.25">
      <c r="A28" s="2"/>
      <c r="B28" s="8" t="s">
        <v>16</v>
      </c>
      <c r="C28" s="126">
        <v>77820</v>
      </c>
      <c r="E28" s="47">
        <v>0.02</v>
      </c>
      <c r="F28" s="47"/>
      <c r="G28" s="47"/>
      <c r="H28" s="2"/>
      <c r="I28" s="8" t="s">
        <v>16</v>
      </c>
      <c r="J28" s="50">
        <f>J17-(J21*J12)+J12</f>
        <v>78525</v>
      </c>
      <c r="L28" s="47">
        <v>4.2999999999999997E-2</v>
      </c>
      <c r="M28" s="47"/>
      <c r="N28" s="47"/>
    </row>
    <row r="29" spans="1:14" x14ac:dyDescent="0.25">
      <c r="B29" s="15"/>
      <c r="C29" s="57"/>
      <c r="I29" s="15"/>
      <c r="J29" s="57"/>
    </row>
    <row r="30" spans="1:14" ht="15.75" thickBot="1" x14ac:dyDescent="0.3">
      <c r="B30" s="14"/>
      <c r="C30" s="58" t="s">
        <v>20</v>
      </c>
      <c r="I30" s="14"/>
      <c r="J30" s="58" t="s">
        <v>20</v>
      </c>
    </row>
    <row r="31" spans="1:14" x14ac:dyDescent="0.25">
      <c r="B31" s="40" t="s">
        <v>16</v>
      </c>
      <c r="C31" s="49">
        <f>C33-C12</f>
        <v>77913.39</v>
      </c>
      <c r="E31" s="47">
        <v>0.02</v>
      </c>
      <c r="F31" s="47"/>
      <c r="G31" s="47"/>
      <c r="I31" s="40" t="s">
        <v>16</v>
      </c>
      <c r="J31" s="49">
        <f>J33-J12</f>
        <v>79376.50480000001</v>
      </c>
      <c r="L31" s="47">
        <v>4.2999999999999997E-2</v>
      </c>
      <c r="M31" s="47"/>
      <c r="N31" s="47"/>
    </row>
    <row r="32" spans="1:14" x14ac:dyDescent="0.25">
      <c r="B32" s="8" t="s">
        <v>15</v>
      </c>
      <c r="C32" s="50">
        <f>C33-C14</f>
        <v>77923.39</v>
      </c>
      <c r="E32" s="47">
        <v>1.6E-2</v>
      </c>
      <c r="F32" s="10" t="s">
        <v>58</v>
      </c>
      <c r="G32" s="51">
        <f>(C33-C31)/(C5*C8)</f>
        <v>156.25</v>
      </c>
      <c r="I32" s="8" t="s">
        <v>15</v>
      </c>
      <c r="J32" s="50">
        <f>J33-J14</f>
        <v>79456.876893023262</v>
      </c>
      <c r="L32" s="47">
        <v>1.6E-2</v>
      </c>
      <c r="M32" s="10" t="s">
        <v>58</v>
      </c>
      <c r="N32" s="51">
        <f>(J33-J31)/(J5*J8)</f>
        <v>186.04651162790699</v>
      </c>
    </row>
    <row r="33" spans="2:12" x14ac:dyDescent="0.25">
      <c r="B33" s="8" t="s">
        <v>14</v>
      </c>
      <c r="C33" s="81">
        <f>C18+(C22*C12)</f>
        <v>77963.39</v>
      </c>
      <c r="E33" s="48">
        <v>0</v>
      </c>
      <c r="I33" s="8" t="s">
        <v>14</v>
      </c>
      <c r="J33" s="50">
        <f>J18+(J22*J12)</f>
        <v>79504.50480000001</v>
      </c>
      <c r="L33" s="48">
        <v>0</v>
      </c>
    </row>
    <row r="34" spans="2:12" x14ac:dyDescent="0.25">
      <c r="B34" s="8" t="s">
        <v>13</v>
      </c>
      <c r="C34" s="81">
        <f>C33+C14</f>
        <v>78003.39</v>
      </c>
      <c r="E34" s="47">
        <v>1.6E-2</v>
      </c>
      <c r="I34" s="8" t="s">
        <v>13</v>
      </c>
      <c r="J34" s="50">
        <f>J33+J14</f>
        <v>79552.132706976758</v>
      </c>
      <c r="L34" s="47">
        <v>1.6E-2</v>
      </c>
    </row>
    <row r="36" spans="2:12" x14ac:dyDescent="0.25">
      <c r="J36" t="s">
        <v>119</v>
      </c>
    </row>
  </sheetData>
  <mergeCells count="2">
    <mergeCell ref="I1:J1"/>
    <mergeCell ref="B1:C1"/>
  </mergeCells>
  <pageMargins left="0.7" right="0.7" top="0.75" bottom="2.1145833333333299" header="0.3" footer="0.3"/>
  <pageSetup scale="78" orientation="portrait" r:id="rId1"/>
  <headerFooter>
    <oddHeader>&amp;RCalculated By:__&amp;U_ABS        5/4/14 &amp;U______
Checked By:_____________________</oddHeader>
    <oddFooter>&amp;C&amp;F, &amp;A</oddFooter>
  </headerFooter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7"/>
  <sheetViews>
    <sheetView view="pageLayout" topLeftCell="E1" zoomScale="70" zoomScaleNormal="90" zoomScalePageLayoutView="70" workbookViewId="0">
      <selection activeCell="R23" sqref="R23"/>
    </sheetView>
  </sheetViews>
  <sheetFormatPr defaultRowHeight="15" x14ac:dyDescent="0.25"/>
  <cols>
    <col min="1" max="1" width="10.85546875" customWidth="1"/>
    <col min="2" max="2" width="25.42578125" customWidth="1"/>
    <col min="3" max="3" width="21" customWidth="1"/>
    <col min="4" max="4" width="13.7109375" customWidth="1"/>
    <col min="5" max="7" width="13" customWidth="1"/>
    <col min="9" max="9" width="25.42578125" customWidth="1"/>
    <col min="10" max="10" width="21" customWidth="1"/>
    <col min="11" max="11" width="13.7109375" customWidth="1"/>
    <col min="12" max="14" width="13" customWidth="1"/>
    <col min="16" max="16" width="25.42578125" customWidth="1"/>
    <col min="17" max="17" width="21" customWidth="1"/>
    <col min="18" max="18" width="13.7109375" customWidth="1"/>
    <col min="19" max="21" width="13" customWidth="1"/>
  </cols>
  <sheetData>
    <row r="1" spans="1:18" ht="15.75" thickBot="1" x14ac:dyDescent="0.3">
      <c r="A1" s="2"/>
      <c r="B1" s="135" t="s">
        <v>105</v>
      </c>
      <c r="C1" s="135"/>
      <c r="I1" s="135" t="s">
        <v>106</v>
      </c>
      <c r="J1" s="135"/>
      <c r="P1" s="135" t="s">
        <v>107</v>
      </c>
      <c r="Q1" s="135"/>
    </row>
    <row r="2" spans="1:18" x14ac:dyDescent="0.25">
      <c r="A2" s="2"/>
    </row>
    <row r="3" spans="1:18" x14ac:dyDescent="0.25">
      <c r="A3" s="2"/>
      <c r="B3" s="9" t="s">
        <v>5</v>
      </c>
      <c r="C3" s="23">
        <v>55</v>
      </c>
      <c r="I3" s="9" t="s">
        <v>5</v>
      </c>
      <c r="J3" s="23">
        <v>50</v>
      </c>
      <c r="P3" s="9" t="s">
        <v>5</v>
      </c>
      <c r="Q3" s="23">
        <v>45</v>
      </c>
    </row>
    <row r="4" spans="1:18" x14ac:dyDescent="0.25">
      <c r="A4" s="2"/>
      <c r="B4" s="9" t="s">
        <v>2</v>
      </c>
      <c r="C4" s="23" t="s">
        <v>26</v>
      </c>
      <c r="I4" s="9" t="s">
        <v>2</v>
      </c>
      <c r="J4" s="23" t="s">
        <v>26</v>
      </c>
      <c r="P4" s="9" t="s">
        <v>2</v>
      </c>
      <c r="Q4" s="23" t="s">
        <v>7</v>
      </c>
    </row>
    <row r="5" spans="1:18" ht="20.25" customHeight="1" x14ac:dyDescent="0.25">
      <c r="A5" s="2"/>
      <c r="B5" s="9" t="s">
        <v>6</v>
      </c>
      <c r="C5" s="25">
        <v>4.4999999999999998E-2</v>
      </c>
      <c r="I5" s="9" t="s">
        <v>6</v>
      </c>
      <c r="J5" s="25">
        <v>0.06</v>
      </c>
      <c r="P5" s="9" t="s">
        <v>6</v>
      </c>
      <c r="Q5" s="25">
        <v>4.4999999999999998E-2</v>
      </c>
    </row>
    <row r="6" spans="1:18" x14ac:dyDescent="0.25">
      <c r="A6" s="2"/>
      <c r="B6" s="9" t="s">
        <v>10</v>
      </c>
      <c r="C6" s="23">
        <v>1.6E-2</v>
      </c>
      <c r="I6" s="9" t="s">
        <v>10</v>
      </c>
      <c r="J6" s="23">
        <v>1.6E-2</v>
      </c>
      <c r="P6" s="9" t="s">
        <v>10</v>
      </c>
      <c r="Q6" s="23">
        <v>1.6E-2</v>
      </c>
    </row>
    <row r="7" spans="1:18" x14ac:dyDescent="0.25">
      <c r="A7" s="2"/>
      <c r="B7" s="9" t="s">
        <v>8</v>
      </c>
      <c r="C7" s="23">
        <v>222</v>
      </c>
      <c r="I7" s="9" t="s">
        <v>8</v>
      </c>
      <c r="J7" s="23">
        <v>200</v>
      </c>
      <c r="P7" s="9" t="s">
        <v>8</v>
      </c>
      <c r="Q7" s="23">
        <v>185</v>
      </c>
    </row>
    <row r="8" spans="1:18" x14ac:dyDescent="0.25">
      <c r="A8" s="2"/>
      <c r="B8" s="9" t="s">
        <v>9</v>
      </c>
      <c r="C8" s="23">
        <v>16</v>
      </c>
      <c r="D8" t="s">
        <v>38</v>
      </c>
      <c r="I8" s="9" t="s">
        <v>9</v>
      </c>
      <c r="J8" s="23">
        <v>16</v>
      </c>
      <c r="K8" t="s">
        <v>38</v>
      </c>
      <c r="P8" s="9" t="s">
        <v>9</v>
      </c>
      <c r="Q8" s="23">
        <v>16</v>
      </c>
      <c r="R8" t="s">
        <v>38</v>
      </c>
    </row>
    <row r="9" spans="1:18" ht="15.75" thickBot="1" x14ac:dyDescent="0.3">
      <c r="A9" s="2"/>
      <c r="B9" s="9"/>
      <c r="C9" s="2"/>
      <c r="I9" s="9"/>
      <c r="J9" s="2"/>
      <c r="P9" s="9"/>
      <c r="Q9" s="2"/>
    </row>
    <row r="10" spans="1:18" ht="15.75" thickBot="1" x14ac:dyDescent="0.3">
      <c r="A10" s="2"/>
      <c r="B10" s="19" t="s">
        <v>11</v>
      </c>
      <c r="C10" s="4" t="s">
        <v>12</v>
      </c>
      <c r="I10" s="19" t="s">
        <v>11</v>
      </c>
      <c r="J10" s="4" t="s">
        <v>12</v>
      </c>
      <c r="P10" s="19" t="s">
        <v>11</v>
      </c>
      <c r="Q10" s="4" t="s">
        <v>12</v>
      </c>
    </row>
    <row r="11" spans="1:18" x14ac:dyDescent="0.25">
      <c r="A11" s="2"/>
      <c r="B11" s="35" t="s">
        <v>31</v>
      </c>
      <c r="C11" s="5">
        <f>ROUNDUP(C8*C7*C5,0)</f>
        <v>160</v>
      </c>
      <c r="I11" s="35" t="s">
        <v>31</v>
      </c>
      <c r="J11" s="5">
        <f>ROUNDUP(J8*J7*J5,0)</f>
        <v>192</v>
      </c>
      <c r="P11" s="35" t="s">
        <v>31</v>
      </c>
      <c r="Q11" s="5">
        <f>ROUNDUP(Q8*Q7*Q5,0)</f>
        <v>134</v>
      </c>
    </row>
    <row r="12" spans="1:18" x14ac:dyDescent="0.25">
      <c r="A12" s="2"/>
      <c r="B12" s="7" t="s">
        <v>32</v>
      </c>
      <c r="C12" s="24">
        <v>160</v>
      </c>
      <c r="I12" s="7" t="s">
        <v>32</v>
      </c>
      <c r="J12" s="24">
        <v>200</v>
      </c>
      <c r="P12" s="7" t="s">
        <v>32</v>
      </c>
      <c r="Q12" s="24">
        <v>134</v>
      </c>
    </row>
    <row r="13" spans="1:18" ht="18" x14ac:dyDescent="0.25">
      <c r="A13" s="2"/>
      <c r="B13" s="7" t="s">
        <v>34</v>
      </c>
      <c r="C13" s="6">
        <f>C12/(C8*C5)</f>
        <v>222.22222222222223</v>
      </c>
      <c r="I13" s="7" t="s">
        <v>34</v>
      </c>
      <c r="J13" s="6">
        <f>J12/(J8*J5)</f>
        <v>208.33333333333334</v>
      </c>
      <c r="P13" s="7" t="s">
        <v>34</v>
      </c>
      <c r="Q13" s="6">
        <f>Q12/(Q8*Q5)</f>
        <v>186.11111111111111</v>
      </c>
    </row>
    <row r="14" spans="1:18" x14ac:dyDescent="0.25">
      <c r="A14" s="2"/>
      <c r="B14" s="7" t="s">
        <v>4</v>
      </c>
      <c r="C14" s="6">
        <f>(C6/C5)*C12</f>
        <v>56.888888888888893</v>
      </c>
      <c r="I14" s="7" t="s">
        <v>4</v>
      </c>
      <c r="J14" s="6">
        <f>(J6/J5)*J12</f>
        <v>53.333333333333336</v>
      </c>
      <c r="P14" s="7" t="s">
        <v>4</v>
      </c>
      <c r="Q14" s="6">
        <f>(Q6/Q5)*Q12</f>
        <v>47.644444444444446</v>
      </c>
    </row>
    <row r="15" spans="1:18" x14ac:dyDescent="0.25">
      <c r="A15" s="2"/>
      <c r="B15" s="7"/>
      <c r="C15" s="5"/>
      <c r="I15" s="7"/>
      <c r="J15" s="5"/>
      <c r="P15" s="7"/>
      <c r="Q15" s="5"/>
    </row>
    <row r="16" spans="1:18" x14ac:dyDescent="0.25">
      <c r="A16" s="2"/>
      <c r="B16" s="7"/>
      <c r="C16" s="22"/>
      <c r="I16" s="7"/>
      <c r="J16" s="22"/>
      <c r="P16" s="7"/>
      <c r="Q16" s="22"/>
    </row>
    <row r="17" spans="1:21" x14ac:dyDescent="0.25">
      <c r="A17" s="2"/>
      <c r="B17" s="7" t="s">
        <v>0</v>
      </c>
      <c r="C17" s="22">
        <v>79221.17</v>
      </c>
      <c r="I17" s="7" t="s">
        <v>0</v>
      </c>
      <c r="J17" s="22">
        <v>79823.05</v>
      </c>
      <c r="P17" s="7" t="s">
        <v>63</v>
      </c>
      <c r="Q17" s="22">
        <v>80184.66</v>
      </c>
    </row>
    <row r="18" spans="1:21" x14ac:dyDescent="0.25">
      <c r="A18" s="2"/>
      <c r="B18" s="7" t="s">
        <v>1</v>
      </c>
      <c r="C18" s="22">
        <v>79625.960000000006</v>
      </c>
      <c r="I18" s="7" t="s">
        <v>63</v>
      </c>
      <c r="J18" s="22">
        <v>80184.66</v>
      </c>
      <c r="P18" s="7" t="s">
        <v>1</v>
      </c>
      <c r="Q18" s="22">
        <v>81492.09</v>
      </c>
    </row>
    <row r="19" spans="1:21" x14ac:dyDescent="0.25">
      <c r="A19" s="2"/>
      <c r="B19" s="7"/>
      <c r="C19" s="22"/>
      <c r="I19" s="7"/>
      <c r="J19" s="22"/>
      <c r="P19" s="7"/>
      <c r="Q19" s="22"/>
    </row>
    <row r="20" spans="1:21" x14ac:dyDescent="0.25">
      <c r="A20" s="2"/>
      <c r="B20" s="8"/>
      <c r="C20" s="5"/>
      <c r="I20" s="8"/>
      <c r="J20" s="5"/>
      <c r="P20" s="8"/>
      <c r="Q20" s="5"/>
    </row>
    <row r="21" spans="1:21" x14ac:dyDescent="0.25">
      <c r="A21" s="2"/>
      <c r="B21" s="8" t="s">
        <v>17</v>
      </c>
      <c r="C21" s="24">
        <v>0.5</v>
      </c>
      <c r="I21" s="8" t="s">
        <v>17</v>
      </c>
      <c r="J21" s="24">
        <v>0.5</v>
      </c>
      <c r="P21" s="8" t="s">
        <v>17</v>
      </c>
      <c r="Q21" s="24">
        <v>0.7</v>
      </c>
    </row>
    <row r="22" spans="1:21" x14ac:dyDescent="0.25">
      <c r="B22" s="8" t="s">
        <v>18</v>
      </c>
      <c r="C22" s="24">
        <v>0.5</v>
      </c>
      <c r="I22" s="8" t="s">
        <v>18</v>
      </c>
      <c r="J22" s="24">
        <v>0.5</v>
      </c>
      <c r="P22" s="8" t="s">
        <v>18</v>
      </c>
      <c r="Q22" s="24">
        <v>0.5</v>
      </c>
    </row>
    <row r="23" spans="1:21" ht="31.5" customHeight="1" x14ac:dyDescent="0.25">
      <c r="B23" s="17"/>
      <c r="C23" s="12"/>
      <c r="D23" s="137" t="s">
        <v>114</v>
      </c>
      <c r="E23" s="137"/>
      <c r="F23" s="137"/>
      <c r="G23" s="137"/>
      <c r="I23" s="17"/>
      <c r="J23" s="12"/>
      <c r="P23" s="17"/>
      <c r="Q23" s="12"/>
    </row>
    <row r="24" spans="1:21" ht="15.75" thickBot="1" x14ac:dyDescent="0.3">
      <c r="B24" s="13"/>
      <c r="C24" s="39" t="s">
        <v>19</v>
      </c>
      <c r="I24" s="13"/>
      <c r="J24" s="39" t="s">
        <v>19</v>
      </c>
      <c r="P24" s="13"/>
      <c r="Q24" s="39" t="s">
        <v>19</v>
      </c>
    </row>
    <row r="25" spans="1:21" x14ac:dyDescent="0.25">
      <c r="B25" s="40" t="s">
        <v>13</v>
      </c>
      <c r="C25" s="46">
        <f>C26-C14</f>
        <v>79084.281111111108</v>
      </c>
      <c r="D25" s="98"/>
      <c r="I25" s="40" t="s">
        <v>13</v>
      </c>
      <c r="J25" s="46">
        <f>J26-J14</f>
        <v>79669.716666666674</v>
      </c>
      <c r="K25" s="98"/>
      <c r="L25" s="101"/>
      <c r="P25" s="40" t="s">
        <v>13</v>
      </c>
      <c r="Q25" s="46">
        <f>Q26-Q14</f>
        <v>80043.215555555551</v>
      </c>
      <c r="R25" s="98"/>
      <c r="S25" s="101"/>
    </row>
    <row r="26" spans="1:21" x14ac:dyDescent="0.25">
      <c r="B26" s="8" t="s">
        <v>14</v>
      </c>
      <c r="C26" s="45">
        <f>C17-(C21*C12)</f>
        <v>79141.17</v>
      </c>
      <c r="D26" s="98"/>
      <c r="E26" s="72"/>
      <c r="F26" s="48"/>
      <c r="I26" s="8" t="s">
        <v>14</v>
      </c>
      <c r="J26" s="45">
        <f>J17-(J21*J12)</f>
        <v>79723.05</v>
      </c>
      <c r="K26" s="98"/>
      <c r="L26" s="72"/>
      <c r="M26" s="48"/>
      <c r="P26" s="8" t="s">
        <v>14</v>
      </c>
      <c r="Q26" s="45">
        <f>Q17-(Q21*Q12)</f>
        <v>80090.86</v>
      </c>
      <c r="R26" s="98"/>
      <c r="S26" s="72"/>
      <c r="T26" s="48"/>
    </row>
    <row r="27" spans="1:21" x14ac:dyDescent="0.25">
      <c r="A27" s="2"/>
      <c r="B27" s="8" t="s">
        <v>15</v>
      </c>
      <c r="C27" s="45">
        <f>C26+C14</f>
        <v>79198.058888888889</v>
      </c>
      <c r="D27" s="98"/>
      <c r="E27" s="101">
        <v>1.6E-2</v>
      </c>
      <c r="F27" s="10" t="s">
        <v>58</v>
      </c>
      <c r="G27" s="51">
        <f>(C28-C26)/(C5*C8)</f>
        <v>222.22222222222223</v>
      </c>
      <c r="I27" s="8" t="s">
        <v>15</v>
      </c>
      <c r="J27" s="45">
        <f>J26+J14</f>
        <v>79776.383333333331</v>
      </c>
      <c r="K27" s="98"/>
      <c r="L27" s="101">
        <v>1.6E-2</v>
      </c>
      <c r="M27" s="10" t="s">
        <v>58</v>
      </c>
      <c r="N27" s="51">
        <f>(J28-C31)/((0.06+0.045)*J8)</f>
        <v>224.45833333333127</v>
      </c>
      <c r="P27" s="8" t="s">
        <v>15</v>
      </c>
      <c r="Q27" s="45">
        <f>Q26+Q14</f>
        <v>80138.50444444445</v>
      </c>
      <c r="R27" s="98"/>
      <c r="S27" s="101">
        <v>1.6E-2</v>
      </c>
      <c r="T27" s="10"/>
      <c r="U27" s="51"/>
    </row>
    <row r="28" spans="1:21" x14ac:dyDescent="0.25">
      <c r="A28" s="2"/>
      <c r="B28" s="8" t="s">
        <v>16</v>
      </c>
      <c r="C28" s="45">
        <f>C17-(C21*C12)+C12</f>
        <v>79301.17</v>
      </c>
      <c r="D28" s="98"/>
      <c r="E28" s="101">
        <v>4.4999999999999998E-2</v>
      </c>
      <c r="F28" s="47"/>
      <c r="G28" s="47"/>
      <c r="I28" s="8" t="s">
        <v>16</v>
      </c>
      <c r="J28" s="50">
        <f>J17-(J21*J12)+J12</f>
        <v>79923.05</v>
      </c>
      <c r="K28" s="98"/>
      <c r="L28" s="101">
        <v>0.06</v>
      </c>
      <c r="M28" s="47"/>
      <c r="N28" s="47"/>
      <c r="P28" s="8" t="s">
        <v>16</v>
      </c>
      <c r="Q28" s="50">
        <v>80208.05</v>
      </c>
      <c r="R28" s="98"/>
      <c r="S28" s="101">
        <v>4.4999999999999998E-2</v>
      </c>
      <c r="T28" s="10" t="s">
        <v>58</v>
      </c>
      <c r="U28" s="51">
        <f>(Q28-J31)/((L31-S28)*Q8)</f>
        <v>208.33333333333334</v>
      </c>
    </row>
    <row r="29" spans="1:21" x14ac:dyDescent="0.25">
      <c r="B29" s="15"/>
      <c r="C29" s="57"/>
      <c r="E29" s="101"/>
      <c r="I29" s="15"/>
      <c r="J29" s="57"/>
      <c r="L29" s="101"/>
      <c r="P29" s="15"/>
      <c r="Q29" s="57"/>
      <c r="S29" s="101"/>
    </row>
    <row r="30" spans="1:21" ht="15.75" thickBot="1" x14ac:dyDescent="0.3">
      <c r="B30" s="14"/>
      <c r="C30" s="58" t="s">
        <v>20</v>
      </c>
      <c r="E30" s="101"/>
      <c r="I30" s="14"/>
      <c r="J30" s="58" t="s">
        <v>20</v>
      </c>
      <c r="L30" s="101"/>
      <c r="P30" s="14"/>
      <c r="Q30" s="58" t="s">
        <v>20</v>
      </c>
      <c r="S30" s="101"/>
    </row>
    <row r="31" spans="1:21" x14ac:dyDescent="0.25">
      <c r="B31" s="40" t="s">
        <v>16</v>
      </c>
      <c r="C31" s="49">
        <f>C33-C12</f>
        <v>79545.960000000006</v>
      </c>
      <c r="D31" s="98"/>
      <c r="E31" s="101">
        <v>4.4999999999999998E-2</v>
      </c>
      <c r="F31" s="47"/>
      <c r="G31" s="47"/>
      <c r="I31" s="40" t="s">
        <v>16</v>
      </c>
      <c r="J31" s="49">
        <v>80158.05</v>
      </c>
      <c r="K31" s="98"/>
      <c r="L31" s="101">
        <v>0.06</v>
      </c>
      <c r="M31" s="47"/>
      <c r="N31" s="47"/>
      <c r="P31" s="40" t="s">
        <v>16</v>
      </c>
      <c r="Q31" s="49">
        <v>81405</v>
      </c>
      <c r="R31" s="98"/>
      <c r="S31" s="101">
        <v>4.4999999999999998E-2</v>
      </c>
      <c r="T31" s="47"/>
      <c r="U31" s="47"/>
    </row>
    <row r="32" spans="1:21" x14ac:dyDescent="0.25">
      <c r="B32" s="8" t="s">
        <v>15</v>
      </c>
      <c r="C32" s="45">
        <f>C33-C14</f>
        <v>79649.071111111116</v>
      </c>
      <c r="D32" s="98"/>
      <c r="E32" s="101">
        <v>1.6E-2</v>
      </c>
      <c r="F32" s="10" t="s">
        <v>58</v>
      </c>
      <c r="G32" s="51">
        <f>(C33-C31)/(C5*C8)</f>
        <v>222.22222222222223</v>
      </c>
      <c r="I32" s="8" t="s">
        <v>15</v>
      </c>
      <c r="J32" s="45">
        <f>J33-J14</f>
        <v>80231.326666666675</v>
      </c>
      <c r="K32" s="98"/>
      <c r="L32" s="101">
        <v>1.6E-2</v>
      </c>
      <c r="M32" s="10"/>
      <c r="N32" s="51"/>
      <c r="P32" s="8" t="s">
        <v>15</v>
      </c>
      <c r="Q32" s="81">
        <f>Q33-Q14</f>
        <v>81511.445555555547</v>
      </c>
      <c r="R32" s="98"/>
      <c r="S32" s="101">
        <v>1.6E-2</v>
      </c>
      <c r="T32" s="10"/>
      <c r="U32" s="51"/>
    </row>
    <row r="33" spans="2:21" x14ac:dyDescent="0.25">
      <c r="B33" s="8" t="s">
        <v>14</v>
      </c>
      <c r="C33" s="45">
        <f>C18+(C22*C12)</f>
        <v>79705.960000000006</v>
      </c>
      <c r="D33" s="98"/>
      <c r="E33" s="72">
        <v>0</v>
      </c>
      <c r="I33" s="8" t="s">
        <v>14</v>
      </c>
      <c r="J33" s="45">
        <f>J18+(J22*J12)</f>
        <v>80284.66</v>
      </c>
      <c r="K33" s="98"/>
      <c r="L33" s="72">
        <v>0</v>
      </c>
      <c r="P33" s="8" t="s">
        <v>14</v>
      </c>
      <c r="Q33" s="77">
        <f>Q18+(Q22*Q12)</f>
        <v>81559.09</v>
      </c>
      <c r="R33" s="98"/>
      <c r="S33" s="72">
        <v>0</v>
      </c>
    </row>
    <row r="34" spans="2:21" x14ac:dyDescent="0.25">
      <c r="B34" s="8" t="s">
        <v>13</v>
      </c>
      <c r="C34" s="45">
        <f>C33+C14</f>
        <v>79762.848888888897</v>
      </c>
      <c r="D34" s="98"/>
      <c r="E34" s="101">
        <v>1.6E-2</v>
      </c>
      <c r="I34" s="8" t="s">
        <v>13</v>
      </c>
      <c r="J34" s="45">
        <f>J33+J14</f>
        <v>80337.993333333332</v>
      </c>
      <c r="K34" s="98"/>
      <c r="L34" s="101">
        <v>1.6E-2</v>
      </c>
      <c r="P34" s="8" t="s">
        <v>13</v>
      </c>
      <c r="Q34" s="77">
        <f>Q33+Q14</f>
        <v>81606.734444444446</v>
      </c>
      <c r="R34" s="98"/>
      <c r="S34" s="101">
        <v>1.6E-2</v>
      </c>
    </row>
    <row r="36" spans="2:21" x14ac:dyDescent="0.25">
      <c r="C36" t="s">
        <v>127</v>
      </c>
      <c r="J36" t="s">
        <v>128</v>
      </c>
      <c r="Q36" s="82"/>
      <c r="S36" s="83"/>
    </row>
    <row r="37" spans="2:21" x14ac:dyDescent="0.25">
      <c r="Q37" s="82">
        <v>81492.09</v>
      </c>
      <c r="S37" s="83">
        <v>1.6E-2</v>
      </c>
      <c r="T37" s="10" t="s">
        <v>58</v>
      </c>
      <c r="U37" s="51">
        <f>(Q37-Q31)/((0.045-S37)*Q8)</f>
        <v>187.69396551723386</v>
      </c>
    </row>
  </sheetData>
  <mergeCells count="4">
    <mergeCell ref="B1:C1"/>
    <mergeCell ref="I1:J1"/>
    <mergeCell ref="D23:G23"/>
    <mergeCell ref="P1:Q1"/>
  </mergeCells>
  <pageMargins left="0.7" right="0.7" top="0.75" bottom="2.1145833333333299" header="0.3" footer="0.3"/>
  <pageSetup scale="78" orientation="portrait" r:id="rId1"/>
  <headerFooter>
    <oddHeader>&amp;RCalculated By:__&amp;U_ABS   9/14/13      &amp;U______
Checked By:_____________________</oddHeader>
    <oddFooter>&amp;C&amp;F, &amp;A</oddFooter>
  </headerFooter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B38"/>
  <sheetViews>
    <sheetView view="pageLayout" zoomScale="70" zoomScaleNormal="100" zoomScalePageLayoutView="70" workbookViewId="0">
      <selection activeCell="C27" sqref="C27"/>
    </sheetView>
  </sheetViews>
  <sheetFormatPr defaultRowHeight="15" x14ac:dyDescent="0.25"/>
  <cols>
    <col min="2" max="2" width="23" customWidth="1"/>
    <col min="3" max="3" width="21" customWidth="1"/>
    <col min="4" max="4" width="13.7109375" customWidth="1"/>
    <col min="5" max="5" width="10.42578125" customWidth="1"/>
    <col min="6" max="6" width="7.85546875" customWidth="1"/>
    <col min="7" max="7" width="11.140625" customWidth="1"/>
    <col min="9" max="9" width="23" customWidth="1"/>
    <col min="10" max="10" width="21" customWidth="1"/>
    <col min="11" max="11" width="13.7109375" customWidth="1"/>
    <col min="12" max="12" width="10.42578125" customWidth="1"/>
    <col min="13" max="13" width="7.85546875" customWidth="1"/>
    <col min="14" max="14" width="11.140625" customWidth="1"/>
    <col min="16" max="16" width="25.42578125" customWidth="1"/>
    <col min="17" max="17" width="21" customWidth="1"/>
    <col min="18" max="18" width="13.7109375" customWidth="1"/>
    <col min="19" max="19" width="9" customWidth="1"/>
    <col min="20" max="20" width="7.28515625" customWidth="1"/>
    <col min="21" max="21" width="13" customWidth="1"/>
    <col min="23" max="23" width="25.42578125" customWidth="1"/>
    <col min="24" max="24" width="21" customWidth="1"/>
    <col min="25" max="25" width="13.7109375" customWidth="1"/>
    <col min="26" max="26" width="9" customWidth="1"/>
    <col min="27" max="27" width="7.28515625" customWidth="1"/>
    <col min="28" max="28" width="13" customWidth="1"/>
  </cols>
  <sheetData>
    <row r="1" spans="2:25" ht="15.75" thickBot="1" x14ac:dyDescent="0.3">
      <c r="B1" s="135" t="s">
        <v>140</v>
      </c>
      <c r="C1" s="135"/>
      <c r="I1" s="135" t="s">
        <v>108</v>
      </c>
      <c r="J1" s="135"/>
      <c r="P1" s="135" t="s">
        <v>109</v>
      </c>
      <c r="Q1" s="135"/>
      <c r="W1" s="135" t="s">
        <v>141</v>
      </c>
      <c r="X1" s="135"/>
    </row>
    <row r="3" spans="2:25" x14ac:dyDescent="0.25">
      <c r="B3" s="9" t="s">
        <v>5</v>
      </c>
      <c r="C3" s="23">
        <v>25</v>
      </c>
      <c r="I3" s="9" t="s">
        <v>5</v>
      </c>
      <c r="J3" s="23">
        <v>35</v>
      </c>
      <c r="P3" s="9" t="s">
        <v>5</v>
      </c>
      <c r="Q3" s="23">
        <v>45</v>
      </c>
      <c r="W3" s="9" t="s">
        <v>5</v>
      </c>
      <c r="X3" s="23">
        <v>50</v>
      </c>
    </row>
    <row r="4" spans="2:25" x14ac:dyDescent="0.25">
      <c r="B4" s="9" t="s">
        <v>2</v>
      </c>
      <c r="C4" s="23" t="s">
        <v>125</v>
      </c>
      <c r="I4" s="9" t="s">
        <v>2</v>
      </c>
      <c r="J4" s="23" t="s">
        <v>7</v>
      </c>
      <c r="P4" s="9" t="s">
        <v>2</v>
      </c>
      <c r="Q4" s="23" t="s">
        <v>7</v>
      </c>
      <c r="W4" s="9" t="s">
        <v>2</v>
      </c>
      <c r="X4" s="23" t="s">
        <v>26</v>
      </c>
    </row>
    <row r="5" spans="2:25" ht="20.25" customHeight="1" x14ac:dyDescent="0.25">
      <c r="B5" s="9" t="s">
        <v>6</v>
      </c>
      <c r="C5" s="25">
        <v>1.6E-2</v>
      </c>
      <c r="I5" s="9" t="s">
        <v>6</v>
      </c>
      <c r="J5" s="25">
        <v>5.8999999999999997E-2</v>
      </c>
      <c r="P5" s="9" t="s">
        <v>6</v>
      </c>
      <c r="Q5" s="25">
        <v>5.7000000000000002E-2</v>
      </c>
      <c r="W5" s="9" t="s">
        <v>6</v>
      </c>
      <c r="X5" s="25">
        <v>5.6000000000000001E-2</v>
      </c>
    </row>
    <row r="6" spans="2:25" x14ac:dyDescent="0.25">
      <c r="B6" s="9" t="s">
        <v>10</v>
      </c>
      <c r="C6" s="23">
        <v>1.6E-2</v>
      </c>
      <c r="I6" s="9" t="s">
        <v>10</v>
      </c>
      <c r="J6" s="23">
        <v>1.6E-2</v>
      </c>
      <c r="P6" s="9" t="s">
        <v>10</v>
      </c>
      <c r="Q6" s="23">
        <v>1.6E-2</v>
      </c>
      <c r="W6" s="9" t="s">
        <v>10</v>
      </c>
      <c r="X6" s="23">
        <v>1.6E-2</v>
      </c>
    </row>
    <row r="7" spans="2:25" x14ac:dyDescent="0.25">
      <c r="B7" s="9" t="s">
        <v>8</v>
      </c>
      <c r="C7" s="23">
        <v>143</v>
      </c>
      <c r="I7" s="9" t="s">
        <v>8</v>
      </c>
      <c r="J7" s="23">
        <v>161</v>
      </c>
      <c r="P7" s="9" t="s">
        <v>8</v>
      </c>
      <c r="Q7" s="23">
        <v>185</v>
      </c>
      <c r="W7" s="9" t="s">
        <v>8</v>
      </c>
      <c r="X7" s="23">
        <v>200</v>
      </c>
    </row>
    <row r="8" spans="2:25" x14ac:dyDescent="0.25">
      <c r="B8" s="9" t="s">
        <v>9</v>
      </c>
      <c r="C8" s="23">
        <v>16</v>
      </c>
      <c r="D8" t="s">
        <v>38</v>
      </c>
      <c r="I8" s="9" t="s">
        <v>9</v>
      </c>
      <c r="J8" s="23">
        <v>16</v>
      </c>
      <c r="K8" t="s">
        <v>38</v>
      </c>
      <c r="P8" s="9" t="s">
        <v>9</v>
      </c>
      <c r="Q8" s="23">
        <v>16</v>
      </c>
      <c r="R8" t="s">
        <v>38</v>
      </c>
      <c r="W8" s="9" t="s">
        <v>9</v>
      </c>
      <c r="X8" s="23">
        <v>16</v>
      </c>
      <c r="Y8" t="s">
        <v>38</v>
      </c>
    </row>
    <row r="9" spans="2:25" ht="15.75" thickBot="1" x14ac:dyDescent="0.3">
      <c r="B9" s="9"/>
      <c r="C9" s="2"/>
      <c r="I9" s="9"/>
      <c r="J9" s="2"/>
      <c r="P9" s="9"/>
      <c r="Q9" s="2"/>
      <c r="W9" s="9"/>
      <c r="X9" s="2"/>
    </row>
    <row r="10" spans="2:25" ht="15.75" thickBot="1" x14ac:dyDescent="0.3">
      <c r="B10" s="19" t="s">
        <v>11</v>
      </c>
      <c r="C10" s="4" t="s">
        <v>12</v>
      </c>
      <c r="I10" s="19" t="s">
        <v>11</v>
      </c>
      <c r="J10" s="4" t="s">
        <v>12</v>
      </c>
      <c r="P10" s="19" t="s">
        <v>11</v>
      </c>
      <c r="Q10" s="4" t="s">
        <v>12</v>
      </c>
      <c r="W10" s="19" t="s">
        <v>11</v>
      </c>
      <c r="X10" s="4" t="s">
        <v>12</v>
      </c>
    </row>
    <row r="11" spans="2:25" x14ac:dyDescent="0.25">
      <c r="B11" s="35" t="s">
        <v>31</v>
      </c>
      <c r="C11" s="5">
        <f>ROUNDUP(C8*C7*C5,0)</f>
        <v>37</v>
      </c>
      <c r="I11" s="35" t="s">
        <v>31</v>
      </c>
      <c r="J11" s="5">
        <f>ROUNDUP(J8*J7*J5,0)</f>
        <v>152</v>
      </c>
      <c r="P11" s="35" t="s">
        <v>31</v>
      </c>
      <c r="Q11" s="5">
        <f>ROUNDUP(Q8*Q7*Q5,0)</f>
        <v>169</v>
      </c>
      <c r="W11" s="35" t="s">
        <v>31</v>
      </c>
      <c r="X11" s="5">
        <f>ROUNDUP(X8*X7*X5,0)</f>
        <v>180</v>
      </c>
    </row>
    <row r="12" spans="2:25" x14ac:dyDescent="0.25">
      <c r="B12" s="7" t="s">
        <v>32</v>
      </c>
      <c r="C12" s="24">
        <v>37</v>
      </c>
      <c r="I12" s="7" t="s">
        <v>32</v>
      </c>
      <c r="J12" s="24">
        <v>152</v>
      </c>
      <c r="P12" s="7" t="s">
        <v>32</v>
      </c>
      <c r="Q12" s="24">
        <v>169</v>
      </c>
      <c r="W12" s="7" t="s">
        <v>32</v>
      </c>
      <c r="X12" s="24">
        <v>180</v>
      </c>
    </row>
    <row r="13" spans="2:25" ht="18" x14ac:dyDescent="0.25">
      <c r="B13" s="7" t="s">
        <v>34</v>
      </c>
      <c r="C13" s="6">
        <f>C12/(C8*C5)</f>
        <v>144.53125</v>
      </c>
      <c r="I13" s="7" t="s">
        <v>34</v>
      </c>
      <c r="J13" s="6">
        <f>J12/(J8*J5)</f>
        <v>161.0169491525424</v>
      </c>
      <c r="P13" s="7" t="s">
        <v>34</v>
      </c>
      <c r="Q13" s="6">
        <f>Q12/(Q8*Q5)</f>
        <v>185.30701754385964</v>
      </c>
      <c r="W13" s="7" t="s">
        <v>34</v>
      </c>
      <c r="X13" s="6">
        <f>X12/(X8*X5)</f>
        <v>200.89285714285714</v>
      </c>
    </row>
    <row r="14" spans="2:25" x14ac:dyDescent="0.25">
      <c r="B14" s="7" t="s">
        <v>4</v>
      </c>
      <c r="C14" s="6">
        <f>(C6/C5)*C12</f>
        <v>37</v>
      </c>
      <c r="I14" s="7" t="s">
        <v>4</v>
      </c>
      <c r="J14" s="6">
        <f>(J6/J5)*J12</f>
        <v>41.220338983050844</v>
      </c>
      <c r="P14" s="7" t="s">
        <v>4</v>
      </c>
      <c r="Q14" s="6">
        <f>(Q6/Q5)*Q12</f>
        <v>47.438596491228068</v>
      </c>
      <c r="W14" s="7" t="s">
        <v>4</v>
      </c>
      <c r="X14" s="6">
        <f>(X6/X5)*X12</f>
        <v>51.428571428571423</v>
      </c>
    </row>
    <row r="15" spans="2:25" x14ac:dyDescent="0.25">
      <c r="B15" s="7"/>
      <c r="C15" s="5"/>
      <c r="I15" s="7"/>
      <c r="J15" s="5"/>
      <c r="P15" s="7"/>
      <c r="Q15" s="5"/>
      <c r="W15" s="7"/>
      <c r="X15" s="5"/>
    </row>
    <row r="16" spans="2:25" x14ac:dyDescent="0.25">
      <c r="B16" s="7"/>
      <c r="C16" s="22"/>
      <c r="I16" s="7"/>
      <c r="J16" s="22"/>
      <c r="P16" s="7"/>
      <c r="Q16" s="22"/>
      <c r="W16" s="7" t="s">
        <v>21</v>
      </c>
      <c r="X16" s="22">
        <v>80213.424400000004</v>
      </c>
    </row>
    <row r="17" spans="2:28" x14ac:dyDescent="0.25">
      <c r="B17" s="7" t="s">
        <v>0</v>
      </c>
      <c r="C17" s="22">
        <v>78838.52</v>
      </c>
      <c r="I17" s="7" t="s">
        <v>0</v>
      </c>
      <c r="J17" s="22">
        <v>79126.17</v>
      </c>
      <c r="P17" s="7" t="s">
        <v>0</v>
      </c>
      <c r="Q17" s="22">
        <v>79491.63</v>
      </c>
      <c r="W17" s="7" t="s">
        <v>23</v>
      </c>
      <c r="X17" s="22">
        <v>80363.424400000004</v>
      </c>
    </row>
    <row r="18" spans="2:28" x14ac:dyDescent="0.25">
      <c r="B18" s="7" t="s">
        <v>1</v>
      </c>
      <c r="C18" s="22">
        <v>78996.570000000007</v>
      </c>
      <c r="I18" s="7" t="s">
        <v>1</v>
      </c>
      <c r="J18" s="22">
        <v>79349.63</v>
      </c>
      <c r="P18" s="7" t="s">
        <v>1</v>
      </c>
      <c r="Q18" s="22">
        <v>79653.642500000002</v>
      </c>
      <c r="W18" s="7" t="s">
        <v>1</v>
      </c>
      <c r="X18" s="22">
        <v>80546.37</v>
      </c>
    </row>
    <row r="19" spans="2:28" x14ac:dyDescent="0.25">
      <c r="B19" s="7"/>
      <c r="C19" s="22"/>
      <c r="I19" s="7"/>
      <c r="J19" s="22"/>
      <c r="P19" s="7"/>
      <c r="Q19" s="22"/>
      <c r="W19" s="7"/>
      <c r="X19" s="22"/>
    </row>
    <row r="20" spans="2:28" x14ac:dyDescent="0.25">
      <c r="B20" s="8"/>
      <c r="C20" s="5"/>
      <c r="I20" s="8"/>
      <c r="J20" s="5"/>
      <c r="P20" s="8"/>
      <c r="Q20" s="5"/>
      <c r="W20" s="8"/>
      <c r="X20" s="5"/>
    </row>
    <row r="21" spans="2:28" x14ac:dyDescent="0.25">
      <c r="B21" s="8" t="s">
        <v>17</v>
      </c>
      <c r="C21" s="24">
        <v>0</v>
      </c>
      <c r="I21" s="8" t="s">
        <v>17</v>
      </c>
      <c r="J21" s="24">
        <v>0.5</v>
      </c>
      <c r="P21" s="8" t="s">
        <v>17</v>
      </c>
      <c r="Q21" s="24">
        <v>0.6</v>
      </c>
      <c r="W21" s="8" t="s">
        <v>17</v>
      </c>
      <c r="X21" s="24">
        <v>0.6</v>
      </c>
    </row>
    <row r="22" spans="2:28" x14ac:dyDescent="0.25">
      <c r="B22" s="8" t="s">
        <v>18</v>
      </c>
      <c r="C22" s="24">
        <v>0.5</v>
      </c>
      <c r="E22" s="56"/>
      <c r="F22" s="73"/>
      <c r="I22" s="8" t="s">
        <v>18</v>
      </c>
      <c r="J22" s="24">
        <v>0.5</v>
      </c>
      <c r="L22" s="56"/>
      <c r="M22" s="73"/>
      <c r="P22" s="8" t="s">
        <v>18</v>
      </c>
      <c r="Q22" s="24">
        <v>0.6</v>
      </c>
      <c r="W22" s="8" t="s">
        <v>18</v>
      </c>
      <c r="X22" s="24">
        <v>0.5</v>
      </c>
    </row>
    <row r="23" spans="2:28" x14ac:dyDescent="0.25">
      <c r="B23" s="17"/>
      <c r="C23" s="12"/>
      <c r="I23" s="17"/>
      <c r="J23" s="12"/>
      <c r="P23" s="17"/>
      <c r="Q23" s="12"/>
      <c r="W23" s="17"/>
      <c r="X23" s="12"/>
    </row>
    <row r="24" spans="2:28" ht="15.75" thickBot="1" x14ac:dyDescent="0.3">
      <c r="B24" s="13"/>
      <c r="C24" s="39" t="s">
        <v>19</v>
      </c>
      <c r="I24" s="13"/>
      <c r="J24" s="39" t="s">
        <v>19</v>
      </c>
      <c r="P24" s="13"/>
      <c r="Q24" s="39" t="s">
        <v>19</v>
      </c>
      <c r="W24" s="13"/>
      <c r="X24" s="39" t="s">
        <v>19</v>
      </c>
    </row>
    <row r="25" spans="2:28" x14ac:dyDescent="0.25">
      <c r="B25" s="40" t="s">
        <v>13</v>
      </c>
      <c r="C25" s="121">
        <v>78828</v>
      </c>
      <c r="D25" s="98"/>
      <c r="E25" s="47">
        <v>5.5999999999999999E-3</v>
      </c>
      <c r="I25" s="40" t="s">
        <v>13</v>
      </c>
      <c r="J25" s="125">
        <f>J26-J14</f>
        <v>79008.949661016944</v>
      </c>
      <c r="K25" s="98"/>
      <c r="P25" s="40" t="s">
        <v>13</v>
      </c>
      <c r="Q25" s="46">
        <f>Q26-Q14</f>
        <v>79342.791403508789</v>
      </c>
      <c r="R25" s="98"/>
      <c r="W25" s="40" t="s">
        <v>13</v>
      </c>
      <c r="X25" s="49"/>
      <c r="Y25" s="98"/>
    </row>
    <row r="26" spans="2:28" x14ac:dyDescent="0.25">
      <c r="B26" s="8" t="s">
        <v>14</v>
      </c>
      <c r="C26" s="122">
        <f>C25+C14</f>
        <v>78865</v>
      </c>
      <c r="D26" s="98"/>
      <c r="E26" s="48">
        <v>0</v>
      </c>
      <c r="F26" s="48"/>
      <c r="I26" s="8" t="s">
        <v>14</v>
      </c>
      <c r="J26" s="120">
        <f>J17-(J21*J12)</f>
        <v>79050.17</v>
      </c>
      <c r="K26" s="98"/>
      <c r="L26" s="48"/>
      <c r="M26" s="48"/>
      <c r="P26" s="8" t="s">
        <v>14</v>
      </c>
      <c r="Q26" s="45">
        <f>Q17-(Q21*Q12)</f>
        <v>79390.23000000001</v>
      </c>
      <c r="R26" s="98"/>
      <c r="S26" s="48"/>
      <c r="T26" s="48"/>
      <c r="W26" s="8" t="s">
        <v>14</v>
      </c>
      <c r="X26" s="50"/>
      <c r="Y26" s="98"/>
      <c r="Z26" s="48"/>
      <c r="AA26" s="48"/>
    </row>
    <row r="27" spans="2:28" x14ac:dyDescent="0.25">
      <c r="B27" s="8" t="s">
        <v>15</v>
      </c>
      <c r="C27" s="122">
        <f>C25+2*C14</f>
        <v>78902</v>
      </c>
      <c r="D27" s="98"/>
      <c r="E27" s="47">
        <v>1.6E-2</v>
      </c>
      <c r="F27" s="10" t="s">
        <v>58</v>
      </c>
      <c r="G27" s="51">
        <f>(C27-C25)/((0.0056+0.016)*C8)</f>
        <v>214.12037037037035</v>
      </c>
      <c r="I27" s="8" t="s">
        <v>15</v>
      </c>
      <c r="J27" s="60">
        <f>J26+J14</f>
        <v>79091.390338983052</v>
      </c>
      <c r="K27" s="98"/>
      <c r="L27" s="47">
        <v>1.6E-2</v>
      </c>
      <c r="M27" s="10" t="s">
        <v>58</v>
      </c>
      <c r="N27" s="51">
        <f>(J28-J27)/((J5-0.016)*J8)</f>
        <v>161.01694915253807</v>
      </c>
      <c r="P27" s="8" t="s">
        <v>15</v>
      </c>
      <c r="Q27" s="50">
        <f>Q26+Q14</f>
        <v>79437.668596491232</v>
      </c>
      <c r="R27" s="98"/>
      <c r="S27" s="47">
        <v>1.6E-2</v>
      </c>
      <c r="T27" s="10" t="s">
        <v>58</v>
      </c>
      <c r="U27" s="51">
        <f>(Q28-Q27)/((0.057-0.016)*Q8)</f>
        <v>185.30701754386936</v>
      </c>
      <c r="W27" s="8" t="s">
        <v>15</v>
      </c>
      <c r="X27" s="50">
        <f>X16</f>
        <v>80213.424400000004</v>
      </c>
      <c r="Y27" s="98"/>
      <c r="Z27" s="47">
        <v>1.6E-2</v>
      </c>
      <c r="AA27" s="10" t="s">
        <v>58</v>
      </c>
      <c r="AB27" s="51">
        <f>(X17-X16)/((0.056-0.016)*X8)</f>
        <v>234.375</v>
      </c>
    </row>
    <row r="28" spans="2:28" x14ac:dyDescent="0.25">
      <c r="B28" s="8" t="s">
        <v>16</v>
      </c>
      <c r="C28" s="50"/>
      <c r="D28" s="98"/>
      <c r="E28" s="47">
        <v>1.6E-2</v>
      </c>
      <c r="F28" s="47"/>
      <c r="G28" s="47"/>
      <c r="I28" s="8" t="s">
        <v>16</v>
      </c>
      <c r="J28" s="60">
        <f>J26+J12</f>
        <v>79202.17</v>
      </c>
      <c r="K28" s="98"/>
      <c r="L28" s="47">
        <v>5.8999999999999997E-2</v>
      </c>
      <c r="M28" s="47"/>
      <c r="N28" s="47"/>
      <c r="P28" s="8" t="s">
        <v>16</v>
      </c>
      <c r="Q28" s="50">
        <f>Q26+Q12</f>
        <v>79559.23000000001</v>
      </c>
      <c r="R28" s="98"/>
      <c r="S28" s="47">
        <v>5.7000000000000002E-2</v>
      </c>
      <c r="T28" s="47"/>
      <c r="U28" s="47"/>
      <c r="W28" s="8" t="s">
        <v>16</v>
      </c>
      <c r="X28" s="50">
        <f>X17</f>
        <v>80363.424400000004</v>
      </c>
      <c r="Y28" s="98"/>
      <c r="Z28" s="47">
        <v>5.6000000000000001E-2</v>
      </c>
      <c r="AA28" s="47"/>
      <c r="AB28" s="47"/>
    </row>
    <row r="29" spans="2:28" x14ac:dyDescent="0.25">
      <c r="B29" s="15"/>
      <c r="C29" s="57"/>
      <c r="I29" s="15"/>
      <c r="J29" s="106"/>
      <c r="P29" s="15"/>
      <c r="Q29" s="57"/>
      <c r="W29" s="15"/>
      <c r="X29" s="57"/>
    </row>
    <row r="30" spans="2:28" ht="15.75" thickBot="1" x14ac:dyDescent="0.3">
      <c r="B30" s="14"/>
      <c r="C30" s="58" t="s">
        <v>20</v>
      </c>
      <c r="I30" s="14"/>
      <c r="J30" s="124" t="s">
        <v>20</v>
      </c>
      <c r="P30" s="14"/>
      <c r="Q30" s="58" t="s">
        <v>20</v>
      </c>
      <c r="W30" s="14"/>
      <c r="X30" s="58" t="s">
        <v>20</v>
      </c>
    </row>
    <row r="31" spans="2:28" x14ac:dyDescent="0.25">
      <c r="B31" s="40" t="s">
        <v>16</v>
      </c>
      <c r="C31" s="49">
        <f>C33-C12</f>
        <v>78978.070000000007</v>
      </c>
      <c r="D31" s="98"/>
      <c r="E31" s="47">
        <v>1.6E-2</v>
      </c>
      <c r="F31" s="47"/>
      <c r="G31" s="47"/>
      <c r="I31" s="40" t="s">
        <v>16</v>
      </c>
      <c r="J31" s="119">
        <f>J33-J12</f>
        <v>79273.63</v>
      </c>
      <c r="K31" s="98"/>
      <c r="L31" s="47">
        <v>5.8999999999999997E-2</v>
      </c>
      <c r="M31" s="47"/>
      <c r="N31" s="47"/>
      <c r="P31" s="40" t="s">
        <v>16</v>
      </c>
      <c r="Q31" s="49">
        <f>Q33-Q12</f>
        <v>79586.042499999996</v>
      </c>
      <c r="R31" s="98"/>
      <c r="S31" s="47">
        <v>5.7000000000000002E-2</v>
      </c>
      <c r="T31" s="47"/>
      <c r="U31" s="47"/>
      <c r="W31" s="40" t="s">
        <v>16</v>
      </c>
      <c r="X31" s="49">
        <f>X33-X12</f>
        <v>80456.37</v>
      </c>
      <c r="Y31" s="98"/>
      <c r="Z31" s="47">
        <v>5.6000000000000001E-2</v>
      </c>
      <c r="AA31" s="47"/>
      <c r="AB31" s="47"/>
    </row>
    <row r="32" spans="2:28" x14ac:dyDescent="0.25">
      <c r="B32" s="8" t="s">
        <v>15</v>
      </c>
      <c r="C32" s="50">
        <f>C33-C14</f>
        <v>78978.070000000007</v>
      </c>
      <c r="D32" s="98"/>
      <c r="E32" s="47">
        <v>1.6E-2</v>
      </c>
      <c r="F32" s="10" t="s">
        <v>58</v>
      </c>
      <c r="G32" s="51">
        <f>(C34-C32)/((0.016+0.016)*C8)</f>
        <v>144.53125</v>
      </c>
      <c r="I32" s="8" t="s">
        <v>15</v>
      </c>
      <c r="J32" s="60">
        <f>J33-J14</f>
        <v>79384.409661016951</v>
      </c>
      <c r="K32" s="98"/>
      <c r="L32" s="47">
        <v>1.6E-2</v>
      </c>
      <c r="M32" s="10" t="s">
        <v>58</v>
      </c>
      <c r="N32" s="51">
        <f>(J32-J31)/((J5-0.016)*J8)</f>
        <v>161.01694915253807</v>
      </c>
      <c r="P32" s="8" t="s">
        <v>15</v>
      </c>
      <c r="Q32" s="50">
        <f>Q33-Q14</f>
        <v>79707.603903508774</v>
      </c>
      <c r="R32" s="98"/>
      <c r="S32" s="47">
        <v>1.6E-2</v>
      </c>
      <c r="T32" s="10" t="s">
        <v>58</v>
      </c>
      <c r="U32" s="51">
        <f>(Q32-Q31)/((0.057-0.016)*Q8)</f>
        <v>185.30701754386936</v>
      </c>
      <c r="W32" s="8" t="s">
        <v>15</v>
      </c>
      <c r="X32" s="50">
        <f>X18</f>
        <v>80546.37</v>
      </c>
      <c r="Y32" s="98"/>
      <c r="Z32" s="48">
        <v>0.06</v>
      </c>
      <c r="AA32" s="10" t="s">
        <v>58</v>
      </c>
      <c r="AB32" s="51">
        <f>(X32-X31)/((0.06-0.056)*X8)</f>
        <v>1406.2500000000011</v>
      </c>
    </row>
    <row r="33" spans="2:28" x14ac:dyDescent="0.25">
      <c r="B33" s="8" t="s">
        <v>14</v>
      </c>
      <c r="C33" s="123">
        <f>C18+(C22*C12)</f>
        <v>79015.070000000007</v>
      </c>
      <c r="D33" s="98"/>
      <c r="E33" s="48">
        <v>0</v>
      </c>
      <c r="I33" s="8" t="s">
        <v>14</v>
      </c>
      <c r="J33" s="120">
        <f>J18+(J22*J12)</f>
        <v>79425.63</v>
      </c>
      <c r="K33" s="98"/>
      <c r="L33" s="48">
        <v>0</v>
      </c>
      <c r="P33" s="8" t="s">
        <v>14</v>
      </c>
      <c r="Q33" s="45">
        <f>Q18+(Q22*Q12)</f>
        <v>79755.042499999996</v>
      </c>
      <c r="R33" s="98"/>
      <c r="S33" s="48">
        <v>0</v>
      </c>
      <c r="W33" s="8" t="s">
        <v>14</v>
      </c>
      <c r="X33" s="45">
        <f>X18+(X22*X12)</f>
        <v>80636.37</v>
      </c>
      <c r="Y33" s="98"/>
      <c r="Z33" s="48">
        <v>0</v>
      </c>
    </row>
    <row r="34" spans="2:28" x14ac:dyDescent="0.25">
      <c r="B34" s="8" t="s">
        <v>13</v>
      </c>
      <c r="C34" s="123">
        <f>C33+C14</f>
        <v>79052.070000000007</v>
      </c>
      <c r="D34" s="98"/>
      <c r="E34" s="47">
        <v>1.6E-2</v>
      </c>
      <c r="I34" s="8" t="s">
        <v>13</v>
      </c>
      <c r="J34" s="120">
        <f>J33+J14</f>
        <v>79466.850338983058</v>
      </c>
      <c r="K34" s="98"/>
      <c r="L34" s="47">
        <v>1.6E-2</v>
      </c>
      <c r="P34" s="8" t="s">
        <v>13</v>
      </c>
      <c r="Q34" s="45">
        <f>Q33+Q14</f>
        <v>79802.481096491218</v>
      </c>
      <c r="R34" s="98"/>
      <c r="S34" s="47">
        <v>1.6E-2</v>
      </c>
      <c r="W34" s="8" t="s">
        <v>13</v>
      </c>
      <c r="X34" s="45">
        <f>X33+X14</f>
        <v>80687.798571428561</v>
      </c>
      <c r="Y34" s="98"/>
      <c r="Z34" s="47">
        <v>1.6E-2</v>
      </c>
    </row>
    <row r="37" spans="2:28" x14ac:dyDescent="0.25">
      <c r="Y37" s="137" t="s">
        <v>113</v>
      </c>
      <c r="Z37" s="137"/>
      <c r="AA37" s="137"/>
      <c r="AB37" s="137"/>
    </row>
    <row r="38" spans="2:28" x14ac:dyDescent="0.25">
      <c r="Y38" s="137"/>
      <c r="Z38" s="137"/>
      <c r="AA38" s="137"/>
      <c r="AB38" s="137"/>
    </row>
  </sheetData>
  <mergeCells count="5">
    <mergeCell ref="Y37:AB38"/>
    <mergeCell ref="W1:X1"/>
    <mergeCell ref="I1:J1"/>
    <mergeCell ref="P1:Q1"/>
    <mergeCell ref="B1:C1"/>
  </mergeCells>
  <pageMargins left="0.7" right="0.7" top="0.75" bottom="0.75" header="0.3" footer="0.3"/>
  <pageSetup scale="87" orientation="portrait" r:id="rId1"/>
  <headerFooter>
    <oddHeader>&amp;RCalculated By:______&amp;UABS   5/3/14 _&amp;U_____
Checked By:_____________________</oddHeader>
  </headerFooter>
  <colBreaks count="1" manualBreakCount="1"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37"/>
  <sheetViews>
    <sheetView view="pageLayout" zoomScale="70" zoomScaleNormal="100" zoomScalePageLayoutView="70" workbookViewId="0">
      <selection activeCell="F35" sqref="F35"/>
    </sheetView>
  </sheetViews>
  <sheetFormatPr defaultRowHeight="15" x14ac:dyDescent="0.25"/>
  <cols>
    <col min="2" max="2" width="23" customWidth="1"/>
    <col min="3" max="3" width="21" customWidth="1"/>
    <col min="4" max="4" width="13.7109375" customWidth="1"/>
    <col min="5" max="5" width="10.42578125" customWidth="1"/>
    <col min="6" max="6" width="7.85546875" customWidth="1"/>
    <col min="7" max="7" width="11.140625" customWidth="1"/>
  </cols>
  <sheetData>
    <row r="1" spans="2:4" ht="15.75" thickBot="1" x14ac:dyDescent="0.3">
      <c r="B1" s="135" t="s">
        <v>140</v>
      </c>
      <c r="C1" s="135"/>
    </row>
    <row r="3" spans="2:4" x14ac:dyDescent="0.25">
      <c r="B3" s="9" t="s">
        <v>5</v>
      </c>
      <c r="C3" s="23">
        <v>30</v>
      </c>
    </row>
    <row r="4" spans="2:4" x14ac:dyDescent="0.25">
      <c r="B4" s="9" t="s">
        <v>2</v>
      </c>
      <c r="C4" s="23" t="s">
        <v>125</v>
      </c>
    </row>
    <row r="5" spans="2:4" ht="20.25" customHeight="1" x14ac:dyDescent="0.25">
      <c r="B5" s="9" t="s">
        <v>6</v>
      </c>
      <c r="C5" s="127">
        <v>0.05</v>
      </c>
    </row>
    <row r="6" spans="2:4" x14ac:dyDescent="0.25">
      <c r="B6" s="9" t="s">
        <v>10</v>
      </c>
      <c r="C6" s="23">
        <v>0.02</v>
      </c>
    </row>
    <row r="7" spans="2:4" x14ac:dyDescent="0.25">
      <c r="B7" s="9" t="s">
        <v>8</v>
      </c>
      <c r="C7" s="23">
        <v>152</v>
      </c>
    </row>
    <row r="8" spans="2:4" x14ac:dyDescent="0.25">
      <c r="B8" s="9" t="s">
        <v>9</v>
      </c>
      <c r="C8" s="23">
        <v>14</v>
      </c>
      <c r="D8" t="s">
        <v>38</v>
      </c>
    </row>
    <row r="9" spans="2:4" ht="15.75" thickBot="1" x14ac:dyDescent="0.3">
      <c r="B9" s="9"/>
      <c r="C9" s="2"/>
    </row>
    <row r="10" spans="2:4" ht="15.75" thickBot="1" x14ac:dyDescent="0.3">
      <c r="B10" s="19" t="s">
        <v>11</v>
      </c>
      <c r="C10" s="4" t="s">
        <v>12</v>
      </c>
    </row>
    <row r="11" spans="2:4" x14ac:dyDescent="0.25">
      <c r="B11" s="35" t="s">
        <v>31</v>
      </c>
      <c r="C11" s="5">
        <f>ROUNDUP(C8*C7*C5,0)</f>
        <v>107</v>
      </c>
    </row>
    <row r="12" spans="2:4" x14ac:dyDescent="0.25">
      <c r="B12" s="7" t="s">
        <v>32</v>
      </c>
      <c r="C12" s="24">
        <v>110</v>
      </c>
    </row>
    <row r="13" spans="2:4" ht="18" x14ac:dyDescent="0.25">
      <c r="B13" s="7" t="s">
        <v>34</v>
      </c>
      <c r="C13" s="6">
        <f>C12/(C8*C5)</f>
        <v>157.14285714285714</v>
      </c>
    </row>
    <row r="14" spans="2:4" x14ac:dyDescent="0.25">
      <c r="B14" s="7" t="s">
        <v>4</v>
      </c>
      <c r="C14" s="6">
        <f>(C6/C5)*C12</f>
        <v>43.999999999999993</v>
      </c>
    </row>
    <row r="15" spans="2:4" x14ac:dyDescent="0.25">
      <c r="B15" s="7"/>
      <c r="C15" s="5"/>
    </row>
    <row r="16" spans="2:4" x14ac:dyDescent="0.25">
      <c r="B16" s="7"/>
      <c r="C16" s="22"/>
    </row>
    <row r="17" spans="2:8" x14ac:dyDescent="0.25">
      <c r="B17" s="7" t="s">
        <v>0</v>
      </c>
      <c r="C17" s="22">
        <v>7053.18</v>
      </c>
    </row>
    <row r="18" spans="2:8" x14ac:dyDescent="0.25">
      <c r="B18" s="7" t="s">
        <v>1</v>
      </c>
      <c r="C18" s="22">
        <v>7168.42</v>
      </c>
    </row>
    <row r="19" spans="2:8" x14ac:dyDescent="0.25">
      <c r="B19" s="7"/>
      <c r="C19" s="22"/>
    </row>
    <row r="20" spans="2:8" x14ac:dyDescent="0.25">
      <c r="B20" s="8"/>
      <c r="C20" s="5"/>
    </row>
    <row r="21" spans="2:8" x14ac:dyDescent="0.25">
      <c r="B21" s="8" t="s">
        <v>17</v>
      </c>
      <c r="C21" s="24" t="s">
        <v>35</v>
      </c>
    </row>
    <row r="22" spans="2:8" x14ac:dyDescent="0.25">
      <c r="B22" s="8" t="s">
        <v>18</v>
      </c>
      <c r="C22" s="24" t="s">
        <v>35</v>
      </c>
      <c r="E22" s="56"/>
      <c r="F22" s="73"/>
    </row>
    <row r="23" spans="2:8" x14ac:dyDescent="0.25">
      <c r="B23" s="17"/>
      <c r="C23" s="12"/>
    </row>
    <row r="24" spans="2:8" ht="15.75" thickBot="1" x14ac:dyDescent="0.3">
      <c r="B24" s="13"/>
      <c r="C24" s="39" t="s">
        <v>19</v>
      </c>
    </row>
    <row r="25" spans="2:8" x14ac:dyDescent="0.25">
      <c r="B25" s="40" t="s">
        <v>13</v>
      </c>
      <c r="C25" s="131" t="e">
        <f>C26-C14</f>
        <v>#VALUE!</v>
      </c>
      <c r="E25" s="110"/>
      <c r="H25" s="47"/>
    </row>
    <row r="26" spans="2:8" x14ac:dyDescent="0.25">
      <c r="B26" s="8" t="s">
        <v>14</v>
      </c>
      <c r="C26" s="132" t="e">
        <f>C17-(C12*C21)</f>
        <v>#VALUE!</v>
      </c>
      <c r="E26" s="110"/>
      <c r="F26" s="48"/>
      <c r="H26" s="48"/>
    </row>
    <row r="27" spans="2:8" x14ac:dyDescent="0.25">
      <c r="B27" s="8" t="s">
        <v>15</v>
      </c>
      <c r="C27" s="122">
        <v>6985</v>
      </c>
      <c r="D27">
        <v>0.02</v>
      </c>
      <c r="E27" s="110"/>
      <c r="F27" s="10" t="s">
        <v>58</v>
      </c>
      <c r="G27" s="51">
        <f>(C28-C27)/((0.0358-0.02)*C8)</f>
        <v>180.83182640144668</v>
      </c>
      <c r="H27" s="47"/>
    </row>
    <row r="28" spans="2:8" x14ac:dyDescent="0.25">
      <c r="B28" s="8" t="s">
        <v>16</v>
      </c>
      <c r="C28" s="50">
        <v>7025</v>
      </c>
      <c r="D28">
        <v>0.35799999999999998</v>
      </c>
      <c r="E28" s="110"/>
      <c r="F28" s="47"/>
      <c r="G28" s="47"/>
      <c r="H28" s="47"/>
    </row>
    <row r="29" spans="2:8" x14ac:dyDescent="0.25">
      <c r="B29" s="15"/>
      <c r="C29" s="57"/>
      <c r="E29" s="100"/>
    </row>
    <row r="30" spans="2:8" ht="15.75" thickBot="1" x14ac:dyDescent="0.3">
      <c r="B30" s="14"/>
      <c r="C30" s="58" t="s">
        <v>20</v>
      </c>
      <c r="E30" s="100"/>
    </row>
    <row r="31" spans="2:8" x14ac:dyDescent="0.25">
      <c r="B31" s="40" t="s">
        <v>16</v>
      </c>
      <c r="C31" s="128" t="e">
        <f>C33-C12</f>
        <v>#VALUE!</v>
      </c>
      <c r="E31" s="110"/>
      <c r="F31" s="47"/>
      <c r="G31" s="47"/>
      <c r="H31" s="47"/>
    </row>
    <row r="32" spans="2:8" x14ac:dyDescent="0.25">
      <c r="B32" s="8" t="s">
        <v>15</v>
      </c>
      <c r="C32" s="129" t="e">
        <f>C33-C14</f>
        <v>#VALUE!</v>
      </c>
      <c r="E32" s="110"/>
      <c r="F32" s="10" t="s">
        <v>58</v>
      </c>
      <c r="G32" s="51" t="e">
        <f>(C34-C32)/((0.016+0.016)*C8)</f>
        <v>#VALUE!</v>
      </c>
      <c r="H32" s="47"/>
    </row>
    <row r="33" spans="2:8" x14ac:dyDescent="0.25">
      <c r="B33" s="8" t="s">
        <v>14</v>
      </c>
      <c r="C33" s="129" t="e">
        <f>C18+(C22*C12)</f>
        <v>#VALUE!</v>
      </c>
      <c r="E33" s="110"/>
      <c r="H33" s="48"/>
    </row>
    <row r="34" spans="2:8" x14ac:dyDescent="0.25">
      <c r="B34" s="8" t="s">
        <v>13</v>
      </c>
      <c r="C34" s="129" t="e">
        <f>C33+C14</f>
        <v>#VALUE!</v>
      </c>
      <c r="E34" s="110"/>
      <c r="H34" s="47"/>
    </row>
    <row r="37" spans="2:8" x14ac:dyDescent="0.25">
      <c r="B37" s="130" t="s">
        <v>142</v>
      </c>
    </row>
  </sheetData>
  <mergeCells count="1">
    <mergeCell ref="B1:C1"/>
  </mergeCells>
  <pageMargins left="0.7" right="0.7" top="0.75" bottom="0.75" header="0.3" footer="0.3"/>
  <pageSetup scale="87" orientation="portrait" r:id="rId1"/>
  <headerFooter>
    <oddHeader>&amp;RCalculated By:______&amp;UABS   5/9/14 _&amp;U_____
Checked By:_____________________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O42"/>
  <sheetViews>
    <sheetView view="pageLayout" zoomScale="60" zoomScaleNormal="80" zoomScalePageLayoutView="60" workbookViewId="0">
      <selection activeCell="K20" sqref="K20"/>
    </sheetView>
  </sheetViews>
  <sheetFormatPr defaultRowHeight="15" x14ac:dyDescent="0.25"/>
  <cols>
    <col min="2" max="2" width="25.42578125" customWidth="1"/>
    <col min="3" max="3" width="21" customWidth="1"/>
    <col min="4" max="4" width="13.7109375" customWidth="1"/>
    <col min="5" max="5" width="9" customWidth="1"/>
    <col min="6" max="6" width="7.28515625" customWidth="1"/>
    <col min="7" max="7" width="13" customWidth="1"/>
    <col min="9" max="9" width="25.42578125" customWidth="1"/>
    <col min="10" max="10" width="21" customWidth="1"/>
    <col min="11" max="11" width="13.7109375" customWidth="1"/>
    <col min="12" max="12" width="9" customWidth="1"/>
    <col min="13" max="13" width="7.28515625" customWidth="1"/>
    <col min="14" max="14" width="13" customWidth="1"/>
    <col min="15" max="15" width="15.85546875" customWidth="1"/>
  </cols>
  <sheetData>
    <row r="1" spans="2:15" ht="15.75" thickBot="1" x14ac:dyDescent="0.3">
      <c r="B1" s="135" t="s">
        <v>110</v>
      </c>
      <c r="C1" s="135"/>
      <c r="I1" s="135" t="s">
        <v>111</v>
      </c>
      <c r="J1" s="135"/>
      <c r="O1" s="2"/>
    </row>
    <row r="2" spans="2:15" x14ac:dyDescent="0.25">
      <c r="O2" s="2"/>
    </row>
    <row r="3" spans="2:15" x14ac:dyDescent="0.25">
      <c r="B3" s="9" t="s">
        <v>5</v>
      </c>
      <c r="C3" s="23">
        <v>45</v>
      </c>
      <c r="I3" s="9" t="s">
        <v>5</v>
      </c>
      <c r="J3" s="23">
        <v>45</v>
      </c>
      <c r="O3" s="2"/>
    </row>
    <row r="4" spans="2:15" x14ac:dyDescent="0.25">
      <c r="B4" s="9" t="s">
        <v>2</v>
      </c>
      <c r="C4" s="23" t="s">
        <v>7</v>
      </c>
      <c r="I4" s="9" t="s">
        <v>2</v>
      </c>
      <c r="J4" s="23" t="s">
        <v>7</v>
      </c>
      <c r="O4" s="2"/>
    </row>
    <row r="5" spans="2:15" ht="20.25" customHeight="1" x14ac:dyDescent="0.25">
      <c r="B5" s="9" t="s">
        <v>6</v>
      </c>
      <c r="C5" s="25">
        <v>5.7000000000000002E-2</v>
      </c>
      <c r="I5" s="9" t="s">
        <v>6</v>
      </c>
      <c r="J5" s="25">
        <v>0.06</v>
      </c>
      <c r="O5" s="2"/>
    </row>
    <row r="6" spans="2:15" x14ac:dyDescent="0.25">
      <c r="B6" s="9" t="s">
        <v>10</v>
      </c>
      <c r="C6" s="23">
        <v>1.6E-2</v>
      </c>
      <c r="I6" s="9" t="s">
        <v>10</v>
      </c>
      <c r="J6" s="23">
        <v>1.6E-2</v>
      </c>
      <c r="O6" s="2"/>
    </row>
    <row r="7" spans="2:15" x14ac:dyDescent="0.25">
      <c r="B7" s="9" t="s">
        <v>8</v>
      </c>
      <c r="C7" s="23">
        <v>185</v>
      </c>
      <c r="I7" s="9" t="s">
        <v>8</v>
      </c>
      <c r="J7" s="23">
        <v>185</v>
      </c>
      <c r="O7" s="2"/>
    </row>
    <row r="8" spans="2:15" x14ac:dyDescent="0.25">
      <c r="B8" s="9" t="s">
        <v>9</v>
      </c>
      <c r="C8" s="23">
        <v>16</v>
      </c>
      <c r="D8" t="s">
        <v>38</v>
      </c>
      <c r="I8" s="9" t="s">
        <v>9</v>
      </c>
      <c r="J8" s="23">
        <v>16</v>
      </c>
      <c r="K8" t="s">
        <v>38</v>
      </c>
      <c r="O8" s="2"/>
    </row>
    <row r="9" spans="2:15" ht="15.75" thickBot="1" x14ac:dyDescent="0.3">
      <c r="B9" s="9"/>
      <c r="C9" s="2"/>
      <c r="I9" s="9"/>
      <c r="J9" s="2"/>
      <c r="O9" s="2"/>
    </row>
    <row r="10" spans="2:15" ht="15.75" thickBot="1" x14ac:dyDescent="0.3">
      <c r="B10" s="19" t="s">
        <v>11</v>
      </c>
      <c r="C10" s="4" t="s">
        <v>12</v>
      </c>
      <c r="I10" s="19" t="s">
        <v>11</v>
      </c>
      <c r="J10" s="4" t="s">
        <v>12</v>
      </c>
      <c r="O10" s="2"/>
    </row>
    <row r="11" spans="2:15" x14ac:dyDescent="0.25">
      <c r="B11" s="35" t="s">
        <v>31</v>
      </c>
      <c r="C11" s="5">
        <f>ROUNDUP(C8*C7*C5,0)</f>
        <v>169</v>
      </c>
      <c r="I11" s="35" t="s">
        <v>31</v>
      </c>
      <c r="J11" s="5">
        <f>ROUNDUP(J8*J7*J5,0)</f>
        <v>178</v>
      </c>
      <c r="O11" s="2"/>
    </row>
    <row r="12" spans="2:15" x14ac:dyDescent="0.25">
      <c r="B12" s="7" t="s">
        <v>32</v>
      </c>
      <c r="C12" s="24">
        <v>169</v>
      </c>
      <c r="I12" s="7" t="s">
        <v>32</v>
      </c>
      <c r="J12" s="24">
        <v>200</v>
      </c>
      <c r="O12" s="2"/>
    </row>
    <row r="13" spans="2:15" ht="18" x14ac:dyDescent="0.25">
      <c r="B13" s="7" t="s">
        <v>34</v>
      </c>
      <c r="C13" s="6">
        <f>C12/(C8*C5)</f>
        <v>185.30701754385964</v>
      </c>
      <c r="I13" s="7" t="s">
        <v>34</v>
      </c>
      <c r="J13" s="6">
        <f>J12/(J8*J5)</f>
        <v>208.33333333333334</v>
      </c>
      <c r="O13" s="2"/>
    </row>
    <row r="14" spans="2:15" x14ac:dyDescent="0.25">
      <c r="B14" s="7" t="s">
        <v>4</v>
      </c>
      <c r="C14" s="6">
        <f>(C6/C5)*C12</f>
        <v>47.438596491228068</v>
      </c>
      <c r="I14" s="7" t="s">
        <v>4</v>
      </c>
      <c r="J14" s="6">
        <f>(J6/J5)*J12</f>
        <v>53.333333333333336</v>
      </c>
      <c r="O14" s="2"/>
    </row>
    <row r="15" spans="2:15" x14ac:dyDescent="0.25">
      <c r="B15" s="7"/>
      <c r="C15" s="5"/>
      <c r="I15" s="7"/>
      <c r="J15" s="5"/>
      <c r="O15" s="2"/>
    </row>
    <row r="16" spans="2:15" x14ac:dyDescent="0.25">
      <c r="B16" s="7"/>
      <c r="C16" s="22"/>
      <c r="I16" s="7" t="s">
        <v>21</v>
      </c>
      <c r="J16" s="22">
        <v>80100.700700000001</v>
      </c>
      <c r="O16" s="2"/>
    </row>
    <row r="17" spans="2:15" x14ac:dyDescent="0.25">
      <c r="B17" s="7" t="s">
        <v>0</v>
      </c>
      <c r="C17" s="22">
        <v>79430.87</v>
      </c>
      <c r="I17" s="7" t="s">
        <v>23</v>
      </c>
      <c r="J17" s="22">
        <v>80300.700700000001</v>
      </c>
      <c r="O17" s="2"/>
    </row>
    <row r="18" spans="2:15" x14ac:dyDescent="0.25">
      <c r="B18" s="7" t="s">
        <v>1</v>
      </c>
      <c r="C18" s="22">
        <v>79772.27</v>
      </c>
      <c r="I18" s="7" t="s">
        <v>24</v>
      </c>
      <c r="J18" s="22">
        <v>80629.395099999994</v>
      </c>
      <c r="O18" s="2"/>
    </row>
    <row r="19" spans="2:15" x14ac:dyDescent="0.25">
      <c r="B19" s="7"/>
      <c r="C19" s="22"/>
      <c r="I19" s="7" t="s">
        <v>22</v>
      </c>
      <c r="J19" s="22">
        <v>80829.395099999994</v>
      </c>
      <c r="O19" s="2"/>
    </row>
    <row r="20" spans="2:15" x14ac:dyDescent="0.25">
      <c r="B20" s="8"/>
      <c r="C20" s="5"/>
      <c r="I20" s="8"/>
      <c r="J20" s="5"/>
    </row>
    <row r="21" spans="2:15" x14ac:dyDescent="0.25">
      <c r="B21" s="8" t="s">
        <v>17</v>
      </c>
      <c r="C21" s="24">
        <v>0.5</v>
      </c>
      <c r="I21" s="8" t="s">
        <v>17</v>
      </c>
      <c r="J21" s="24">
        <v>0.5</v>
      </c>
    </row>
    <row r="22" spans="2:15" x14ac:dyDescent="0.25">
      <c r="B22" s="8" t="s">
        <v>18</v>
      </c>
      <c r="C22" s="24">
        <v>0.6</v>
      </c>
      <c r="I22" s="8" t="s">
        <v>18</v>
      </c>
      <c r="J22" s="24">
        <v>0.5</v>
      </c>
    </row>
    <row r="23" spans="2:15" x14ac:dyDescent="0.25">
      <c r="B23" s="17"/>
      <c r="C23" s="12"/>
      <c r="D23" s="137" t="s">
        <v>112</v>
      </c>
      <c r="E23" s="137"/>
      <c r="F23" s="137"/>
      <c r="G23" s="137"/>
      <c r="I23" s="17"/>
      <c r="J23" s="12"/>
    </row>
    <row r="24" spans="2:15" ht="15.75" thickBot="1" x14ac:dyDescent="0.3">
      <c r="B24" s="13"/>
      <c r="C24" s="39" t="s">
        <v>19</v>
      </c>
      <c r="D24" s="137"/>
      <c r="E24" s="137"/>
      <c r="F24" s="137"/>
      <c r="G24" s="137"/>
      <c r="I24" s="13"/>
      <c r="J24" s="39" t="s">
        <v>19</v>
      </c>
    </row>
    <row r="25" spans="2:15" x14ac:dyDescent="0.25">
      <c r="B25" s="40" t="s">
        <v>13</v>
      </c>
      <c r="C25" s="46">
        <f>C26-C14</f>
        <v>79298.931403508774</v>
      </c>
      <c r="D25" s="98"/>
      <c r="E25" s="102"/>
      <c r="I25" s="40" t="s">
        <v>13</v>
      </c>
      <c r="J25" s="49">
        <f>J26-J14</f>
        <v>80047.367366666673</v>
      </c>
      <c r="K25" s="98"/>
      <c r="L25" s="102"/>
      <c r="O25" s="2"/>
    </row>
    <row r="26" spans="2:15" x14ac:dyDescent="0.25">
      <c r="B26" s="8" t="s">
        <v>14</v>
      </c>
      <c r="C26" s="45">
        <f>C17-(C21*C12)</f>
        <v>79346.37</v>
      </c>
      <c r="D26" s="98"/>
      <c r="E26" s="72"/>
      <c r="F26" s="48"/>
      <c r="I26" s="8" t="s">
        <v>14</v>
      </c>
      <c r="J26" s="50">
        <f>J16</f>
        <v>80100.700700000001</v>
      </c>
      <c r="K26" s="98"/>
      <c r="L26" s="72"/>
      <c r="M26" s="48"/>
      <c r="O26" s="2"/>
    </row>
    <row r="27" spans="2:15" x14ac:dyDescent="0.25">
      <c r="B27" s="8" t="s">
        <v>15</v>
      </c>
      <c r="C27" s="45">
        <f>C26+C14</f>
        <v>79393.808596491217</v>
      </c>
      <c r="D27" s="98"/>
      <c r="E27" s="102">
        <v>1.6E-2</v>
      </c>
      <c r="F27" s="10"/>
      <c r="G27" s="51"/>
      <c r="I27" s="8" t="s">
        <v>15</v>
      </c>
      <c r="J27" s="50">
        <f>J26+J14</f>
        <v>80154.03403333333</v>
      </c>
      <c r="K27" s="98"/>
      <c r="L27" s="102">
        <v>1.6E-2</v>
      </c>
      <c r="M27" s="10" t="s">
        <v>58</v>
      </c>
      <c r="N27" s="51">
        <f>(J28-J26)/((J5)*J8)</f>
        <v>208.33333333333334</v>
      </c>
    </row>
    <row r="28" spans="2:15" x14ac:dyDescent="0.25">
      <c r="B28" s="8" t="s">
        <v>16</v>
      </c>
      <c r="C28" s="45">
        <f>C26+C12</f>
        <v>79515.37</v>
      </c>
      <c r="D28" s="98"/>
      <c r="E28" s="102">
        <v>5.7000000000000002E-2</v>
      </c>
      <c r="F28" s="47"/>
      <c r="G28" s="47"/>
      <c r="I28" s="8" t="s">
        <v>16</v>
      </c>
      <c r="J28" s="50">
        <f>J17</f>
        <v>80300.700700000001</v>
      </c>
      <c r="K28" s="98"/>
      <c r="L28" s="72">
        <v>0.06</v>
      </c>
      <c r="M28" s="47"/>
      <c r="N28" s="47"/>
    </row>
    <row r="29" spans="2:15" x14ac:dyDescent="0.25">
      <c r="B29" s="15"/>
      <c r="C29" s="57"/>
      <c r="E29" s="102"/>
      <c r="I29" s="15"/>
      <c r="J29" s="57"/>
      <c r="L29" s="102"/>
    </row>
    <row r="30" spans="2:15" ht="15.75" thickBot="1" x14ac:dyDescent="0.3">
      <c r="B30" s="14"/>
      <c r="C30" s="58" t="s">
        <v>20</v>
      </c>
      <c r="E30" s="102"/>
      <c r="I30" s="14"/>
      <c r="J30" s="58" t="s">
        <v>20</v>
      </c>
      <c r="L30" s="102"/>
    </row>
    <row r="31" spans="2:15" x14ac:dyDescent="0.25">
      <c r="B31" s="40" t="s">
        <v>16</v>
      </c>
      <c r="C31" s="49">
        <f>C33-C12</f>
        <v>79704.67</v>
      </c>
      <c r="D31" s="98"/>
      <c r="E31" s="102">
        <v>5.7000000000000002E-2</v>
      </c>
      <c r="F31" s="47"/>
      <c r="G31" s="47"/>
      <c r="I31" s="40" t="s">
        <v>16</v>
      </c>
      <c r="J31" s="49">
        <f>J18</f>
        <v>80629.395099999994</v>
      </c>
      <c r="K31" s="98"/>
      <c r="L31" s="72">
        <v>0.06</v>
      </c>
      <c r="M31" s="47"/>
      <c r="N31" s="47"/>
    </row>
    <row r="32" spans="2:15" x14ac:dyDescent="0.25">
      <c r="B32" s="8" t="s">
        <v>15</v>
      </c>
      <c r="C32" s="50">
        <f>C33-C14</f>
        <v>79826.231403508777</v>
      </c>
      <c r="D32" s="98"/>
      <c r="E32" s="102">
        <v>1.6E-2</v>
      </c>
      <c r="F32" s="10" t="s">
        <v>58</v>
      </c>
      <c r="G32" s="51">
        <f>(C32-C31)/((0.057-0.016)*C8)</f>
        <v>185.30701754386936</v>
      </c>
      <c r="I32" s="8" t="s">
        <v>15</v>
      </c>
      <c r="J32" s="50">
        <f>J19</f>
        <v>80829.395099999994</v>
      </c>
      <c r="K32" s="98"/>
      <c r="L32" s="102">
        <v>1.6E-2</v>
      </c>
      <c r="M32" s="10" t="s">
        <v>58</v>
      </c>
      <c r="N32" s="51">
        <f>(J32-J31)/((0.06-0.016)*J8)</f>
        <v>284.09090909090912</v>
      </c>
    </row>
    <row r="33" spans="2:14" x14ac:dyDescent="0.25">
      <c r="B33" s="8" t="s">
        <v>14</v>
      </c>
      <c r="C33" s="45">
        <f>C18+(C22*C12)</f>
        <v>79873.67</v>
      </c>
      <c r="D33" s="98"/>
      <c r="E33" s="72">
        <v>0</v>
      </c>
      <c r="I33" s="8" t="s">
        <v>14</v>
      </c>
      <c r="J33" s="45">
        <f>J19</f>
        <v>80829.395099999994</v>
      </c>
      <c r="K33" s="98"/>
      <c r="L33" s="72">
        <v>0</v>
      </c>
    </row>
    <row r="34" spans="2:14" x14ac:dyDescent="0.25">
      <c r="B34" s="8" t="s">
        <v>13</v>
      </c>
      <c r="C34" s="45">
        <f>C33+C14</f>
        <v>79921.10859649122</v>
      </c>
      <c r="D34" s="98"/>
      <c r="E34" s="102">
        <v>1.6E-2</v>
      </c>
      <c r="I34" s="8" t="s">
        <v>13</v>
      </c>
      <c r="J34" s="45">
        <f>J33+J14</f>
        <v>80882.728433333323</v>
      </c>
      <c r="K34" s="98"/>
      <c r="L34" s="102">
        <v>1.6E-2</v>
      </c>
    </row>
    <row r="37" spans="2:14" x14ac:dyDescent="0.25">
      <c r="I37" s="71" t="s">
        <v>120</v>
      </c>
    </row>
    <row r="38" spans="2:14" x14ac:dyDescent="0.25">
      <c r="I38" t="s">
        <v>121</v>
      </c>
    </row>
    <row r="40" spans="2:14" x14ac:dyDescent="0.25">
      <c r="J40" s="56">
        <v>81122.84</v>
      </c>
      <c r="K40" s="70"/>
      <c r="L40" s="47">
        <v>1.6E-2</v>
      </c>
    </row>
    <row r="41" spans="2:14" x14ac:dyDescent="0.25">
      <c r="I41" s="10" t="s">
        <v>122</v>
      </c>
      <c r="J41" s="56">
        <v>81197.84</v>
      </c>
      <c r="L41" s="47">
        <f>L40+((0.06-0.016)/(J42-J40))*(J41-J40)</f>
        <v>3.7999999999999999E-2</v>
      </c>
      <c r="N41" s="51">
        <f>(J42-J40)/((0.06-0.016)*J8)</f>
        <v>213.06818181818184</v>
      </c>
    </row>
    <row r="42" spans="2:14" x14ac:dyDescent="0.25">
      <c r="J42" s="56">
        <v>81272.84</v>
      </c>
      <c r="K42" s="72"/>
      <c r="L42" s="48">
        <v>0.06</v>
      </c>
    </row>
  </sheetData>
  <mergeCells count="3">
    <mergeCell ref="B1:C1"/>
    <mergeCell ref="I1:J1"/>
    <mergeCell ref="D23:G24"/>
  </mergeCells>
  <pageMargins left="0.7" right="0.7" top="0.75" bottom="0.75" header="0.3" footer="0.3"/>
  <pageSetup scale="81" orientation="portrait" r:id="rId1"/>
  <headerFooter>
    <oddHeader>&amp;RCalculated By:_&amp;UABS       9/14/13           &amp;U_____
Checked By:_____________________</oddHeader>
  </headerFooter>
  <colBreaks count="1" manualBreakCount="1">
    <brk id="7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V36"/>
  <sheetViews>
    <sheetView view="pageLayout" topLeftCell="C4" zoomScale="70" zoomScaleNormal="90" zoomScaleSheetLayoutView="70" zoomScalePageLayoutView="70" workbookViewId="0">
      <selection activeCell="C4" sqref="C4"/>
    </sheetView>
  </sheetViews>
  <sheetFormatPr defaultRowHeight="15" x14ac:dyDescent="0.25"/>
  <cols>
    <col min="1" max="1" width="7.28515625" customWidth="1"/>
    <col min="2" max="2" width="27.7109375" customWidth="1"/>
    <col min="3" max="3" width="19.7109375" customWidth="1"/>
    <col min="4" max="4" width="4.28515625" style="92" customWidth="1"/>
    <col min="5" max="5" width="13.140625" customWidth="1"/>
    <col min="6" max="6" width="11.28515625" customWidth="1"/>
    <col min="7" max="7" width="9.42578125" customWidth="1"/>
    <col min="8" max="8" width="7.5703125" customWidth="1"/>
    <col min="9" max="9" width="27.7109375" customWidth="1"/>
    <col min="10" max="10" width="23.7109375" customWidth="1"/>
    <col min="11" max="11" width="4.42578125" style="92" customWidth="1"/>
    <col min="12" max="12" width="13.140625" customWidth="1"/>
    <col min="13" max="13" width="11.28515625" customWidth="1"/>
    <col min="14" max="14" width="7.7109375" customWidth="1"/>
    <col min="15" max="15" width="8" customWidth="1"/>
    <col min="16" max="17" width="26" customWidth="1"/>
    <col min="18" max="18" width="14.42578125" customWidth="1"/>
    <col min="20" max="20" width="8.140625" customWidth="1"/>
    <col min="21" max="21" width="7.5703125" customWidth="1"/>
  </cols>
  <sheetData>
    <row r="1" spans="2:18" ht="15.75" thickBot="1" x14ac:dyDescent="0.3">
      <c r="B1" s="135" t="s">
        <v>115</v>
      </c>
      <c r="C1" s="135"/>
      <c r="D1" s="103"/>
      <c r="E1" s="2"/>
      <c r="I1" s="135" t="s">
        <v>116</v>
      </c>
      <c r="J1" s="135"/>
      <c r="K1" s="103"/>
      <c r="L1" s="2"/>
      <c r="P1" s="135" t="s">
        <v>117</v>
      </c>
      <c r="Q1" s="135"/>
      <c r="R1" s="2"/>
    </row>
    <row r="2" spans="2:18" x14ac:dyDescent="0.25">
      <c r="C2" s="2"/>
      <c r="D2" s="104"/>
      <c r="E2" s="2"/>
      <c r="J2" s="2"/>
      <c r="K2" s="104"/>
      <c r="L2" s="2"/>
      <c r="Q2" s="2"/>
      <c r="R2" s="2"/>
    </row>
    <row r="3" spans="2:18" x14ac:dyDescent="0.25">
      <c r="B3" s="9" t="s">
        <v>5</v>
      </c>
      <c r="C3" s="23">
        <v>60</v>
      </c>
      <c r="D3" s="104"/>
      <c r="E3" s="2"/>
      <c r="I3" s="9" t="s">
        <v>5</v>
      </c>
      <c r="J3" s="23">
        <v>50</v>
      </c>
      <c r="K3" s="104"/>
      <c r="L3" s="2"/>
      <c r="P3" s="9" t="s">
        <v>5</v>
      </c>
      <c r="Q3" s="23">
        <v>50</v>
      </c>
      <c r="R3" s="2"/>
    </row>
    <row r="4" spans="2:18" x14ac:dyDescent="0.25">
      <c r="B4" s="9" t="s">
        <v>2</v>
      </c>
      <c r="C4" s="23" t="s">
        <v>26</v>
      </c>
      <c r="D4" s="104"/>
      <c r="E4" s="2"/>
      <c r="I4" s="9" t="s">
        <v>2</v>
      </c>
      <c r="J4" s="23" t="s">
        <v>26</v>
      </c>
      <c r="K4" s="104"/>
      <c r="L4" s="2"/>
      <c r="P4" s="9" t="s">
        <v>2</v>
      </c>
      <c r="Q4" s="23" t="s">
        <v>26</v>
      </c>
      <c r="R4" s="2"/>
    </row>
    <row r="5" spans="2:18" ht="20.25" customHeight="1" x14ac:dyDescent="0.25">
      <c r="B5" s="9" t="s">
        <v>6</v>
      </c>
      <c r="C5" s="23">
        <v>3.6999999999999998E-2</v>
      </c>
      <c r="D5" s="104"/>
      <c r="E5" s="2"/>
      <c r="I5" s="9" t="s">
        <v>6</v>
      </c>
      <c r="J5" s="23">
        <v>0.06</v>
      </c>
      <c r="K5" s="104"/>
      <c r="L5" s="2"/>
      <c r="P5" s="9" t="s">
        <v>6</v>
      </c>
      <c r="Q5" s="23">
        <v>5.8000000000000003E-2</v>
      </c>
      <c r="R5" s="2"/>
    </row>
    <row r="6" spans="2:18" x14ac:dyDescent="0.25">
      <c r="B6" s="9" t="s">
        <v>10</v>
      </c>
      <c r="C6" s="23">
        <v>1.6E-2</v>
      </c>
      <c r="D6" s="104"/>
      <c r="E6" s="2"/>
      <c r="I6" s="9" t="s">
        <v>10</v>
      </c>
      <c r="J6" s="23">
        <v>1.6E-2</v>
      </c>
      <c r="K6" s="104"/>
      <c r="L6" s="2"/>
      <c r="P6" s="9" t="s">
        <v>51</v>
      </c>
      <c r="Q6" s="23">
        <v>1.6E-2</v>
      </c>
      <c r="R6" s="2"/>
    </row>
    <row r="7" spans="2:18" x14ac:dyDescent="0.25">
      <c r="B7" s="9" t="s">
        <v>8</v>
      </c>
      <c r="C7" s="23">
        <v>222</v>
      </c>
      <c r="D7" s="104"/>
      <c r="E7" s="2"/>
      <c r="I7" s="9" t="s">
        <v>8</v>
      </c>
      <c r="J7" s="23">
        <v>200</v>
      </c>
      <c r="K7" s="104"/>
      <c r="L7" s="2"/>
      <c r="P7" s="9" t="s">
        <v>52</v>
      </c>
      <c r="Q7" s="23">
        <v>0.02</v>
      </c>
      <c r="R7" s="2"/>
    </row>
    <row r="8" spans="2:18" x14ac:dyDescent="0.25">
      <c r="B8" s="9" t="s">
        <v>9</v>
      </c>
      <c r="C8" s="23">
        <v>16</v>
      </c>
      <c r="D8" s="104"/>
      <c r="I8" s="9" t="s">
        <v>9</v>
      </c>
      <c r="J8" s="23">
        <v>16</v>
      </c>
      <c r="K8" s="104"/>
      <c r="P8" s="9" t="s">
        <v>8</v>
      </c>
      <c r="Q8" s="23">
        <v>200</v>
      </c>
      <c r="R8" s="2"/>
    </row>
    <row r="9" spans="2:18" ht="15.75" thickBot="1" x14ac:dyDescent="0.3">
      <c r="B9" s="9"/>
      <c r="C9" s="2"/>
      <c r="D9" s="104"/>
      <c r="E9" s="2"/>
      <c r="I9" s="9"/>
      <c r="J9" s="2"/>
      <c r="K9" s="104"/>
      <c r="L9" s="2"/>
      <c r="P9" s="9" t="s">
        <v>9</v>
      </c>
      <c r="Q9" s="23">
        <v>16</v>
      </c>
    </row>
    <row r="10" spans="2:18" ht="15.75" thickBot="1" x14ac:dyDescent="0.3">
      <c r="B10" s="33" t="s">
        <v>11</v>
      </c>
      <c r="C10" s="34" t="s">
        <v>12</v>
      </c>
      <c r="D10" s="106"/>
      <c r="E10" s="2"/>
      <c r="I10" s="33" t="s">
        <v>11</v>
      </c>
      <c r="J10" s="34" t="s">
        <v>12</v>
      </c>
      <c r="K10" s="106"/>
      <c r="L10" s="2"/>
      <c r="P10" s="9"/>
      <c r="Q10" s="2"/>
      <c r="R10" s="2"/>
    </row>
    <row r="11" spans="2:18" ht="15.75" thickBot="1" x14ac:dyDescent="0.3">
      <c r="B11" s="35" t="s">
        <v>31</v>
      </c>
      <c r="C11" s="5">
        <f>ROUNDUP(C8*C7*C5,0)</f>
        <v>132</v>
      </c>
      <c r="D11" s="106"/>
      <c r="E11" s="2"/>
      <c r="I11" s="35" t="s">
        <v>31</v>
      </c>
      <c r="J11" s="5">
        <f>ROUNDUP(J8*J7*J5,0)</f>
        <v>192</v>
      </c>
      <c r="K11" s="106"/>
      <c r="L11" s="2"/>
      <c r="P11" s="33" t="s">
        <v>11</v>
      </c>
      <c r="Q11" s="34" t="s">
        <v>12</v>
      </c>
      <c r="R11" s="2"/>
    </row>
    <row r="12" spans="2:18" x14ac:dyDescent="0.25">
      <c r="B12" s="7" t="s">
        <v>32</v>
      </c>
      <c r="C12" s="24">
        <v>132</v>
      </c>
      <c r="D12" s="106"/>
      <c r="E12" s="2"/>
      <c r="I12" s="7" t="s">
        <v>32</v>
      </c>
      <c r="J12" s="24">
        <v>200</v>
      </c>
      <c r="K12" s="106"/>
      <c r="L12" s="2"/>
      <c r="P12" s="35" t="s">
        <v>31</v>
      </c>
      <c r="Q12" s="5">
        <f>ROUNDUP(Q9*Q8*Q5,0)</f>
        <v>186</v>
      </c>
      <c r="R12" s="2"/>
    </row>
    <row r="13" spans="2:18" ht="18" x14ac:dyDescent="0.25">
      <c r="B13" s="7" t="s">
        <v>34</v>
      </c>
      <c r="C13" s="6">
        <f>C12/(C8*C5)</f>
        <v>222.972972972973</v>
      </c>
      <c r="D13" s="107"/>
      <c r="E13" s="2"/>
      <c r="I13" s="7" t="s">
        <v>34</v>
      </c>
      <c r="J13" s="6">
        <f>J12/(J8*J5)</f>
        <v>208.33333333333334</v>
      </c>
      <c r="K13" s="107"/>
      <c r="L13" s="2"/>
      <c r="P13" s="7" t="s">
        <v>32</v>
      </c>
      <c r="Q13" s="24">
        <v>200</v>
      </c>
      <c r="R13" s="2"/>
    </row>
    <row r="14" spans="2:18" ht="18" x14ac:dyDescent="0.25">
      <c r="B14" s="7" t="s">
        <v>4</v>
      </c>
      <c r="C14" s="6">
        <f>(C6/C5)*C12</f>
        <v>57.081081081081081</v>
      </c>
      <c r="D14" s="107"/>
      <c r="E14" s="2"/>
      <c r="I14" s="7" t="s">
        <v>4</v>
      </c>
      <c r="J14" s="6">
        <f>(J6/J5)*J12</f>
        <v>53.333333333333336</v>
      </c>
      <c r="K14" s="107"/>
      <c r="L14" s="2"/>
      <c r="P14" s="7" t="s">
        <v>34</v>
      </c>
      <c r="Q14" s="6">
        <f>Q13/(Q9*Q5)</f>
        <v>215.51724137931032</v>
      </c>
      <c r="R14" s="2"/>
    </row>
    <row r="15" spans="2:18" x14ac:dyDescent="0.25">
      <c r="B15" s="7"/>
      <c r="C15" s="6"/>
      <c r="D15" s="107"/>
      <c r="E15" s="2"/>
      <c r="I15" s="7"/>
      <c r="J15" s="6"/>
      <c r="K15" s="107"/>
      <c r="L15" s="2"/>
      <c r="P15" s="7" t="s">
        <v>53</v>
      </c>
      <c r="Q15" s="6">
        <f>(Q6/Q5)*Q13</f>
        <v>55.172413793103445</v>
      </c>
      <c r="R15" s="2"/>
    </row>
    <row r="16" spans="2:18" x14ac:dyDescent="0.25">
      <c r="B16" s="7"/>
      <c r="C16" s="29"/>
      <c r="D16" s="115"/>
      <c r="E16" s="2"/>
      <c r="I16" s="7" t="s">
        <v>21</v>
      </c>
      <c r="J16" s="29">
        <v>77354.179999999993</v>
      </c>
      <c r="K16" s="115"/>
      <c r="L16" s="2"/>
      <c r="P16" s="7" t="s">
        <v>54</v>
      </c>
      <c r="Q16" s="6">
        <f>(Q7/Q5)*Q13</f>
        <v>68.965517241379303</v>
      </c>
      <c r="R16" s="2"/>
    </row>
    <row r="17" spans="2:22" x14ac:dyDescent="0.25">
      <c r="B17" s="7" t="s">
        <v>0</v>
      </c>
      <c r="C17" s="22">
        <v>76741.19</v>
      </c>
      <c r="D17" s="108"/>
      <c r="E17" s="2"/>
      <c r="I17" s="7" t="s">
        <v>23</v>
      </c>
      <c r="J17" s="22">
        <v>77554.179999999993</v>
      </c>
      <c r="K17" s="108"/>
      <c r="L17" s="2"/>
      <c r="P17" s="7" t="s">
        <v>21</v>
      </c>
      <c r="Q17" s="22">
        <v>79310.91</v>
      </c>
      <c r="R17" s="2"/>
    </row>
    <row r="18" spans="2:22" x14ac:dyDescent="0.25">
      <c r="B18" s="7" t="s">
        <v>1</v>
      </c>
      <c r="C18" s="22">
        <v>77149.119999999995</v>
      </c>
      <c r="D18" s="108"/>
      <c r="E18" s="2"/>
      <c r="I18" s="7" t="s">
        <v>24</v>
      </c>
      <c r="J18" s="22">
        <v>78876.149999999994</v>
      </c>
      <c r="K18" s="108"/>
      <c r="L18" s="2"/>
      <c r="P18" s="7" t="s">
        <v>23</v>
      </c>
      <c r="Q18" s="22">
        <v>79510.91</v>
      </c>
      <c r="R18" s="2"/>
    </row>
    <row r="19" spans="2:22" x14ac:dyDescent="0.25">
      <c r="B19" s="8"/>
      <c r="C19" s="29"/>
      <c r="D19" s="115"/>
      <c r="E19" s="2"/>
      <c r="I19" s="8" t="s">
        <v>22</v>
      </c>
      <c r="J19" s="29">
        <v>79076.149999999994</v>
      </c>
      <c r="K19" s="115"/>
      <c r="L19" s="2"/>
      <c r="P19" s="8" t="s">
        <v>24</v>
      </c>
      <c r="Q19" s="22">
        <v>79872.75</v>
      </c>
      <c r="R19" s="2"/>
    </row>
    <row r="20" spans="2:22" x14ac:dyDescent="0.25">
      <c r="B20" s="36"/>
      <c r="C20" s="36"/>
      <c r="D20" s="109"/>
      <c r="E20" s="2"/>
      <c r="I20" s="36"/>
      <c r="J20" s="36"/>
      <c r="K20" s="109"/>
      <c r="L20" s="2"/>
      <c r="P20" s="8" t="s">
        <v>22</v>
      </c>
      <c r="Q20" s="22">
        <v>80072.75</v>
      </c>
      <c r="R20" s="2"/>
    </row>
    <row r="21" spans="2:22" x14ac:dyDescent="0.25">
      <c r="B21" s="36"/>
      <c r="C21" s="36"/>
      <c r="D21" s="109"/>
      <c r="E21" s="2"/>
      <c r="I21" s="36"/>
      <c r="J21" s="36"/>
      <c r="K21" s="109"/>
      <c r="L21" s="2"/>
      <c r="P21" s="36"/>
      <c r="Q21" s="36"/>
      <c r="R21" s="2"/>
    </row>
    <row r="22" spans="2:22" x14ac:dyDescent="0.25">
      <c r="B22" s="8" t="s">
        <v>17</v>
      </c>
      <c r="C22" s="24">
        <v>0.5</v>
      </c>
      <c r="D22" s="106"/>
      <c r="E22" s="2"/>
      <c r="I22" s="8" t="s">
        <v>17</v>
      </c>
      <c r="J22" s="24" t="s">
        <v>118</v>
      </c>
      <c r="K22" s="106"/>
      <c r="L22" s="2"/>
      <c r="P22" s="8" t="s">
        <v>17</v>
      </c>
      <c r="Q22" s="24" t="s">
        <v>118</v>
      </c>
      <c r="R22" s="2"/>
    </row>
    <row r="23" spans="2:22" x14ac:dyDescent="0.25">
      <c r="B23" s="8" t="s">
        <v>18</v>
      </c>
      <c r="C23" s="24">
        <v>0.5</v>
      </c>
      <c r="D23" s="106"/>
      <c r="I23" s="8" t="s">
        <v>18</v>
      </c>
      <c r="J23" s="24" t="s">
        <v>118</v>
      </c>
      <c r="K23" s="106"/>
      <c r="P23" s="8" t="s">
        <v>18</v>
      </c>
      <c r="Q23" s="24" t="s">
        <v>118</v>
      </c>
    </row>
    <row r="24" spans="2:22" x14ac:dyDescent="0.25">
      <c r="B24" s="37"/>
      <c r="C24" s="12"/>
      <c r="D24" s="106"/>
      <c r="I24" s="37"/>
      <c r="J24" s="12"/>
      <c r="K24" s="106"/>
      <c r="P24" s="37"/>
      <c r="Q24" s="12"/>
    </row>
    <row r="25" spans="2:22" ht="15.75" thickBot="1" x14ac:dyDescent="0.3">
      <c r="B25" s="14"/>
      <c r="C25" s="39" t="s">
        <v>19</v>
      </c>
      <c r="D25" s="105"/>
      <c r="H25" s="113"/>
      <c r="I25" s="14"/>
      <c r="J25" s="39" t="s">
        <v>19</v>
      </c>
      <c r="K25" s="105"/>
      <c r="P25" s="14"/>
      <c r="Q25" s="39" t="s">
        <v>19</v>
      </c>
    </row>
    <row r="26" spans="2:22" x14ac:dyDescent="0.25">
      <c r="B26" s="40" t="s">
        <v>13</v>
      </c>
      <c r="C26" s="49">
        <f>C27-C14</f>
        <v>76618.108918918922</v>
      </c>
      <c r="D26" s="108"/>
      <c r="E26" s="99"/>
      <c r="F26" s="113">
        <v>1.6E-2</v>
      </c>
      <c r="H26" s="113"/>
      <c r="I26" s="40" t="s">
        <v>13</v>
      </c>
      <c r="J26" s="46" t="e">
        <f>J27-J14</f>
        <v>#VALUE!</v>
      </c>
      <c r="K26" s="108"/>
      <c r="L26" s="99"/>
      <c r="M26" s="113">
        <v>1.6E-2</v>
      </c>
      <c r="P26" s="40" t="s">
        <v>13</v>
      </c>
      <c r="Q26" s="46">
        <f>Q27-Q15</f>
        <v>79255.737586206902</v>
      </c>
      <c r="R26" s="98"/>
      <c r="S26" s="113">
        <v>1.6E-2</v>
      </c>
    </row>
    <row r="27" spans="2:22" x14ac:dyDescent="0.25">
      <c r="B27" s="8" t="s">
        <v>14</v>
      </c>
      <c r="C27" s="50">
        <f>C17-(C22*C12)</f>
        <v>76675.19</v>
      </c>
      <c r="D27" s="108"/>
      <c r="E27" s="99"/>
      <c r="F27" s="72">
        <v>0</v>
      </c>
      <c r="G27" s="10" t="s">
        <v>58</v>
      </c>
      <c r="H27" s="113">
        <f>(C29-C27)/(C8*C5)</f>
        <v>222.972972972973</v>
      </c>
      <c r="I27" s="8" t="s">
        <v>14</v>
      </c>
      <c r="J27" s="45" t="e">
        <f>J17-(J22*J12)</f>
        <v>#VALUE!</v>
      </c>
      <c r="K27" s="108"/>
      <c r="L27" s="99"/>
      <c r="M27" s="113"/>
      <c r="P27" s="8" t="s">
        <v>14</v>
      </c>
      <c r="Q27" s="45">
        <f>Q17</f>
        <v>79310.91</v>
      </c>
      <c r="R27" s="98"/>
      <c r="S27" s="113"/>
    </row>
    <row r="28" spans="2:22" x14ac:dyDescent="0.25">
      <c r="B28" s="8" t="s">
        <v>15</v>
      </c>
      <c r="C28" s="42">
        <f>C27+C14</f>
        <v>76732.271081081082</v>
      </c>
      <c r="D28" s="108"/>
      <c r="E28" s="99"/>
      <c r="F28" s="113">
        <v>1.6E-2</v>
      </c>
      <c r="H28" s="113"/>
      <c r="I28" s="8" t="s">
        <v>15</v>
      </c>
      <c r="J28" s="42">
        <f>J16</f>
        <v>77354.179999999993</v>
      </c>
      <c r="K28" s="108"/>
      <c r="L28" s="99"/>
      <c r="M28" s="113">
        <v>1.6E-2</v>
      </c>
      <c r="N28" s="10" t="s">
        <v>58</v>
      </c>
      <c r="O28">
        <f>(J29-J28)/(J8*(0.06-0.016))</f>
        <v>284.09090909090912</v>
      </c>
      <c r="P28" s="8" t="s">
        <v>15</v>
      </c>
      <c r="Q28" s="42">
        <f>Q17</f>
        <v>79310.91</v>
      </c>
      <c r="R28" s="98"/>
      <c r="S28" s="113">
        <v>1.6E-2</v>
      </c>
      <c r="U28" s="10" t="s">
        <v>58</v>
      </c>
      <c r="V28" s="113">
        <f>(Q29-Q28)/(Q9*(Q5-Q6))</f>
        <v>297.61904761904759</v>
      </c>
    </row>
    <row r="29" spans="2:22" x14ac:dyDescent="0.25">
      <c r="B29" s="8" t="s">
        <v>16</v>
      </c>
      <c r="C29" s="42">
        <f>C17-(C22*C12)+C12</f>
        <v>76807.19</v>
      </c>
      <c r="D29" s="108"/>
      <c r="E29" s="99"/>
      <c r="F29" s="72">
        <v>3.6999999999999998E-2</v>
      </c>
      <c r="H29" s="113"/>
      <c r="I29" s="8" t="s">
        <v>16</v>
      </c>
      <c r="J29" s="42">
        <f>J17</f>
        <v>77554.179999999993</v>
      </c>
      <c r="K29" s="108"/>
      <c r="L29" s="99"/>
      <c r="M29" s="72">
        <v>0.06</v>
      </c>
      <c r="N29" s="48"/>
      <c r="P29" s="8" t="s">
        <v>16</v>
      </c>
      <c r="Q29" s="42">
        <f>Q18</f>
        <v>79510.91</v>
      </c>
      <c r="R29" s="98"/>
      <c r="S29" s="72">
        <v>5.8000000000000003E-2</v>
      </c>
      <c r="V29" s="113"/>
    </row>
    <row r="30" spans="2:22" x14ac:dyDescent="0.25">
      <c r="B30" s="10"/>
      <c r="C30" s="2"/>
      <c r="D30" s="104"/>
      <c r="F30" s="113"/>
      <c r="H30" s="113"/>
      <c r="I30" s="10"/>
      <c r="J30" s="2"/>
      <c r="K30" s="104"/>
      <c r="M30" s="113"/>
      <c r="P30" s="10"/>
      <c r="Q30" s="2"/>
      <c r="S30" s="72"/>
      <c r="V30" s="113"/>
    </row>
    <row r="31" spans="2:22" ht="15.75" thickBot="1" x14ac:dyDescent="0.3">
      <c r="B31" s="14"/>
      <c r="C31" s="39" t="s">
        <v>20</v>
      </c>
      <c r="D31" s="105"/>
      <c r="F31" s="113"/>
      <c r="H31" s="113"/>
      <c r="I31" s="14"/>
      <c r="J31" s="39" t="s">
        <v>20</v>
      </c>
      <c r="K31" s="105"/>
      <c r="M31" s="113"/>
      <c r="P31" s="14"/>
      <c r="Q31" s="39" t="s">
        <v>20</v>
      </c>
      <c r="S31" s="72"/>
      <c r="V31" s="113"/>
    </row>
    <row r="32" spans="2:22" x14ac:dyDescent="0.25">
      <c r="B32" s="40" t="s">
        <v>16</v>
      </c>
      <c r="C32" s="41">
        <f>C18+(C23*C12)-C12</f>
        <v>77083.12</v>
      </c>
      <c r="D32" s="108"/>
      <c r="E32" s="99"/>
      <c r="F32" s="72">
        <v>3.6999999999999998E-2</v>
      </c>
      <c r="H32" s="113"/>
      <c r="I32" s="40" t="s">
        <v>16</v>
      </c>
      <c r="J32" s="41">
        <f>J18</f>
        <v>78876.149999999994</v>
      </c>
      <c r="K32" s="108"/>
      <c r="L32" s="99"/>
      <c r="M32" s="72">
        <v>0.06</v>
      </c>
      <c r="N32" s="48"/>
      <c r="P32" s="40" t="s">
        <v>16</v>
      </c>
      <c r="Q32" s="41">
        <f>Q19</f>
        <v>79872.75</v>
      </c>
      <c r="R32" s="98"/>
      <c r="S32" s="72">
        <v>5.8000000000000003E-2</v>
      </c>
      <c r="V32" s="113"/>
    </row>
    <row r="33" spans="2:22" x14ac:dyDescent="0.25">
      <c r="B33" s="8" t="s">
        <v>15</v>
      </c>
      <c r="C33" s="42">
        <f>C34-C14</f>
        <v>77158.038918918915</v>
      </c>
      <c r="D33" s="108"/>
      <c r="E33" s="99"/>
      <c r="F33" s="72">
        <v>1.6E-2</v>
      </c>
      <c r="G33" s="44"/>
      <c r="H33" s="113"/>
      <c r="I33" s="8" t="s">
        <v>15</v>
      </c>
      <c r="J33" s="42">
        <f>J34-J14</f>
        <v>79022.816666666666</v>
      </c>
      <c r="K33" s="108"/>
      <c r="L33" s="99"/>
      <c r="M33" s="72">
        <v>1.6E-2</v>
      </c>
      <c r="N33" s="10" t="s">
        <v>58</v>
      </c>
      <c r="O33">
        <f>(J34-J32)/(J8*(0.06))</f>
        <v>208.33333333333334</v>
      </c>
      <c r="P33" s="8" t="s">
        <v>15</v>
      </c>
      <c r="Q33" s="42">
        <f>Q34-Q16</f>
        <v>80003.784482758623</v>
      </c>
      <c r="R33" s="98"/>
      <c r="S33" s="72">
        <v>0.02</v>
      </c>
      <c r="V33" s="113"/>
    </row>
    <row r="34" spans="2:22" x14ac:dyDescent="0.25">
      <c r="B34" s="8" t="s">
        <v>14</v>
      </c>
      <c r="C34" s="42">
        <f>C18+(C12*C23)</f>
        <v>77215.12</v>
      </c>
      <c r="D34" s="108"/>
      <c r="E34" s="99"/>
      <c r="F34" s="72">
        <v>0</v>
      </c>
      <c r="G34" s="10" t="s">
        <v>58</v>
      </c>
      <c r="H34" s="113">
        <f>(C34-C32)/(C8*C5)</f>
        <v>222.972972972973</v>
      </c>
      <c r="I34" s="8" t="s">
        <v>14</v>
      </c>
      <c r="J34" s="42">
        <f>J19</f>
        <v>79076.149999999994</v>
      </c>
      <c r="K34" s="108"/>
      <c r="L34" s="99"/>
      <c r="M34" s="113"/>
      <c r="P34" s="8" t="s">
        <v>14</v>
      </c>
      <c r="Q34" s="50">
        <f>Q20</f>
        <v>80072.75</v>
      </c>
      <c r="R34" s="98"/>
      <c r="S34" s="72">
        <v>0</v>
      </c>
      <c r="U34" s="10" t="s">
        <v>58</v>
      </c>
      <c r="V34" s="113">
        <f>(Q34-Q32)/(Q9*(Q5))</f>
        <v>215.51724137931032</v>
      </c>
    </row>
    <row r="35" spans="2:22" x14ac:dyDescent="0.25">
      <c r="B35" s="8" t="s">
        <v>16</v>
      </c>
      <c r="C35" s="42">
        <f>C34+C14</f>
        <v>77272.201081081075</v>
      </c>
      <c r="D35" s="108"/>
      <c r="E35" s="99"/>
      <c r="F35" s="113">
        <v>1.6E-2</v>
      </c>
      <c r="H35" s="113"/>
      <c r="I35" s="8" t="s">
        <v>16</v>
      </c>
      <c r="J35" s="42">
        <f>J34+J14</f>
        <v>79129.483333333323</v>
      </c>
      <c r="K35" s="108"/>
      <c r="L35" s="99"/>
      <c r="M35" s="113">
        <v>1.6E-2</v>
      </c>
      <c r="N35" s="47"/>
      <c r="P35" s="8" t="s">
        <v>13</v>
      </c>
      <c r="Q35" s="50">
        <f>Q34+Q16</f>
        <v>80141.715517241377</v>
      </c>
      <c r="R35" s="98"/>
      <c r="S35" s="72">
        <v>0.02</v>
      </c>
      <c r="V35" s="113"/>
    </row>
    <row r="36" spans="2:22" x14ac:dyDescent="0.25">
      <c r="H36" s="113"/>
      <c r="S36" s="113"/>
    </row>
  </sheetData>
  <mergeCells count="3">
    <mergeCell ref="B1:C1"/>
    <mergeCell ref="P1:Q1"/>
    <mergeCell ref="I1:J1"/>
  </mergeCells>
  <pageMargins left="0.7" right="0.45" top="1.25" bottom="2.1145833333333299" header="0.3" footer="0.3"/>
  <pageSetup scale="87" orientation="portrait" r:id="rId1"/>
  <headerFooter>
    <oddHeader>&amp;RCalculated By:_____&amp;UABS  2/27/13&amp;U_____
Checked By:_____________________</oddHeader>
    <oddFooter>&amp;C&amp;F, &amp;A</oddFooter>
  </headerFooter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I-75</vt:lpstr>
      <vt:lpstr>LIMA Ramp A</vt:lpstr>
      <vt:lpstr>LIMA RAMP B</vt:lpstr>
      <vt:lpstr>LIMA Ramp E</vt:lpstr>
      <vt:lpstr>LIMA Ramp F</vt:lpstr>
      <vt:lpstr>LIMA RAMP G</vt:lpstr>
      <vt:lpstr>LIMA RAMP G1</vt:lpstr>
      <vt:lpstr>LIMA RAMP H</vt:lpstr>
      <vt:lpstr>US 68 RAMP A</vt:lpstr>
      <vt:lpstr>US 68 RAMP C</vt:lpstr>
      <vt:lpstr>US 68 RAMP D</vt:lpstr>
      <vt:lpstr>SR 12 Ramp A</vt:lpstr>
      <vt:lpstr>SR 12 Ramp B</vt:lpstr>
      <vt:lpstr>SR 12 Ramp C</vt:lpstr>
      <vt:lpstr>SR 12 Ramp D</vt:lpstr>
      <vt:lpstr>US 224 Ramp A</vt:lpstr>
      <vt:lpstr>US 224 Ramp B</vt:lpstr>
      <vt:lpstr>US 224 Ramp C</vt:lpstr>
      <vt:lpstr>US 224 Ramp D</vt:lpstr>
      <vt:lpstr>SCS</vt:lpstr>
      <vt:lpstr>Curve Ahead Spiral</vt:lpstr>
      <vt:lpstr>Curve Back Spiral</vt:lpstr>
    </vt:vector>
  </TitlesOfParts>
  <Company>Parsons Brinckerhoff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schetter</dc:creator>
  <cp:lastModifiedBy>schetter</cp:lastModifiedBy>
  <cp:lastPrinted>2014-01-24T19:20:32Z</cp:lastPrinted>
  <dcterms:created xsi:type="dcterms:W3CDTF">2013-01-30T14:42:00Z</dcterms:created>
  <dcterms:modified xsi:type="dcterms:W3CDTF">2014-08-06T03:06:55Z</dcterms:modified>
</cp:coreProperties>
</file>